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tables/table1.xml" ContentType="application/vnd.openxmlformats-officedocument.spreadsheetml.table+xml"/>
  <Override PartName="/xl/comments2.xml" ContentType="application/vnd.openxmlformats-officedocument.spreadsheetml.comments+xml"/>
  <Override PartName="/xl/drawings/drawing1.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tables/table47.xml" ContentType="application/vnd.openxmlformats-officedocument.spreadsheetml.table+xml"/>
  <Override PartName="/xl/tables/table48.xml" ContentType="application/vnd.openxmlformats-officedocument.spreadsheetml.table+xml"/>
  <Override PartName="/xl/tables/table49.xml" ContentType="application/vnd.openxmlformats-officedocument.spreadsheetml.table+xml"/>
  <Override PartName="/xl/tables/table50.xml" ContentType="application/vnd.openxmlformats-officedocument.spreadsheetml.table+xml"/>
  <Override PartName="/xl/tables/table51.xml" ContentType="application/vnd.openxmlformats-officedocument.spreadsheetml.table+xml"/>
  <Override PartName="/xl/tables/table52.xml" ContentType="application/vnd.openxmlformats-officedocument.spreadsheetml.table+xml"/>
  <Override PartName="/xl/tables/table53.xml" ContentType="application/vnd.openxmlformats-officedocument.spreadsheetml.table+xml"/>
  <Override PartName="/xl/tables/table54.xml" ContentType="application/vnd.openxmlformats-officedocument.spreadsheetml.table+xml"/>
  <Override PartName="/xl/tables/table55.xml" ContentType="application/vnd.openxmlformats-officedocument.spreadsheetml.table+xml"/>
  <Override PartName="/xl/tables/table56.xml" ContentType="application/vnd.openxmlformats-officedocument.spreadsheetml.table+xml"/>
  <Override PartName="/xl/tables/table57.xml" ContentType="application/vnd.openxmlformats-officedocument.spreadsheetml.table+xml"/>
  <Override PartName="/xl/tables/table58.xml" ContentType="application/vnd.openxmlformats-officedocument.spreadsheetml.table+xml"/>
  <Override PartName="/xl/tables/table59.xml" ContentType="application/vnd.openxmlformats-officedocument.spreadsheetml.table+xml"/>
  <Override PartName="/xl/tables/table60.xml" ContentType="application/vnd.openxmlformats-officedocument.spreadsheetml.table+xml"/>
  <Override PartName="/xl/tables/table61.xml" ContentType="application/vnd.openxmlformats-officedocument.spreadsheetml.table+xml"/>
  <Override PartName="/xl/tables/table62.xml" ContentType="application/vnd.openxmlformats-officedocument.spreadsheetml.table+xml"/>
  <Override PartName="/xl/tables/table63.xml" ContentType="application/vnd.openxmlformats-officedocument.spreadsheetml.table+xml"/>
  <Override PartName="/xl/tables/table64.xml" ContentType="application/vnd.openxmlformats-officedocument.spreadsheetml.table+xml"/>
  <Override PartName="/xl/tables/table65.xml" ContentType="application/vnd.openxmlformats-officedocument.spreadsheetml.table+xml"/>
  <Override PartName="/xl/tables/table66.xml" ContentType="application/vnd.openxmlformats-officedocument.spreadsheetml.table+xml"/>
  <Override PartName="/xl/tables/table67.xml" ContentType="application/vnd.openxmlformats-officedocument.spreadsheetml.table+xml"/>
  <Override PartName="/xl/tables/table68.xml" ContentType="application/vnd.openxmlformats-officedocument.spreadsheetml.table+xml"/>
  <Override PartName="/xl/tables/table69.xml" ContentType="application/vnd.openxmlformats-officedocument.spreadsheetml.table+xml"/>
  <Override PartName="/xl/tables/table70.xml" ContentType="application/vnd.openxmlformats-officedocument.spreadsheetml.table+xml"/>
  <Override PartName="/xl/tables/table71.xml" ContentType="application/vnd.openxmlformats-officedocument.spreadsheetml.table+xml"/>
  <Override PartName="/xl/tables/table72.xml" ContentType="application/vnd.openxmlformats-officedocument.spreadsheetml.table+xml"/>
  <Override PartName="/xl/tables/table73.xml" ContentType="application/vnd.openxmlformats-officedocument.spreadsheetml.table+xml"/>
  <Override PartName="/xl/tables/table74.xml" ContentType="application/vnd.openxmlformats-officedocument.spreadsheetml.table+xml"/>
  <Override PartName="/xl/tables/table75.xml" ContentType="application/vnd.openxmlformats-officedocument.spreadsheetml.table+xml"/>
  <Override PartName="/xl/tables/table76.xml" ContentType="application/vnd.openxmlformats-officedocument.spreadsheetml.table+xml"/>
  <Override PartName="/xl/tables/table77.xml" ContentType="application/vnd.openxmlformats-officedocument.spreadsheetml.table+xml"/>
  <Override PartName="/xl/tables/table78.xml" ContentType="application/vnd.openxmlformats-officedocument.spreadsheetml.table+xml"/>
  <Override PartName="/xl/tables/table79.xml" ContentType="application/vnd.openxmlformats-officedocument.spreadsheetml.table+xml"/>
  <Override PartName="/xl/tables/table80.xml" ContentType="application/vnd.openxmlformats-officedocument.spreadsheetml.table+xml"/>
  <Override PartName="/xl/tables/table8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15" yWindow="780" windowWidth="11010" windowHeight="7365" tabRatio="907" activeTab="1"/>
  </bookViews>
  <sheets>
    <sheet name="animaux" sheetId="48" r:id="rId1"/>
    <sheet name="coût alimentation" sheetId="51" r:id="rId2"/>
    <sheet name="BDD" sheetId="27" r:id="rId3"/>
  </sheets>
  <externalReferences>
    <externalReference r:id="rId4"/>
  </externalReferences>
  <definedNames>
    <definedName name="_xlnm._FilterDatabase" localSheetId="0" hidden="1">animaux!$Z$2:$Z$4</definedName>
    <definedName name="AlimentsBisons">BDD!$BM$114:$BP$152</definedName>
    <definedName name="AlimentsBovins">BDD!$BB$341:$BE$380</definedName>
    <definedName name="AlimentsCanards">BDD!$EN$149:$EQ$187</definedName>
    <definedName name="AlimentsCaprins">BDD!$BX$196:$CA$234</definedName>
    <definedName name="AlimentsChevauxSelle">BDD!$EU$203:$EX$241</definedName>
    <definedName name="AlimentsChevauxTrait">BDD!$FD$198:$FG$236</definedName>
    <definedName name="AlimentsDaims">BDD!$DV$78:$DY$116</definedName>
    <definedName name="AlimentsGavageOiesEtCanards">BDD!$FW$136:$FZ$174</definedName>
    <definedName name="AlimentsLapins">BDD!$CS$155:$CV$193</definedName>
    <definedName name="AlimentsOies">BDD!$EG$150:$EJ$188</definedName>
    <definedName name="AlimentsOvins">BDD!$DN$293:$DQ$331</definedName>
    <definedName name="AlimentsPintades">BDD!$DG$144:$DJ$182</definedName>
    <definedName name="AlimentsPoneys">BDD!$FN$197:$FQ$235</definedName>
    <definedName name="AlimentsPorcins">BDD!$CJ$139:$CM$177</definedName>
    <definedName name="AlimentsRationBovinsFemelles">BDD!$BB$236:$BJ$274</definedName>
    <definedName name="AlimentsRationBovinsMâles">BDD!$BB$194:$BJ$232</definedName>
    <definedName name="AlimentsRationCanardsFemelles">Ration_canards_Femelles[]</definedName>
    <definedName name="AlimentsRationCanardsMâles">Ration_canards_Mâles[]</definedName>
    <definedName name="AlimentsRationCaprinsFemelles">BDD!$BX$144:$CC$178</definedName>
    <definedName name="AlimentsRationCaprinsMâles">BDD!$BX$106:$CC$140</definedName>
    <definedName name="AlimentsRationEcurieChevauxFemellesSelle">BDD!$EU$102:$EZ$140</definedName>
    <definedName name="AlimentsRationEcurieChevauxFemellesTrait">BDD!$FD$96:$FI$134</definedName>
    <definedName name="AlimentsRationEcurieChevauxMâlesSelle">BDD!$EU$60:$EZ$98</definedName>
    <definedName name="AlimentsRationEcurieChevauxMâlesTrait">BDD!$FD$54:$FI$92</definedName>
    <definedName name="AlimentsRationEcuriePoneysFemelles">BDD!$FN$95:$FS$133</definedName>
    <definedName name="AlimentsRationEcuriePoneysMâles">BDD!$FN$53:$FS$91</definedName>
    <definedName name="AlimentsRationHivernaleBisonsFemelles">BDD!$BM$73:$BU$106</definedName>
    <definedName name="AlimentsRationHivernaleBisonsMâles">BDD!$BM$36:$BU$69</definedName>
    <definedName name="AlimentsRationHivernaleBovins">BDD!$BB$284:$BJ$323</definedName>
    <definedName name="AlimentsRationHivernaleDaims">BDD!$DV$32:$ED$70</definedName>
    <definedName name="AlimentsRationHivernaleOvins">BDD!$DN$238:$DS$276</definedName>
    <definedName name="AlimentsRationOvinsFemelles">BDD!$DN$192:$DS$230</definedName>
    <definedName name="AlimentsRationOvinsMâles">BDD!$DN$150:$DS$188</definedName>
    <definedName name="AlimentsVolailles">BDD!$CZ$154:$DC$192</definedName>
    <definedName name="Avoine">'coût alimentation'!$B$9</definedName>
    <definedName name="AvoineNécessaireBQ">'coût alimentation'!$C$9</definedName>
    <definedName name="AvoineNécessaireMaQ">'coût alimentation'!$E$9</definedName>
    <definedName name="AvoineNécessaireMoQ">'coût alimentation'!$D$9</definedName>
    <definedName name="Belgique">BDD!$M$7</definedName>
    <definedName name="Bergerie">#REF!</definedName>
    <definedName name="Betterave">'coût alimentation'!$B$10</definedName>
    <definedName name="BetteraveNécessaireBQ">'coût alimentation'!$C$10</definedName>
    <definedName name="BetteraveNécessaireMaQ">'coût alimentation'!$E$10</definedName>
    <definedName name="BetteraveNécessaireMoQ">'coût alimentation'!$D$10</definedName>
    <definedName name="BilanBergerie">#REF!</definedName>
    <definedName name="BilanChèvreries">#REF!</definedName>
    <definedName name="BilanClapiers">#REF!</definedName>
    <definedName name="BilanEcuriesPoneys">#REF!</definedName>
    <definedName name="BilanEcuriesSelle">#REF!</definedName>
    <definedName name="BilanEcuriesTrait">#REF!</definedName>
    <definedName name="BilanParcsCanards">#REF!</definedName>
    <definedName name="BilanParcsLapins">#REF!</definedName>
    <definedName name="BilanParcsOies">#REF!</definedName>
    <definedName name="BilanParcsPintades">#REF!</definedName>
    <definedName name="BilanParcsPorcins">#REF!</definedName>
    <definedName name="BilanParcsVolailles">#REF!</definedName>
    <definedName name="BilanPorcheries">#REF!</definedName>
    <definedName name="BilanPoulaillersCanards">#REF!</definedName>
    <definedName name="BilanPoulaillersOies">#REF!</definedName>
    <definedName name="BilanPoulaillersPintades">#REF!</definedName>
    <definedName name="BilanPoulaillersVolailles">#REF!</definedName>
    <definedName name="BilanStabu">#REF!</definedName>
    <definedName name="Bisons">#REF!</definedName>
    <definedName name="Blé">'coût alimentation'!$B$11</definedName>
    <definedName name="BléNécessaireBQ">'coût alimentation'!$C$11</definedName>
    <definedName name="BléNécessaireMaQ">'coût alimentation'!$E$11</definedName>
    <definedName name="BléNécessaireMoQ">'coût alimentation'!$D$11</definedName>
    <definedName name="BONNE">BDD!$J$2</definedName>
    <definedName name="BouchonsLuzerne">'coût alimentation'!$B$12</definedName>
    <definedName name="BouchonsLuzerneNécessaireBQ">'coût alimentation'!$C$12</definedName>
    <definedName name="BouchonsLuzerneNécessaireMaQ">'coût alimentation'!$E$12</definedName>
    <definedName name="BouchonsLuzerneNécessaireMoQ">'coût alimentation'!$D$12</definedName>
    <definedName name="Bovins">#REF!</definedName>
    <definedName name="BovinsAuPré">AnimauxAuPré[bovins]</definedName>
    <definedName name="CANADA">BDD!$M$9</definedName>
    <definedName name="caneton_femelle_0_3_mois">animaux!$C$155</definedName>
    <definedName name="caneton_mâle_0_3_mois">animaux!$C$154</definedName>
    <definedName name="Canola">'coût alimentation'!$B$13</definedName>
    <definedName name="CanolaNécessaireBQ">'coût alimentation'!$C$13</definedName>
    <definedName name="CanolaNécessaireMaQ">'coût alimentation'!$E$13</definedName>
    <definedName name="CanolaNécessaireMoQ">'coût alimentation'!$D$13</definedName>
    <definedName name="Caprins">#REF!</definedName>
    <definedName name="ChanvreIndustriel">BDD!$HK$7</definedName>
    <definedName name="ChevauxSelle">#REF!</definedName>
    <definedName name="ChevauxTrait">#REF!</definedName>
    <definedName name="chevreau_0_3_mois">animaux!$C$45</definedName>
    <definedName name="chevreau_3_6_mois">animaux!$C$47</definedName>
    <definedName name="Chèvrerie">#REF!</definedName>
    <definedName name="chevrette_0_3_mois">animaux!$C$46</definedName>
    <definedName name="chevrette_3_6_mois">animaux!$C$48</definedName>
    <definedName name="ChoixBovinsPréEté">animaux!$M$8</definedName>
    <definedName name="ChoixBovinsPréHiver">animaux!$M$11</definedName>
    <definedName name="ChoixCaprinsPréEté">animaux!$M$45</definedName>
    <definedName name="ChoixChevauxSellePréEté">animaux!$M$235</definedName>
    <definedName name="ChoixChevauxSellePréHiver">animaux!$J$235</definedName>
    <definedName name="ChoixChevauxTraitPréEté">animaux!$M$249</definedName>
    <definedName name="ChoixChevauxTraitPréHiver">animaux!$J$249</definedName>
    <definedName name="ChoixElevageBovins">animaux!$J$8</definedName>
    <definedName name="ChoixElevageLapins">animaux!$J$121</definedName>
    <definedName name="ChoixElevagePintades">animaux!$J$102</definedName>
    <definedName name="ChoixElevagePorcins">animaux!$J$64</definedName>
    <definedName name="ChoixElevageVolailles">animaux!$J$83</definedName>
    <definedName name="ChoixExpèceAuPré">#REF!</definedName>
    <definedName name="ChoixOvinsPréEté">animaux!$M$199</definedName>
    <definedName name="ChoixOvinsPréHiver">animaux!$M$202</definedName>
    <definedName name="ChoixPaillageBovins">animaux!$K$23</definedName>
    <definedName name="ChoixPaillageCanards">animaux!$K$165</definedName>
    <definedName name="ChoixPaillageCaprins">animaux!$K$56</definedName>
    <definedName name="ChoixPaillageChevauxSelle">animaux!$K$243</definedName>
    <definedName name="ChoixPaillageChevauxTrait">animaux!$K$257</definedName>
    <definedName name="ChoixPaillageLapins">animaux!$K$133</definedName>
    <definedName name="ChoixPaillageOies">animaux!$K$149</definedName>
    <definedName name="ChoixPaillageOiesFoieGras">animaux!$K$181</definedName>
    <definedName name="ChoixPaillageOvins">animaux!$K$210</definedName>
    <definedName name="ChoixPaillagePintades">animaux!$K$113</definedName>
    <definedName name="ChoixPaillagePoneys">animaux!$K$271</definedName>
    <definedName name="ChoixPaillagePorcins">animaux!$K$75</definedName>
    <definedName name="ChoixPaillageVolailles">animaux!$K$94</definedName>
    <definedName name="ChoixPaysPartie">animaux!$D$4</definedName>
    <definedName name="ChoixPoneysPréEté">animaux!$M$263</definedName>
    <definedName name="ChoixPoneysPréHiver">animaux!$J$263</definedName>
    <definedName name="ChoixRationBisons">animaux!$J$28</definedName>
    <definedName name="ChoixRationBovins">animaux!$J$11</definedName>
    <definedName name="ChoixRationCanards">animaux!$J$154</definedName>
    <definedName name="ChoixRationCaprins">animaux!$J$45</definedName>
    <definedName name="ChoixRationComplèteBisons">animaux!$J$31</definedName>
    <definedName name="ChoixRationComplèteBovins">animaux!$J$14</definedName>
    <definedName name="ChoixRationComplèteCanards">animaux!$J$157</definedName>
    <definedName name="ChoixRationComplèteCaprins">animaux!$J$48</definedName>
    <definedName name="ChoixRationComplèteDaims">animaux!$J$218</definedName>
    <definedName name="ChoixRationComplèteEtéChevauxSelle">animaux!$J$238</definedName>
    <definedName name="ChoixRationComplèteEtéChevauxTrait">animaux!$J$252</definedName>
    <definedName name="ChoixRationComplèteEtéPoneys">animaux!$J$266</definedName>
    <definedName name="ChoixRationComplèteFoieGrasCanards">animaux!$J$189</definedName>
    <definedName name="ChoixRationComplèteFoieGrasOies">animaux!$J$173</definedName>
    <definedName name="ChoixRationComplèteLapins">animaux!$J$124</definedName>
    <definedName name="ChoixRationComplèteOies">animaux!$J$141</definedName>
    <definedName name="ChoixRationComplèteOvins">animaux!$J$202</definedName>
    <definedName name="ChoixRationComplètePintades">animaux!$J$105</definedName>
    <definedName name="ChoixRationComplètePorcins">animaux!$J$67</definedName>
    <definedName name="ChoixRationComplètePoules">animaux!$J$86</definedName>
    <definedName name="ChoixRationDaims">animaux!$J$215</definedName>
    <definedName name="ChoixRationFoieGrasCanards">animaux!$J$186</definedName>
    <definedName name="ChoixRationFoieGrasOies">animaux!$J$170</definedName>
    <definedName name="ChoixRationHivernaleComplèteBovins">animaux!$M$14</definedName>
    <definedName name="ChoixRationHivernaleComplèteChevauxSelle">animaux!$M$238</definedName>
    <definedName name="ChoixRationHivernaleComplèteChevauxTrait">animaux!$M$252</definedName>
    <definedName name="ChoixRationHivernaleComplètePoneys">animaux!$M$266</definedName>
    <definedName name="ChoixRationHivernaleOvinsComplète">animaux!$M$205</definedName>
    <definedName name="ChoixRationLapins">animaux!$J$118</definedName>
    <definedName name="ChoixRationOies">animaux!$J$138</definedName>
    <definedName name="ChoixRationOvins">animaux!$J$199</definedName>
    <definedName name="ChoixRationPintades">animaux!$J$99</definedName>
    <definedName name="ChoixRationPorcins">animaux!$J$61</definedName>
    <definedName name="ChoixRationVolailles">animaux!$J$80</definedName>
    <definedName name="ChoixSéparationEcuries">#REF!</definedName>
    <definedName name="ChoixSéparationParcsVolailles">#REF!</definedName>
    <definedName name="ChoixSéparationPoulaillers">#REF!</definedName>
    <definedName name="ChoixSpécificité1Bisons">animaux!$J$37</definedName>
    <definedName name="ChoixSpécificité1FoieGrasCanards">animaux!$J$195</definedName>
    <definedName name="ChoixSpécificité1FoieGrasOies">animaux!$J$179</definedName>
    <definedName name="ChoixSpécificité2Bisons">animaux!$J$38</definedName>
    <definedName name="ChoixSpécificité2FoieGrasOies">animaux!$J$180</definedName>
    <definedName name="ChoixVaccinBisons">animaux!$K$39</definedName>
    <definedName name="ChoixVaccinBovins">animaux!$K$24</definedName>
    <definedName name="ChoixVaccinCanards">animaux!$K$166</definedName>
    <definedName name="ChoixVaccinCaprins">animaux!$K$57</definedName>
    <definedName name="ChoixVaccinChevauxSelle">animaux!$K$244</definedName>
    <definedName name="ChoixVaccinChevauxTrait">animaux!$K$258</definedName>
    <definedName name="ChoixVaccinDaims">animaux!$K$227</definedName>
    <definedName name="ChoixVaccinLapins">animaux!$K$134</definedName>
    <definedName name="ChoixVaccinOies">animaux!$K$150</definedName>
    <definedName name="ChoixVaccinOiesFoieGras">animaux!$K$182</definedName>
    <definedName name="ChoixVaccinOvins">animaux!$K$211</definedName>
    <definedName name="ChoixVaccinPintades">animaux!$K$114</definedName>
    <definedName name="ChoixVaccinPoneys">animaux!$K$272</definedName>
    <definedName name="ChoixVaccinPorcins">animaux!$K$76</definedName>
    <definedName name="ChoixVaccinVolailles">animaux!$K$95</definedName>
    <definedName name="Clapiers">#REF!</definedName>
    <definedName name="CliquesIci">animaux!$C$1</definedName>
    <definedName name="Colza">'coût alimentation'!$B$14</definedName>
    <definedName name="ColzaNécessaireBQ">'coût alimentation'!$C$14</definedName>
    <definedName name="ColzaNécessaireMaQ">'coût alimentation'!$E$14</definedName>
    <definedName name="ColzaNécessaireMoQ">'coût alimentation'!$D$14</definedName>
    <definedName name="CommandeAvoineBQ">'coût alimentation'!$F$9</definedName>
    <definedName name="CommandeAvoineMaQ">'coût alimentation'!$H$9</definedName>
    <definedName name="CommandeAvoineMoQ">'coût alimentation'!$G$9</definedName>
    <definedName name="CommandeBetteraveBQ">'coût alimentation'!$F$10</definedName>
    <definedName name="CommandeBetteraveMaQ">'coût alimentation'!$H$10</definedName>
    <definedName name="CommandeBetteraveMoQ">'coût alimentation'!$G$10</definedName>
    <definedName name="CommandeBléBQ">'coût alimentation'!$F$11</definedName>
    <definedName name="CommandeBléMaQ">'coût alimentation'!$H$11</definedName>
    <definedName name="CommandeBléMoQ">'coût alimentation'!$G$11</definedName>
    <definedName name="CommandeBouchonLuzerneBQ">'coût alimentation'!$F$12</definedName>
    <definedName name="CommandeBouchonLuzerneMaQ">'coût alimentation'!$H$12</definedName>
    <definedName name="CommandeBouchonLuzerneMoQ">'coût alimentation'!$G$12</definedName>
    <definedName name="CommandeCanolaBQ">'coût alimentation'!$F$13</definedName>
    <definedName name="CommandeCanolaMaQ">'coût alimentation'!$H$13</definedName>
    <definedName name="CommandeCanolaMoQ">'coût alimentation'!$G$13</definedName>
    <definedName name="CommandeColzaBQ">'coût alimentation'!$F$14</definedName>
    <definedName name="CommandeColzaMaQ">'coût alimentation'!$H$14</definedName>
    <definedName name="CommandeColzaMoQ">'coût alimentation'!$G$14</definedName>
    <definedName name="CommandeConcentréBovinsBQ">'coût alimentation'!$F$15</definedName>
    <definedName name="CommandeConcentréBovinsMaQ">'coût alimentation'!$H$15</definedName>
    <definedName name="CommandeConcentréBovinsMoQ">'coût alimentation'!$G$15</definedName>
    <definedName name="CommandeConcentréLapinsBQ">'coût alimentation'!$F$16</definedName>
    <definedName name="CommandeConcentréLapinsMaQ">'coût alimentation'!$H$16</definedName>
    <definedName name="CommandeConcentréLapinsMoQ">'coût alimentation'!$G$16</definedName>
    <definedName name="CommandeConcentréPorcinsBQ">'coût alimentation'!$F$17</definedName>
    <definedName name="CommandeConcentréPorcinsMaQ">'coût alimentation'!$H$17</definedName>
    <definedName name="CommandeConcentréPorcinsMoQ">'coût alimentation'!$G$17</definedName>
    <definedName name="CommandeEau">'coût alimentation'!$F$19</definedName>
    <definedName name="CommandeEnsilageHerbeBQ">'coût alimentation'!$F$18</definedName>
    <definedName name="CommandeEnsilageHerbeMaQ">'coût alimentation'!$H$18</definedName>
    <definedName name="CommandeEnsilageHerbeMoQ">'coût alimentation'!$G$18</definedName>
    <definedName name="CommandeFeveroleBQ">'coût alimentation'!$F$20</definedName>
    <definedName name="CommandeFeveroleMaQ">'coût alimentation'!$H$20</definedName>
    <definedName name="CommandeFeveroleMoQ">'coût alimentation'!$G$20</definedName>
    <definedName name="CommandeFoinBQ">'coût alimentation'!$F$21</definedName>
    <definedName name="CommandeFoinMaQ">'coût alimentation'!$H$21</definedName>
    <definedName name="CommandeFoinMoQ">'coût alimentation'!$G$21</definedName>
    <definedName name="CommandeMaïsEnsiléBQ">'coût alimentation'!$F$22</definedName>
    <definedName name="CommandeMaïsEnsiléMaQ">'coût alimentation'!$H$22</definedName>
    <definedName name="CommandeMaïsEnsiléMoQ">'coût alimentation'!$G$22</definedName>
    <definedName name="CommandeMaïsGrainBQ">'coût alimentation'!$F$23</definedName>
    <definedName name="CommandeMaïsGrainMaQ">'coût alimentation'!$H$23</definedName>
    <definedName name="CommandeMaïsGrainMoQ">'coût alimentation'!$G$23</definedName>
    <definedName name="CommandeMinérauxBQ">'coût alimentation'!$F$24</definedName>
    <definedName name="CommandeMinérauxMaQ">'coût alimentation'!$H$24</definedName>
    <definedName name="CommandeMinérauxMoQ">'coût alimentation'!$G$24</definedName>
    <definedName name="CommandeOrgeBQ">'coût alimentation'!$F$25</definedName>
    <definedName name="CommandeOrgeMaQ">'coût alimentation'!$H$25</definedName>
    <definedName name="CommandeOrgeMoQ">'coût alimentation'!$G$25</definedName>
    <definedName name="CommandePailleBQ">'coût alimentation'!$F$26</definedName>
    <definedName name="CommandePailleMaQ">'coût alimentation'!$H$26</definedName>
    <definedName name="CommandePailleMoQ">'coût alimentation'!$G$26</definedName>
    <definedName name="CommandePoisBQ">'coût alimentation'!$F$27</definedName>
    <definedName name="CommandePoisMaQ">'coût alimentation'!$H$27</definedName>
    <definedName name="CommandePoisMoQ">'coût alimentation'!$G$27</definedName>
    <definedName name="CommandeRationBisonsBQ">'coût alimentation'!$F$37</definedName>
    <definedName name="CommandeRationBisonsMaQ">'coût alimentation'!$H$37</definedName>
    <definedName name="CommandeRationBisonsMoQ">'coût alimentation'!$G$37</definedName>
    <definedName name="CommandeRationBovinBQ">'coût alimentation'!$F$35</definedName>
    <definedName name="CommandeRationBovinMaQ">'coût alimentation'!$H$35</definedName>
    <definedName name="CommandeRationBovinMoQ">'coût alimentation'!$G$35</definedName>
    <definedName name="CommandeRationCanardBQ">'coût alimentation'!$F$44</definedName>
    <definedName name="CommandeRationCanardMaQ">'coût alimentation'!$H$44</definedName>
    <definedName name="CommandeRationCanardMoQ">'coût alimentation'!$G$44</definedName>
    <definedName name="CommandeRationCaprinsBQ">'coût alimentation'!$F$38</definedName>
    <definedName name="CommandeRationCaprinsMaQ">'coût alimentation'!$H$38</definedName>
    <definedName name="CommandeRationCaprinsMoQ">'coût alimentation'!$G$38</definedName>
    <definedName name="CommandeRationChevauxSelleBQ">'coût alimentation'!$F$48</definedName>
    <definedName name="CommandeRationChevauxSelleMaQ">'coût alimentation'!$H$48</definedName>
    <definedName name="CommandeRationChevauxSelleMoQ">'coût alimentation'!$G$48</definedName>
    <definedName name="CommandeRationChevauxTraitBQ">'coût alimentation'!$F$49</definedName>
    <definedName name="CommandeRationChevauxTraitMaQ">'coût alimentation'!$H$49</definedName>
    <definedName name="CommandeRationChevauxTraitMoQ">'coût alimentation'!$G$49</definedName>
    <definedName name="CommandeRationDaimsBQ">'coût alimentation'!$F$47</definedName>
    <definedName name="CommandeRationDaimsMaQ">'coût alimentation'!$H$47</definedName>
    <definedName name="CommandeRationDaimsMoQ">'coût alimentation'!$G$47</definedName>
    <definedName name="CommandeRationHiverBovinBQ">'coût alimentation'!$F$36</definedName>
    <definedName name="CommandeRationHiverBovinMaQ">'coût alimentation'!$H$36</definedName>
    <definedName name="CommandeRationHiverBovinMoQ">'coût alimentation'!$G$36</definedName>
    <definedName name="CommandeRationHiverOvinBQ">'coût alimentation'!$F$46</definedName>
    <definedName name="CommandeRationHiverOvinMaQ">'coût alimentation'!$H$46</definedName>
    <definedName name="CommandeRationHiverOvinMoQ">'coût alimentation'!$G$46</definedName>
    <definedName name="CommandeRationLapinBQ">'coût alimentation'!$F$42</definedName>
    <definedName name="CommandeRationLapinMaQ">'coût alimentation'!$H$42</definedName>
    <definedName name="CommandeRationLapinMoQ">'coût alimentation'!$G$42</definedName>
    <definedName name="CommandeRationOieBQ">'coût alimentation'!$F$43</definedName>
    <definedName name="CommandeRationOieMaQ">'coût alimentation'!$H$43</definedName>
    <definedName name="CommandeRationOieMoQ">'coût alimentation'!$G$43</definedName>
    <definedName name="CommandeRationOvinBQ">'coût alimentation'!$F$45</definedName>
    <definedName name="CommandeRationOvinMaQ">'coût alimentation'!$H$45</definedName>
    <definedName name="CommandeRationOvinMoQ">'coût alimentation'!$G$45</definedName>
    <definedName name="CommandeRationPintadesBQ">'coût alimentation'!$F$41</definedName>
    <definedName name="CommandeRationPintadesMaQ">'coût alimentation'!$H$41</definedName>
    <definedName name="CommandeRationPintadesMoQ">'coût alimentation'!$G$41</definedName>
    <definedName name="CommandeRationPoneysBQ">'coût alimentation'!$F$50</definedName>
    <definedName name="CommandeRationPoneysMaQ">'coût alimentation'!$H$50</definedName>
    <definedName name="CommandeRationPoneysMoQ">'coût alimentation'!$G$50</definedName>
    <definedName name="CommandeRationPorcinsBQ">'coût alimentation'!$F$39</definedName>
    <definedName name="CommandeRationPorcinsMaQ">'coût alimentation'!$H$39</definedName>
    <definedName name="CommandeRationPorcinsMoQ">'coût alimentation'!$G$39</definedName>
    <definedName name="CommandeRationVolaillesBQ">'coût alimentation'!$F$40</definedName>
    <definedName name="CommandeRationVolaillesMaQ">'coût alimentation'!$H$40</definedName>
    <definedName name="CommandeRationVolaillesMoQ">'coût alimentation'!$G$40</definedName>
    <definedName name="CommandeSeigleBQ">'coût alimentation'!$F$28</definedName>
    <definedName name="CommandeSeigleMaQ">'coût alimentation'!$H$28</definedName>
    <definedName name="CommandeSeigleMoQ">'coût alimentation'!$G$28</definedName>
    <definedName name="CommandeSojaBQ">'coût alimentation'!$F$29</definedName>
    <definedName name="CommandeSojaMaQ">'coût alimentation'!$H$29</definedName>
    <definedName name="CommandeSojaMoQ">'coût alimentation'!$G$29</definedName>
    <definedName name="CommandeSorghoEnsiléBQ">'coût alimentation'!$F$30</definedName>
    <definedName name="CommandeSorghoEnsiléMaQ">'coût alimentation'!$H$30</definedName>
    <definedName name="CommandeSorghoEnsiléMoQ">'coût alimentation'!$G$30</definedName>
    <definedName name="CommandeTournesolBQ">'coût alimentation'!$F$31</definedName>
    <definedName name="CommandeTournesolMaQ">'coût alimentation'!$H$31</definedName>
    <definedName name="CommandeTournesolMoQ">'coût alimentation'!$G$31</definedName>
    <definedName name="CommandeTourteauColzaBQ">'coût alimentation'!$F$32</definedName>
    <definedName name="CommandeTourteauColzaMaQ">'coût alimentation'!$H$32</definedName>
    <definedName name="CommandeTourteauColzaMoQ">'coût alimentation'!$G$32</definedName>
    <definedName name="CommandeTourteauTournesolBQ">'coût alimentation'!$F$33</definedName>
    <definedName name="CommandeTourteauTournesolMaQ">'coût alimentation'!$H$33</definedName>
    <definedName name="CommandeTourteauTournesolMoQ">'coût alimentation'!$G$33</definedName>
    <definedName name="CommandeTriticaleBQ">'coût alimentation'!$F$34</definedName>
    <definedName name="CommandeTriticaleMaQ">'coût alimentation'!$H$34</definedName>
    <definedName name="CommandeTriticaleMoQ">'coût alimentation'!$G$34</definedName>
    <definedName name="ConcentréBovins">'coût alimentation'!$B$15</definedName>
    <definedName name="ConcentréBovinsNécessaireBQ">'coût alimentation'!$C$15</definedName>
    <definedName name="ConcentréBovinsNécessaireMaQ">'coût alimentation'!$E$15</definedName>
    <definedName name="ConcentréBovinsNécessaireMoQ">'coût alimentation'!$D$15</definedName>
    <definedName name="ConcentréLapins">'coût alimentation'!$B$16</definedName>
    <definedName name="ConcentréLapinsNécessaireBQ">'coût alimentation'!$C$16</definedName>
    <definedName name="ConcentréLapinsNécessaireMaQ">'coût alimentation'!$E$16</definedName>
    <definedName name="ConcentréLapinsNécessaireMoQ">'coût alimentation'!$D$16</definedName>
    <definedName name="ConcentréPorcins">'coût alimentation'!$B$17</definedName>
    <definedName name="ConcentréPorcinsNécessaireBQ">'coût alimentation'!$C$17</definedName>
    <definedName name="ConcentréPorcinsNécessaireMaQ">'coût alimentation'!$E$17</definedName>
    <definedName name="ConcentréPorcinsNécessaireMoQ">'coût alimentation'!$D$17</definedName>
    <definedName name="CoutBatiments">#REF!</definedName>
    <definedName name="CoutEcurie">BDD!$C$10</definedName>
    <definedName name="CoutPaillageAnnuelBovins">animaux!$L$23</definedName>
    <definedName name="CoutPaillageAnnuelCanards">animaux!$L$165</definedName>
    <definedName name="CoutPaillageAnnuelCaprins">animaux!$L$56</definedName>
    <definedName name="CoutPaillageAnnuelChevauxSelle">animaux!$L$243</definedName>
    <definedName name="CoutPaillageAnnuelChevauxTrait">animaux!$L$257</definedName>
    <definedName name="CoutPaillageAnnuelLapins">animaux!$L$133</definedName>
    <definedName name="CoutPaillageAnnuelOies">animaux!$L$149</definedName>
    <definedName name="CoutPaillageAnnuelOvins">animaux!$L$210</definedName>
    <definedName name="CoutPaillageAnnuelPintades">animaux!$L$113</definedName>
    <definedName name="CoutPaillageAnnuelPoneys">animaux!$L$271</definedName>
    <definedName name="CoutPaillageAnnuelPorcins">animaux!$L$75</definedName>
    <definedName name="CoutPaillageAnnuelVolailles">animaux!$L$94</definedName>
    <definedName name="CoutParcVolailles">BDD!$C$44</definedName>
    <definedName name="CoutPoulailler">BDD!$C$17</definedName>
    <definedName name="Cultures">BDD!$L$3</definedName>
    <definedName name="Daims">#REF!</definedName>
    <definedName name="DuréeDeStockage">'coût alimentation'!$B$6</definedName>
    <definedName name="DuréePhaseElevage0_1">BDD!$FY$11</definedName>
    <definedName name="DuréePhaseElevage1_2">BDD!$FY$12</definedName>
    <definedName name="DuréePhaseElevage2_3">BDD!$FY$13</definedName>
    <definedName name="DuréePhaseGavageCanards">BDD!$FY$18</definedName>
    <definedName name="DuréePhaseGavageOie">BDD!$FY$17</definedName>
    <definedName name="Eau">'coût alimentation'!$B$19</definedName>
    <definedName name="EauNécessaire">'coût alimentation'!$C$19</definedName>
    <definedName name="EcuriesPoneys">#REF!</definedName>
    <definedName name="EcuriesSelle">#REF!</definedName>
    <definedName name="EcuriesTrait">#REF!</definedName>
    <definedName name="Elevage">BDD!$L$2</definedName>
    <definedName name="ElevageLapinsConventionnel">BDD!$CW$13</definedName>
    <definedName name="ElevagePintadesIntensif">BDD!$DG$4</definedName>
    <definedName name="ElevagePorcinsCaillebottis">BDD!$CJ$5</definedName>
    <definedName name="ElevagePorcinsLitière">BDD!$CJ$4</definedName>
    <definedName name="ElevagePorcinsPleinAir">BDD!$CJ$6</definedName>
    <definedName name="ElevageVolaillesIntensif">BDD!$CZ$4</definedName>
    <definedName name="EnsilageHerbe">'coût alimentation'!$B$18</definedName>
    <definedName name="EnsilageHerbeNécessaireBQ">'coût alimentation'!$C$18</definedName>
    <definedName name="EnsilageHerbeNécessaireMaQ">'coût alimentation'!$E$18</definedName>
    <definedName name="EnsilageHerbeNécessaireMoQ">'coût alimentation'!$D$18</definedName>
    <definedName name="faon_mâle_0_3_mois">animaux!$C$215</definedName>
    <definedName name="faon_mâle_3_6_mois">animaux!$C$217</definedName>
    <definedName name="faon_mâle_6_12_mois">animaux!$C$219</definedName>
    <definedName name="FaonFemelle_0_3_mois">animaux!$C$216</definedName>
    <definedName name="FaonFemelle_3_6_mois">animaux!$C$218</definedName>
    <definedName name="FaonFemelle_6_12_mois">animaux!$C$220</definedName>
    <definedName name="Féverole">'coût alimentation'!$B$20</definedName>
    <definedName name="FéveroleNécessaireBQ">'coût alimentation'!$C$20</definedName>
    <definedName name="FéveroleNécessaireMaQ">'coût alimentation'!$E$20</definedName>
    <definedName name="FéveroleNécessaireMoQ">'coût alimentation'!$D$20</definedName>
    <definedName name="FoieGrasCanetons_0_1mois">animaux!$C$187</definedName>
    <definedName name="FoieGrasCanetons_1_2mois">animaux!$C$188</definedName>
    <definedName name="FoieGrasCanetons_2_3mois">animaux!$C$189</definedName>
    <definedName name="FoieGrasJeunesOies_3moisEtPlus">animaux!$G$171</definedName>
    <definedName name="FoieGrasOison_0_1mois">animaux!$C$171</definedName>
    <definedName name="FoieGrasOison_1_2mois">animaux!$C$172</definedName>
    <definedName name="FoieGrasOison_2_3mois">animaux!$C$173</definedName>
    <definedName name="FoieGrasTotalOisons">animaux!$C$171:$C$173</definedName>
    <definedName name="Foin">'coût alimentation'!$B$21</definedName>
    <definedName name="FoinNécessaireBQ">'coût alimentation'!$C$21</definedName>
    <definedName name="FoinNécessaireMaQ">'coût alimentation'!$E$21</definedName>
    <definedName name="FoinNécessaireMoQ">'coût alimentation'!$D$21</definedName>
    <definedName name="France">BDD!$M$6</definedName>
    <definedName name="HerbeMangéeParAgneauParJour">BDD!$DO$40</definedName>
    <definedName name="HerbeMangéeParBélierParJour">BDD!$DO$36</definedName>
    <definedName name="HerbeMangéeParBoucParJour">BDD!$BZ$17</definedName>
    <definedName name="HerbeMangéeParBrebisParJour">BDD!$DO$37</definedName>
    <definedName name="HerbeMangéeParChevauxSelleAdultesParJour">BDD!$EV$34</definedName>
    <definedName name="HerbeMangéeParChevauxTraitAdultesParJour">BDD!$FE$28</definedName>
    <definedName name="HerbeMangéeParChevreauParJour">BDD!$BZ$21</definedName>
    <definedName name="HerbeMangéeParChèvreParJour">BDD!$BZ$18</definedName>
    <definedName name="HerbeMangéeParDaimParJour">BDD!$ED$4</definedName>
    <definedName name="HerbeMangéeParFaonParJour">BDD!$ED$8</definedName>
    <definedName name="HerbeMangéeParGenisseParJour">BDD!$BG$40</definedName>
    <definedName name="HerbeMangéeParJeuneBélierEtJeuneBrebisParJour">BDD!$DO$38</definedName>
    <definedName name="HerbeMangéeParJeuneBoucEtJeuneChèvreParJour">BDD!$BZ$20</definedName>
    <definedName name="HerbeMangéeParJeuneChevauxTraitParJour">BDD!$FE$26</definedName>
    <definedName name="HerbeMangéeParJeuneDaimParJour">BDD!$ED$6</definedName>
    <definedName name="HerbeMangéeParJeunePoneyParJour">BDD!$FO$25</definedName>
    <definedName name="HerbeMangéeParJeunesChevauxSelleParJour">BDD!$EV$33</definedName>
    <definedName name="HerbeMangéeParPoneyAdulteParJour">BDD!$FO$27</definedName>
    <definedName name="HerbeMangéeParPoulainPoneyParJour">BDD!$FO$24</definedName>
    <definedName name="HerbeMangéeParPoulainSelleParJour">BDD!$EV$31</definedName>
    <definedName name="HerbeMangéeParPoulainTraitParJour">BDD!$FE$25</definedName>
    <definedName name="HerbeMangéeParTaureauParJour">BDD!$BG$37</definedName>
    <definedName name="HerbeMangéeParTaurillonParJour">BDD!$BG$39</definedName>
    <definedName name="HerbeMangéeParVacheParJour">BDD!$BG$38</definedName>
    <definedName name="HerbeMangéeParVeauParJour">BDD!$BG$41</definedName>
    <definedName name="jars">animaux!$C$142</definedName>
    <definedName name="jeune_bouc_6_12_mois">animaux!$C$49</definedName>
    <definedName name="jeune_canard_3_6_mois">animaux!$C$156</definedName>
    <definedName name="jeune_cane_3_6_mois">animaux!$C$157</definedName>
    <definedName name="jeune_chèvre_6_12_mois">animaux!$C$50</definedName>
    <definedName name="jeune_jars_3_6_mois">animaux!$C$140</definedName>
    <definedName name="jeune_oie_3_6_mois">animaux!$C$141</definedName>
    <definedName name="jeune_truie_3_6_mois">animaux!$C$66</definedName>
    <definedName name="jeune_truie_6_12_mois">animaux!$C$68</definedName>
    <definedName name="jeune_verrat_3_6_mois">animaux!$C$65</definedName>
    <definedName name="jeune_verrat_6_12_mois">animaux!$C$67</definedName>
    <definedName name="JeuneCoq_1_6_mois">animaux!$C$82</definedName>
    <definedName name="JeuneDaim_12_18_mois">animaux!$C$221</definedName>
    <definedName name="JeuneDaim_18_24_mois">animaux!$C$223</definedName>
    <definedName name="JeuneDaim_24_36_mois">animaux!$C$225</definedName>
    <definedName name="JeuneDaine_12_18_mois">animaux!$C$222</definedName>
    <definedName name="JeuneDaine_18_24_mois">animaux!$C$224</definedName>
    <definedName name="JeuneDaine_24_36_mois">animaux!$C$226</definedName>
    <definedName name="JeunePintadeFemelle_1_9_mois">animaux!$C$102</definedName>
    <definedName name="JeunePintadeMâle_1_9_mois">animaux!$C$101</definedName>
    <definedName name="JeunePoule_1_6_mois">animaux!$C$83</definedName>
    <definedName name="ListeBovins" localSheetId="0">animaux!$AC:$AC</definedName>
    <definedName name="ListeCatégorie">BDD!$GE$1:$GF$1</definedName>
    <definedName name="ListeChevauxSelle">'[1]chevaux de selle'!$AC:$AC</definedName>
    <definedName name="ListeChevauxTrait">'[1]chevaux de trait'!$AC:$AC</definedName>
    <definedName name="ListeCultures">#REF!</definedName>
    <definedName name="ListeCulturesBDD">BDD!$HK$3:$HK$30</definedName>
    <definedName name="ListeDivers">BDD!$GF:$GF</definedName>
    <definedName name="ListeMatériels">BDD!$GE:$GE</definedName>
    <definedName name="ListeModèles">BDD!$GG:$GG</definedName>
    <definedName name="ListePays">BDD!$HE$1:$HI$1</definedName>
    <definedName name="ListePoneys">[1]poneys!$AC:$AC</definedName>
    <definedName name="ListeRegions">BDD!$HE:$HE</definedName>
    <definedName name="ListeVergersBDD">BDD!$HK$32:$HK$42</definedName>
    <definedName name="Luzerne">BDD!$HK$15</definedName>
    <definedName name="MaïsEnsilé">'coût alimentation'!$B$22</definedName>
    <definedName name="MaïsEnsiléNécessaireBQ">'coût alimentation'!$C$22</definedName>
    <definedName name="MaïsEnsiléNécessaireMaQ">'coût alimentation'!$E$22</definedName>
    <definedName name="MaïsEnsiléNécessaireMoQ">'coût alimentation'!$D$22</definedName>
    <definedName name="MaïsGrain">'coût alimentation'!$B$23</definedName>
    <definedName name="MaïsGrainNécessaireBQ">'coût alimentation'!$C$23</definedName>
    <definedName name="MaïsGrainNécessaireMaQ">'coût alimentation'!$E$23</definedName>
    <definedName name="MaïsGrainNécessaireMoQ">'coût alimentation'!$D$23</definedName>
    <definedName name="MAUVAISE">BDD!$J$4</definedName>
    <definedName name="Minéraux">'coût alimentation'!$B$24</definedName>
    <definedName name="MinérauxNécessaireBQ">'coût alimentation'!$C$24</definedName>
    <definedName name="MinérauxNécessaireMaQ">'coût alimentation'!$E$24</definedName>
    <definedName name="MinérauxNécessaireMoQ">'coût alimentation'!$D$24</definedName>
    <definedName name="Miscanthus">BDD!$HK$18</definedName>
    <definedName name="Moutarde">BDD!$HK$19</definedName>
    <definedName name="MOYENNE">BDD!$J$3</definedName>
    <definedName name="NbreBisonsFemellesAuPré_0_3Mois">BDD!$S$92</definedName>
    <definedName name="NbreBisonsFemellesAuPré_12_18Mois">BDD!$S$98</definedName>
    <definedName name="NbreBisonsFemellesAuPré_18_24Mois">BDD!$S$100</definedName>
    <definedName name="NbreBisonsFemellesAuPré_24_36Mois">BDD!$S$102</definedName>
    <definedName name="NbreBisonsFemellesAuPré_3_6Mois">BDD!$S$94</definedName>
    <definedName name="NbreBisonsFemellesAuPré_3AnsEtPlus">BDD!$S$104</definedName>
    <definedName name="NbreBisonsFemellesAuPré_6_12Mois">BDD!$S$96</definedName>
    <definedName name="NbreBisonsMâlesAuPré_0_3Mois">BDD!$S$91</definedName>
    <definedName name="NbreBisonsMâlesAuPré_12_18Mois">BDD!$S$97</definedName>
    <definedName name="NbreBisonsMâlesAuPré_18_24Mois">BDD!$S$99</definedName>
    <definedName name="NbreBisonsMâlesAuPré_24_36Mois">BDD!$S$101</definedName>
    <definedName name="NbreBisonsMâlesAuPré_3_6Mois">BDD!$S$93</definedName>
    <definedName name="NbreBisonsMâlesAuPré_3AnsEtPlus">BDD!$S$103</definedName>
    <definedName name="NbreBisonsMâlesAuPré_6_12Mois">BDD!$S$95</definedName>
    <definedName name="NbreBovinsAuPré">AnimauxAuPré[bovins]</definedName>
    <definedName name="NbreBovinsFemellesAuPré_0_3Mois">BDD!$P$92</definedName>
    <definedName name="NbreBovinsFemellesAuPré_12_18Mois">BDD!$P$98</definedName>
    <definedName name="NbreBovinsFemellesAuPré_18_24Mois">BDD!$P$100</definedName>
    <definedName name="NbreBovinsFemellesAuPré_24_36Mois">BDD!$P$102</definedName>
    <definedName name="NbreBovinsFemellesAuPré_3_6Mois">BDD!$P$94</definedName>
    <definedName name="NbreBovinsFemellesAuPré_3AnsEtPlus">BDD!$P$104</definedName>
    <definedName name="NbreBovinsFemellesAuPré_6_12Mois">BDD!$P$96</definedName>
    <definedName name="NbreBovinsMâlesAuPré_0_3Mois">BDD!$P$91</definedName>
    <definedName name="NbreBovinsMâlesAuPré_12_18Mois">BDD!$P$97</definedName>
    <definedName name="NbreBovinsMâlesAuPré_18_24Mois">BDD!$P$99</definedName>
    <definedName name="NbreBovinsMâlesAuPré_24_36Mois">BDD!$P$101</definedName>
    <definedName name="NbreBovinsMâlesAuPré_3_6Mois">BDD!$P$93</definedName>
    <definedName name="NbreBovinsMâlesAuPré_3AnsEtPlus">BDD!$P$103</definedName>
    <definedName name="NbreBovinsMâlesAuPré_6_12Mois">BDD!$P$95</definedName>
    <definedName name="NbreCaprinsFemellesAuPré_0_3Mois">BDD!$R$92</definedName>
    <definedName name="NbreCaprinsFemellesAuPré_12_18Mois">BDD!$R$98</definedName>
    <definedName name="NbreCaprinsFemellesAuPré_18_24Mois">BDD!$R$100</definedName>
    <definedName name="NbreCaprinsFemellesAuPré_24_36Mois">BDD!$R$102</definedName>
    <definedName name="NbreCaprinsFemellesAuPré_3_6Mois">BDD!$R$94</definedName>
    <definedName name="NbreCaprinsFemellesAuPré_3AnsEtPlus">BDD!$R$104</definedName>
    <definedName name="NbreCaprinsFemellesAuPré_6_12Mois">BDD!$R$96</definedName>
    <definedName name="NbreCaprinsMâlesAuPré_0_3Mois">BDD!$R$91</definedName>
    <definedName name="NbreCaprinsMâlesAuPré_12_18Mois">BDD!$R$97</definedName>
    <definedName name="NbreCaprinsMâlesAuPré_18_24Mois">BDD!$R$99</definedName>
    <definedName name="NbreCaprinsMâlesAuPré_24_36Mois">BDD!$R$101</definedName>
    <definedName name="NbreCaprinsMâlesAuPré_3_6Mois">BDD!$R$93</definedName>
    <definedName name="NbreCaprinsMâlesAuPré_3AnsEtPlus">BDD!$R$103</definedName>
    <definedName name="NbreCaprinsMâlesAuPré_6_12Mois">BDD!$R$95</definedName>
    <definedName name="NbreChevauxSelleFemellesAuPré_0_3Mois">BDD!$U$92</definedName>
    <definedName name="NbreChevauxSelleFemellesAuPré_12_18Mois">BDD!$U$98</definedName>
    <definedName name="NbreChevauxSelleFemellesAuPré_18_24Mois">BDD!$U$100</definedName>
    <definedName name="NbreChevauxSelleFemellesAuPré_24_36Mois">BDD!$U$102</definedName>
    <definedName name="NbreChevauxSelleFemellesAuPré_3_6Mois">BDD!$U$94</definedName>
    <definedName name="NbreChevauxSelleFemellesAuPré_3AnsEtPlus">BDD!$U$104</definedName>
    <definedName name="NbreChevauxSelleFemellesAuPré_6_12Mois">BDD!$U$96</definedName>
    <definedName name="NbreChevauxSelleMâlesAuPré_0_3Mois">BDD!$U$91</definedName>
    <definedName name="NbreChevauxSelleMâlesAuPré_12_18Mois">BDD!$U$97</definedName>
    <definedName name="NbreChevauxSelleMâlesAuPré_18_24Mois">BDD!$U$99</definedName>
    <definedName name="NbreChevauxSelleMâlesAuPré_24_36Mois">BDD!$U$101</definedName>
    <definedName name="NbreChevauxSelleMâlesAuPré_3_6Mois">BDD!$U$93</definedName>
    <definedName name="NbreChevauxSelleMâlesAuPré_3AnsEtPlus">BDD!$U$103</definedName>
    <definedName name="NbreChevauxSelleMâlesAuPré_6_12Mois">BDD!$U$95</definedName>
    <definedName name="NbreChevauxTraitFemellesAuPré_0_3Mois">BDD!$V$92</definedName>
    <definedName name="NbreChevauxTraitFemellesAuPré_12_18Mois">BDD!$V$98</definedName>
    <definedName name="NbreChevauxTraitFemellesAuPré_18_24Mois">BDD!$V$100</definedName>
    <definedName name="NbreChevauxTraitFemellesAuPré_24_36Mois">BDD!$V$102</definedName>
    <definedName name="NbreChevauxTraitFemellesAuPré_3_6Mois">BDD!$V$94</definedName>
    <definedName name="NbreChevauxTraitFemellesAuPré_3AnsEtPlus">BDD!$V$104</definedName>
    <definedName name="NbreChevauxTraitFemellesAuPré_6_12Mois">BDD!$V$96</definedName>
    <definedName name="NbreChevauxTraitMâlesAuPré_0_3Mois">BDD!$V$91</definedName>
    <definedName name="NbreChevauxTraitMâlesAuPré_12_18Mois">BDD!$V$97</definedName>
    <definedName name="NbreChevauxTraitMâlesAuPré_18_24Mois">BDD!$V$99</definedName>
    <definedName name="NbreChevauxTraitMâlesAuPré_24_36Mois">BDD!$V$101</definedName>
    <definedName name="NbreChevauxTraitMâlesAuPré_3_6Mois">BDD!$V$93</definedName>
    <definedName name="NbreChevauxTraitMâlesAuPré_3AnsEtPlus">BDD!$V$103</definedName>
    <definedName name="NbreChevauxTraitMâlesAuPré_6_12Mois">BDD!$V$95</definedName>
    <definedName name="NbreDaimsFemellesAuPré_0_3Mois">BDD!$T$92</definedName>
    <definedName name="NbreDaimsFemellesAuPré_12_18Mois">BDD!$T$98</definedName>
    <definedName name="NbreDaimsFemellesAuPré_18_24Mois">BDD!$T$100</definedName>
    <definedName name="NbreDaimsFemellesAuPré_24_36Mois">BDD!$T$102</definedName>
    <definedName name="NbreDaimsFemellesAuPré_3_6Mois">BDD!$T$94</definedName>
    <definedName name="NbreDaimsFemellesAuPré_3AnsEtPlus">BDD!$T$104</definedName>
    <definedName name="NbreDaimsFemellesAuPré_6_12Mois">BDD!$T$96</definedName>
    <definedName name="NbreDaimsMâlesAuPré_0_3Mois">BDD!$T$91</definedName>
    <definedName name="NbreDaimsMâlesAuPré_12_18Mois">BDD!$T$97</definedName>
    <definedName name="NbreDaimsMâlesAuPré_18_24Mois">BDD!$T$99</definedName>
    <definedName name="NbreDaimsMâlesAuPré_24_36Mois">BDD!$T$101</definedName>
    <definedName name="NbreDaimsMâlesAuPré_3_6Mois">BDD!$T$93</definedName>
    <definedName name="NbreDaimsMâlesAuPré_3AnsEtPlus">BDD!$T$103</definedName>
    <definedName name="NbreDaimsMâlesAuPré_6_12Mois">BDD!$T$95</definedName>
    <definedName name="NbreFemelles_0_3MoisAuPréEté">#REF!</definedName>
    <definedName name="NbreFemelles_12_18MoisAuPréEté">#REF!</definedName>
    <definedName name="NbreFemelles_18_24MoisAuPréEté">#REF!</definedName>
    <definedName name="NbreFemelles_24_36MoisAuPréEté">#REF!</definedName>
    <definedName name="NbreFemelles_3_6MoisAuPréEté">#REF!</definedName>
    <definedName name="NbreFemelles_3_AnsEtPlusAuPréEté">#REF!</definedName>
    <definedName name="NbreFemelles_6_12MoisAuPréEté">#REF!</definedName>
    <definedName name="NbreJoursNourrirAutres">BDD!$Z$76:$Z$100</definedName>
    <definedName name="NbreJoursNourrirBisonsDaims">BDD!$AB$76:$AB$100</definedName>
    <definedName name="NbreJoursNourrirBovins">BDD!$AA$76:$AA$100</definedName>
    <definedName name="NbreJoursNourrirCaprins">BDD!$AC$76:$AC$100</definedName>
    <definedName name="NbreJoursNourrirChevauxSelle">BDD!$AE$76:$AE$100</definedName>
    <definedName name="NbreJoursNourrirChevauxTrait">BDD!$AF$76:$AF$100</definedName>
    <definedName name="NbreJoursNourrirOvins">BDD!$AD$76:$AD$100</definedName>
    <definedName name="NbreJoursNourrirPoneys">BDD!$AG$76:$AG$100</definedName>
    <definedName name="NbreMâles_0_3MoisAuPréEté">#REF!</definedName>
    <definedName name="NbreMâles_12_18MoisAuPréEté">#REF!</definedName>
    <definedName name="NbreMâles_18_24MoisAuPréEté">#REF!</definedName>
    <definedName name="NbreMâles_24_36MoisAuPréEté">#REF!</definedName>
    <definedName name="NbreMâles_3_6MoisAuPréEté">#REF!</definedName>
    <definedName name="NbreMâles_3_AnsEtPlusAuPréEté">#REF!</definedName>
    <definedName name="NbreMâles_6_12MoisAuPréEté">#REF!</definedName>
    <definedName name="NbreOvinsFemellesAuPré_0_3Mois">BDD!$Q$92</definedName>
    <definedName name="NbreOvinsFemellesAuPré_12_18Mois">BDD!$Q$98</definedName>
    <definedName name="NbreOvinsFemellesAuPré_18_24Mois">BDD!$Q$100</definedName>
    <definedName name="NbreOvinsFemellesAuPré_24_36Mois">BDD!$Q$102</definedName>
    <definedName name="NbreOvinsFemellesAuPré_3_6Mois">BDD!$Q$94</definedName>
    <definedName name="NbreOvinsFemellesAuPré_3AnsEtPlus">BDD!$Q$104</definedName>
    <definedName name="NbreOvinsFemellesAuPré_6_12Mois">BDD!$Q$96</definedName>
    <definedName name="NbreOvinsMâlesAuPré_0_3Mois">BDD!$Q$91</definedName>
    <definedName name="NbreOvinsMâlesAuPré_12_18Mois">BDD!$Q$97</definedName>
    <definedName name="NbreOvinsMâlesAuPré_18_24Mois">BDD!$Q$99</definedName>
    <definedName name="NbreOvinsMâlesAuPré_24_36Mois">BDD!$Q$101</definedName>
    <definedName name="NbreOvinsMâlesAuPré_3_6Mois">BDD!$Q$93</definedName>
    <definedName name="NbreOvinsMâlesAuPré_3AnsEtPlus">BDD!$Q$103</definedName>
    <definedName name="NbreOvinsMâlesAuPré_6_12Mois">BDD!$Q$95</definedName>
    <definedName name="NbrePoneysFemellesAuPré_0_3Mois">BDD!$W$92</definedName>
    <definedName name="NbrePoneysFemellesAuPré_12_18Mois">BDD!$W$98</definedName>
    <definedName name="NbrePoneysFemellesAuPré_18_24Mois">BDD!$W$100</definedName>
    <definedName name="NbrePoneysFemellesAuPré_24_36Mois">BDD!$W$102</definedName>
    <definedName name="NbrePoneysFemellesAuPré_3_6Mois">BDD!$W$94</definedName>
    <definedName name="NbrePoneysFemellesAuPré_3AnsEtPlus">BDD!$W$104</definedName>
    <definedName name="NbrePoneysFemellesAuPré_6_12Mois">BDD!$W$96</definedName>
    <definedName name="NbrePoneysMâlesAuPré_0_3Mois">BDD!$W$91</definedName>
    <definedName name="NbrePoneysMâlesAuPré_12_18Mois">BDD!$W$97</definedName>
    <definedName name="NbrePoneysMâlesAuPré_18_24Mois">BDD!$W$99</definedName>
    <definedName name="NbrePoneysMâlesAuPré_24_36Mois">BDD!$W$101</definedName>
    <definedName name="NbrePoneysMâlesAuPré_3_6Mois">BDD!$W$93</definedName>
    <definedName name="NbrePoneysMâlesAuPré_3AnsEtPlus">BDD!$W$103</definedName>
    <definedName name="NbrePoneysMâlesAuPré_6_12Mois">BDD!$W$95</definedName>
    <definedName name="NON">BDD!$M$3</definedName>
    <definedName name="oie">animaux!$C$143</definedName>
    <definedName name="oison_femelle_0_3_mois">animaux!$C$139</definedName>
    <definedName name="oison_mâle_0_3_mois">animaux!$C$138</definedName>
    <definedName name="Orge">'coût alimentation'!$B$25</definedName>
    <definedName name="OrgeNécessaireBQ">'coût alimentation'!$C$25</definedName>
    <definedName name="OrgeNécessaireMaQ">'coût alimentation'!$E$25</definedName>
    <definedName name="OrgeNécessaireMoQ">'coût alimentation'!$D$25</definedName>
    <definedName name="OUI">BDD!$M$2</definedName>
    <definedName name="Ovins">#REF!</definedName>
    <definedName name="Paille">'coût alimentation'!$B$26</definedName>
    <definedName name="PailleNécessaireBQ">'coût alimentation'!$C$26</definedName>
    <definedName name="PailleNécessaireMaQ">'coût alimentation'!$E$26</definedName>
    <definedName name="PailleNécessaireMoQ">'coût alimentation'!$D$26</definedName>
    <definedName name="ParcsCanards">#REF!</definedName>
    <definedName name="ParcsLapins">#REF!</definedName>
    <definedName name="ParcsOies">#REF!</definedName>
    <definedName name="ParcsPintades">#REF!</definedName>
    <definedName name="ParcsPorcins">#REF!</definedName>
    <definedName name="ParcsVolailles">#REF!</definedName>
    <definedName name="Phacélie">BDD!$HK$22</definedName>
    <definedName name="pintadeau_mâle_0_1_mois">animaux!$C$99</definedName>
    <definedName name="PintadeauFemelle_0_1_mois">animaux!$C$100</definedName>
    <definedName name="PlaceRestanteDansEntrepôtsAprèsCommande">#REF!</definedName>
    <definedName name="Pois">'coût alimentation'!$B$27</definedName>
    <definedName name="PoisNécessaireBQ">'coût alimentation'!$C$27</definedName>
    <definedName name="PoisNécessaireMaQ">'coût alimentation'!$E$27</definedName>
    <definedName name="PoisNécessaireMoQ">'coût alimentation'!$D$27</definedName>
    <definedName name="Poneys">#REF!</definedName>
    <definedName name="porcelet_femelle_0_1_mois">animaux!$C$62</definedName>
    <definedName name="porcelet_femelle_1_3_mois">animaux!$C$64</definedName>
    <definedName name="porcelet_mâle_0_1_mois">animaux!$C$61</definedName>
    <definedName name="porcelet_mâle_1_3_mois">animaux!$C$63</definedName>
    <definedName name="Porcherie">#REF!</definedName>
    <definedName name="PoulaillerCanards">#REF!</definedName>
    <definedName name="PoulaillerOies">#REF!</definedName>
    <definedName name="PoulaillerPintades">#REF!</definedName>
    <definedName name="PoulaillersVolailles">#REF!</definedName>
    <definedName name="poussin_femelle_0_1_mois">animaux!$C$81</definedName>
    <definedName name="PrixAvoine">'coût alimentation'!$J$9</definedName>
    <definedName name="PrixBetterave">'coût alimentation'!$J$10</definedName>
    <definedName name="PrixBlé">'coût alimentation'!$J$11</definedName>
    <definedName name="PrixBouchonsLuzerne">'coût alimentation'!$J$12</definedName>
    <definedName name="PrixCanola">'coût alimentation'!$J$13</definedName>
    <definedName name="PrixColza">'coût alimentation'!$J$14</definedName>
    <definedName name="PrixConcentréBovin">'coût alimentation'!$J$15</definedName>
    <definedName name="PrixConcentréLapin">'coût alimentation'!$J$16</definedName>
    <definedName name="PrixConcentréPorcin">'coût alimentation'!$J$17</definedName>
    <definedName name="PrixEau">'coût alimentation'!$J$19</definedName>
    <definedName name="PrixEnsilageHerbe">'coût alimentation'!$J$18</definedName>
    <definedName name="PrixFeverole">'coût alimentation'!$J$20</definedName>
    <definedName name="PrixFoin">'coût alimentation'!$J$21</definedName>
    <definedName name="PrixMaïsEnsilé">'coût alimentation'!$J$22</definedName>
    <definedName name="PrixMaïsGrain">'coût alimentation'!$J$23</definedName>
    <definedName name="PrixMinéraux">'coût alimentation'!$J$24</definedName>
    <definedName name="PrixOrge">'coût alimentation'!$J$25</definedName>
    <definedName name="PrixPaille">'coût alimentation'!$J$26</definedName>
    <definedName name="PrixPois">'coût alimentation'!$J$27</definedName>
    <definedName name="PrixRationBisons">'coût alimentation'!$J$37</definedName>
    <definedName name="PrixRationBovins">'coût alimentation'!$J$35</definedName>
    <definedName name="PrixRationCanards">'coût alimentation'!$J$44</definedName>
    <definedName name="PrixRationCaprins">'coût alimentation'!$J$38</definedName>
    <definedName name="PrixRationChevauxSelle">'coût alimentation'!$J$48</definedName>
    <definedName name="PrixRationChevauxTrait">'coût alimentation'!$J$49</definedName>
    <definedName name="PrixRationDaims">'coût alimentation'!$J$47</definedName>
    <definedName name="PrixRationHiverBovins">'coût alimentation'!$J$36</definedName>
    <definedName name="PrixRationHiverOvins">'coût alimentation'!$J$46</definedName>
    <definedName name="PrixRationLapins">'coût alimentation'!$J$42</definedName>
    <definedName name="PrixRationOies">'coût alimentation'!$J$43</definedName>
    <definedName name="PrixRationOvins">'coût alimentation'!$J$45</definedName>
    <definedName name="PrixRationPintades">'coût alimentation'!$J$41</definedName>
    <definedName name="PrixRationPoneys">'coût alimentation'!$J$50</definedName>
    <definedName name="PrixRationPorcins">'coût alimentation'!$J$39</definedName>
    <definedName name="PrixRationVolailles">'coût alimentation'!$J$40</definedName>
    <definedName name="PrixSeigle">'coût alimentation'!$J$28</definedName>
    <definedName name="PrixSoja">'coût alimentation'!$J$29</definedName>
    <definedName name="PrixSorghoEnsilé">'coût alimentation'!$J$30</definedName>
    <definedName name="PrixTournesol">'coût alimentation'!$J$31</definedName>
    <definedName name="PrixTourteauColza">'coût alimentation'!$J$32</definedName>
    <definedName name="PrixTourteauTournesol">'coût alimentation'!$J$33</definedName>
    <definedName name="PrixTriticale">'coût alimentation'!$J$34</definedName>
    <definedName name="PrixVaccinBison">BDD!$BT$6</definedName>
    <definedName name="PrixVaccinBovin">BDD!$BH$22</definedName>
    <definedName name="PrixVaccinCanard">BDD!$ER$18</definedName>
    <definedName name="PrixVaccinCaprin">BDD!$CA$5</definedName>
    <definedName name="PrixVaccinChevauxSelle">BDD!$EZ$25</definedName>
    <definedName name="PrixVaccinChevauxTrait">BDD!$FI$19</definedName>
    <definedName name="PrixVaccinDaim">BDD!$EB$8</definedName>
    <definedName name="PrixVaccinLapin">BDD!$CU$4</definedName>
    <definedName name="PrixVaccinOie">BDD!$EK$8</definedName>
    <definedName name="PrixVaccinOvin">BDD!$DR$8</definedName>
    <definedName name="PrixVaccinPintade">BDD!$DK$13</definedName>
    <definedName name="prixVaccinPoney">BDD!$FS$19</definedName>
    <definedName name="PrixVaccinPorcin">BDD!$CO$4</definedName>
    <definedName name="PrixVaccinVolaille">BDD!$DC$27</definedName>
    <definedName name="PrixVenteCultures">BDD!$HL$3:$HL$30</definedName>
    <definedName name="ProductionLaitBovins">BDD!$BF$9:$BF$26</definedName>
    <definedName name="ProductionLaitCaprins">BDD!$CB$7:$CB$14</definedName>
    <definedName name="ProductionLaitOvins">BDD!$DQ$20:$DQ$33</definedName>
    <definedName name="QtéArticleDansEntrepôt">#REF!</definedName>
    <definedName name="QtéRationComplèteHivernaleBison_0_3Mois">BDD!$BV$11</definedName>
    <definedName name="QtéRationComplèteHivernaleBison_12_18Mois">BDD!$BS$11</definedName>
    <definedName name="QtéRationComplèteHivernaleBison_18_24Mois">BDD!$BR$11</definedName>
    <definedName name="QtéRationComplèteHivernaleBison_24_36Mois">BDD!$BQ$11</definedName>
    <definedName name="QtéRationComplèteHivernaleBison_3_6Mois">BDD!$BU$11</definedName>
    <definedName name="QtéRationComplèteHivernaleBison_3AnsEtPlus">BDD!$BP$11</definedName>
    <definedName name="QtéRationComplèteHivernaleBison_6_12Mois">BDD!$BT$11</definedName>
    <definedName name="QtéRationComplèteHivernaleBovin_0_3Mois">BDD!$BK$173</definedName>
    <definedName name="QtéRationComplèteHivernaleBovin_12_18Mois">BDD!$BH$173</definedName>
    <definedName name="QtéRationComplèteHivernaleBovin_18_24Mois">BDD!$BG$173</definedName>
    <definedName name="QtéRationComplèteHivernaleBovin_24_36Mois">BDD!$BF$173</definedName>
    <definedName name="QtéRationComplèteHivernaleBovin_3_6Mois">BDD!$BJ$173</definedName>
    <definedName name="QtéRationComplèteHivernaleBovin_3AnsEtPlus">BDD!$BE$173</definedName>
    <definedName name="QtéRationComplèteHivernaleBovin_6_12Mois">BDD!$BI$173</definedName>
    <definedName name="QtéRationComplèteHivernaleChevauxSelle0_12Mois">BDD!$FA$46</definedName>
    <definedName name="QtéRationComplèteHivernaleChevauxSelle12_14Mois">BDD!$EZ$46</definedName>
    <definedName name="QtéRationComplèteHivernaleChevauxSelle24_36Mois">BDD!$EY$46</definedName>
    <definedName name="QtéRationComplèteHivernaleChevauxSelle3AnsEtPlus">BDD!$EX$46</definedName>
    <definedName name="QtéRationComplèteHivernaleChevauxTrait_0_12Mois">BDD!$FJ$40</definedName>
    <definedName name="QtéRationComplèteHivernaleChevauxTrait_12_24Mois">BDD!$FI$40</definedName>
    <definedName name="QtéRationComplèteHivernaleChevauxTrait_24_36Mois">BDD!$FH$40</definedName>
    <definedName name="QtéRationComplèteHivernaleChevauxTrait_3AnsEtPlus">BDD!$FG$39</definedName>
    <definedName name="QtéRationComplèteHivernaleDaim_0_3Mois">BDD!$EE$12</definedName>
    <definedName name="QtéRationComplèteHivernaleDaim_12_18Mois">BDD!$EB$12</definedName>
    <definedName name="QtéRationComplèteHivernaleDaim_18_24Mois">BDD!$EA$12</definedName>
    <definedName name="QtéRationComplèteHivernaleDaim_24_36Mois">BDD!$DZ$12</definedName>
    <definedName name="QtéRationComplèteHivernaleDaim_3_6Mois">BDD!$ED$12</definedName>
    <definedName name="QtéRationComplèteHivernaleDaim_3AnsEtPlus">BDD!$DY$12</definedName>
    <definedName name="QtéRationComplèteHivernaleDaim_6_12Mois">BDD!$EC$12</definedName>
    <definedName name="QtéRationComplèteHivernaleOvin_0_3Mois">BDD!$DT$138</definedName>
    <definedName name="QtéRationComplèteHivernaleOvin_1AnEtPlus">BDD!$DQ$138</definedName>
    <definedName name="QtéRationComplèteHivernaleOvin_3_6Mois">BDD!$DS$138</definedName>
    <definedName name="QtéRationComplèteHivernaleOvin_6_12Mois">BDD!$DR$138</definedName>
    <definedName name="QtéRationComplèteHivernalePoneys_0_12Mois">BDD!$FT$39</definedName>
    <definedName name="QtéRationComplèteHivernalePoneys_12_24Mois">BDD!$FS$39</definedName>
    <definedName name="QtéRationComplèteHivernalePoneys_24_36Mois">BDD!$FR$39</definedName>
    <definedName name="QtéRationComplèteHivernalePoneys_3AnsEtPlus">BDD!$FQ$39</definedName>
    <definedName name="QualitéAlimentsAgneauFemelle_0_3_mois">animaux!$E$200</definedName>
    <definedName name="QualitéAlimentsAgneauFemelle_3_6_mois">animaux!$E$202</definedName>
    <definedName name="QualitéAlimentsAgneauMâle_0_3_mois">animaux!$E$199</definedName>
    <definedName name="QualitéAlimentsAgneauMâle_3_6_mois">animaux!$E$201</definedName>
    <definedName name="QualitéAlimentsBélier">animaux!$E$205</definedName>
    <definedName name="QualitéAlimentsBisonneauxFemelles_0_3_mois">animaux!$D$29</definedName>
    <definedName name="QualitéAlimentsBisonneauxFemelles_3_6_mois">animaux!$D$31</definedName>
    <definedName name="QualitéAlimentsBisonneauxFemelles_6_12_mois">animaux!$D$33</definedName>
    <definedName name="QualitéAlimentsBisonneauxMâles_0_3_mois">animaux!$D$28</definedName>
    <definedName name="QualitéAlimentsBisonneauxMâles_3_6_mois">animaux!$D$30</definedName>
    <definedName name="QualitéAlimentsBisonneauxMâles_6_12_mois">animaux!$D$32</definedName>
    <definedName name="QualitéAlimentsBisonnes">animaux!$D$41</definedName>
    <definedName name="QualitéAlimentsBisons">animaux!$D$40</definedName>
    <definedName name="QualitéAlimentsBouc">animaux!$D$51</definedName>
    <definedName name="QualitéAlimentsBovins">BDD!$BB$342:$BE$380</definedName>
    <definedName name="QualitéAlimentsBrebis">animaux!$E$206</definedName>
    <definedName name="QualitéAlimentsCanard">animaux!$D$158</definedName>
    <definedName name="QualitéAlimentsCane">animaux!$D$159</definedName>
    <definedName name="QualitéAlimentsCanetonFemelle">animaux!$D$155</definedName>
    <definedName name="QualitéAlimentsCanetonMâle">animaux!$D$154</definedName>
    <definedName name="QualitéAlimentsCaprins">BDD!$BX$196:$CA$234</definedName>
    <definedName name="QualitéAlimentsChèvre">animaux!$D$52</definedName>
    <definedName name="QualitéAlimentsChevreau_0_3_mois">animaux!$D$45</definedName>
    <definedName name="QualitéAlimentsChevreau_3_6_mois">animaux!$D$47</definedName>
    <definedName name="QualitéAlimentsChevrette_0_3_mois">animaux!$D$46</definedName>
    <definedName name="QualitéAlimentsChevrette_3_6_mois">animaux!$D$48</definedName>
    <definedName name="QualitéAlimentsCoq">animaux!$D$84</definedName>
    <definedName name="QualitéAlimentsDaim">animaux!$D$227</definedName>
    <definedName name="QualitéAlimentsDaine">animaux!$D$228</definedName>
    <definedName name="QualitéAlimentsEtalonPoney">animaux!$D$269</definedName>
    <definedName name="QualitéAlimentsEtalonSelle">animaux!$D$241</definedName>
    <definedName name="QualitéAlimentsEtalonTrait">animaux!$D$255</definedName>
    <definedName name="QualitéAlimentsFaonFemelle_0_3_mois">animaux!$D$216</definedName>
    <definedName name="QualitéAlimentsFaonFemelle_3_6_mois">animaux!$D$218</definedName>
    <definedName name="QualitéAlimentsFaonFemelle_6_12_mois">animaux!$D$220</definedName>
    <definedName name="QualitéAlimentsFaonMâle_0_3_mois">animaux!$D$215</definedName>
    <definedName name="QualitéAlimentsFaonMâle_3_6_mois">animaux!$D$217</definedName>
    <definedName name="QualitéAlimentsFaonMâle_6_12_mois">animaux!$D$219</definedName>
    <definedName name="QualitéAlimentsGavageCaneton_0_1_mois">animaux!$D$187</definedName>
    <definedName name="QualitéAlimentsGavageCaneton_1_2_mois">animaux!$D$188</definedName>
    <definedName name="QualitéAlimentsGavageCaneton_2_3_mois">animaux!$D$189</definedName>
    <definedName name="QualitéAlimentsGavageJeuneCanard">animaux!$H$187</definedName>
    <definedName name="QualitéAlimentsGavageJeunesOies">animaux!$H$171</definedName>
    <definedName name="QualitéAlimentsGavageOison_0_1_mois">animaux!$D$171</definedName>
    <definedName name="QualitéAlimentsGavageOison_1_2_mois">animaux!$D$172</definedName>
    <definedName name="QualitéAlimentsGavageOison_2_3_mois">animaux!$D$173</definedName>
    <definedName name="QualitéAlimentsGénisses_12_18_mois">animaux!$E$15</definedName>
    <definedName name="QualitéAlimentsGénisses_18_24_mois">animaux!$E$17</definedName>
    <definedName name="QualitéAlimentsGénisses_24_36_mois">animaux!$E$19</definedName>
    <definedName name="QualitéAlimentsJars">animaux!$D$142</definedName>
    <definedName name="QualitéAlimentsJeuneBélier">animaux!$E$203</definedName>
    <definedName name="QualitéAlimentsJeuneBouc">animaux!$D$49</definedName>
    <definedName name="QualitéAlimentsJeuneBrebis">animaux!$E$204</definedName>
    <definedName name="QualitéAlimentsJeuneCanard">animaux!$D$156</definedName>
    <definedName name="QualitéAlimentsJeuneCane">animaux!$D$157</definedName>
    <definedName name="QualitéAlimentsJeuneChèvre">animaux!$D$50</definedName>
    <definedName name="QualitéAlimentsJeuneCoq">animaux!$D$82</definedName>
    <definedName name="QualitéAlimentsJeuneDaim_12_18_mois">animaux!$D$221</definedName>
    <definedName name="QualitéAlimentsJeuneDaim_18_24_mois">animaux!$D$223</definedName>
    <definedName name="QualitéAlimentsJeuneDaim_24_36_mois">animaux!$D$225</definedName>
    <definedName name="QualitéAlimentsJeuneDaine_12_18_mois">animaux!$D$222</definedName>
    <definedName name="QualitéAlimentsJeuneDaine_18_24_mois">animaux!$D$224</definedName>
    <definedName name="QualitéAlimentsJeuneDaine_24_36_mois">animaux!$D$226</definedName>
    <definedName name="QualitéAlimentsJeuneEtalon_12_24_moisPoney">animaux!$D$265</definedName>
    <definedName name="QualitéAlimentsJeuneEtalon_12_24_moisSelle">animaux!$D$237</definedName>
    <definedName name="QualitéAlimentsJeuneEtalon_12_24_moisTrait">animaux!$D$251</definedName>
    <definedName name="QualitéAlimentsJeuneEtalon_24_36_moisPoney">animaux!$D$267</definedName>
    <definedName name="QualitéAlimentsJeuneEtalon_24_36_moisSelle">animaux!$D$239</definedName>
    <definedName name="QualitéAlimentsJeuneEtalon_24_36_moisTrait">animaux!$D$253</definedName>
    <definedName name="QualitéAlimentsJeuneJars">animaux!$D$140</definedName>
    <definedName name="QualitéAlimentsJeuneJument_12_24_moisPoney">animaux!$D$266</definedName>
    <definedName name="QualitéAlimentsJeuneJument_12_24_moisSelle">animaux!$D$238</definedName>
    <definedName name="QualitéAlimentsJeuneJument_12_24_moisTrait">animaux!$D$252</definedName>
    <definedName name="QualitéAlimentsJeuneJument_24_36_moisPoney">animaux!$D$268</definedName>
    <definedName name="QualitéAlimentsJeuneJument_24_36_moisSelle">animaux!$D$240</definedName>
    <definedName name="QualitéAlimentsJeuneJument_24_36_moisTrait">animaux!$D$254</definedName>
    <definedName name="QualitéAlimentsJeuneLapin">animaux!$D$120</definedName>
    <definedName name="QualitéAlimentsJeuneLapine">animaux!$D$121</definedName>
    <definedName name="QualitéAlimentsJeuneOie">animaux!$D$141</definedName>
    <definedName name="QualitéAlimentsJeunePintadeFemelle">animaux!$D$102</definedName>
    <definedName name="QualitéAlimentsJeunePintadeMâle">animaux!$D$101</definedName>
    <definedName name="QualitéAlimentsJeunePoule">animaux!$D$83</definedName>
    <definedName name="QualitéAlimentsJeunesBisonnes_12_18_mois">animaux!$D$35</definedName>
    <definedName name="QualitéAlimentsJeunesBisonnes_18_24_mois">animaux!$D$37</definedName>
    <definedName name="QualitéAlimentsJeunesBisonnes_24_36_mois">animaux!$D$39</definedName>
    <definedName name="QualitéAlimentsJeunesBisons_12_18_mois">animaux!$D$34</definedName>
    <definedName name="QualitéAlimentsJeunesBisons_18_24_mois">animaux!$D$36</definedName>
    <definedName name="QualitéAlimentsJeunesBisons_24_36_mois">animaux!$D$38</definedName>
    <definedName name="QualitéAlimentsJeuneTruie_3_6_mois">animaux!$D$66</definedName>
    <definedName name="QualitéAlimentsJeuneTruie_6_12_mois">animaux!$D$68</definedName>
    <definedName name="QualitéAlimentsJeuneVerrat_3_6_mois">animaux!$D$65</definedName>
    <definedName name="QualitéAlimentsJeuneVerrat_6_12_mois">animaux!$D$67</definedName>
    <definedName name="QualitéAlimentsJumentPoney">animaux!$D$270</definedName>
    <definedName name="QualitéAlimentsJumentSelle">animaux!$D$242</definedName>
    <definedName name="QualitéAlimentsJumentTrait">animaux!$D$256</definedName>
    <definedName name="QualitéAlimentsLapereauFemelle_0_1_mois">animaux!$D$119</definedName>
    <definedName name="QualitéAlimentsLapereauMâle_0_1_mois">animaux!$D$118</definedName>
    <definedName name="QualitéAlimentsLapin">animaux!$D$122</definedName>
    <definedName name="QualitéAlimentsLapine">animaux!$D$123</definedName>
    <definedName name="QualitéAlimentsOie">animaux!$D$143</definedName>
    <definedName name="QualitéAlimentsOisonFemelle_0_3_mois">animaux!$D$139</definedName>
    <definedName name="QualitéAlimentsOisonMâle_0_3_mois">animaux!$D$138</definedName>
    <definedName name="QualitéAlimentsPintadeauFemelle_0_1_mois">animaux!$D$100</definedName>
    <definedName name="QualitéAlimentsPintadeauMâle_0_1_mois">animaux!$D$99</definedName>
    <definedName name="QualitéAlimentsPintadeFemelle">animaux!$D$104</definedName>
    <definedName name="QualitéAlimentsPintadeMâle">animaux!$D$103</definedName>
    <definedName name="QualitéAlimentsPorceletFemelle_0_1_mois">animaux!$D$62</definedName>
    <definedName name="QualitéAlimentsPorceletFemelle_1_3_mois">animaux!$D$64</definedName>
    <definedName name="QualitéAlimentsPorceletMâle_0_1_mois">animaux!$D$61</definedName>
    <definedName name="QualitéAlimentsPorceletMâle_1_3_mois">animaux!$D$63</definedName>
    <definedName name="QualitéAlimentsPoulainFemellePoney">animaux!$D$264</definedName>
    <definedName name="QualitéAlimentsPoulainFemelleTrait">animaux!$D$250</definedName>
    <definedName name="QualitéAlimentsPoulainMâlePoney">animaux!$D$263</definedName>
    <definedName name="QualitéAlimentsPoulainMâleTrait">animaux!$D$249</definedName>
    <definedName name="QualitéAlimentsPoulainSelleFemelle">animaux!$D$236</definedName>
    <definedName name="QualitéAlimentsPoulainSelleMâle">animaux!$D$235</definedName>
    <definedName name="QualitéAlimentsPoule">animaux!$D$85</definedName>
    <definedName name="QualitéAlimentsPoussinFemelle_0_1_mois">animaux!$D$81</definedName>
    <definedName name="QualitéAlimentsPoussinMâle_0_1_mois">animaux!$D$80</definedName>
    <definedName name="QualitéAlimentsTaureaux">animaux!$E$20</definedName>
    <definedName name="QualitéAlimentsTaurillons_12_18_mois">animaux!$E$14</definedName>
    <definedName name="QualitéAlimentsTaurillons_18_24_mois">animaux!$E$16</definedName>
    <definedName name="QualitéAlimentsTaurillons_24_36_mois">animaux!$E$18</definedName>
    <definedName name="QualitéAlimentsTruie">animaux!$D$70</definedName>
    <definedName name="QualitéAlimentsVaches">animaux!$E$21</definedName>
    <definedName name="QualitéAlimentsVeauxFemelles_0_3_mois">animaux!$E$9</definedName>
    <definedName name="QualitéAlimentsVeauxFemelles_3_6_mois">animaux!$E$11</definedName>
    <definedName name="QualitéAlimentsVeauxFemelles_6_12_mois">animaux!$E$13</definedName>
    <definedName name="QualitéAlimentsVeauxMâles_0_3_mois">animaux!$E$8</definedName>
    <definedName name="QualitéAlimentsVeauxMâles_3_6_mois">animaux!$E$10</definedName>
    <definedName name="QualitéAlimentsVeauxMâles_6_12_mois">animaux!$E$12</definedName>
    <definedName name="QualitéAlimentsVerrat">animaux!$D$69</definedName>
    <definedName name="QualitéRationComplèteBovins">animaux!$J$17</definedName>
    <definedName name="RationBisonNécessaireBQ">'coût alimentation'!$C$37</definedName>
    <definedName name="RationBisonNécessaireMaQ">'coût alimentation'!$E$37</definedName>
    <definedName name="RationBisonNécessaireMoQ">'coût alimentation'!$D$37</definedName>
    <definedName name="RationBisons">'coût alimentation'!$B$37</definedName>
    <definedName name="RationBovins">'coût alimentation'!$B$35</definedName>
    <definedName name="RationBovinsNécessaireBQ">'coût alimentation'!$C$35</definedName>
    <definedName name="RationBovinsNécessaireMaQ">'coût alimentation'!$E$35</definedName>
    <definedName name="RationBovinsNécessaireMoQ">'coût alimentation'!$D$35</definedName>
    <definedName name="RationCanards">'coût alimentation'!$B$44</definedName>
    <definedName name="RationCanardsNécessaireBQ">'coût alimentation'!$C$44</definedName>
    <definedName name="RationCanardsNécessaireMaQ">'coût alimentation'!$E$44</definedName>
    <definedName name="RationCanardsNécessaireMoQ">'coût alimentation'!$D$44</definedName>
    <definedName name="RationCaprins">'coût alimentation'!$B$38</definedName>
    <definedName name="RationCaprinsNécessaireBQ">'coût alimentation'!$C$38</definedName>
    <definedName name="RationCaprinsNécessaireMaQ">'coût alimentation'!$E$38</definedName>
    <definedName name="RationCaprinsNécessaireMoQ">'coût alimentation'!$D$38</definedName>
    <definedName name="RationChevauxSelle">'coût alimentation'!$B$48</definedName>
    <definedName name="RationChevauxSelleNécessaireBQ">'coût alimentation'!$C$48</definedName>
    <definedName name="RationChevauxSelleNécessaireMaQ">'coût alimentation'!$E$48</definedName>
    <definedName name="RationChevauxSelleNécessaireMoQ">'coût alimentation'!$D$48</definedName>
    <definedName name="RationChevauxTrait">'coût alimentation'!$B$49</definedName>
    <definedName name="RationChevauxTraitNécessaireBQ">'coût alimentation'!$C$49</definedName>
    <definedName name="RationChevauxTraitNécessaireMaQ">'coût alimentation'!$E$49</definedName>
    <definedName name="RationChevauxTraitNécessaireMoQ">'coût alimentation'!$D$49</definedName>
    <definedName name="RationDaims">'coût alimentation'!$B$47</definedName>
    <definedName name="RationDaimsNécessaireBQ">'coût alimentation'!$C$47</definedName>
    <definedName name="RationDaimsNécessaireMaQ">'coût alimentation'!$E$47</definedName>
    <definedName name="RationDaimsNécessaireMoQ">'coût alimentation'!$D$47</definedName>
    <definedName name="RationDansEcurieChevauxSelle">BDD!$EX$4</definedName>
    <definedName name="RationDansEcurieChevauxTrait">BDD!$FG$4</definedName>
    <definedName name="RationDansEcuriePoneys">BDD!$FQ$4</definedName>
    <definedName name="RationDansPréChevauxSelle">BDD!$EX$5</definedName>
    <definedName name="RationDansPréChevauxTrait">BDD!$FG$5</definedName>
    <definedName name="RationDansPréPoneys">BDD!$FQ$5</definedName>
    <definedName name="RationEtéChevauxSelle">animaux!$M$236</definedName>
    <definedName name="RationEtéChevauxTrait">animaux!$M$250</definedName>
    <definedName name="RationEtéPoneys">animaux!$M$264</definedName>
    <definedName name="RationHiverBovins">'coût alimentation'!$B$36</definedName>
    <definedName name="RationHiverBovinsNécessaireBQ">'coût alimentation'!$C$36</definedName>
    <definedName name="RationHiverBovinsNécessaireMaQ">'coût alimentation'!$E$36</definedName>
    <definedName name="RationHiverBovinsNécessaireMoQ">'coût alimentation'!$D$36</definedName>
    <definedName name="RationHivernaleAuPréChevauxSelle">animaux!$J$236</definedName>
    <definedName name="RationHivernaleAuPréChevauxTrait">animaux!$J$250</definedName>
    <definedName name="RationHivernaleAuPréPoneys">animaux!$J$264</definedName>
    <definedName name="RationHivernaleBovinsAuPré">animaux!$M$12</definedName>
    <definedName name="RationHivernaleOvinsAuPré">animaux!$M$203</definedName>
    <definedName name="RationHiverOvins">'coût alimentation'!$B$46</definedName>
    <definedName name="RationHiverOvinsNécessaireBQ">'coût alimentation'!$C$46</definedName>
    <definedName name="RationHiverOvinsNécessaireMaQ">'coût alimentation'!$E$46</definedName>
    <definedName name="RationHiverOvinsNécessaireMoQ">'coût alimentation'!$D$46</definedName>
    <definedName name="RationLapins">'coût alimentation'!$B$42</definedName>
    <definedName name="RationLapinsNécessaireBQ">'coût alimentation'!$C$42</definedName>
    <definedName name="RationLapinsNécessaireMaQ">'coût alimentation'!$E$42</definedName>
    <definedName name="RationLapinsNécessaireMoQ">'coût alimentation'!$D$42</definedName>
    <definedName name="RationOies">'coût alimentation'!$B$43</definedName>
    <definedName name="RationOiesNécessaireBQ">'coût alimentation'!$C$43</definedName>
    <definedName name="RationOiesNécessaireMaQ">'coût alimentation'!$E$43</definedName>
    <definedName name="RationOiesNécessaireMoQ">'coût alimentation'!$D$43</definedName>
    <definedName name="RationOvins">'coût alimentation'!$B$45</definedName>
    <definedName name="RationOvinsNécessaireBQ">'coût alimentation'!$C$45</definedName>
    <definedName name="RationOvinsNécessaireMaQ">'coût alimentation'!$E$45</definedName>
    <definedName name="RationOvinsNécessaireMoQ">'coût alimentation'!$D$45</definedName>
    <definedName name="RationPintades">'coût alimentation'!$B$41</definedName>
    <definedName name="RationPintadesNécessaireBQ">'coût alimentation'!$C$41</definedName>
    <definedName name="RationPintadesNécessaireMaQ">'coût alimentation'!$E$41</definedName>
    <definedName name="RationPintadesNécessaireMoQ">'coût alimentation'!$D$41</definedName>
    <definedName name="RationPoneys">'coût alimentation'!$B$50</definedName>
    <definedName name="RationPoneysNécessaireBQ">'coût alimentation'!$C$50</definedName>
    <definedName name="RationPoneysNécessaireMaQ">'coût alimentation'!$E$50</definedName>
    <definedName name="RationPoneysNécessaireMoQ">'coût alimentation'!$D$50</definedName>
    <definedName name="RationPorcins">'coût alimentation'!$B$39</definedName>
    <definedName name="RationPorcinsNécessaireBQ">'coût alimentation'!$C$39</definedName>
    <definedName name="RationPorcinsNécessaireMaQ">'coût alimentation'!$E$39</definedName>
    <definedName name="RationPorcinsNécessaireMoQ">'coût alimentation'!$D$39</definedName>
    <definedName name="RationVolailles">'coût alimentation'!$B$40</definedName>
    <definedName name="RationVolaillesNécessaireBQ">'coût alimentation'!$C$40</definedName>
    <definedName name="RationVolaillesNécessaireMaQ">'coût alimentation'!$E$40</definedName>
    <definedName name="RationVolaillesNécessaireMoQ">'coût alimentation'!$D$40</definedName>
    <definedName name="RésultatTotalEcuries">#REF!</definedName>
    <definedName name="RésultatTotalParcsVolailles">#REF!</definedName>
    <definedName name="RésultatTotalPoulaillers">#REF!</definedName>
    <definedName name="Seigle">'coût alimentation'!$B$28</definedName>
    <definedName name="SeigleNécessaireBQ">'coût alimentation'!$C$28</definedName>
    <definedName name="SeigleNécessaireMaQ">'coût alimentation'!$E$28</definedName>
    <definedName name="SeigleNécessaireMoQ">'coût alimentation'!$D$28</definedName>
    <definedName name="Soja">'coût alimentation'!$B$29</definedName>
    <definedName name="SojaNécessaireBQ">'coût alimentation'!$C$29</definedName>
    <definedName name="SojaNécessaireMaQ">'coût alimentation'!$E$29</definedName>
    <definedName name="SojaNécessaireMoQ">'coût alimentation'!$D$29</definedName>
    <definedName name="SorghoEnsilé">'coût alimentation'!$B$30</definedName>
    <definedName name="SorghoEnsiléNécessaireBQ">'coût alimentation'!$C$30</definedName>
    <definedName name="SorghoEnsiléNécessaireMaQ">'coût alimentation'!$E$30</definedName>
    <definedName name="SorghoEnsiléNécessaireMoQ">'coût alimentation'!$D$30</definedName>
    <definedName name="Spécificité1Bovins">animaux!$J$20</definedName>
    <definedName name="Spécificité1Canards">animaux!$J$163</definedName>
    <definedName name="Spécificité1Caprins">animaux!$J$54</definedName>
    <definedName name="Spécificité1ChevauxSelle">animaux!$I$234</definedName>
    <definedName name="Spécificité1ChevauxTrait">animaux!$I$250</definedName>
    <definedName name="Spécificité1Daims">animaux!$J$224</definedName>
    <definedName name="Spécificité1Lapins">animaux!$J$130</definedName>
    <definedName name="Spécificité1Oies">animaux!$J$147</definedName>
    <definedName name="Spécificité1Ovins">animaux!$J$208</definedName>
    <definedName name="Spécificité1Pintades">animaux!$J$111</definedName>
    <definedName name="Spécificité1Poneys">animaux!$I$264</definedName>
    <definedName name="Spécificité1Porcins">animaux!$J$73</definedName>
    <definedName name="Spécificité1Volailles">animaux!$J$92</definedName>
    <definedName name="Spécificité2Bovins">animaux!$J$21</definedName>
    <definedName name="Spécificité2Canards">animaux!$J$164</definedName>
    <definedName name="Spécificité2Caprins">animaux!$J$55</definedName>
    <definedName name="Spécificité2ChevauxSelle">animaux!$I$235</definedName>
    <definedName name="Spécificité2ChevauxTrait">animaux!$I$251</definedName>
    <definedName name="Spécificité2Daims">animaux!$J$225</definedName>
    <definedName name="Spécificité2Lapins">animaux!$J$131</definedName>
    <definedName name="Spécificité2Oies">animaux!$J$148</definedName>
    <definedName name="Spécificité2Ovins">animaux!$J$209</definedName>
    <definedName name="Spécificité2Pintades">animaux!$J$112</definedName>
    <definedName name="Spécificité2Poneys">animaux!$I$265</definedName>
    <definedName name="Spécificité2Porcins">animaux!$J$74</definedName>
    <definedName name="Spécificité2Volailles">animaux!$J$93</definedName>
    <definedName name="Stabu">#REF!</definedName>
    <definedName name="StockDansSilos">#REF!</definedName>
    <definedName name="StockFoinBQDansEntrepôt">BDD!$HA$3:$HA$6</definedName>
    <definedName name="StockFoinDansEntrepôt">BDD!$HA$3:$HA$12</definedName>
    <definedName name="StockFoinMaQDansEntrepôt">BDD!$HA$11:$HA$14</definedName>
    <definedName name="StockFoinMoQDansEntrepôt">BDD!$HA$7:$HA$10</definedName>
    <definedName name="StockMinérauxBQDansEntrepôt">BDD!$HA$29</definedName>
    <definedName name="StockMinérauxMaQDansEntrepôt">BDD!$HA$31</definedName>
    <definedName name="StockMinérauxMoQDansEntrepôt">BDD!$HA$30</definedName>
    <definedName name="StockPailleBQDansEntrepôt">BDD!$HA$15:$HA$17</definedName>
    <definedName name="StockPailleDansEntrepôt">BDD!$HA$15:$HA$21</definedName>
    <definedName name="StockPailleMaQDansEntrepôt">BDD!$HA$21:$HA$23</definedName>
    <definedName name="StockPailleMoQDansEntrepôt">BDD!$HA$18:$HA$20</definedName>
    <definedName name="StocksDansEntrepots">#REF!</definedName>
    <definedName name="Suisse">BDD!$M$8</definedName>
    <definedName name="SurfaceAgneauBergerie">BDD!$DO$47</definedName>
    <definedName name="SurfaceBalleFoin_500kg">BDD!$B$133</definedName>
    <definedName name="SurfaceBallePaille_500kg">BDD!$B$136</definedName>
    <definedName name="SurfaceBélierBergerie">BDD!$DO$43</definedName>
    <definedName name="SurfaceBoucChèvrerie">BDD!$CC$25</definedName>
    <definedName name="SurfaceBrebisBergerie">BDD!$DO$44</definedName>
    <definedName name="SurfaceCanardAdultePoulailler">BDD!$ER$24</definedName>
    <definedName name="SurfaceCanardParc">BDD!$EP$16</definedName>
    <definedName name="SurfaceCanetonPoulailler">BDD!$ER$27</definedName>
    <definedName name="SurfaceChevauxSelleAdulteEcurie">BDD!$FB$34</definedName>
    <definedName name="SurfaceChevauxTraitAdultesEcurie">BDD!$FK$28</definedName>
    <definedName name="SurfaceChevreauChèvrerie">BDD!$CC$29</definedName>
    <definedName name="SurfaceChèvreChèvrerie">BDD!$CC$26</definedName>
    <definedName name="SurfaceExistanteBergeries">#REF!</definedName>
    <definedName name="SurfaceExistanteChèvreries">#REF!</definedName>
    <definedName name="SurfaceExistanteClapiers">#REF!</definedName>
    <definedName name="SurfaceExistanteEcuriesPoneys">#REF!</definedName>
    <definedName name="SurfaceExistanteEcuriesSelle">#REF!</definedName>
    <definedName name="SurfaceExistanteEcuriesTrait">#REF!</definedName>
    <definedName name="SurfaceExistanteParcsCanards">#REF!</definedName>
    <definedName name="SurfaceExistanteParcsLapins">#REF!</definedName>
    <definedName name="SurfaceExistanteParcsOies">#REF!</definedName>
    <definedName name="SurfaceExistanteParcsPintades">#REF!</definedName>
    <definedName name="SurfaceExistanteParcsPorcins">#REF!</definedName>
    <definedName name="SurfaceExistanteParcsVolailles">#REF!</definedName>
    <definedName name="SurfaceExistantePorcheries">#REF!</definedName>
    <definedName name="SurfaceExistantePoulaillersCanards">#REF!</definedName>
    <definedName name="SurfaceExistantePoulaillersOies">#REF!</definedName>
    <definedName name="SurfaceExistantePoulaillersPintades">#REF!</definedName>
    <definedName name="SurfaceExistantePoulaillersVolailles">#REF!</definedName>
    <definedName name="SurfaceExistanteStabu">#REF!</definedName>
    <definedName name="SurfaceJeuneBovinStabu">BDD!$BD$40</definedName>
    <definedName name="SurfaceJeuneCanardPoulailler">BDD!$ER$26</definedName>
    <definedName name="SurfaceJeuneCaprinChèvrerie">BDD!$CC$28</definedName>
    <definedName name="SurfaceJeuneChevalSelleEcurie">BDD!$FB$32</definedName>
    <definedName name="SurfaceJeuneChevauxTraitEcurie">BDD!$FK$26</definedName>
    <definedName name="SurfaceJeuneLapinClapier">BDD!$CW$25</definedName>
    <definedName name="SurfaceJeuneLapinParc">BDD!$CT$32</definedName>
    <definedName name="SurfaceJeuneOiePoulailler">BDD!$EK$27</definedName>
    <definedName name="SurfaceJeuneOvinBergerie">BDD!$DO$46</definedName>
    <definedName name="SurfaceJeunePintadePoulailler">BDD!$DH$18</definedName>
    <definedName name="SurfaceJeunePoneysEcurie">BDD!$FU$25</definedName>
    <definedName name="SurfaceJeunePorcinPorcherie">BDD!$CO$11</definedName>
    <definedName name="SurfaceJeuneVolaillePoulailler">BDD!$DA$28</definedName>
    <definedName name="SurfaceJumentSelleEcurie">BDD!$FB$35</definedName>
    <definedName name="SurfaceLapereauClapier">BDD!$CW$26</definedName>
    <definedName name="SurfaceLapereauParc">BDD!$CT$33</definedName>
    <definedName name="SurfaceLapinAdulteClapier">BDD!$CW$23</definedName>
    <definedName name="SurfaceLapinAdulteParc">BDD!$CT$30</definedName>
    <definedName name="SurfaceNécessaireBergerie">#REF!</definedName>
    <definedName name="SurfaceNécessaireChèvrerie">#REF!</definedName>
    <definedName name="SurfaceNécessaireClapiers">#REF!</definedName>
    <definedName name="SurfaceNécessaireConcentréBovins">BDD!$B$180</definedName>
    <definedName name="SurfaceNécessaireConcentréLapins">BDD!$B$182</definedName>
    <definedName name="SurfaceNécessaireConcentréPorcins">BDD!$B$181</definedName>
    <definedName name="SurfaceNécessaireEcuriesPoneys">#REF!</definedName>
    <definedName name="SurfaceNécessaireEcuriesSelle">#REF!</definedName>
    <definedName name="SurfaceNécessaireEcuriesTrait">#REF!</definedName>
    <definedName name="SurfaceNécessaireMinéraux">BDD!$B$183</definedName>
    <definedName name="SurfaceNécessaireParcsCanards">#REF!</definedName>
    <definedName name="SurfaceNécessaireParcsLapins">#REF!</definedName>
    <definedName name="SurfaceNécessaireParcsOies">#REF!</definedName>
    <definedName name="SurfaceNécessaireParcsPintades">#REF!</definedName>
    <definedName name="SurfaceNécessaireParcsPorcins">#REF!</definedName>
    <definedName name="SurfaceNécessaireParcsVolailles">#REF!</definedName>
    <definedName name="SurfaceNécessairePorcherie">#REF!</definedName>
    <definedName name="SurfaceNécessairePoulaillersCanards">#REF!</definedName>
    <definedName name="SurfaceNécessairePoulaillersOies">#REF!</definedName>
    <definedName name="SurfaceNécessairePoulaillersPintades">#REF!</definedName>
    <definedName name="SurfaceNécessairePoulaillersVolailles">#REF!</definedName>
    <definedName name="SurfaceNécessaireStabu">#REF!</definedName>
    <definedName name="SurfaceOieAdultePoulailler">BDD!$EK$25</definedName>
    <definedName name="SurfaceOieParc">BDD!$EI$18</definedName>
    <definedName name="SurfaceOisonPoulailler">BDD!$EK$28</definedName>
    <definedName name="SurfacePintadeAdultePoulailler">BDD!$DH$17</definedName>
    <definedName name="SurfacePintadeauPoulailler">BDD!$DH$19</definedName>
    <definedName name="SurfacePintadeParc">BDD!$DG$22</definedName>
    <definedName name="SurfacePoneysAdultesEcuries">BDD!$FU$27</definedName>
    <definedName name="SurfacePorceletPorcherie">BDD!$CO$12</definedName>
    <definedName name="SurfacePorcinsAbrisEtParcs">BDD!$CP$16</definedName>
    <definedName name="SurfacePoulainPoneysEcuries">BDD!$FU$24</definedName>
    <definedName name="SurfacePoulainSelleEcurie">BDD!$FB$31</definedName>
    <definedName name="SurfacePoulainTraitEcurie">BDD!$FK$25</definedName>
    <definedName name="SurfacePoussinPoulailler">BDD!$DA$29</definedName>
    <definedName name="SurfaceTaureauStabu">BDD!$BD$37</definedName>
    <definedName name="SurfaceTotaleEcuries">#REF!</definedName>
    <definedName name="SurfaceTotaleParcsVolailles">#REF!</definedName>
    <definedName name="SurfaceTotalePoulaillers">#REF!</definedName>
    <definedName name="SurfaceTruiePorcherie">BDD!$CO$9</definedName>
    <definedName name="SurfaceUtiliséeParFoinDansEntrepôt">BDD!$HB$3:$HB$12</definedName>
    <definedName name="SurfaceUtiliséeParPailleDansEntrepôt">BDD!$HB$15:$HB$21</definedName>
    <definedName name="SurfaceVacheStabu">BDD!$BD$38</definedName>
    <definedName name="SurfaceVeauxStabu">BDD!$BD$41</definedName>
    <definedName name="SurfaceVerratPorcherie">BDD!$CO$8</definedName>
    <definedName name="SurfaceVolailleAdultePoulaille">BDD!$DA$26</definedName>
    <definedName name="SurfaceVolailleParc">BDD!$CZ$32</definedName>
    <definedName name="TarifsCoopCultures">BDD!$HK$3:$HL$42</definedName>
    <definedName name="TêteListe">BDD!$GG$1:$GV$1</definedName>
    <definedName name="Total_PintadeMâle">animaux!$C$103</definedName>
    <definedName name="Total_poussin_mâle_0_1_mois">animaux!$C$80</definedName>
    <definedName name="TotalAgneau_0_3_mois">animaux!$C$199</definedName>
    <definedName name="TotalAgneau_3_6_mois">animaux!$C$201</definedName>
    <definedName name="TotalAgneaux">animaux!$C$199:$C$202</definedName>
    <definedName name="TotalAgneauxRacesLaitières">animaux!$D$199:$D$202</definedName>
    <definedName name="TotalAgnelle_0_3_mois">animaux!$C$200</definedName>
    <definedName name="TotalAgnelle_3_6_mois">animaux!$C$202</definedName>
    <definedName name="TotalBéliers">animaux!$C$205</definedName>
    <definedName name="TotalBéliersRacesLaitières">animaux!$D$205</definedName>
    <definedName name="TotalBisonneaux">animaux!$C$28:$C$33</definedName>
    <definedName name="TotalBisonnes">animaux!$C$41</definedName>
    <definedName name="TotalBisons">animaux!$C$28:$C$41</definedName>
    <definedName name="TotalBisons0_3">animaux!$C$28:$C$29</definedName>
    <definedName name="TotalBisons12_18">animaux!$C$34:$C$35</definedName>
    <definedName name="TotalBisons18_24">animaux!$C$36:$C$37</definedName>
    <definedName name="TotalBisons24_36">animaux!$C$38:$C$39</definedName>
    <definedName name="TotalBisons3_6">animaux!$C$30:$C$31</definedName>
    <definedName name="TotalBisons6_12">animaux!$C$32:$C$33</definedName>
    <definedName name="TotalBisonsAdultes">animaux!$C$40:$C$41</definedName>
    <definedName name="TotalBisonsFemelles_0_3_mois">animaux!$C$29</definedName>
    <definedName name="TotalBisonsFemelles_12_18_mois">animaux!$C$35</definedName>
    <definedName name="TotalBisonsFemelles_18_24_mois">animaux!$C$37</definedName>
    <definedName name="TotalBisonsFemelles_24_36_mois">animaux!$C$39</definedName>
    <definedName name="TotalBisonsFemelles_3_6_mois">animaux!$C$31</definedName>
    <definedName name="TotalBisonsFemelles_6_12_mois">animaux!$C$33</definedName>
    <definedName name="TotalBisonsMales_0_3_mois">animaux!$C$28</definedName>
    <definedName name="TotalBisonsMales_12_18_mois">animaux!$C$34</definedName>
    <definedName name="TotalBisonsMales_18_24_mois">animaux!$C$36</definedName>
    <definedName name="TotalBisonsMales_24_36_mois">animaux!$C$38</definedName>
    <definedName name="TotalBisonsMales_3_6_mois">animaux!$C$30</definedName>
    <definedName name="TotalBisonsMales_6_12_mois">animaux!$C$32</definedName>
    <definedName name="TotalBisonsMalesAdultes">animaux!$C$40</definedName>
    <definedName name="TotalBoucs">animaux!$C$51</definedName>
    <definedName name="TotalBovins">animaux!$C$8:$C$21</definedName>
    <definedName name="TotalBovins_0_3mois">animaux!$C$8:$C$9</definedName>
    <definedName name="TotalBovins_0_3moisAuPré">animaux!$F$8:$F$9</definedName>
    <definedName name="TotalBovins_0_3moisRacesLaitières">animaux!$D$8:$D$9</definedName>
    <definedName name="TotalBovins_12_18mois">animaux!$C$14:$C$15</definedName>
    <definedName name="TotalBovins_12_18moisAuPré">animaux!$F$14:$F$15</definedName>
    <definedName name="TotalBovins_12_18moisRacesLaitières">animaux!$D$14:$D$15</definedName>
    <definedName name="TotalBovins_18_24mois">animaux!$C$16:$C$17</definedName>
    <definedName name="TotalBovins_18_24moisAuPré">animaux!$F$16:$F$17</definedName>
    <definedName name="TotalBovins_18_24moisRacesLaitières">animaux!$D$16:$D$17</definedName>
    <definedName name="TotalBovins_24_36mois">animaux!$C$18:$C$19</definedName>
    <definedName name="TotalBovins_24_36moisAuPré">animaux!$F$18:$F$19</definedName>
    <definedName name="TotalBovins_24_36moisRacesLaitières">animaux!$D$18:$D$19</definedName>
    <definedName name="TotalBovins_3_6mois">animaux!$C$10:$C$11</definedName>
    <definedName name="TotalBovins_3_6moisAuPré">animaux!$F$10:$F$11</definedName>
    <definedName name="TotalBovins_3_6moisRacesLaitières">animaux!$D$10:$D$11</definedName>
    <definedName name="TotalBovins_6_12mois">animaux!$C$12:$C$13</definedName>
    <definedName name="TotalBovins_6_12moisAuPré">animaux!$F$12:$F$13</definedName>
    <definedName name="TotalBovins_6_12moisRacesLaitières">animaux!$D$12:$D$13</definedName>
    <definedName name="TotalBovinsAdultes">animaux!$C$20:$C$21</definedName>
    <definedName name="TotalBovinsAdultesAuPré">animaux!$F$20:$F$21</definedName>
    <definedName name="TotalBovinsAdultesRacesLaitières">animaux!$D$20:$D$21</definedName>
    <definedName name="TotalBovinsFemelles_0_3mois">animaux!$C$9</definedName>
    <definedName name="TotalBovinsFemelles_12_18mois">animaux!$C$15</definedName>
    <definedName name="TotalBovinsFemelles_18_24mois">animaux!$C$17</definedName>
    <definedName name="TotalBovinsFemelles_24_36mois">animaux!$C$19</definedName>
    <definedName name="TotalBovinsFemelles_3_6mois">animaux!$C$11</definedName>
    <definedName name="TotalBovinsFemelles_6_12mois">animaux!$C$13</definedName>
    <definedName name="TotalBovinsLaitièresEtAlalaitantes">animaux!$D$8:$F$21</definedName>
    <definedName name="TotalBovinsMâles_0_3mois">animaux!$C$8</definedName>
    <definedName name="TotalBovinsMâles_12_18mois">animaux!$C$14</definedName>
    <definedName name="TotalBovinsMâles_18_24mois">animaux!$C$16</definedName>
    <definedName name="TotalBovinsMâles_24_36mois">animaux!$C$18</definedName>
    <definedName name="TotalBovinsMâles_3_6mois">animaux!$C$10</definedName>
    <definedName name="TotalBovinsMâles_6_12mois">animaux!$C$12</definedName>
    <definedName name="TotalBovinsRacesLaitières">animaux!$D$8:$D$21</definedName>
    <definedName name="TotalBrebis">animaux!$C$206</definedName>
    <definedName name="TotalBrebisRacesLaitières">animaux!$D$206</definedName>
    <definedName name="TotalCanards">animaux!$C$154:$C$159</definedName>
    <definedName name="TotalCanardsAdultes">animaux!$C$158:$C$159</definedName>
    <definedName name="TotalCanardsMalesAdultes">animaux!$C$158</definedName>
    <definedName name="TotalCanes">animaux!$C$159</definedName>
    <definedName name="TotalCanetons">animaux!$C$154:$C$155</definedName>
    <definedName name="TotalCaprins">animaux!$C$45:$C$52</definedName>
    <definedName name="TotalCaprins_0_3mois">animaux!$C$45:$C$46</definedName>
    <definedName name="TotalCaprins_3_6mois">animaux!$C$47:$C$48</definedName>
    <definedName name="TotalCaprinsAdultes">animaux!$C$51:$C$52</definedName>
    <definedName name="TotalChevauxSelle">animaux!$C$235:$C$242</definedName>
    <definedName name="TotalChevauxSelle_12_24mois">animaux!$C$237:$C$238</definedName>
    <definedName name="TotalChevauxSelle_24_36mois">animaux!$C$239:$C$240</definedName>
    <definedName name="TotalChevauxSelleAdultes">animaux!$C$241:$C$242</definedName>
    <definedName name="TotalChevauxTrait">animaux!$C$249:$C$256</definedName>
    <definedName name="TotalChevauxTrait_12_24mois">animaux!$C$251:$C$252</definedName>
    <definedName name="TotalChevauxTrait_24_36mois">animaux!$C$253:$C$254</definedName>
    <definedName name="TotalChevauxTraitAdultes">animaux!$C$255:$C$256</definedName>
    <definedName name="TotalChevreaux">animaux!$C$45:$C$48</definedName>
    <definedName name="TotalChèvres">animaux!$C$52</definedName>
    <definedName name="TotalCoqs">animaux!$C$84</definedName>
    <definedName name="TotalDaim">animaux!$C$227</definedName>
    <definedName name="TotalDaims">animaux!$C$215:$C$228</definedName>
    <definedName name="TotalDaims0_3">animaux!$C$215:$C$216</definedName>
    <definedName name="TotalDaims12_18">animaux!$C$221:$C$222</definedName>
    <definedName name="TotalDaims18_24">animaux!$C$223:$C$224</definedName>
    <definedName name="TotalDaims24_36">animaux!$C$225:$C$226</definedName>
    <definedName name="TotalDaims3_6">animaux!$C$217:$C$218</definedName>
    <definedName name="TotalDaims6_12">animaux!$C$219:$C$220</definedName>
    <definedName name="TotalDaimsAdultes">animaux!$C$227:$C$228</definedName>
    <definedName name="TotalDaine">animaux!$C$228</definedName>
    <definedName name="TotalEtalonPoney">animaux!$C$269</definedName>
    <definedName name="TotalEtalonSelle">animaux!$C$241</definedName>
    <definedName name="TotalEtalonTrait">animaux!$C$255</definedName>
    <definedName name="TotalFaons">animaux!$C$215:$C$220</definedName>
    <definedName name="TotalGénisse_12_18_RacesLaitières">animaux!$D$15</definedName>
    <definedName name="TotalGénisse_18_24_RacesLaitières">animaux!$D$17</definedName>
    <definedName name="TotalGénisse_24_36_RacesLaitières">animaux!$D$19</definedName>
    <definedName name="TotalJars">animaux!$C$142</definedName>
    <definedName name="TotalJeune_bélier_6_12_mois">animaux!$C$203</definedName>
    <definedName name="TotalJeune_brebis_6_12_mois">animaux!$C$204</definedName>
    <definedName name="TotalJeuneBovin">animaux!$C$14:$C$19</definedName>
    <definedName name="TotalJeuneEtalonPoney_12_24_mois">animaux!$C$265</definedName>
    <definedName name="TotalJeuneEtalonPoney_24_36_mois">animaux!$C$267</definedName>
    <definedName name="TotalJeuneEtalonSelle_12_24_mois">animaux!$C$237</definedName>
    <definedName name="TotalJeuneEtalonSelle_24_36_mois">animaux!$C$239</definedName>
    <definedName name="TotalJeuneEtalonTrait_12_24_mois">animaux!$C$251</definedName>
    <definedName name="TotalJeuneEtalonTrait_24_36_mois">animaux!$C$253</definedName>
    <definedName name="TotalJeuneJumentPoney_12_24_mois">animaux!$C$266</definedName>
    <definedName name="TotalJeuneJumentPoney_24_36_mois">animaux!$C$268</definedName>
    <definedName name="TotalJeuneJumentSelle_12_24_mois">animaux!$C$238</definedName>
    <definedName name="TotalJeuneJumentSelle_24_36_mois">animaux!$C$240</definedName>
    <definedName name="TotalJeuneJumentTrait_12_24_mois">animaux!$C$252</definedName>
    <definedName name="TotalJeuneJumentTrait_24_36_mois">animaux!$C$254</definedName>
    <definedName name="TotalJeuneLapin_1_3_mois">animaux!$C$120</definedName>
    <definedName name="TotalJeuneLapine_1_3_mois">animaux!$C$121</definedName>
    <definedName name="TotalJeunesBisons">animaux!$C$34:$C$39</definedName>
    <definedName name="TotalJeunesBovinsAllaitants">animaux!$F$14:$F$19</definedName>
    <definedName name="TotalJeunesBovinsRacesLaitières">animaux!$D$14:$D$19</definedName>
    <definedName name="TotalJeunesCanards">animaux!$C$156:$C$157</definedName>
    <definedName name="TotalJeunesCanards_3moisEtPlus">animaux!$G$187</definedName>
    <definedName name="TotalJeunesCaprins">animaux!$C$49:$C$50</definedName>
    <definedName name="TotalJeunesChevauxSelle">animaux!$C$237:$C$240</definedName>
    <definedName name="TotalJeunesChevauxTrait">animaux!$C$251:$C$254</definedName>
    <definedName name="TotalJeunesDaims">animaux!$C$221:$C$226</definedName>
    <definedName name="TotalJeunesLapins">animaux!$C$120:$C$121</definedName>
    <definedName name="TotalJeunesOies">animaux!$C$140:$C$141</definedName>
    <definedName name="TotalJeunesOvins">animaux!$C$203:$C$204</definedName>
    <definedName name="TotalJeunesOvinsRacesLaitières">animaux!$D$203:$D$204</definedName>
    <definedName name="TotalJeunesPintades">animaux!$C$101:$C$102</definedName>
    <definedName name="TotalJeunesPoneys">animaux!$C$265:$C$268</definedName>
    <definedName name="TotalJeunesPorcins">animaux!$C$65:$C$68</definedName>
    <definedName name="TotalJeuneVolaille">animaux!$C$82:$C$83</definedName>
    <definedName name="TotalJumentPoney">animaux!$C$270</definedName>
    <definedName name="TotalJumentSelle">animaux!$C$242</definedName>
    <definedName name="TotalJumentTrait">animaux!$C$256</definedName>
    <definedName name="TotalLapereauFemelle_0_1_mois">animaux!$C$119</definedName>
    <definedName name="TotalLapereauMale_0_1_mois">animaux!$C$118</definedName>
    <definedName name="TotalLapereaux">animaux!$C$118:$C$119</definedName>
    <definedName name="TotalLapines">animaux!$C$123</definedName>
    <definedName name="TotalLapins">animaux!$C$122</definedName>
    <definedName name="TotalLapinsAdultes">animaux!$C$122:$C$123</definedName>
    <definedName name="TotalOies">animaux!$C$138:$C$143</definedName>
    <definedName name="TotalOiesAdultes">animaux!$C$142:$C$143</definedName>
    <definedName name="TotalOiesFemellesAdultes">animaux!$C$143</definedName>
    <definedName name="TotalOisons">animaux!$C$138:$C$139</definedName>
    <definedName name="TotalOvins">animaux!$C$199:$C$206</definedName>
    <definedName name="TotalOvins_0_3mois">animaux!$C$199:$C$200</definedName>
    <definedName name="TotalOvins_0_3moisAuPré">animaux!$F$199:$F$200</definedName>
    <definedName name="TotalOvins_0_3moisRacesLaitières">animaux!$D$199:$D$200</definedName>
    <definedName name="TotalOvins_3_6mois">animaux!$C$201:$C$202</definedName>
    <definedName name="TotalOvins_3_6moisAuPré">animaux!$F$201:$F$202</definedName>
    <definedName name="TotalOvins_3_6moisRacesLaitières">animaux!$D$201:$D$202</definedName>
    <definedName name="TotalOvins_6_12moisAuPré">animaux!$F$203:$F$204</definedName>
    <definedName name="TotalOvinsAdultes">animaux!$C$205:$C$206</definedName>
    <definedName name="TotalOvinsAdultesAuPré">animaux!$F$205:$F$206</definedName>
    <definedName name="TotalOvinsAdultesRacesLaitières">animaux!$D$205:$D$206</definedName>
    <definedName name="TotalOvinsRacesLaitières">animaux!$D$199:$D$206</definedName>
    <definedName name="TotalPintadeaux">animaux!$C$99:$C$100</definedName>
    <definedName name="TotalPintadeFemelle">animaux!$C$104</definedName>
    <definedName name="TotalPintades">animaux!$C$99:$C$104</definedName>
    <definedName name="TotalPintadesAdultes">animaux!$C$103:$C$104</definedName>
    <definedName name="TotalPoneys">animaux!$C$263:$C$270</definedName>
    <definedName name="TotalPoneys_12_24mois">animaux!$C$265:$C$266</definedName>
    <definedName name="TotalPoneys_24_36mois">animaux!$C$267:$C$268</definedName>
    <definedName name="TotalPoneysAdultes">animaux!$C$269:$C$270</definedName>
    <definedName name="TotalPorcelets">animaux!$C$61:$C$64</definedName>
    <definedName name="TotalPorcins">animaux!$C$61:$C$70</definedName>
    <definedName name="TotalPorcins_0_1Mois">animaux!$C$61:$C$62</definedName>
    <definedName name="TotalPorcins_1_3Mois">animaux!$C$63:$C$64</definedName>
    <definedName name="TotalPorcins_3_6Mois">animaux!$C$65:$C$66</definedName>
    <definedName name="TotalPorcins_6_12Mois">animaux!$C$67:$C$68</definedName>
    <definedName name="TotalPorcinsAdultes">animaux!$C$69:$C$70</definedName>
    <definedName name="TotalPoulainPoney_0_12_mois">animaux!$C$263</definedName>
    <definedName name="TotalPoulainSelle_0_12_mois">animaux!$C$235</definedName>
    <definedName name="TotalPoulainsPoneys">animaux!$C$263:$C$264</definedName>
    <definedName name="TotalPoulainsSelle">animaux!$C$235:$C$236</definedName>
    <definedName name="TotalPoulainsTrait">animaux!$C$249:$C$250</definedName>
    <definedName name="TotalPoulainTrait_0_12_mois">animaux!$C$249</definedName>
    <definedName name="TotalPoules">animaux!$C$85</definedName>
    <definedName name="TotalPoulichePoney_0_12_mois">animaux!$C$264</definedName>
    <definedName name="TotalPoulicheSelle_0_12_mois">animaux!$C$236</definedName>
    <definedName name="TotalPoulicheTrait_0_12_mois">animaux!$C$250</definedName>
    <definedName name="TotalPoussins">animaux!$C$80:$C$81</definedName>
    <definedName name="TotalTaureaux">animaux!$C$20</definedName>
    <definedName name="TotalTaureauxAllaitants">animaux!$F$20</definedName>
    <definedName name="TotalTaureauxRacesLaitières">animaux!$D$20</definedName>
    <definedName name="TotalTaurillon_12_18_RacesLaitières">animaux!$C$14</definedName>
    <definedName name="TotalTaurillon_18_24_RacesLaitières">animaux!$D$16</definedName>
    <definedName name="TotalTaurillon_24_36_RacesLaitières">animaux!$D$18</definedName>
    <definedName name="TotalTruies">animaux!$C$70</definedName>
    <definedName name="TotalVaches">animaux!$C$21</definedName>
    <definedName name="TotalVachesAllaitant">animaux!$F$21</definedName>
    <definedName name="TotalVachesRacesLaitières">animaux!$D$21</definedName>
    <definedName name="TotalVeauFemelle_0_3_RacesLaitières">animaux!$D$9</definedName>
    <definedName name="TotalVeauFemelle_3_6_RacesLaitières">animaux!$D$11</definedName>
    <definedName name="TotalVeauFemelle_6_12_RacesLaitières">animaux!$D$13</definedName>
    <definedName name="TotalVeauMâle_0_3_RacesLaitières">animaux!$D$8</definedName>
    <definedName name="TotalVeauMâle_3_6_RacesLaitières">animaux!$D$10</definedName>
    <definedName name="TotalVeauMâle_6_12_RacesLaitières">animaux!$D$12</definedName>
    <definedName name="TotalVeaux">animaux!$C$8:$C$13</definedName>
    <definedName name="TotalVeauxAllaitants">animaux!$F$8:$F$13</definedName>
    <definedName name="TotalVeauxRacesLaitières">animaux!$D$8:$D$13</definedName>
    <definedName name="TotalVerrats">animaux!$C$69</definedName>
    <definedName name="TotalVolailleAdulte">animaux!$C$84:$C$85</definedName>
    <definedName name="TotalVolailles">animaux!$C$80:$C$85</definedName>
    <definedName name="Tournesol">'coût alimentation'!$B$31</definedName>
    <definedName name="Tournesol_BDD">BDD!$AA$3</definedName>
    <definedName name="TournesolNécessaireBQ">'coût alimentation'!$C$31</definedName>
    <definedName name="TournesolNécessaireMaQ">'coût alimentation'!$E$31</definedName>
    <definedName name="TournesolNécessaireMoQ">'coût alimentation'!$D$31</definedName>
    <definedName name="TourteauColza">'coût alimentation'!$B$32</definedName>
    <definedName name="TourteauColzaNécessaireBQ">'coût alimentation'!$C$32</definedName>
    <definedName name="TourteauColzaNécessaireMaQ">'coût alimentation'!$E$32</definedName>
    <definedName name="TourteauColzaNécessaireMoQ">'coût alimentation'!$D$32</definedName>
    <definedName name="TourteauTournesol">'coût alimentation'!$B$33</definedName>
    <definedName name="TourteauTournesolNécessaireBQ">'coût alimentation'!$C$33</definedName>
    <definedName name="TourteauTournesolNécessaireMaQ">'coût alimentation'!$E$33</definedName>
    <definedName name="TourteauTournesolNécessaireMoQ">'coût alimentation'!$D$33</definedName>
    <definedName name="Triticale">'coût alimentation'!$B$34</definedName>
    <definedName name="Triticale_BDD">BDD!$U$3</definedName>
    <definedName name="TriticaleNécessaireBQ">'coût alimentation'!$C$34</definedName>
    <definedName name="TriticaleNécessaireMaQ">'coût alimentation'!$E$34</definedName>
    <definedName name="TriticaleNécessaireMoQ">'coût alimentation'!$D$34</definedName>
    <definedName name="TypeArticleDansEntrepôt">#REF!</definedName>
    <definedName name="USA">BDD!$M$10</definedName>
    <definedName name="Z_EE76D120_5D4A_4AD8_A1CB_952C682DC0B3_.wvu.FilterData" localSheetId="0" hidden="1">animaux!$Z$2:$Z$4</definedName>
  </definedNames>
  <calcPr calcId="145621"/>
  <customWorkbookViews>
    <customWorkbookView name="SEGULA - Affichage personnalisé" guid="{EE76D120-5D4A-4AD8-A1CB-952C682DC0B3}" mergeInterval="0" personalView="1" maximized="1" windowWidth="1020" windowHeight="552" tabRatio="761" activeSheetId="21"/>
  </customWorkbookViews>
</workbook>
</file>

<file path=xl/calcChain.xml><?xml version="1.0" encoding="utf-8"?>
<calcChain xmlns="http://schemas.openxmlformats.org/spreadsheetml/2006/main">
  <c r="HE1" i="27" l="1"/>
  <c r="HF1" i="27"/>
  <c r="HG1" i="27"/>
  <c r="HH1" i="27"/>
  <c r="HI1" i="27"/>
  <c r="HE2" i="27"/>
  <c r="HF2" i="27"/>
  <c r="HG2" i="27"/>
  <c r="HH2" i="27"/>
  <c r="HI2" i="27"/>
  <c r="GY3" i="27"/>
  <c r="HA3" i="27" s="1"/>
  <c r="HB3" i="27"/>
  <c r="HE3" i="27"/>
  <c r="HF3" i="27"/>
  <c r="HG3" i="27"/>
  <c r="HH3" i="27"/>
  <c r="HI3" i="27"/>
  <c r="GY4" i="27"/>
  <c r="HA4" i="27" s="1"/>
  <c r="HB4" i="27"/>
  <c r="HF4" i="27"/>
  <c r="HG4" i="27"/>
  <c r="HH4" i="27"/>
  <c r="HI4" i="27"/>
  <c r="GY5" i="27"/>
  <c r="HB5" i="27" s="1"/>
  <c r="HA5" i="27"/>
  <c r="HF5" i="27"/>
  <c r="HG5" i="27"/>
  <c r="HH5" i="27"/>
  <c r="HP5" i="27"/>
  <c r="HT5" i="27"/>
  <c r="HU5" i="27"/>
  <c r="GY6" i="27"/>
  <c r="HA6" i="27" s="1"/>
  <c r="HB6" i="27"/>
  <c r="HF6" i="27"/>
  <c r="HG6" i="27"/>
  <c r="HH6" i="27"/>
  <c r="GY7" i="27"/>
  <c r="HA7" i="27"/>
  <c r="HB7" i="27"/>
  <c r="HF7" i="27"/>
  <c r="HG7" i="27"/>
  <c r="HH7" i="27"/>
  <c r="GY8" i="27"/>
  <c r="HB8" i="27" s="1"/>
  <c r="HA8" i="27"/>
  <c r="HF8" i="27"/>
  <c r="HG8" i="27"/>
  <c r="HH8" i="27"/>
  <c r="HO8" i="27"/>
  <c r="HP8" i="27"/>
  <c r="GY9" i="27"/>
  <c r="HB9" i="27" s="1"/>
  <c r="HA9" i="27"/>
  <c r="HF9" i="27"/>
  <c r="HG9" i="27"/>
  <c r="HK9" i="27"/>
  <c r="HQ9" i="27"/>
  <c r="HT9" i="27"/>
  <c r="HU9" i="27"/>
  <c r="GY10" i="27"/>
  <c r="HA10" i="27" s="1"/>
  <c r="HF10" i="27"/>
  <c r="HG10" i="27"/>
  <c r="GY11" i="27"/>
  <c r="HA11" i="27"/>
  <c r="HB11" i="27"/>
  <c r="HF11" i="27"/>
  <c r="HG11" i="27"/>
  <c r="HQ11" i="27"/>
  <c r="GY12" i="27"/>
  <c r="HA12" i="27" s="1"/>
  <c r="HB12" i="27"/>
  <c r="HG12" i="27"/>
  <c r="HQ12" i="27"/>
  <c r="GY13" i="27"/>
  <c r="HA13" i="27" s="1"/>
  <c r="HG13" i="27"/>
  <c r="HO13" i="27"/>
  <c r="HQ13" i="27"/>
  <c r="GY14" i="27"/>
  <c r="HA14" i="27"/>
  <c r="HB14" i="27"/>
  <c r="HG14" i="27"/>
  <c r="GY15" i="27"/>
  <c r="HB15" i="27" s="1"/>
  <c r="HA15" i="27"/>
  <c r="HG15" i="27"/>
  <c r="GY16" i="27"/>
  <c r="HA16" i="27"/>
  <c r="HB16" i="27"/>
  <c r="HG16" i="27"/>
  <c r="HQ16" i="27"/>
  <c r="GY17" i="27"/>
  <c r="HA17" i="27" s="1"/>
  <c r="HB17" i="27"/>
  <c r="HG17" i="27"/>
  <c r="HO17" i="27"/>
  <c r="HQ17" i="27"/>
  <c r="GY18" i="27"/>
  <c r="HA18" i="27"/>
  <c r="HB18" i="27"/>
  <c r="HG18" i="27"/>
  <c r="GY19" i="27"/>
  <c r="HA19" i="27"/>
  <c r="HB19" i="27"/>
  <c r="HG19" i="27"/>
  <c r="HN19" i="27"/>
  <c r="GY20" i="27"/>
  <c r="HB20" i="27" s="1"/>
  <c r="HA20" i="27"/>
  <c r="HG20" i="27"/>
  <c r="HQ20" i="27"/>
  <c r="GY21" i="27"/>
  <c r="HB21" i="27" s="1"/>
  <c r="HA21" i="27"/>
  <c r="HG21" i="27"/>
  <c r="HQ21" i="27"/>
  <c r="GY22" i="27"/>
  <c r="HA22" i="27"/>
  <c r="HB22" i="27"/>
  <c r="HG22" i="27"/>
  <c r="HQ22" i="27"/>
  <c r="GY23" i="27"/>
  <c r="HA23" i="27"/>
  <c r="HB23" i="27"/>
  <c r="HG23" i="27"/>
  <c r="HA25" i="27"/>
  <c r="HB25" i="27"/>
  <c r="HA26" i="27"/>
  <c r="HB26" i="27"/>
  <c r="HA27" i="27"/>
  <c r="HB27" i="27"/>
  <c r="HS27" i="27"/>
  <c r="HS28" i="27" s="1"/>
  <c r="HT27" i="27"/>
  <c r="HU27" i="27"/>
  <c r="HU28" i="27" s="1"/>
  <c r="HP28" i="27"/>
  <c r="HQ28" i="27"/>
  <c r="HR28" i="27"/>
  <c r="HT28" i="27"/>
  <c r="GY29" i="27"/>
  <c r="HA29" i="27"/>
  <c r="HB29" i="27"/>
  <c r="GY30" i="27"/>
  <c r="HB30" i="27" s="1"/>
  <c r="HA30" i="27"/>
  <c r="GY31" i="27"/>
  <c r="HB31" i="27" s="1"/>
  <c r="HA31" i="27"/>
  <c r="HL32" i="27"/>
  <c r="GY33" i="27"/>
  <c r="HB33" i="27"/>
  <c r="HL33" i="27"/>
  <c r="HL34" i="27"/>
  <c r="GY35" i="27"/>
  <c r="HB35" i="27"/>
  <c r="HL35" i="27"/>
  <c r="GY36" i="27"/>
  <c r="HB36" i="27"/>
  <c r="HL36" i="27"/>
  <c r="GY37" i="27"/>
  <c r="HB37" i="27" s="1"/>
  <c r="HL37" i="27"/>
  <c r="GY38" i="27"/>
  <c r="HB38" i="27" s="1"/>
  <c r="HL38" i="27"/>
  <c r="HP38" i="27"/>
  <c r="HQ38" i="27"/>
  <c r="HS38" i="27"/>
  <c r="GY39" i="27"/>
  <c r="HB39" i="27"/>
  <c r="HL39" i="27"/>
  <c r="GY40" i="27"/>
  <c r="HB40" i="27"/>
  <c r="HL40" i="27"/>
  <c r="GY41" i="27"/>
  <c r="HB41" i="27"/>
  <c r="HL41" i="27"/>
  <c r="GY42" i="27"/>
  <c r="HB42" i="27"/>
  <c r="HL42" i="27"/>
  <c r="GY43" i="27"/>
  <c r="HB43" i="27"/>
  <c r="GY44" i="27"/>
  <c r="HB44" i="27"/>
  <c r="GY45" i="27"/>
  <c r="HB45" i="27"/>
  <c r="HQ45" i="27"/>
  <c r="HR45" i="27"/>
  <c r="HS45" i="27"/>
  <c r="HT45" i="27"/>
  <c r="HZ45" i="27"/>
  <c r="IA45" i="27"/>
  <c r="IB45" i="27"/>
  <c r="IC45" i="27"/>
  <c r="IF45" i="27"/>
  <c r="GY46" i="27"/>
  <c r="HB46" i="27"/>
  <c r="HN46" i="27"/>
  <c r="HO46" i="27"/>
  <c r="HO45" i="27" s="1"/>
  <c r="HP46" i="27"/>
  <c r="HP45" i="27" s="1"/>
  <c r="HQ46" i="27"/>
  <c r="HR46" i="27"/>
  <c r="HS46" i="27"/>
  <c r="HT46" i="27"/>
  <c r="HU46" i="27"/>
  <c r="HU45" i="27" s="1"/>
  <c r="HV46" i="27"/>
  <c r="HV45" i="27" s="1"/>
  <c r="HW46" i="27"/>
  <c r="HW45" i="27" s="1"/>
  <c r="HX46" i="27"/>
  <c r="HY46" i="27"/>
  <c r="HY45" i="27" s="1"/>
  <c r="HZ46" i="27"/>
  <c r="IA46" i="27"/>
  <c r="IB46" i="27"/>
  <c r="IC46" i="27"/>
  <c r="ID46" i="27"/>
  <c r="ID45" i="27" s="1"/>
  <c r="IE46" i="27"/>
  <c r="IE45" i="27" s="1"/>
  <c r="IF46" i="27"/>
  <c r="IG46" i="27"/>
  <c r="IG45" i="27" s="1"/>
  <c r="GY47" i="27"/>
  <c r="HB47" i="27" s="1"/>
  <c r="HN47" i="27"/>
  <c r="HO47" i="27"/>
  <c r="HP47" i="27"/>
  <c r="HQ47" i="27"/>
  <c r="HR47" i="27"/>
  <c r="HS47" i="27"/>
  <c r="HT47" i="27"/>
  <c r="HU47" i="27"/>
  <c r="HV47" i="27"/>
  <c r="HW47" i="27"/>
  <c r="HX47" i="27"/>
  <c r="HY47" i="27"/>
  <c r="HZ47" i="27"/>
  <c r="IA47" i="27"/>
  <c r="IB47" i="27"/>
  <c r="IC47" i="27"/>
  <c r="ID47" i="27"/>
  <c r="IE47" i="27"/>
  <c r="IF47" i="27"/>
  <c r="IG47" i="27"/>
  <c r="GY48" i="27"/>
  <c r="HB48" i="27"/>
  <c r="HN48" i="27"/>
  <c r="HO48" i="27"/>
  <c r="HP48" i="27"/>
  <c r="HQ48" i="27"/>
  <c r="HR48" i="27"/>
  <c r="HS48" i="27"/>
  <c r="HT48" i="27"/>
  <c r="HU48" i="27"/>
  <c r="HV48" i="27"/>
  <c r="HW48" i="27"/>
  <c r="HX48" i="27"/>
  <c r="HY48" i="27"/>
  <c r="HZ48" i="27"/>
  <c r="IA48" i="27"/>
  <c r="IB48" i="27"/>
  <c r="IC48" i="27"/>
  <c r="ID48" i="27"/>
  <c r="IE48" i="27"/>
  <c r="IF48" i="27"/>
  <c r="IG48" i="27"/>
  <c r="GY49" i="27"/>
  <c r="HB49" i="27"/>
  <c r="HN49" i="27"/>
  <c r="HO49" i="27"/>
  <c r="HP49" i="27"/>
  <c r="HQ49" i="27"/>
  <c r="HR49" i="27"/>
  <c r="HS49" i="27"/>
  <c r="HT49" i="27"/>
  <c r="HU49" i="27"/>
  <c r="HV49" i="27"/>
  <c r="HW49" i="27"/>
  <c r="HX49" i="27"/>
  <c r="HY49" i="27"/>
  <c r="HZ49" i="27"/>
  <c r="IA49" i="27"/>
  <c r="IB49" i="27"/>
  <c r="IC49" i="27"/>
  <c r="ID49" i="27"/>
  <c r="IE49" i="27"/>
  <c r="IF49" i="27"/>
  <c r="IG49" i="27"/>
  <c r="GY50" i="27"/>
  <c r="HB50" i="27"/>
  <c r="HN50" i="27"/>
  <c r="HO50" i="27"/>
  <c r="HP50" i="27"/>
  <c r="HQ50" i="27"/>
  <c r="HR50" i="27"/>
  <c r="HS50" i="27"/>
  <c r="HT50" i="27"/>
  <c r="HU50" i="27"/>
  <c r="HV50" i="27"/>
  <c r="HW50" i="27"/>
  <c r="HX50" i="27"/>
  <c r="HY50" i="27"/>
  <c r="HZ50" i="27"/>
  <c r="IA50" i="27"/>
  <c r="IB50" i="27"/>
  <c r="IC50" i="27"/>
  <c r="ID50" i="27"/>
  <c r="IE50" i="27"/>
  <c r="IF50" i="27"/>
  <c r="IG50" i="27"/>
  <c r="GY51" i="27"/>
  <c r="HB51" i="27" s="1"/>
  <c r="HN51" i="27"/>
  <c r="HO51" i="27"/>
  <c r="HP51" i="27"/>
  <c r="HQ51" i="27"/>
  <c r="HR51" i="27"/>
  <c r="HS51" i="27"/>
  <c r="HT51" i="27"/>
  <c r="HU51" i="27"/>
  <c r="HV51" i="27"/>
  <c r="HW51" i="27"/>
  <c r="HX51" i="27"/>
  <c r="HY51" i="27"/>
  <c r="HZ51" i="27"/>
  <c r="IA51" i="27"/>
  <c r="IB51" i="27"/>
  <c r="IC51" i="27"/>
  <c r="ID51" i="27"/>
  <c r="IE51" i="27"/>
  <c r="IF51" i="27"/>
  <c r="IG51" i="27"/>
  <c r="GY52" i="27"/>
  <c r="HB52" i="27"/>
  <c r="HN52" i="27"/>
  <c r="HO52" i="27"/>
  <c r="HP52" i="27"/>
  <c r="HQ52" i="27"/>
  <c r="HR52" i="27"/>
  <c r="HS52" i="27"/>
  <c r="HT52" i="27"/>
  <c r="HU52" i="27"/>
  <c r="HV52" i="27"/>
  <c r="HW52" i="27"/>
  <c r="HX52" i="27"/>
  <c r="HY52" i="27"/>
  <c r="HZ52" i="27"/>
  <c r="IA52" i="27"/>
  <c r="IB52" i="27"/>
  <c r="IC52" i="27"/>
  <c r="ID52" i="27"/>
  <c r="IE52" i="27"/>
  <c r="IF52" i="27"/>
  <c r="IG52" i="27"/>
  <c r="GY53" i="27"/>
  <c r="HB53" i="27"/>
  <c r="HN53" i="27"/>
  <c r="HO53" i="27"/>
  <c r="HP53" i="27"/>
  <c r="HQ53" i="27"/>
  <c r="HR53" i="27"/>
  <c r="HS53" i="27"/>
  <c r="HT53" i="27"/>
  <c r="HU53" i="27"/>
  <c r="HV53" i="27"/>
  <c r="HW53" i="27"/>
  <c r="HX53" i="27"/>
  <c r="HY53" i="27"/>
  <c r="HZ53" i="27"/>
  <c r="IA53" i="27"/>
  <c r="IB53" i="27"/>
  <c r="IC53" i="27"/>
  <c r="ID53" i="27"/>
  <c r="IE53" i="27"/>
  <c r="IF53" i="27"/>
  <c r="IG53" i="27"/>
  <c r="GY54" i="27"/>
  <c r="HB54" i="27"/>
  <c r="HN54" i="27"/>
  <c r="HO54" i="27"/>
  <c r="HP54" i="27"/>
  <c r="HQ54" i="27"/>
  <c r="HR54" i="27"/>
  <c r="HS54" i="27"/>
  <c r="HT54" i="27"/>
  <c r="HU54" i="27"/>
  <c r="HV54" i="27"/>
  <c r="HW54" i="27"/>
  <c r="HX54" i="27"/>
  <c r="HY54" i="27"/>
  <c r="HZ54" i="27"/>
  <c r="IA54" i="27"/>
  <c r="IB54" i="27"/>
  <c r="IC54" i="27"/>
  <c r="ID54" i="27"/>
  <c r="IE54" i="27"/>
  <c r="IF54" i="27"/>
  <c r="IG54" i="27"/>
  <c r="GY55" i="27"/>
  <c r="HB55" i="27" s="1"/>
  <c r="HN55" i="27"/>
  <c r="HO55" i="27"/>
  <c r="HP55" i="27"/>
  <c r="HQ55" i="27"/>
  <c r="HR55" i="27"/>
  <c r="HS55" i="27"/>
  <c r="HT55" i="27"/>
  <c r="HU55" i="27"/>
  <c r="HV55" i="27"/>
  <c r="HW55" i="27"/>
  <c r="HX55" i="27"/>
  <c r="HY55" i="27"/>
  <c r="HZ55" i="27"/>
  <c r="IA55" i="27"/>
  <c r="IB55" i="27"/>
  <c r="IC55" i="27"/>
  <c r="ID55" i="27"/>
  <c r="IE55" i="27"/>
  <c r="IF55" i="27"/>
  <c r="IG55" i="27"/>
  <c r="GY56" i="27"/>
  <c r="HB56" i="27"/>
  <c r="HN56" i="27"/>
  <c r="HO56" i="27"/>
  <c r="HP56" i="27"/>
  <c r="HQ56" i="27"/>
  <c r="HR56" i="27"/>
  <c r="HS56" i="27"/>
  <c r="HT56" i="27"/>
  <c r="HU56" i="27"/>
  <c r="HV56" i="27"/>
  <c r="HW56" i="27"/>
  <c r="HX56" i="27"/>
  <c r="HY56" i="27"/>
  <c r="HZ56" i="27"/>
  <c r="IA56" i="27"/>
  <c r="IB56" i="27"/>
  <c r="IC56" i="27"/>
  <c r="ID56" i="27"/>
  <c r="IE56" i="27"/>
  <c r="IF56" i="27"/>
  <c r="IG56" i="27"/>
  <c r="GY57" i="27"/>
  <c r="HB57" i="27"/>
  <c r="HN57" i="27"/>
  <c r="HO57" i="27"/>
  <c r="HP57" i="27"/>
  <c r="HQ57" i="27"/>
  <c r="HR57" i="27"/>
  <c r="HS57" i="27"/>
  <c r="HT57" i="27"/>
  <c r="HU57" i="27"/>
  <c r="HV57" i="27"/>
  <c r="HW57" i="27"/>
  <c r="HX57" i="27"/>
  <c r="HY57" i="27"/>
  <c r="HZ57" i="27"/>
  <c r="IA57" i="27"/>
  <c r="IB57" i="27"/>
  <c r="IC57" i="27"/>
  <c r="ID57" i="27"/>
  <c r="IE57" i="27"/>
  <c r="IF57" i="27"/>
  <c r="IG57" i="27"/>
  <c r="GY58" i="27"/>
  <c r="HB58" i="27"/>
  <c r="HN58" i="27"/>
  <c r="HO58" i="27"/>
  <c r="HP58" i="27"/>
  <c r="HQ58" i="27"/>
  <c r="HR58" i="27"/>
  <c r="HS58" i="27"/>
  <c r="HT58" i="27"/>
  <c r="HU58" i="27"/>
  <c r="HV58" i="27"/>
  <c r="HW58" i="27"/>
  <c r="HX58" i="27"/>
  <c r="HY58" i="27"/>
  <c r="HZ58" i="27"/>
  <c r="IA58" i="27"/>
  <c r="IB58" i="27"/>
  <c r="IC58" i="27"/>
  <c r="ID58" i="27"/>
  <c r="IE58" i="27"/>
  <c r="IF58" i="27"/>
  <c r="IG58" i="27"/>
  <c r="GY59" i="27"/>
  <c r="HB59" i="27" s="1"/>
  <c r="HN59" i="27"/>
  <c r="HO59" i="27"/>
  <c r="HP59" i="27"/>
  <c r="HQ59" i="27"/>
  <c r="HR59" i="27"/>
  <c r="HS59" i="27"/>
  <c r="HT59" i="27"/>
  <c r="HU59" i="27"/>
  <c r="HV59" i="27"/>
  <c r="HW59" i="27"/>
  <c r="HX59" i="27"/>
  <c r="HY59" i="27"/>
  <c r="HZ59" i="27"/>
  <c r="IA59" i="27"/>
  <c r="IB59" i="27"/>
  <c r="IC59" i="27"/>
  <c r="ID59" i="27"/>
  <c r="IE59" i="27"/>
  <c r="IF59" i="27"/>
  <c r="IG59" i="27"/>
  <c r="GY60" i="27"/>
  <c r="HB60" i="27"/>
  <c r="HN60" i="27"/>
  <c r="HO60" i="27"/>
  <c r="HP60" i="27"/>
  <c r="HQ60" i="27"/>
  <c r="HR60" i="27"/>
  <c r="HS60" i="27"/>
  <c r="HT60" i="27"/>
  <c r="HU60" i="27"/>
  <c r="HV60" i="27"/>
  <c r="HW60" i="27"/>
  <c r="HX60" i="27"/>
  <c r="HY60" i="27"/>
  <c r="HZ60" i="27"/>
  <c r="IA60" i="27"/>
  <c r="IB60" i="27"/>
  <c r="IC60" i="27"/>
  <c r="ID60" i="27"/>
  <c r="IE60" i="27"/>
  <c r="IF60" i="27"/>
  <c r="IG60" i="27"/>
  <c r="GY61" i="27"/>
  <c r="HB61" i="27"/>
  <c r="HN61" i="27"/>
  <c r="HO61" i="27"/>
  <c r="HP61" i="27"/>
  <c r="HQ61" i="27"/>
  <c r="HR61" i="27"/>
  <c r="HS61" i="27"/>
  <c r="HT61" i="27"/>
  <c r="HU61" i="27"/>
  <c r="HV61" i="27"/>
  <c r="HW61" i="27"/>
  <c r="HX61" i="27"/>
  <c r="HY61" i="27"/>
  <c r="HZ61" i="27"/>
  <c r="IA61" i="27"/>
  <c r="IB61" i="27"/>
  <c r="IC61" i="27"/>
  <c r="ID61" i="27"/>
  <c r="IE61" i="27"/>
  <c r="IF61" i="27"/>
  <c r="IG61" i="27"/>
  <c r="GY62" i="27"/>
  <c r="HB62" i="27"/>
  <c r="HN62" i="27"/>
  <c r="HO62" i="27"/>
  <c r="HP62" i="27"/>
  <c r="HQ62" i="27"/>
  <c r="HR62" i="27"/>
  <c r="HS62" i="27"/>
  <c r="HT62" i="27"/>
  <c r="HU62" i="27"/>
  <c r="HV62" i="27"/>
  <c r="HW62" i="27"/>
  <c r="HX62" i="27"/>
  <c r="HY62" i="27"/>
  <c r="HZ62" i="27"/>
  <c r="IA62" i="27"/>
  <c r="IB62" i="27"/>
  <c r="IC62" i="27"/>
  <c r="ID62" i="27"/>
  <c r="IE62" i="27"/>
  <c r="IF62" i="27"/>
  <c r="IG62" i="27"/>
  <c r="GY63" i="27"/>
  <c r="HB63" i="27" s="1"/>
  <c r="HN63" i="27"/>
  <c r="HO63" i="27"/>
  <c r="HP63" i="27"/>
  <c r="HQ63" i="27"/>
  <c r="HR63" i="27"/>
  <c r="HS63" i="27"/>
  <c r="HT63" i="27"/>
  <c r="HU63" i="27"/>
  <c r="HV63" i="27"/>
  <c r="HW63" i="27"/>
  <c r="HX63" i="27"/>
  <c r="HY63" i="27"/>
  <c r="HZ63" i="27"/>
  <c r="IA63" i="27"/>
  <c r="IB63" i="27"/>
  <c r="IC63" i="27"/>
  <c r="ID63" i="27"/>
  <c r="IE63" i="27"/>
  <c r="IF63" i="27"/>
  <c r="IG63" i="27"/>
  <c r="GY64" i="27"/>
  <c r="HB64" i="27"/>
  <c r="HN64" i="27"/>
  <c r="HO64" i="27"/>
  <c r="HP64" i="27"/>
  <c r="HQ64" i="27"/>
  <c r="HR64" i="27"/>
  <c r="HS64" i="27"/>
  <c r="HT64" i="27"/>
  <c r="HU64" i="27"/>
  <c r="HV64" i="27"/>
  <c r="HW64" i="27"/>
  <c r="HX64" i="27"/>
  <c r="HY64" i="27"/>
  <c r="HZ64" i="27"/>
  <c r="IA64" i="27"/>
  <c r="IB64" i="27"/>
  <c r="IC64" i="27"/>
  <c r="ID64" i="27"/>
  <c r="IE64" i="27"/>
  <c r="IF64" i="27"/>
  <c r="IG64" i="27"/>
  <c r="GY65" i="27"/>
  <c r="HB65" i="27"/>
  <c r="HN65" i="27"/>
  <c r="HO65" i="27"/>
  <c r="HP65" i="27"/>
  <c r="HQ65" i="27"/>
  <c r="HR65" i="27"/>
  <c r="HS65" i="27"/>
  <c r="HT65" i="27"/>
  <c r="HU65" i="27"/>
  <c r="HV65" i="27"/>
  <c r="HW65" i="27"/>
  <c r="HX65" i="27"/>
  <c r="HY65" i="27"/>
  <c r="HZ65" i="27"/>
  <c r="IA65" i="27"/>
  <c r="IB65" i="27"/>
  <c r="IC65" i="27"/>
  <c r="ID65" i="27"/>
  <c r="IE65" i="27"/>
  <c r="IF65" i="27"/>
  <c r="IG65" i="27"/>
  <c r="GY66" i="27"/>
  <c r="HB66" i="27"/>
  <c r="HN66" i="27"/>
  <c r="HO66" i="27"/>
  <c r="HP66" i="27"/>
  <c r="HQ66" i="27"/>
  <c r="HR66" i="27"/>
  <c r="HS66" i="27"/>
  <c r="HT66" i="27"/>
  <c r="HU66" i="27"/>
  <c r="HV66" i="27"/>
  <c r="HW66" i="27"/>
  <c r="HX66" i="27"/>
  <c r="HY66" i="27"/>
  <c r="HZ66" i="27"/>
  <c r="IA66" i="27"/>
  <c r="IB66" i="27"/>
  <c r="IC66" i="27"/>
  <c r="ID66" i="27"/>
  <c r="IE66" i="27"/>
  <c r="IF66" i="27"/>
  <c r="IG66" i="27"/>
  <c r="GY67" i="27"/>
  <c r="HB67" i="27" s="1"/>
  <c r="HN67" i="27"/>
  <c r="HO67" i="27"/>
  <c r="HP67" i="27"/>
  <c r="HQ67" i="27"/>
  <c r="HR67" i="27"/>
  <c r="HS67" i="27"/>
  <c r="HT67" i="27"/>
  <c r="HU67" i="27"/>
  <c r="HV67" i="27"/>
  <c r="HW67" i="27"/>
  <c r="HX67" i="27"/>
  <c r="HY67" i="27"/>
  <c r="HZ67" i="27"/>
  <c r="IA67" i="27"/>
  <c r="IB67" i="27"/>
  <c r="IC67" i="27"/>
  <c r="ID67" i="27"/>
  <c r="IE67" i="27"/>
  <c r="IF67" i="27"/>
  <c r="IG67" i="27"/>
  <c r="GY68" i="27"/>
  <c r="HB68" i="27"/>
  <c r="HN68" i="27"/>
  <c r="HO68" i="27"/>
  <c r="HP68" i="27"/>
  <c r="HQ68" i="27"/>
  <c r="HR68" i="27"/>
  <c r="HS68" i="27"/>
  <c r="HT68" i="27"/>
  <c r="HU68" i="27"/>
  <c r="HV68" i="27"/>
  <c r="HW68" i="27"/>
  <c r="HX68" i="27"/>
  <c r="HY68" i="27"/>
  <c r="HZ68" i="27"/>
  <c r="IA68" i="27"/>
  <c r="IB68" i="27"/>
  <c r="IC68" i="27"/>
  <c r="ID68" i="27"/>
  <c r="IE68" i="27"/>
  <c r="IF68" i="27"/>
  <c r="IG68" i="27"/>
  <c r="GY69" i="27"/>
  <c r="HB69" i="27"/>
  <c r="HN69" i="27"/>
  <c r="HO69" i="27"/>
  <c r="HP69" i="27"/>
  <c r="HQ69" i="27"/>
  <c r="HR69" i="27"/>
  <c r="HS69" i="27"/>
  <c r="HT69" i="27"/>
  <c r="HU69" i="27"/>
  <c r="HV69" i="27"/>
  <c r="HW69" i="27"/>
  <c r="HX69" i="27"/>
  <c r="HY69" i="27"/>
  <c r="HZ69" i="27"/>
  <c r="IA69" i="27"/>
  <c r="IB69" i="27"/>
  <c r="IC69" i="27"/>
  <c r="ID69" i="27"/>
  <c r="IE69" i="27"/>
  <c r="IF69" i="27"/>
  <c r="IG69" i="27"/>
  <c r="GY70" i="27"/>
  <c r="HB70" i="27"/>
  <c r="HN70" i="27"/>
  <c r="HO70" i="27"/>
  <c r="HP70" i="27"/>
  <c r="HQ70" i="27"/>
  <c r="HR70" i="27"/>
  <c r="HS70" i="27"/>
  <c r="HT70" i="27"/>
  <c r="HU70" i="27"/>
  <c r="HV70" i="27"/>
  <c r="HW70" i="27"/>
  <c r="HX70" i="27"/>
  <c r="HY70" i="27"/>
  <c r="HZ70" i="27"/>
  <c r="IA70" i="27"/>
  <c r="IB70" i="27"/>
  <c r="IC70" i="27"/>
  <c r="ID70" i="27"/>
  <c r="IE70" i="27"/>
  <c r="IF70" i="27"/>
  <c r="IG70" i="27"/>
  <c r="GY71" i="27"/>
  <c r="HB71" i="27" s="1"/>
  <c r="HN71" i="27"/>
  <c r="HO71" i="27"/>
  <c r="HP71" i="27"/>
  <c r="HQ71" i="27"/>
  <c r="HR71" i="27"/>
  <c r="HS71" i="27"/>
  <c r="HT71" i="27"/>
  <c r="HU71" i="27"/>
  <c r="HV71" i="27"/>
  <c r="HW71" i="27"/>
  <c r="HX71" i="27"/>
  <c r="HY71" i="27"/>
  <c r="HZ71" i="27"/>
  <c r="IA71" i="27"/>
  <c r="IB71" i="27"/>
  <c r="IC71" i="27"/>
  <c r="ID71" i="27"/>
  <c r="IE71" i="27"/>
  <c r="IF71" i="27"/>
  <c r="IG71" i="27"/>
  <c r="GY72" i="27"/>
  <c r="HB72" i="27"/>
  <c r="HN72" i="27"/>
  <c r="HO72" i="27"/>
  <c r="HP72" i="27"/>
  <c r="HQ72" i="27"/>
  <c r="HR72" i="27"/>
  <c r="HS72" i="27"/>
  <c r="HT72" i="27"/>
  <c r="HU72" i="27"/>
  <c r="HV72" i="27"/>
  <c r="HW72" i="27"/>
  <c r="HX72" i="27"/>
  <c r="HY72" i="27"/>
  <c r="HZ72" i="27"/>
  <c r="IA72" i="27"/>
  <c r="IB72" i="27"/>
  <c r="IC72" i="27"/>
  <c r="ID72" i="27"/>
  <c r="IE72" i="27"/>
  <c r="IF72" i="27"/>
  <c r="IG72" i="27"/>
  <c r="GY73" i="27"/>
  <c r="HB73" i="27"/>
  <c r="HN73" i="27"/>
  <c r="HO73" i="27"/>
  <c r="HP73" i="27"/>
  <c r="HQ73" i="27"/>
  <c r="HR73" i="27"/>
  <c r="HS73" i="27"/>
  <c r="HT73" i="27"/>
  <c r="HU73" i="27"/>
  <c r="HV73" i="27"/>
  <c r="HW73" i="27"/>
  <c r="HX73" i="27"/>
  <c r="HY73" i="27"/>
  <c r="HZ73" i="27"/>
  <c r="IA73" i="27"/>
  <c r="IB73" i="27"/>
  <c r="IC73" i="27"/>
  <c r="ID73" i="27"/>
  <c r="IE73" i="27"/>
  <c r="IF73" i="27"/>
  <c r="IG73" i="27"/>
  <c r="GY74" i="27"/>
  <c r="HB74" i="27"/>
  <c r="HN74" i="27"/>
  <c r="HO74" i="27"/>
  <c r="HP74" i="27"/>
  <c r="HQ74" i="27"/>
  <c r="HR74" i="27"/>
  <c r="HS74" i="27"/>
  <c r="HT74" i="27"/>
  <c r="HU74" i="27"/>
  <c r="HV74" i="27"/>
  <c r="HW74" i="27"/>
  <c r="HX74" i="27"/>
  <c r="HY74" i="27"/>
  <c r="HZ74" i="27"/>
  <c r="IA74" i="27"/>
  <c r="IB74" i="27"/>
  <c r="IC74" i="27"/>
  <c r="ID74" i="27"/>
  <c r="IE74" i="27"/>
  <c r="IF74" i="27"/>
  <c r="IG74" i="27"/>
  <c r="GY75" i="27"/>
  <c r="HB75" i="27" s="1"/>
  <c r="HN75" i="27"/>
  <c r="HO75" i="27"/>
  <c r="HP75" i="27"/>
  <c r="HQ75" i="27"/>
  <c r="HR75" i="27"/>
  <c r="HS75" i="27"/>
  <c r="HT75" i="27"/>
  <c r="HU75" i="27"/>
  <c r="HV75" i="27"/>
  <c r="HW75" i="27"/>
  <c r="HX75" i="27"/>
  <c r="HY75" i="27"/>
  <c r="HZ75" i="27"/>
  <c r="IA75" i="27"/>
  <c r="IB75" i="27"/>
  <c r="IC75" i="27"/>
  <c r="ID75" i="27"/>
  <c r="IE75" i="27"/>
  <c r="IF75" i="27"/>
  <c r="IG75" i="27"/>
  <c r="GY76" i="27"/>
  <c r="HB76" i="27"/>
  <c r="HN76" i="27"/>
  <c r="HO76" i="27"/>
  <c r="HP76" i="27"/>
  <c r="HQ76" i="27"/>
  <c r="HR76" i="27"/>
  <c r="HS76" i="27"/>
  <c r="HT76" i="27"/>
  <c r="HU76" i="27"/>
  <c r="HV76" i="27"/>
  <c r="HW76" i="27"/>
  <c r="HX76" i="27"/>
  <c r="HY76" i="27"/>
  <c r="HZ76" i="27"/>
  <c r="IA76" i="27"/>
  <c r="IB76" i="27"/>
  <c r="IC76" i="27"/>
  <c r="ID76" i="27"/>
  <c r="IE76" i="27"/>
  <c r="IF76" i="27"/>
  <c r="IG76" i="27"/>
  <c r="GY77" i="27"/>
  <c r="HB77" i="27"/>
  <c r="HN77" i="27"/>
  <c r="HO77" i="27"/>
  <c r="HP77" i="27"/>
  <c r="HQ77" i="27"/>
  <c r="HR77" i="27"/>
  <c r="HS77" i="27"/>
  <c r="HT77" i="27"/>
  <c r="HU77" i="27"/>
  <c r="HV77" i="27"/>
  <c r="HW77" i="27"/>
  <c r="HX77" i="27"/>
  <c r="HY77" i="27"/>
  <c r="HZ77" i="27"/>
  <c r="IA77" i="27"/>
  <c r="IB77" i="27"/>
  <c r="IC77" i="27"/>
  <c r="ID77" i="27"/>
  <c r="IE77" i="27"/>
  <c r="IF77" i="27"/>
  <c r="IG77" i="27"/>
  <c r="GY78" i="27"/>
  <c r="HB78" i="27"/>
  <c r="HN78" i="27"/>
  <c r="HO78" i="27"/>
  <c r="HP78" i="27"/>
  <c r="HQ78" i="27"/>
  <c r="HR78" i="27"/>
  <c r="HS78" i="27"/>
  <c r="HT78" i="27"/>
  <c r="HU78" i="27"/>
  <c r="HV78" i="27"/>
  <c r="HW78" i="27"/>
  <c r="HX78" i="27"/>
  <c r="HY78" i="27"/>
  <c r="HZ78" i="27"/>
  <c r="IA78" i="27"/>
  <c r="IB78" i="27"/>
  <c r="IC78" i="27"/>
  <c r="ID78" i="27"/>
  <c r="IE78" i="27"/>
  <c r="IF78" i="27"/>
  <c r="IG78" i="27"/>
  <c r="GY79" i="27"/>
  <c r="HB79" i="27" s="1"/>
  <c r="HN79" i="27"/>
  <c r="HO79" i="27"/>
  <c r="HP79" i="27"/>
  <c r="HQ79" i="27"/>
  <c r="HR79" i="27"/>
  <c r="HS79" i="27"/>
  <c r="HT79" i="27"/>
  <c r="HU79" i="27"/>
  <c r="HV79" i="27"/>
  <c r="HW79" i="27"/>
  <c r="HX79" i="27"/>
  <c r="HY79" i="27"/>
  <c r="HZ79" i="27"/>
  <c r="IA79" i="27"/>
  <c r="IB79" i="27"/>
  <c r="IC79" i="27"/>
  <c r="ID79" i="27"/>
  <c r="IE79" i="27"/>
  <c r="IF79" i="27"/>
  <c r="IG79" i="27"/>
  <c r="GY80" i="27"/>
  <c r="HB80" i="27"/>
  <c r="HN80" i="27"/>
  <c r="HO80" i="27"/>
  <c r="HP80" i="27"/>
  <c r="HQ80" i="27"/>
  <c r="HR80" i="27"/>
  <c r="HS80" i="27"/>
  <c r="HT80" i="27"/>
  <c r="HU80" i="27"/>
  <c r="HV80" i="27"/>
  <c r="HW80" i="27"/>
  <c r="HX80" i="27"/>
  <c r="HY80" i="27"/>
  <c r="HZ80" i="27"/>
  <c r="IA80" i="27"/>
  <c r="IB80" i="27"/>
  <c r="IC80" i="27"/>
  <c r="ID80" i="27"/>
  <c r="IE80" i="27"/>
  <c r="IF80" i="27"/>
  <c r="IG80" i="27"/>
  <c r="HB81" i="27"/>
  <c r="HN81" i="27"/>
  <c r="HO81" i="27"/>
  <c r="HP81" i="27"/>
  <c r="HQ81" i="27"/>
  <c r="HR81" i="27"/>
  <c r="HS81" i="27"/>
  <c r="HT81" i="27"/>
  <c r="HU81" i="27"/>
  <c r="HV81" i="27"/>
  <c r="HW81" i="27"/>
  <c r="HX81" i="27"/>
  <c r="HY81" i="27"/>
  <c r="HZ81" i="27"/>
  <c r="IA81" i="27"/>
  <c r="IB81" i="27"/>
  <c r="IC81" i="27"/>
  <c r="ID81" i="27"/>
  <c r="IE81" i="27"/>
  <c r="IF81" i="27"/>
  <c r="IG81" i="27"/>
  <c r="GY82" i="27"/>
  <c r="HB82" i="27"/>
  <c r="HN82" i="27"/>
  <c r="HO82" i="27"/>
  <c r="HP82" i="27"/>
  <c r="HQ82" i="27"/>
  <c r="HR82" i="27"/>
  <c r="HS82" i="27"/>
  <c r="HT82" i="27"/>
  <c r="HU82" i="27"/>
  <c r="HV82" i="27"/>
  <c r="HW82" i="27"/>
  <c r="HX82" i="27"/>
  <c r="HY82" i="27"/>
  <c r="HZ82" i="27"/>
  <c r="IA82" i="27"/>
  <c r="IB82" i="27"/>
  <c r="IC82" i="27"/>
  <c r="ID82" i="27"/>
  <c r="IE82" i="27"/>
  <c r="IF82" i="27"/>
  <c r="IG82" i="27"/>
  <c r="GY83" i="27"/>
  <c r="HB83" i="27"/>
  <c r="HN83" i="27"/>
  <c r="HO83" i="27"/>
  <c r="HP83" i="27"/>
  <c r="HQ83" i="27"/>
  <c r="HR83" i="27"/>
  <c r="HS83" i="27"/>
  <c r="HT83" i="27"/>
  <c r="HU83" i="27"/>
  <c r="HV83" i="27"/>
  <c r="HW83" i="27"/>
  <c r="HX83" i="27"/>
  <c r="HY83" i="27"/>
  <c r="HZ83" i="27"/>
  <c r="IA83" i="27"/>
  <c r="IB83" i="27"/>
  <c r="IC83" i="27"/>
  <c r="ID83" i="27"/>
  <c r="IE83" i="27"/>
  <c r="IF83" i="27"/>
  <c r="IG83" i="27"/>
  <c r="GY84" i="27"/>
  <c r="HB84" i="27" s="1"/>
  <c r="HN84" i="27"/>
  <c r="HO84" i="27"/>
  <c r="HP84" i="27"/>
  <c r="HQ84" i="27"/>
  <c r="HR84" i="27"/>
  <c r="HS84" i="27"/>
  <c r="HT84" i="27"/>
  <c r="HU84" i="27"/>
  <c r="HV84" i="27"/>
  <c r="HW84" i="27"/>
  <c r="HX84" i="27"/>
  <c r="HY84" i="27"/>
  <c r="HZ84" i="27"/>
  <c r="IA84" i="27"/>
  <c r="IB84" i="27"/>
  <c r="IC84" i="27"/>
  <c r="ID84" i="27"/>
  <c r="IE84" i="27"/>
  <c r="IF84" i="27"/>
  <c r="IG84" i="27"/>
  <c r="GY85" i="27"/>
  <c r="HB85" i="27"/>
  <c r="HN85" i="27"/>
  <c r="HO85" i="27"/>
  <c r="HP85" i="27"/>
  <c r="HQ85" i="27"/>
  <c r="HR85" i="27"/>
  <c r="HS85" i="27"/>
  <c r="HT85" i="27"/>
  <c r="HU85" i="27"/>
  <c r="HV85" i="27"/>
  <c r="HW85" i="27"/>
  <c r="HX85" i="27"/>
  <c r="HY85" i="27"/>
  <c r="HZ85" i="27"/>
  <c r="IA85" i="27"/>
  <c r="IB85" i="27"/>
  <c r="IC85" i="27"/>
  <c r="ID85" i="27"/>
  <c r="IE85" i="27"/>
  <c r="IF85" i="27"/>
  <c r="IG85" i="27"/>
  <c r="GY86" i="27"/>
  <c r="HB86" i="27"/>
  <c r="HN86" i="27"/>
  <c r="HO86" i="27"/>
  <c r="HP86" i="27"/>
  <c r="HQ86" i="27"/>
  <c r="HR86" i="27"/>
  <c r="HS86" i="27"/>
  <c r="HT86" i="27"/>
  <c r="HU86" i="27"/>
  <c r="HV86" i="27"/>
  <c r="HW86" i="27"/>
  <c r="HX86" i="27"/>
  <c r="HY86" i="27"/>
  <c r="HZ86" i="27"/>
  <c r="IA86" i="27"/>
  <c r="IB86" i="27"/>
  <c r="IC86" i="27"/>
  <c r="ID86" i="27"/>
  <c r="IE86" i="27"/>
  <c r="IF86" i="27"/>
  <c r="IG86" i="27"/>
  <c r="GY87" i="27"/>
  <c r="HB87" i="27"/>
  <c r="HN87" i="27"/>
  <c r="HO87" i="27"/>
  <c r="HP87" i="27"/>
  <c r="HQ87" i="27"/>
  <c r="HR87" i="27"/>
  <c r="HS87" i="27"/>
  <c r="HT87" i="27"/>
  <c r="HU87" i="27"/>
  <c r="HV87" i="27"/>
  <c r="HW87" i="27"/>
  <c r="HX87" i="27"/>
  <c r="HY87" i="27"/>
  <c r="HZ87" i="27"/>
  <c r="IA87" i="27"/>
  <c r="IB87" i="27"/>
  <c r="IC87" i="27"/>
  <c r="ID87" i="27"/>
  <c r="IE87" i="27"/>
  <c r="IF87" i="27"/>
  <c r="IG87" i="27"/>
  <c r="GY88" i="27"/>
  <c r="HB88" i="27" s="1"/>
  <c r="HN88" i="27"/>
  <c r="HO88" i="27"/>
  <c r="HP88" i="27"/>
  <c r="HQ88" i="27"/>
  <c r="HR88" i="27"/>
  <c r="HS88" i="27"/>
  <c r="HT88" i="27"/>
  <c r="HU88" i="27"/>
  <c r="HV88" i="27"/>
  <c r="HW88" i="27"/>
  <c r="HX88" i="27"/>
  <c r="HY88" i="27"/>
  <c r="HZ88" i="27"/>
  <c r="IA88" i="27"/>
  <c r="IB88" i="27"/>
  <c r="IC88" i="27"/>
  <c r="ID88" i="27"/>
  <c r="IE88" i="27"/>
  <c r="IF88" i="27"/>
  <c r="IG88" i="27"/>
  <c r="GY89" i="27"/>
  <c r="HB89" i="27"/>
  <c r="HN89" i="27"/>
  <c r="HO89" i="27"/>
  <c r="HP89" i="27"/>
  <c r="HQ89" i="27"/>
  <c r="HR89" i="27"/>
  <c r="HS89" i="27"/>
  <c r="HT89" i="27"/>
  <c r="HU89" i="27"/>
  <c r="HV89" i="27"/>
  <c r="HW89" i="27"/>
  <c r="HX89" i="27"/>
  <c r="HY89" i="27"/>
  <c r="HZ89" i="27"/>
  <c r="IA89" i="27"/>
  <c r="IB89" i="27"/>
  <c r="IC89" i="27"/>
  <c r="ID89" i="27"/>
  <c r="IE89" i="27"/>
  <c r="IF89" i="27"/>
  <c r="IG89" i="27"/>
  <c r="GY90" i="27"/>
  <c r="HB90" i="27"/>
  <c r="HN90" i="27"/>
  <c r="HO90" i="27"/>
  <c r="HP90" i="27"/>
  <c r="HQ90" i="27"/>
  <c r="HR90" i="27"/>
  <c r="HS90" i="27"/>
  <c r="HT90" i="27"/>
  <c r="HU90" i="27"/>
  <c r="HV90" i="27"/>
  <c r="HW90" i="27"/>
  <c r="HX90" i="27"/>
  <c r="HY90" i="27"/>
  <c r="HZ90" i="27"/>
  <c r="IA90" i="27"/>
  <c r="IB90" i="27"/>
  <c r="IC90" i="27"/>
  <c r="ID90" i="27"/>
  <c r="IE90" i="27"/>
  <c r="IF90" i="27"/>
  <c r="IG90" i="27"/>
  <c r="GY91" i="27"/>
  <c r="HB91" i="27"/>
  <c r="HN91" i="27"/>
  <c r="HO91" i="27"/>
  <c r="HP91" i="27"/>
  <c r="HQ91" i="27"/>
  <c r="HR91" i="27"/>
  <c r="HS91" i="27"/>
  <c r="HT91" i="27"/>
  <c r="HU91" i="27"/>
  <c r="HV91" i="27"/>
  <c r="HW91" i="27"/>
  <c r="HX91" i="27"/>
  <c r="HY91" i="27"/>
  <c r="HZ91" i="27"/>
  <c r="IA91" i="27"/>
  <c r="IB91" i="27"/>
  <c r="IC91" i="27"/>
  <c r="ID91" i="27"/>
  <c r="IE91" i="27"/>
  <c r="IF91" i="27"/>
  <c r="IG91" i="27"/>
  <c r="GY92" i="27"/>
  <c r="HB92" i="27" s="1"/>
  <c r="HN92" i="27"/>
  <c r="HO92" i="27"/>
  <c r="HP92" i="27"/>
  <c r="HQ92" i="27"/>
  <c r="HR92" i="27"/>
  <c r="HS92" i="27"/>
  <c r="HT92" i="27"/>
  <c r="HU92" i="27"/>
  <c r="HV92" i="27"/>
  <c r="HW92" i="27"/>
  <c r="HX92" i="27"/>
  <c r="HY92" i="27"/>
  <c r="HZ92" i="27"/>
  <c r="IA92" i="27"/>
  <c r="IB92" i="27"/>
  <c r="IC92" i="27"/>
  <c r="ID92" i="27"/>
  <c r="IE92" i="27"/>
  <c r="IF92" i="27"/>
  <c r="IG92" i="27"/>
  <c r="GY93" i="27"/>
  <c r="HB93" i="27"/>
  <c r="HN93" i="27"/>
  <c r="HO93" i="27"/>
  <c r="HP93" i="27"/>
  <c r="HQ93" i="27"/>
  <c r="HR93" i="27"/>
  <c r="HS93" i="27"/>
  <c r="HT93" i="27"/>
  <c r="HU93" i="27"/>
  <c r="HV93" i="27"/>
  <c r="HW93" i="27"/>
  <c r="HX93" i="27"/>
  <c r="HY93" i="27"/>
  <c r="HZ93" i="27"/>
  <c r="IA93" i="27"/>
  <c r="IB93" i="27"/>
  <c r="IC93" i="27"/>
  <c r="ID93" i="27"/>
  <c r="IE93" i="27"/>
  <c r="IF93" i="27"/>
  <c r="IG93" i="27"/>
  <c r="GY94" i="27"/>
  <c r="HB94" i="27"/>
  <c r="HB95" i="27"/>
  <c r="GY96" i="27"/>
  <c r="HB96" i="27"/>
  <c r="GY97" i="27"/>
  <c r="HB97" i="27"/>
  <c r="GY98" i="27"/>
  <c r="HB98" i="27"/>
  <c r="GY99" i="27"/>
  <c r="HB99" i="27"/>
  <c r="GY100" i="27"/>
  <c r="HB100" i="27"/>
  <c r="GY101" i="27"/>
  <c r="HB101" i="27"/>
  <c r="GY102" i="27"/>
  <c r="HB102" i="27"/>
  <c r="GY103" i="27"/>
  <c r="HB103" i="27"/>
  <c r="HB104" i="27"/>
  <c r="HO111" i="27"/>
  <c r="IB111" i="27" s="1"/>
  <c r="HP111" i="27"/>
  <c r="HR111" i="27"/>
  <c r="HV111" i="27"/>
  <c r="HY111" i="27"/>
  <c r="HZ111" i="27"/>
  <c r="IA111" i="27"/>
  <c r="AN64" i="27"/>
  <c r="AN68" i="27"/>
  <c r="O40" i="27"/>
  <c r="P64" i="27"/>
  <c r="P68" i="27" s="1"/>
  <c r="Q64" i="27"/>
  <c r="R64" i="27"/>
  <c r="S64" i="27"/>
  <c r="S68" i="27" s="1"/>
  <c r="T64" i="27"/>
  <c r="T68" i="27" s="1"/>
  <c r="U64" i="27"/>
  <c r="U68" i="27" s="1"/>
  <c r="W64" i="27"/>
  <c r="X64" i="27"/>
  <c r="Y64" i="27"/>
  <c r="Y68" i="27" s="1"/>
  <c r="Z64" i="27"/>
  <c r="AA64" i="27"/>
  <c r="AB64" i="27"/>
  <c r="AB68" i="27" s="1"/>
  <c r="AC64" i="27"/>
  <c r="AC68" i="27" s="1"/>
  <c r="AD64" i="27"/>
  <c r="AD68" i="27" s="1"/>
  <c r="AE64" i="27"/>
  <c r="AF64" i="27"/>
  <c r="AG64" i="27"/>
  <c r="AG68" i="27" s="1"/>
  <c r="AI64" i="27"/>
  <c r="AJ64" i="27"/>
  <c r="AK64" i="27"/>
  <c r="AK68" i="27" s="1"/>
  <c r="AL64" i="27"/>
  <c r="AL68" i="27" s="1"/>
  <c r="Q68" i="27"/>
  <c r="R68" i="27"/>
  <c r="W68" i="27"/>
  <c r="X68" i="27"/>
  <c r="Z68" i="27"/>
  <c r="AA68" i="27"/>
  <c r="AE68" i="27"/>
  <c r="AF68" i="27"/>
  <c r="AI68" i="27"/>
  <c r="AJ68" i="27"/>
  <c r="HB13" i="27" l="1"/>
  <c r="HB10" i="27"/>
  <c r="FZ168" i="27" a="1"/>
  <c r="FZ168" i="27" s="1"/>
  <c r="FY168" i="27" a="1"/>
  <c r="FY168" i="27" s="1"/>
  <c r="FX168" i="27" a="1"/>
  <c r="FX168" i="27" s="1"/>
  <c r="FZ167" i="27" a="1"/>
  <c r="FZ167" i="27" s="1"/>
  <c r="FY167" i="27" a="1"/>
  <c r="FY167" i="27" s="1"/>
  <c r="FX167" i="27" a="1"/>
  <c r="FX167" i="27" s="1"/>
  <c r="FZ166" i="27" a="1"/>
  <c r="FZ166" i="27" s="1"/>
  <c r="FY166" i="27" a="1"/>
  <c r="FY166" i="27" s="1"/>
  <c r="FX166" i="27" a="1"/>
  <c r="FX166" i="27" s="1"/>
  <c r="FZ165" i="27" a="1"/>
  <c r="FZ165" i="27" s="1"/>
  <c r="FY165" i="27" a="1"/>
  <c r="FY165" i="27" s="1"/>
  <c r="FX165" i="27" a="1"/>
  <c r="FX165" i="27" s="1"/>
  <c r="FZ164" i="27" a="1"/>
  <c r="FZ164" i="27" s="1"/>
  <c r="FY164" i="27" a="1"/>
  <c r="FY164" i="27" s="1"/>
  <c r="FX164" i="27" a="1"/>
  <c r="FX164" i="27" s="1"/>
  <c r="FZ163" i="27" a="1"/>
  <c r="FZ163" i="27" s="1"/>
  <c r="FY163" i="27" a="1"/>
  <c r="FY163" i="27" s="1"/>
  <c r="FX163" i="27" a="1"/>
  <c r="FX163" i="27" s="1"/>
  <c r="FZ162" i="27" a="1"/>
  <c r="FZ162" i="27" s="1"/>
  <c r="FY162" i="27" a="1"/>
  <c r="FY162" i="27" s="1"/>
  <c r="FX162" i="27" a="1"/>
  <c r="FX162" i="27" s="1"/>
  <c r="FZ161" i="27" a="1"/>
  <c r="FZ161" i="27" s="1"/>
  <c r="FY161" i="27" a="1"/>
  <c r="FY161" i="27" s="1"/>
  <c r="FX161" i="27" a="1"/>
  <c r="FX161" i="27" s="1"/>
  <c r="FZ160" i="27" a="1"/>
  <c r="FZ160" i="27" s="1"/>
  <c r="FY160" i="27" a="1"/>
  <c r="FY160" i="27" s="1"/>
  <c r="FX160" i="27" a="1"/>
  <c r="FX160" i="27" s="1"/>
  <c r="FZ159" i="27" a="1"/>
  <c r="FZ159" i="27" s="1"/>
  <c r="FY159" i="27" a="1"/>
  <c r="FY159" i="27" s="1"/>
  <c r="FX159" i="27" a="1"/>
  <c r="FX159" i="27" s="1"/>
  <c r="FZ158" i="27" a="1"/>
  <c r="FZ158" i="27" s="1"/>
  <c r="FY158" i="27" a="1"/>
  <c r="FY158" i="27" s="1"/>
  <c r="FX158" i="27" a="1"/>
  <c r="FX158" i="27" s="1"/>
  <c r="FZ157" i="27" a="1"/>
  <c r="FZ157" i="27" s="1"/>
  <c r="FY157" i="27" a="1"/>
  <c r="FY157" i="27" s="1"/>
  <c r="FX157" i="27" a="1"/>
  <c r="FX157" i="27" s="1"/>
  <c r="FZ156" i="27" a="1"/>
  <c r="FZ156" i="27" s="1"/>
  <c r="FY156" i="27" a="1"/>
  <c r="FY156" i="27" s="1"/>
  <c r="FX156" i="27" a="1"/>
  <c r="FX156" i="27" s="1"/>
  <c r="FZ155" i="27" a="1"/>
  <c r="FZ155" i="27" s="1"/>
  <c r="FY155" i="27" a="1"/>
  <c r="FY155" i="27" s="1"/>
  <c r="FX155" i="27" a="1"/>
  <c r="FX155" i="27" s="1"/>
  <c r="FZ154" i="27" a="1"/>
  <c r="FZ154" i="27" s="1"/>
  <c r="FY154" i="27" a="1"/>
  <c r="FY154" i="27" s="1"/>
  <c r="FX154" i="27" a="1"/>
  <c r="FX154" i="27" s="1"/>
  <c r="FZ153" i="27" a="1"/>
  <c r="FZ153" i="27" s="1"/>
  <c r="FY153" i="27" a="1"/>
  <c r="FY153" i="27" s="1"/>
  <c r="FX153" i="27" a="1"/>
  <c r="FX153" i="27" s="1"/>
  <c r="FZ152" i="27" a="1"/>
  <c r="FZ152" i="27" s="1"/>
  <c r="FY152" i="27" a="1"/>
  <c r="FY152" i="27" s="1"/>
  <c r="FX152" i="27" a="1"/>
  <c r="FX152" i="27" s="1"/>
  <c r="FZ151" i="27" a="1"/>
  <c r="FZ151" i="27" s="1"/>
  <c r="FY151" i="27" a="1"/>
  <c r="FY151" i="27" s="1"/>
  <c r="FX151" i="27" a="1"/>
  <c r="FX151" i="27" s="1"/>
  <c r="FZ150" i="27" a="1"/>
  <c r="FZ150" i="27" s="1"/>
  <c r="FY150" i="27" a="1"/>
  <c r="FY150" i="27" s="1"/>
  <c r="FX150" i="27" a="1"/>
  <c r="FX150" i="27" s="1"/>
  <c r="FZ149" i="27" a="1"/>
  <c r="FZ149" i="27" s="1"/>
  <c r="FY149" i="27" a="1"/>
  <c r="FY149" i="27" s="1"/>
  <c r="FX149" i="27" a="1"/>
  <c r="FX149" i="27" s="1"/>
  <c r="FZ148" i="27" a="1"/>
  <c r="FZ148" i="27" s="1"/>
  <c r="FY148" i="27" a="1"/>
  <c r="FY148" i="27" s="1"/>
  <c r="FX148" i="27" a="1"/>
  <c r="FX148" i="27" s="1"/>
  <c r="FZ147" i="27" a="1"/>
  <c r="FZ147" i="27" s="1"/>
  <c r="FY147" i="27" a="1"/>
  <c r="FY147" i="27" s="1"/>
  <c r="FX147" i="27" a="1"/>
  <c r="FX147" i="27" s="1"/>
  <c r="FZ146" i="27" a="1"/>
  <c r="FZ146" i="27" s="1"/>
  <c r="FY146" i="27" a="1"/>
  <c r="FY146" i="27" s="1"/>
  <c r="FX146" i="27" a="1"/>
  <c r="FX146" i="27" s="1"/>
  <c r="FZ145" i="27" a="1"/>
  <c r="FZ145" i="27" s="1"/>
  <c r="FY145" i="27" a="1"/>
  <c r="FY145" i="27" s="1"/>
  <c r="FX145" i="27" a="1"/>
  <c r="FX145" i="27" s="1"/>
  <c r="FZ144" i="27" a="1"/>
  <c r="FZ144" i="27" s="1"/>
  <c r="FY144" i="27" a="1"/>
  <c r="FY144" i="27" s="1"/>
  <c r="FX144" i="27" a="1"/>
  <c r="FX144" i="27" s="1"/>
  <c r="FZ143" i="27" a="1"/>
  <c r="FZ143" i="27" s="1"/>
  <c r="FY143" i="27" a="1"/>
  <c r="FY143" i="27" s="1"/>
  <c r="FX143" i="27" a="1"/>
  <c r="FX143" i="27" s="1"/>
  <c r="FZ142" i="27" a="1"/>
  <c r="FZ142" i="27" s="1"/>
  <c r="FY142" i="27" a="1"/>
  <c r="FY142" i="27" s="1"/>
  <c r="FX142" i="27" a="1"/>
  <c r="FX142" i="27" s="1"/>
  <c r="FZ141" i="27" a="1"/>
  <c r="FZ141" i="27" s="1"/>
  <c r="FY141" i="27" a="1"/>
  <c r="FY141" i="27" s="1"/>
  <c r="FX141" i="27" a="1"/>
  <c r="FX141" i="27" s="1"/>
  <c r="FZ140" i="27" a="1"/>
  <c r="FZ140" i="27" s="1"/>
  <c r="FY140" i="27" a="1"/>
  <c r="FY140" i="27" s="1"/>
  <c r="FX140" i="27" a="1"/>
  <c r="FX140" i="27" s="1"/>
  <c r="FZ139" i="27" a="1"/>
  <c r="FZ139" i="27" s="1"/>
  <c r="FY139" i="27" a="1"/>
  <c r="FY139" i="27" s="1"/>
  <c r="FX139" i="27" a="1"/>
  <c r="FX139" i="27" s="1"/>
  <c r="FZ138" i="27" a="1"/>
  <c r="FZ138" i="27" s="1"/>
  <c r="FY138" i="27" a="1"/>
  <c r="FY138" i="27" s="1"/>
  <c r="FX138" i="27" a="1"/>
  <c r="FX138" i="27" s="1"/>
  <c r="FZ137" i="27" a="1"/>
  <c r="FZ137" i="27" s="1"/>
  <c r="FY137" i="27" a="1"/>
  <c r="FY137" i="27" s="1"/>
  <c r="FX137" i="27" a="1"/>
  <c r="FX137" i="27" s="1"/>
  <c r="FZ136" i="27" a="1"/>
  <c r="FZ136" i="27" s="1"/>
  <c r="FY136" i="27" a="1"/>
  <c r="FY136" i="27" s="1"/>
  <c r="FX136" i="27" a="1"/>
  <c r="FX136" i="27" s="1"/>
  <c r="FW137" i="27"/>
  <c r="FW138" i="27"/>
  <c r="FW139" i="27"/>
  <c r="FW140" i="27"/>
  <c r="FW141" i="27"/>
  <c r="FW142" i="27"/>
  <c r="FW143" i="27"/>
  <c r="FW144" i="27"/>
  <c r="FW145" i="27"/>
  <c r="FW146" i="27"/>
  <c r="FW147" i="27"/>
  <c r="FW148" i="27"/>
  <c r="FW149" i="27"/>
  <c r="FW150" i="27"/>
  <c r="FW151" i="27"/>
  <c r="FW152" i="27"/>
  <c r="FW153" i="27"/>
  <c r="FW154" i="27"/>
  <c r="FW155" i="27"/>
  <c r="FW156" i="27"/>
  <c r="FW157" i="27"/>
  <c r="FW158" i="27"/>
  <c r="FW159" i="27"/>
  <c r="FW160" i="27"/>
  <c r="FW161" i="27"/>
  <c r="FW162" i="27"/>
  <c r="FW163" i="27"/>
  <c r="FW164" i="27"/>
  <c r="FW165" i="27"/>
  <c r="FW166" i="27"/>
  <c r="FW167" i="27"/>
  <c r="FW168" i="27"/>
  <c r="FW169" i="27"/>
  <c r="FW170" i="27"/>
  <c r="FW171" i="27"/>
  <c r="FW172" i="27"/>
  <c r="FW173" i="27"/>
  <c r="FW174" i="27"/>
  <c r="FW91" i="27"/>
  <c r="FW92" i="27"/>
  <c r="FW93" i="27"/>
  <c r="FW94" i="27"/>
  <c r="FW95" i="27"/>
  <c r="FW96" i="27"/>
  <c r="FW97" i="27"/>
  <c r="FW98" i="27"/>
  <c r="FW99" i="27"/>
  <c r="FW100" i="27"/>
  <c r="FW101" i="27"/>
  <c r="FW102" i="27"/>
  <c r="FW103" i="27"/>
  <c r="FW104" i="27"/>
  <c r="FW105" i="27"/>
  <c r="FW106" i="27"/>
  <c r="FW107" i="27"/>
  <c r="FW108" i="27"/>
  <c r="FW109" i="27"/>
  <c r="FW110" i="27"/>
  <c r="FW111" i="27"/>
  <c r="FW112" i="27"/>
  <c r="FW113" i="27"/>
  <c r="FW114" i="27"/>
  <c r="FW115" i="27"/>
  <c r="FW116" i="27"/>
  <c r="FW117" i="27"/>
  <c r="FW118" i="27"/>
  <c r="FW119" i="27"/>
  <c r="FW120" i="27"/>
  <c r="FW121" i="27"/>
  <c r="FW122" i="27"/>
  <c r="FW123" i="27"/>
  <c r="FW124" i="27"/>
  <c r="FW125" i="27"/>
  <c r="FW126" i="27"/>
  <c r="FW127" i="27"/>
  <c r="FW128" i="27"/>
  <c r="FW90" i="27"/>
  <c r="FW136" i="27"/>
  <c r="FQ229" i="27" a="1"/>
  <c r="FQ229" i="27" s="1"/>
  <c r="FP229" i="27" a="1"/>
  <c r="FP229" i="27" s="1"/>
  <c r="FO229" i="27" a="1"/>
  <c r="FO229" i="27" s="1"/>
  <c r="FQ228" i="27" a="1"/>
  <c r="FQ228" i="27" s="1"/>
  <c r="FP228" i="27" a="1"/>
  <c r="FP228" i="27" s="1"/>
  <c r="FO228" i="27" a="1"/>
  <c r="FO228" i="27" s="1"/>
  <c r="FQ227" i="27" a="1"/>
  <c r="FQ227" i="27" s="1"/>
  <c r="FP227" i="27" a="1"/>
  <c r="FP227" i="27" s="1"/>
  <c r="FO227" i="27" a="1"/>
  <c r="FO227" i="27" s="1"/>
  <c r="FQ226" i="27" a="1"/>
  <c r="FQ226" i="27" s="1"/>
  <c r="FP226" i="27" a="1"/>
  <c r="FP226" i="27" s="1"/>
  <c r="FO226" i="27" a="1"/>
  <c r="FO226" i="27" s="1"/>
  <c r="FQ225" i="27" a="1"/>
  <c r="FQ225" i="27" s="1"/>
  <c r="FP225" i="27" a="1"/>
  <c r="FP225" i="27" s="1"/>
  <c r="FO225" i="27" a="1"/>
  <c r="FO225" i="27" s="1"/>
  <c r="FQ224" i="27" a="1"/>
  <c r="FQ224" i="27" s="1"/>
  <c r="FP224" i="27" a="1"/>
  <c r="FP224" i="27" s="1"/>
  <c r="FO224" i="27" a="1"/>
  <c r="FO224" i="27" s="1"/>
  <c r="FQ223" i="27" a="1"/>
  <c r="FQ223" i="27" s="1"/>
  <c r="FP223" i="27" a="1"/>
  <c r="FP223" i="27" s="1"/>
  <c r="FO223" i="27" a="1"/>
  <c r="FO223" i="27" s="1"/>
  <c r="FQ222" i="27" a="1"/>
  <c r="FQ222" i="27" s="1"/>
  <c r="FP222" i="27" a="1"/>
  <c r="FP222" i="27" s="1"/>
  <c r="FO222" i="27" a="1"/>
  <c r="FO222" i="27" s="1"/>
  <c r="FQ221" i="27" a="1"/>
  <c r="FQ221" i="27" s="1"/>
  <c r="FP221" i="27" a="1"/>
  <c r="FP221" i="27" s="1"/>
  <c r="FO221" i="27" a="1"/>
  <c r="FO221" i="27" s="1"/>
  <c r="FQ220" i="27" a="1"/>
  <c r="FQ220" i="27" s="1"/>
  <c r="FP220" i="27" a="1"/>
  <c r="FP220" i="27" s="1"/>
  <c r="FO220" i="27" a="1"/>
  <c r="FO220" i="27" s="1"/>
  <c r="FQ219" i="27" a="1"/>
  <c r="FQ219" i="27" s="1"/>
  <c r="FP219" i="27" a="1"/>
  <c r="FP219" i="27" s="1"/>
  <c r="FO219" i="27" a="1"/>
  <c r="FO219" i="27" s="1"/>
  <c r="FP218" i="27" a="1"/>
  <c r="FP218" i="27" s="1"/>
  <c r="FO218" i="27" a="1"/>
  <c r="FO218" i="27" s="1"/>
  <c r="FQ217" i="27" a="1"/>
  <c r="FQ217" i="27" s="1"/>
  <c r="FP217" i="27" a="1"/>
  <c r="FP217" i="27" s="1"/>
  <c r="FO217" i="27" a="1"/>
  <c r="FO217" i="27" s="1"/>
  <c r="FQ216" i="27" a="1"/>
  <c r="FQ216" i="27" s="1"/>
  <c r="FP216" i="27" a="1"/>
  <c r="FP216" i="27" s="1"/>
  <c r="FO216" i="27" a="1"/>
  <c r="FO216" i="27" s="1"/>
  <c r="FQ215" i="27" a="1"/>
  <c r="FQ215" i="27" s="1"/>
  <c r="FP215" i="27" a="1"/>
  <c r="FP215" i="27" s="1"/>
  <c r="FO215" i="27" a="1"/>
  <c r="FO215" i="27" s="1"/>
  <c r="FQ214" i="27" a="1"/>
  <c r="FQ214" i="27" s="1"/>
  <c r="FP214" i="27" a="1"/>
  <c r="FP214" i="27" s="1"/>
  <c r="FO214" i="27" a="1"/>
  <c r="FO214" i="27" s="1"/>
  <c r="FQ213" i="27" a="1"/>
  <c r="FQ213" i="27" s="1"/>
  <c r="FP213" i="27" a="1"/>
  <c r="FP213" i="27" s="1"/>
  <c r="FO213" i="27" a="1"/>
  <c r="FO213" i="27" s="1"/>
  <c r="FQ212" i="27" a="1"/>
  <c r="FQ212" i="27" s="1"/>
  <c r="FP212" i="27" a="1"/>
  <c r="FP212" i="27" s="1"/>
  <c r="FO212" i="27" a="1"/>
  <c r="FO212" i="27" s="1"/>
  <c r="FQ211" i="27" a="1"/>
  <c r="FQ211" i="27" s="1"/>
  <c r="FP211" i="27" a="1"/>
  <c r="FP211" i="27" s="1"/>
  <c r="FO211" i="27" a="1"/>
  <c r="FO211" i="27" s="1"/>
  <c r="FQ210" i="27" a="1"/>
  <c r="FQ210" i="27" s="1"/>
  <c r="FP210" i="27" a="1"/>
  <c r="FP210" i="27" s="1"/>
  <c r="FO210" i="27" a="1"/>
  <c r="FO210" i="27" s="1"/>
  <c r="FQ209" i="27" a="1"/>
  <c r="FQ209" i="27" s="1"/>
  <c r="FP209" i="27" a="1"/>
  <c r="FP209" i="27" s="1"/>
  <c r="FO209" i="27" a="1"/>
  <c r="FO209" i="27" s="1"/>
  <c r="FQ208" i="27" a="1"/>
  <c r="FQ208" i="27" s="1"/>
  <c r="FP208" i="27" a="1"/>
  <c r="FP208" i="27" s="1"/>
  <c r="FO208" i="27" a="1"/>
  <c r="FO208" i="27" s="1"/>
  <c r="FQ207" i="27" a="1"/>
  <c r="FQ207" i="27" s="1"/>
  <c r="FP207" i="27" a="1"/>
  <c r="FP207" i="27" s="1"/>
  <c r="FO207" i="27" a="1"/>
  <c r="FO207" i="27" s="1"/>
  <c r="FQ206" i="27" a="1"/>
  <c r="FQ206" i="27" s="1"/>
  <c r="FP206" i="27" a="1"/>
  <c r="FP206" i="27" s="1"/>
  <c r="FO206" i="27" a="1"/>
  <c r="FO206" i="27" s="1"/>
  <c r="FQ205" i="27" a="1"/>
  <c r="FQ205" i="27" s="1"/>
  <c r="FP205" i="27" a="1"/>
  <c r="FP205" i="27" s="1"/>
  <c r="FO205" i="27" a="1"/>
  <c r="FO205" i="27" s="1"/>
  <c r="FQ204" i="27" a="1"/>
  <c r="FQ204" i="27" s="1"/>
  <c r="FP204" i="27" a="1"/>
  <c r="FP204" i="27" s="1"/>
  <c r="FO204" i="27" a="1"/>
  <c r="FO204" i="27" s="1"/>
  <c r="FQ203" i="27" a="1"/>
  <c r="FQ203" i="27" s="1"/>
  <c r="FP203" i="27" a="1"/>
  <c r="FP203" i="27" s="1"/>
  <c r="FO203" i="27" a="1"/>
  <c r="FO203" i="27" s="1"/>
  <c r="FQ202" i="27" a="1"/>
  <c r="FQ202" i="27" s="1"/>
  <c r="FP202" i="27" a="1"/>
  <c r="FP202" i="27" s="1"/>
  <c r="FO202" i="27" a="1"/>
  <c r="FO202" i="27" s="1"/>
  <c r="FQ201" i="27" a="1"/>
  <c r="FQ201" i="27" s="1"/>
  <c r="FP201" i="27" a="1"/>
  <c r="FP201" i="27" s="1"/>
  <c r="FO201" i="27" a="1"/>
  <c r="FO201" i="27" s="1"/>
  <c r="FQ200" i="27" a="1"/>
  <c r="FQ200" i="27" s="1"/>
  <c r="FP200" i="27" a="1"/>
  <c r="FP200" i="27" s="1"/>
  <c r="FO200" i="27" a="1"/>
  <c r="FO200" i="27" s="1"/>
  <c r="FQ199" i="27" a="1"/>
  <c r="FQ199" i="27" s="1"/>
  <c r="FP199" i="27" a="1"/>
  <c r="FP199" i="27" s="1"/>
  <c r="FO199" i="27" a="1"/>
  <c r="FO199" i="27" s="1"/>
  <c r="FQ198" i="27" a="1"/>
  <c r="FQ198" i="27" s="1"/>
  <c r="FP198" i="27" a="1"/>
  <c r="FP198" i="27" s="1"/>
  <c r="FO198" i="27" a="1"/>
  <c r="FO198" i="27" s="1"/>
  <c r="FQ197" i="27" a="1"/>
  <c r="FQ197" i="27" s="1"/>
  <c r="FP197" i="27" a="1"/>
  <c r="FP197" i="27" s="1"/>
  <c r="FO197" i="27" a="1"/>
  <c r="FO197" i="27" s="1"/>
  <c r="FG229" i="27" a="1"/>
  <c r="FG229" i="27" s="1"/>
  <c r="FF229" i="27" a="1"/>
  <c r="FF229" i="27" s="1"/>
  <c r="FE229" i="27" a="1"/>
  <c r="FE229" i="27" s="1"/>
  <c r="FG228" i="27" a="1"/>
  <c r="FG228" i="27" s="1"/>
  <c r="FF228" i="27" a="1"/>
  <c r="FF228" i="27" s="1"/>
  <c r="FE228" i="27" a="1"/>
  <c r="FE228" i="27" s="1"/>
  <c r="FG226" i="27" a="1"/>
  <c r="FG226" i="27" s="1"/>
  <c r="FF226" i="27" a="1"/>
  <c r="FF226" i="27" s="1"/>
  <c r="FE226" i="27" a="1"/>
  <c r="FE226" i="27" s="1"/>
  <c r="EX234" i="27" a="1"/>
  <c r="EX234" i="27" s="1"/>
  <c r="EW234" i="27" a="1"/>
  <c r="EW234" i="27" s="1"/>
  <c r="EV234" i="27" a="1"/>
  <c r="EV234" i="27" s="1"/>
  <c r="EX233" i="27" a="1"/>
  <c r="EX233" i="27" s="1"/>
  <c r="EW233" i="27" a="1"/>
  <c r="EW233" i="27" s="1"/>
  <c r="EV233" i="27" a="1"/>
  <c r="EV233" i="27" s="1"/>
  <c r="EX231" i="27" a="1"/>
  <c r="EX231" i="27" s="1"/>
  <c r="EW231" i="27" a="1"/>
  <c r="EW231" i="27" s="1"/>
  <c r="EV231" i="27" a="1"/>
  <c r="EV231" i="27" s="1"/>
  <c r="FN197" i="27"/>
  <c r="FN235" i="27"/>
  <c r="FN234" i="27"/>
  <c r="FN233" i="27"/>
  <c r="FN232" i="27"/>
  <c r="FN231" i="27"/>
  <c r="FN230" i="27"/>
  <c r="FN229" i="27"/>
  <c r="FN228" i="27"/>
  <c r="FN227" i="27"/>
  <c r="FN226" i="27"/>
  <c r="FN225" i="27"/>
  <c r="FN224" i="27"/>
  <c r="FN223" i="27"/>
  <c r="FN222" i="27"/>
  <c r="FN221" i="27"/>
  <c r="FN220" i="27"/>
  <c r="FN219" i="27"/>
  <c r="FN218" i="27"/>
  <c r="FN217" i="27"/>
  <c r="FN216" i="27"/>
  <c r="FN215" i="27"/>
  <c r="FN214" i="27"/>
  <c r="FN213" i="27"/>
  <c r="FN212" i="27"/>
  <c r="FN211" i="27"/>
  <c r="FN210" i="27"/>
  <c r="FN209" i="27"/>
  <c r="FN208" i="27"/>
  <c r="FN207" i="27"/>
  <c r="FN206" i="27"/>
  <c r="FN205" i="27"/>
  <c r="FN204" i="27"/>
  <c r="FN203" i="27"/>
  <c r="FN202" i="27"/>
  <c r="FN201" i="27"/>
  <c r="FN200" i="27"/>
  <c r="FN199" i="27"/>
  <c r="FN198" i="27"/>
  <c r="FN142" i="27"/>
  <c r="FN143" i="27"/>
  <c r="FN144" i="27"/>
  <c r="FN145" i="27"/>
  <c r="FN146" i="27"/>
  <c r="FN147" i="27"/>
  <c r="FN148" i="27"/>
  <c r="FN149" i="27"/>
  <c r="FN150" i="27"/>
  <c r="FN151" i="27"/>
  <c r="FN152" i="27"/>
  <c r="FN153" i="27"/>
  <c r="FN154" i="27"/>
  <c r="FN155" i="27"/>
  <c r="FN156" i="27"/>
  <c r="FN157" i="27"/>
  <c r="FN158" i="27"/>
  <c r="FN159" i="27"/>
  <c r="FN160" i="27"/>
  <c r="FN161" i="27"/>
  <c r="FN162" i="27"/>
  <c r="FN163" i="27"/>
  <c r="FN164" i="27"/>
  <c r="FN165" i="27"/>
  <c r="FN166" i="27"/>
  <c r="FN167" i="27"/>
  <c r="FN168" i="27"/>
  <c r="FN169" i="27"/>
  <c r="FN170" i="27"/>
  <c r="FN171" i="27"/>
  <c r="FN172" i="27"/>
  <c r="FN173" i="27"/>
  <c r="FN174" i="27"/>
  <c r="FN175" i="27"/>
  <c r="FN176" i="27"/>
  <c r="FN177" i="27"/>
  <c r="FN178" i="27"/>
  <c r="FN179" i="27"/>
  <c r="FN141" i="27"/>
  <c r="FN96" i="27"/>
  <c r="FN97" i="27"/>
  <c r="FN98" i="27"/>
  <c r="FN99" i="27"/>
  <c r="FN100" i="27"/>
  <c r="FN101" i="27"/>
  <c r="FN102" i="27"/>
  <c r="FN103" i="27"/>
  <c r="FN104" i="27"/>
  <c r="FN105" i="27"/>
  <c r="FN106" i="27"/>
  <c r="FN107" i="27"/>
  <c r="FN108" i="27"/>
  <c r="FN109" i="27"/>
  <c r="FN110" i="27"/>
  <c r="FN111" i="27"/>
  <c r="FN112" i="27"/>
  <c r="FN113" i="27"/>
  <c r="FN114" i="27"/>
  <c r="FN115" i="27"/>
  <c r="FN116" i="27"/>
  <c r="FN117" i="27"/>
  <c r="FN118" i="27"/>
  <c r="FN119" i="27"/>
  <c r="FN120" i="27"/>
  <c r="FN121" i="27"/>
  <c r="FN122" i="27"/>
  <c r="FN123" i="27"/>
  <c r="FN124" i="27"/>
  <c r="FN125" i="27"/>
  <c r="FN126" i="27"/>
  <c r="FN127" i="27"/>
  <c r="FN128" i="27"/>
  <c r="FN129" i="27"/>
  <c r="FN130" i="27"/>
  <c r="FN131" i="27"/>
  <c r="FN132" i="27"/>
  <c r="FN133" i="27"/>
  <c r="FN95" i="27"/>
  <c r="FD199" i="27"/>
  <c r="FD200" i="27"/>
  <c r="FD201" i="27"/>
  <c r="FD202" i="27"/>
  <c r="FD203" i="27"/>
  <c r="FD204" i="27"/>
  <c r="FD205" i="27"/>
  <c r="FD206" i="27"/>
  <c r="FD207" i="27"/>
  <c r="FD208" i="27"/>
  <c r="FD209" i="27"/>
  <c r="FD210" i="27"/>
  <c r="FD211" i="27"/>
  <c r="FD212" i="27"/>
  <c r="FD213" i="27"/>
  <c r="FD214" i="27"/>
  <c r="FD215" i="27"/>
  <c r="FD216" i="27"/>
  <c r="FD217" i="27"/>
  <c r="FD218" i="27"/>
  <c r="FD219" i="27"/>
  <c r="FD220" i="27"/>
  <c r="FD221" i="27"/>
  <c r="FD222" i="27"/>
  <c r="FD223" i="27"/>
  <c r="FD224" i="27"/>
  <c r="FD225" i="27"/>
  <c r="FD226" i="27"/>
  <c r="FD227" i="27"/>
  <c r="FD228" i="27"/>
  <c r="FD229" i="27"/>
  <c r="FD230" i="27"/>
  <c r="FD231" i="27"/>
  <c r="FD232" i="27"/>
  <c r="FD233" i="27"/>
  <c r="FD234" i="27"/>
  <c r="FD235" i="27"/>
  <c r="FD236" i="27"/>
  <c r="FD143" i="27"/>
  <c r="FD144" i="27"/>
  <c r="FD145" i="27"/>
  <c r="FD146" i="27"/>
  <c r="FD147" i="27"/>
  <c r="FD148" i="27"/>
  <c r="FD149" i="27"/>
  <c r="FD150" i="27"/>
  <c r="FD151" i="27"/>
  <c r="FD152" i="27"/>
  <c r="FD153" i="27"/>
  <c r="FD154" i="27"/>
  <c r="FD155" i="27"/>
  <c r="FD156" i="27"/>
  <c r="FD157" i="27"/>
  <c r="FD158" i="27"/>
  <c r="FD159" i="27"/>
  <c r="FD160" i="27"/>
  <c r="FD161" i="27"/>
  <c r="FD162" i="27"/>
  <c r="FD163" i="27"/>
  <c r="FD164" i="27"/>
  <c r="FD165" i="27"/>
  <c r="FD166" i="27"/>
  <c r="FD167" i="27"/>
  <c r="FD168" i="27"/>
  <c r="FD169" i="27"/>
  <c r="FD170" i="27"/>
  <c r="FD171" i="27"/>
  <c r="FD172" i="27"/>
  <c r="FD173" i="27"/>
  <c r="FD174" i="27"/>
  <c r="FD175" i="27"/>
  <c r="FD176" i="27"/>
  <c r="FD177" i="27"/>
  <c r="FD178" i="27"/>
  <c r="FD179" i="27"/>
  <c r="FD180" i="27"/>
  <c r="FD97" i="27"/>
  <c r="FD98" i="27"/>
  <c r="FD99" i="27"/>
  <c r="FD100" i="27"/>
  <c r="FD101" i="27"/>
  <c r="FD102" i="27"/>
  <c r="FD103" i="27"/>
  <c r="FD104" i="27"/>
  <c r="FD105" i="27"/>
  <c r="FD106" i="27"/>
  <c r="FD107" i="27"/>
  <c r="FD108" i="27"/>
  <c r="FD109" i="27"/>
  <c r="FD110" i="27"/>
  <c r="FD111" i="27"/>
  <c r="FD112" i="27"/>
  <c r="FD113" i="27"/>
  <c r="FD114" i="27"/>
  <c r="FD115" i="27"/>
  <c r="FD116" i="27"/>
  <c r="FD117" i="27"/>
  <c r="FD118" i="27"/>
  <c r="FD119" i="27"/>
  <c r="FD120" i="27"/>
  <c r="FD121" i="27"/>
  <c r="FD122" i="27"/>
  <c r="FD123" i="27"/>
  <c r="FD124" i="27"/>
  <c r="FD125" i="27"/>
  <c r="FD126" i="27"/>
  <c r="FD127" i="27"/>
  <c r="FD128" i="27"/>
  <c r="FD129" i="27"/>
  <c r="FD130" i="27"/>
  <c r="FD131" i="27"/>
  <c r="FD132" i="27"/>
  <c r="FD133" i="27"/>
  <c r="FD134" i="27"/>
  <c r="FD142" i="27"/>
  <c r="FD96" i="27"/>
  <c r="EU204" i="27"/>
  <c r="EU205" i="27"/>
  <c r="EU206" i="27"/>
  <c r="EU207" i="27"/>
  <c r="EU208" i="27"/>
  <c r="EU209" i="27"/>
  <c r="EU210" i="27"/>
  <c r="EU211" i="27"/>
  <c r="EU212" i="27"/>
  <c r="EU213" i="27"/>
  <c r="EU214" i="27"/>
  <c r="EU215" i="27"/>
  <c r="EU216" i="27"/>
  <c r="EU217" i="27"/>
  <c r="EU218" i="27"/>
  <c r="EU219" i="27"/>
  <c r="EU220" i="27"/>
  <c r="EU221" i="27"/>
  <c r="EU222" i="27"/>
  <c r="EU223" i="27"/>
  <c r="EU224" i="27"/>
  <c r="EU225" i="27"/>
  <c r="EU226" i="27"/>
  <c r="EU227" i="27"/>
  <c r="EU228" i="27"/>
  <c r="EU229" i="27"/>
  <c r="EU230" i="27"/>
  <c r="EU231" i="27"/>
  <c r="EU232" i="27"/>
  <c r="EU233" i="27"/>
  <c r="EU234" i="27"/>
  <c r="EU235" i="27"/>
  <c r="EU236" i="27"/>
  <c r="EU237" i="27"/>
  <c r="EU238" i="27"/>
  <c r="EU239" i="27"/>
  <c r="EU240" i="27"/>
  <c r="EU241" i="27"/>
  <c r="EU149" i="27"/>
  <c r="EU150" i="27"/>
  <c r="EU151" i="27"/>
  <c r="EU152" i="27"/>
  <c r="EU153" i="27"/>
  <c r="EU154" i="27"/>
  <c r="EU155" i="27"/>
  <c r="EU156" i="27"/>
  <c r="EU157" i="27"/>
  <c r="EU158" i="27"/>
  <c r="EU159" i="27"/>
  <c r="EU160" i="27"/>
  <c r="EU161" i="27"/>
  <c r="EU162" i="27"/>
  <c r="EU163" i="27"/>
  <c r="EU164" i="27"/>
  <c r="EU165" i="27"/>
  <c r="EU166" i="27"/>
  <c r="EU167" i="27"/>
  <c r="EU168" i="27"/>
  <c r="EU169" i="27"/>
  <c r="EU170" i="27"/>
  <c r="EU171" i="27"/>
  <c r="EU172" i="27"/>
  <c r="EU173" i="27"/>
  <c r="EU174" i="27"/>
  <c r="EU175" i="27"/>
  <c r="EU176" i="27"/>
  <c r="EU177" i="27"/>
  <c r="EU178" i="27"/>
  <c r="EU179" i="27"/>
  <c r="EU180" i="27"/>
  <c r="EU181" i="27"/>
  <c r="EU182" i="27"/>
  <c r="EU183" i="27"/>
  <c r="EU184" i="27"/>
  <c r="EU185" i="27"/>
  <c r="EU186" i="27"/>
  <c r="EU103" i="27"/>
  <c r="EU104" i="27"/>
  <c r="EU105" i="27"/>
  <c r="EU106" i="27"/>
  <c r="EU107" i="27"/>
  <c r="EU108" i="27"/>
  <c r="EU109" i="27"/>
  <c r="EU110" i="27"/>
  <c r="EU111" i="27"/>
  <c r="EU112" i="27"/>
  <c r="EU113" i="27"/>
  <c r="EU114" i="27"/>
  <c r="EU115" i="27"/>
  <c r="EU116" i="27"/>
  <c r="EU117" i="27"/>
  <c r="EU118" i="27"/>
  <c r="EU119" i="27"/>
  <c r="EU120" i="27"/>
  <c r="EU121" i="27"/>
  <c r="EU122" i="27"/>
  <c r="EU123" i="27"/>
  <c r="EU124" i="27"/>
  <c r="EU125" i="27"/>
  <c r="EU126" i="27"/>
  <c r="EU127" i="27"/>
  <c r="EU128" i="27"/>
  <c r="EU129" i="27"/>
  <c r="EU130" i="27"/>
  <c r="EU131" i="27"/>
  <c r="EU132" i="27"/>
  <c r="EU133" i="27"/>
  <c r="EU134" i="27"/>
  <c r="EU135" i="27"/>
  <c r="EU136" i="27"/>
  <c r="EU137" i="27"/>
  <c r="EU138" i="27"/>
  <c r="EU139" i="27"/>
  <c r="EU140" i="27"/>
  <c r="EU203" i="27"/>
  <c r="EU148" i="27"/>
  <c r="EU102" i="27"/>
  <c r="EN95" i="27"/>
  <c r="EN96" i="27"/>
  <c r="EN97" i="27"/>
  <c r="EN98" i="27"/>
  <c r="EN99" i="27"/>
  <c r="EN100" i="27"/>
  <c r="EN101" i="27"/>
  <c r="EN102" i="27"/>
  <c r="EN103" i="27"/>
  <c r="EN104" i="27"/>
  <c r="EN105" i="27"/>
  <c r="EN106" i="27"/>
  <c r="EN107" i="27"/>
  <c r="EN108" i="27"/>
  <c r="EN109" i="27"/>
  <c r="EN110" i="27"/>
  <c r="EN111" i="27"/>
  <c r="EN112" i="27"/>
  <c r="EN113" i="27"/>
  <c r="EN114" i="27"/>
  <c r="EN115" i="27"/>
  <c r="EN116" i="27"/>
  <c r="EN117" i="27"/>
  <c r="EN118" i="27"/>
  <c r="EN119" i="27"/>
  <c r="EN120" i="27"/>
  <c r="EN121" i="27"/>
  <c r="EN122" i="27"/>
  <c r="EN123" i="27"/>
  <c r="EN124" i="27"/>
  <c r="EN125" i="27"/>
  <c r="EN126" i="27"/>
  <c r="EN127" i="27"/>
  <c r="EN128" i="27"/>
  <c r="EN129" i="27"/>
  <c r="EN130" i="27"/>
  <c r="EN131" i="27"/>
  <c r="EN132" i="27"/>
  <c r="EN94" i="27"/>
  <c r="EG96" i="27"/>
  <c r="EG97" i="27"/>
  <c r="EG98" i="27"/>
  <c r="EG99" i="27"/>
  <c r="EG100" i="27"/>
  <c r="EG101" i="27"/>
  <c r="EG102" i="27"/>
  <c r="EG103" i="27"/>
  <c r="EG104" i="27"/>
  <c r="EG105" i="27"/>
  <c r="EG106" i="27"/>
  <c r="EG107" i="27"/>
  <c r="EG108" i="27"/>
  <c r="EG109" i="27"/>
  <c r="EG110" i="27"/>
  <c r="EG111" i="27"/>
  <c r="EG112" i="27"/>
  <c r="EG113" i="27"/>
  <c r="EG114" i="27"/>
  <c r="EG115" i="27"/>
  <c r="EG116" i="27"/>
  <c r="EG117" i="27"/>
  <c r="EG118" i="27"/>
  <c r="EG119" i="27"/>
  <c r="EG120" i="27"/>
  <c r="EG121" i="27"/>
  <c r="EG122" i="27"/>
  <c r="EG123" i="27"/>
  <c r="EG124" i="27"/>
  <c r="EG125" i="27"/>
  <c r="EG126" i="27"/>
  <c r="EG127" i="27"/>
  <c r="EG128" i="27"/>
  <c r="EG129" i="27"/>
  <c r="EG130" i="27"/>
  <c r="EG131" i="27"/>
  <c r="EG132" i="27"/>
  <c r="EG133" i="27"/>
  <c r="EG95" i="27"/>
  <c r="DN294" i="27"/>
  <c r="DN295" i="27"/>
  <c r="DN296" i="27"/>
  <c r="DN297" i="27"/>
  <c r="DN298" i="27"/>
  <c r="DN299" i="27"/>
  <c r="DN300" i="27"/>
  <c r="DN301" i="27"/>
  <c r="DN302" i="27"/>
  <c r="DN303" i="27"/>
  <c r="DN304" i="27"/>
  <c r="DN305" i="27"/>
  <c r="DN306" i="27"/>
  <c r="DN307" i="27"/>
  <c r="DN308" i="27"/>
  <c r="DN309" i="27"/>
  <c r="DN310" i="27"/>
  <c r="DN311" i="27"/>
  <c r="DN312" i="27"/>
  <c r="DN313" i="27"/>
  <c r="DN314" i="27"/>
  <c r="DN315" i="27"/>
  <c r="DN316" i="27"/>
  <c r="DN317" i="27"/>
  <c r="DN318" i="27"/>
  <c r="DN319" i="27"/>
  <c r="DN320" i="27"/>
  <c r="DN321" i="27"/>
  <c r="DN322" i="27"/>
  <c r="DN323" i="27"/>
  <c r="DN324" i="27"/>
  <c r="DN325" i="27"/>
  <c r="DN326" i="27"/>
  <c r="DN327" i="27"/>
  <c r="DN328" i="27"/>
  <c r="DN329" i="27"/>
  <c r="DN330" i="27"/>
  <c r="DN331" i="27"/>
  <c r="DN293" i="27"/>
  <c r="DN239" i="27"/>
  <c r="DN240" i="27"/>
  <c r="DN241" i="27"/>
  <c r="DN242" i="27"/>
  <c r="DN243" i="27"/>
  <c r="DN244" i="27"/>
  <c r="DN245" i="27"/>
  <c r="DN246" i="27"/>
  <c r="DN247" i="27"/>
  <c r="DN248" i="27"/>
  <c r="DN249" i="27"/>
  <c r="DN250" i="27"/>
  <c r="DN251" i="27"/>
  <c r="DN252" i="27"/>
  <c r="DN253" i="27"/>
  <c r="DN254" i="27"/>
  <c r="DN255" i="27"/>
  <c r="DN256" i="27"/>
  <c r="DN257" i="27"/>
  <c r="DN258" i="27"/>
  <c r="DN259" i="27"/>
  <c r="DN260" i="27"/>
  <c r="DN261" i="27"/>
  <c r="DN262" i="27"/>
  <c r="DN263" i="27"/>
  <c r="DN264" i="27"/>
  <c r="DN265" i="27"/>
  <c r="DN266" i="27"/>
  <c r="DN267" i="27"/>
  <c r="DN268" i="27"/>
  <c r="DN269" i="27"/>
  <c r="DN270" i="27"/>
  <c r="DN271" i="27"/>
  <c r="DN272" i="27"/>
  <c r="DN273" i="27"/>
  <c r="DN274" i="27"/>
  <c r="DN275" i="27"/>
  <c r="DN276" i="27"/>
  <c r="DN238" i="27"/>
  <c r="DN193" i="27"/>
  <c r="DN194" i="27"/>
  <c r="DN195" i="27"/>
  <c r="DN196" i="27"/>
  <c r="DN197" i="27"/>
  <c r="DN198" i="27"/>
  <c r="DN199" i="27"/>
  <c r="DN200" i="27"/>
  <c r="DN201" i="27"/>
  <c r="DN202" i="27"/>
  <c r="DN203" i="27"/>
  <c r="DN204" i="27"/>
  <c r="DN205" i="27"/>
  <c r="DN206" i="27"/>
  <c r="DN207" i="27"/>
  <c r="DN208" i="27"/>
  <c r="DN209" i="27"/>
  <c r="DN210" i="27"/>
  <c r="DN211" i="27"/>
  <c r="DN212" i="27"/>
  <c r="DN213" i="27"/>
  <c r="DN214" i="27"/>
  <c r="DN215" i="27"/>
  <c r="DN216" i="27"/>
  <c r="DN217" i="27"/>
  <c r="DN218" i="27"/>
  <c r="DN219" i="27"/>
  <c r="DN220" i="27"/>
  <c r="DN221" i="27"/>
  <c r="DN222" i="27"/>
  <c r="DN223" i="27"/>
  <c r="DN224" i="27"/>
  <c r="DN225" i="27"/>
  <c r="DN226" i="27"/>
  <c r="DN227" i="27"/>
  <c r="DN228" i="27"/>
  <c r="DN229" i="27"/>
  <c r="DN230" i="27"/>
  <c r="DN192" i="27"/>
  <c r="DG91" i="27"/>
  <c r="DG92" i="27"/>
  <c r="DG93" i="27"/>
  <c r="DG94" i="27"/>
  <c r="DG95" i="27"/>
  <c r="DG96" i="27"/>
  <c r="DG97" i="27"/>
  <c r="DG98" i="27"/>
  <c r="DG99" i="27"/>
  <c r="DG100" i="27"/>
  <c r="DG101" i="27"/>
  <c r="DG102" i="27"/>
  <c r="DG103" i="27"/>
  <c r="DG104" i="27"/>
  <c r="DG105" i="27"/>
  <c r="DG106" i="27"/>
  <c r="DG107" i="27"/>
  <c r="DG108" i="27"/>
  <c r="DG109" i="27"/>
  <c r="DG110" i="27"/>
  <c r="DG111" i="27"/>
  <c r="DG112" i="27"/>
  <c r="DG113" i="27"/>
  <c r="DG114" i="27"/>
  <c r="DG115" i="27"/>
  <c r="DG116" i="27"/>
  <c r="DG117" i="27"/>
  <c r="DG118" i="27"/>
  <c r="DG119" i="27"/>
  <c r="DG120" i="27"/>
  <c r="DG121" i="27"/>
  <c r="DG122" i="27"/>
  <c r="DG123" i="27"/>
  <c r="DG124" i="27"/>
  <c r="DG125" i="27"/>
  <c r="DG126" i="27"/>
  <c r="DG127" i="27"/>
  <c r="DG128" i="27"/>
  <c r="DG90" i="27"/>
  <c r="CZ154" i="27"/>
  <c r="CZ100" i="27"/>
  <c r="CZ101" i="27"/>
  <c r="CZ102" i="27"/>
  <c r="CZ103" i="27"/>
  <c r="CZ104" i="27"/>
  <c r="CZ105" i="27"/>
  <c r="CZ106" i="27"/>
  <c r="CZ107" i="27"/>
  <c r="CZ108" i="27"/>
  <c r="CZ109" i="27"/>
  <c r="CZ110" i="27"/>
  <c r="CZ111" i="27"/>
  <c r="CZ112" i="27"/>
  <c r="CZ113" i="27"/>
  <c r="CZ114" i="27"/>
  <c r="CZ115" i="27"/>
  <c r="CZ116" i="27"/>
  <c r="CZ117" i="27"/>
  <c r="CZ118" i="27"/>
  <c r="CZ119" i="27"/>
  <c r="CZ120" i="27"/>
  <c r="CZ121" i="27"/>
  <c r="CZ122" i="27"/>
  <c r="CZ123" i="27"/>
  <c r="CZ124" i="27"/>
  <c r="CZ125" i="27"/>
  <c r="CZ126" i="27"/>
  <c r="CZ127" i="27"/>
  <c r="CZ128" i="27"/>
  <c r="CZ129" i="27"/>
  <c r="CZ130" i="27"/>
  <c r="CZ131" i="27"/>
  <c r="CZ132" i="27"/>
  <c r="CZ133" i="27"/>
  <c r="CZ134" i="27"/>
  <c r="CZ135" i="27"/>
  <c r="CZ136" i="27"/>
  <c r="CZ137" i="27"/>
  <c r="CZ99" i="27"/>
  <c r="CS100" i="27"/>
  <c r="CS101" i="27"/>
  <c r="CS102" i="27"/>
  <c r="CS103" i="27"/>
  <c r="CS104" i="27"/>
  <c r="CS105" i="27"/>
  <c r="CS106" i="27"/>
  <c r="CS107" i="27"/>
  <c r="CS108" i="27"/>
  <c r="CS109" i="27"/>
  <c r="CS110" i="27"/>
  <c r="CS111" i="27"/>
  <c r="CS112" i="27"/>
  <c r="CS113" i="27"/>
  <c r="CS114" i="27"/>
  <c r="CS115" i="27"/>
  <c r="CS116" i="27"/>
  <c r="CS117" i="27"/>
  <c r="CS118" i="27"/>
  <c r="CS119" i="27"/>
  <c r="CS120" i="27"/>
  <c r="CS121" i="27"/>
  <c r="CS122" i="27"/>
  <c r="CS123" i="27"/>
  <c r="CS124" i="27"/>
  <c r="CS125" i="27"/>
  <c r="CS126" i="27"/>
  <c r="CS127" i="27"/>
  <c r="CS128" i="27"/>
  <c r="CS129" i="27"/>
  <c r="CS130" i="27"/>
  <c r="CS131" i="27"/>
  <c r="CS132" i="27"/>
  <c r="CS133" i="27"/>
  <c r="CS134" i="27"/>
  <c r="CS135" i="27"/>
  <c r="CS136" i="27"/>
  <c r="CS137" i="27"/>
  <c r="CS155" i="27"/>
  <c r="CS99" i="27"/>
  <c r="CJ140" i="27"/>
  <c r="CJ141" i="27"/>
  <c r="CJ142" i="27"/>
  <c r="CJ143" i="27"/>
  <c r="CJ144" i="27"/>
  <c r="CJ145" i="27"/>
  <c r="CJ146" i="27"/>
  <c r="CJ147" i="27"/>
  <c r="CJ148" i="27"/>
  <c r="CJ149" i="27"/>
  <c r="CJ150" i="27"/>
  <c r="CJ151" i="27"/>
  <c r="CJ152" i="27"/>
  <c r="CJ153" i="27"/>
  <c r="CJ154" i="27"/>
  <c r="CJ155" i="27"/>
  <c r="CJ156" i="27"/>
  <c r="CJ157" i="27"/>
  <c r="CJ158" i="27"/>
  <c r="CJ159" i="27"/>
  <c r="CJ160" i="27"/>
  <c r="CJ161" i="27"/>
  <c r="CJ162" i="27"/>
  <c r="CJ163" i="27"/>
  <c r="CJ164" i="27"/>
  <c r="CJ165" i="27"/>
  <c r="CJ166" i="27"/>
  <c r="CJ167" i="27"/>
  <c r="CJ168" i="27"/>
  <c r="CJ169" i="27"/>
  <c r="CJ170" i="27"/>
  <c r="CJ171" i="27"/>
  <c r="CJ172" i="27"/>
  <c r="CJ173" i="27"/>
  <c r="CJ174" i="27"/>
  <c r="CJ139" i="27"/>
  <c r="CJ89" i="27"/>
  <c r="CJ90" i="27"/>
  <c r="CJ91" i="27"/>
  <c r="CJ92" i="27"/>
  <c r="CJ93" i="27"/>
  <c r="CJ94" i="27"/>
  <c r="CJ95" i="27"/>
  <c r="CJ96" i="27"/>
  <c r="CJ97" i="27"/>
  <c r="CJ98" i="27"/>
  <c r="CJ99" i="27"/>
  <c r="CJ100" i="27"/>
  <c r="CJ101" i="27"/>
  <c r="CJ102" i="27"/>
  <c r="CJ103" i="27"/>
  <c r="CJ104" i="27"/>
  <c r="CJ105" i="27"/>
  <c r="CJ106" i="27"/>
  <c r="CJ107" i="27"/>
  <c r="CJ108" i="27"/>
  <c r="CJ109" i="27"/>
  <c r="CJ110" i="27"/>
  <c r="CJ111" i="27"/>
  <c r="CJ112" i="27"/>
  <c r="CJ113" i="27"/>
  <c r="CJ114" i="27"/>
  <c r="CJ115" i="27"/>
  <c r="CJ116" i="27"/>
  <c r="CJ117" i="27"/>
  <c r="CJ118" i="27"/>
  <c r="CJ119" i="27"/>
  <c r="CJ120" i="27"/>
  <c r="CJ121" i="27"/>
  <c r="CJ122" i="27"/>
  <c r="CJ88" i="27"/>
  <c r="FD198" i="27"/>
  <c r="DQ324" i="27" a="1"/>
  <c r="DQ324" i="27" s="1"/>
  <c r="DP324" i="27" a="1"/>
  <c r="DP324" i="27" s="1"/>
  <c r="DO324" i="27" a="1"/>
  <c r="DO324" i="27" s="1"/>
  <c r="DQ323" i="27" a="1"/>
  <c r="DQ323" i="27" s="1"/>
  <c r="DP323" i="27" a="1"/>
  <c r="DP323" i="27" s="1"/>
  <c r="DO323" i="27" a="1"/>
  <c r="DO323" i="27" s="1"/>
  <c r="DQ321" i="27" a="1"/>
  <c r="DQ321" i="27" s="1"/>
  <c r="DP321" i="27" a="1"/>
  <c r="DP321" i="27" s="1"/>
  <c r="DO321" i="27" a="1"/>
  <c r="DO321" i="27" s="1"/>
  <c r="DQ296" i="27" a="1"/>
  <c r="DQ296" i="27" s="1"/>
  <c r="DP296" i="27" a="1"/>
  <c r="DP296" i="27" s="1"/>
  <c r="DO296" i="27" a="1"/>
  <c r="DO296" i="27" s="1"/>
  <c r="EQ180" i="27" a="1"/>
  <c r="EQ180" i="27" s="1"/>
  <c r="EP180" i="27" a="1"/>
  <c r="EP180" i="27" s="1"/>
  <c r="EO180" i="27" a="1"/>
  <c r="EO180" i="27" s="1"/>
  <c r="EQ179" i="27" a="1"/>
  <c r="EQ179" i="27" s="1"/>
  <c r="EP179" i="27" a="1"/>
  <c r="EP179" i="27" s="1"/>
  <c r="EO179" i="27" a="1"/>
  <c r="EO179" i="27" s="1"/>
  <c r="EQ177" i="27" a="1"/>
  <c r="EQ177" i="27" s="1"/>
  <c r="EP177" i="27" a="1"/>
  <c r="EP177" i="27" s="1"/>
  <c r="EO177" i="27" a="1"/>
  <c r="EO177" i="27" s="1"/>
  <c r="EN187" i="27"/>
  <c r="EN186" i="27"/>
  <c r="EN185" i="27"/>
  <c r="EN184" i="27"/>
  <c r="EN183" i="27"/>
  <c r="EN182" i="27"/>
  <c r="EN181" i="27"/>
  <c r="EN180" i="27"/>
  <c r="EN179" i="27"/>
  <c r="EN178" i="27"/>
  <c r="EN177" i="27"/>
  <c r="EN176" i="27"/>
  <c r="EN175" i="27"/>
  <c r="EN174" i="27"/>
  <c r="EN173" i="27"/>
  <c r="EN172" i="27"/>
  <c r="EN171" i="27"/>
  <c r="EN170" i="27"/>
  <c r="EN169" i="27"/>
  <c r="EN168" i="27"/>
  <c r="EN167" i="27"/>
  <c r="EN166" i="27"/>
  <c r="EN165" i="27"/>
  <c r="EN164" i="27"/>
  <c r="EN163" i="27"/>
  <c r="EN162" i="27"/>
  <c r="EN161" i="27"/>
  <c r="EN160" i="27"/>
  <c r="EN159" i="27"/>
  <c r="EN158" i="27"/>
  <c r="EN157" i="27"/>
  <c r="EN156" i="27"/>
  <c r="EN155" i="27"/>
  <c r="EN154" i="27"/>
  <c r="EN153" i="27"/>
  <c r="EN152" i="27"/>
  <c r="EN151" i="27"/>
  <c r="EN150" i="27"/>
  <c r="EN149" i="27"/>
  <c r="EJ181" i="27" a="1"/>
  <c r="EJ181" i="27" s="1"/>
  <c r="EI181" i="27" a="1"/>
  <c r="EI181" i="27" s="1"/>
  <c r="EH181" i="27" a="1"/>
  <c r="EH181" i="27" s="1"/>
  <c r="EJ180" i="27" a="1"/>
  <c r="EJ180" i="27" s="1"/>
  <c r="EI180" i="27" a="1"/>
  <c r="EI180" i="27" s="1"/>
  <c r="EH180" i="27" a="1"/>
  <c r="EH180" i="27" s="1"/>
  <c r="EJ178" i="27" a="1"/>
  <c r="EJ178" i="27" s="1"/>
  <c r="EI178" i="27" a="1"/>
  <c r="EI178" i="27" s="1"/>
  <c r="EH178" i="27" a="1"/>
  <c r="EH178" i="27" s="1"/>
  <c r="EG188" i="27"/>
  <c r="EG187" i="27"/>
  <c r="EG186" i="27"/>
  <c r="EG185" i="27"/>
  <c r="EG184" i="27"/>
  <c r="EG183" i="27"/>
  <c r="EG182" i="27"/>
  <c r="EG181" i="27"/>
  <c r="EG180" i="27"/>
  <c r="EG179" i="27"/>
  <c r="EG178" i="27"/>
  <c r="EG177" i="27"/>
  <c r="EG176" i="27"/>
  <c r="EG175" i="27"/>
  <c r="EG174" i="27"/>
  <c r="EG173" i="27"/>
  <c r="EG172" i="27"/>
  <c r="EG171" i="27"/>
  <c r="EG170" i="27"/>
  <c r="EG169" i="27"/>
  <c r="EG168" i="27"/>
  <c r="EG167" i="27"/>
  <c r="EG166" i="27"/>
  <c r="EG165" i="27"/>
  <c r="EG164" i="27"/>
  <c r="EG163" i="27"/>
  <c r="EG162" i="27"/>
  <c r="EG161" i="27"/>
  <c r="EG160" i="27"/>
  <c r="EG159" i="27"/>
  <c r="EG158" i="27"/>
  <c r="EG157" i="27"/>
  <c r="EG156" i="27"/>
  <c r="EG155" i="27"/>
  <c r="EG154" i="27"/>
  <c r="EG153" i="27"/>
  <c r="EG152" i="27"/>
  <c r="EG151" i="27"/>
  <c r="EG150" i="27"/>
  <c r="DV79" i="27"/>
  <c r="DV80" i="27"/>
  <c r="DV81" i="27"/>
  <c r="DV82" i="27"/>
  <c r="DV83" i="27"/>
  <c r="DV84" i="27"/>
  <c r="DV85" i="27"/>
  <c r="DV86" i="27"/>
  <c r="DV87" i="27"/>
  <c r="DV88" i="27"/>
  <c r="DV89" i="27"/>
  <c r="DV90" i="27"/>
  <c r="DV91" i="27"/>
  <c r="DV92" i="27"/>
  <c r="DV93" i="27"/>
  <c r="DV94" i="27"/>
  <c r="DV95" i="27"/>
  <c r="DV96" i="27"/>
  <c r="DV97" i="27"/>
  <c r="DV98" i="27"/>
  <c r="DV99" i="27"/>
  <c r="DV100" i="27"/>
  <c r="DV101" i="27"/>
  <c r="DV102" i="27"/>
  <c r="DV103" i="27"/>
  <c r="DV104" i="27"/>
  <c r="DV105" i="27"/>
  <c r="DV106" i="27"/>
  <c r="DV107" i="27"/>
  <c r="DV108" i="27"/>
  <c r="DV109" i="27"/>
  <c r="DV110" i="27"/>
  <c r="DV111" i="27"/>
  <c r="DV112" i="27"/>
  <c r="DV113" i="27"/>
  <c r="DV114" i="27"/>
  <c r="DV115" i="27"/>
  <c r="DV116" i="27"/>
  <c r="DV78" i="27"/>
  <c r="DJ175" i="27" a="1"/>
  <c r="DJ175" i="27" s="1"/>
  <c r="DI175" i="27" a="1"/>
  <c r="DI175" i="27" s="1"/>
  <c r="DH175" i="27" a="1"/>
  <c r="DH175" i="27" s="1"/>
  <c r="DJ174" i="27" a="1"/>
  <c r="DJ174" i="27" s="1"/>
  <c r="DI174" i="27" a="1"/>
  <c r="DI174" i="27" s="1"/>
  <c r="DH174" i="27" a="1"/>
  <c r="DH174" i="27" s="1"/>
  <c r="DJ172" i="27" a="1"/>
  <c r="DJ172" i="27" s="1"/>
  <c r="DI172" i="27" a="1"/>
  <c r="DI172" i="27" s="1"/>
  <c r="DH172" i="27" a="1"/>
  <c r="DH172" i="27" s="1"/>
  <c r="DG145" i="27"/>
  <c r="DG146" i="27"/>
  <c r="DG147" i="27"/>
  <c r="DG148" i="27"/>
  <c r="DG149" i="27"/>
  <c r="DG150" i="27"/>
  <c r="DG151" i="27"/>
  <c r="DG152" i="27"/>
  <c r="DG153" i="27"/>
  <c r="DG154" i="27"/>
  <c r="DG155" i="27"/>
  <c r="DG156" i="27"/>
  <c r="DG157" i="27"/>
  <c r="DG158" i="27"/>
  <c r="DG159" i="27"/>
  <c r="DG160" i="27"/>
  <c r="DG161" i="27"/>
  <c r="DG162" i="27"/>
  <c r="DG163" i="27"/>
  <c r="DG164" i="27"/>
  <c r="DG165" i="27"/>
  <c r="DG166" i="27"/>
  <c r="DG167" i="27"/>
  <c r="DG168" i="27"/>
  <c r="DG169" i="27"/>
  <c r="DG170" i="27"/>
  <c r="DG171" i="27"/>
  <c r="DG172" i="27"/>
  <c r="DG173" i="27"/>
  <c r="DG174" i="27"/>
  <c r="DG175" i="27"/>
  <c r="DG176" i="27"/>
  <c r="DG177" i="27"/>
  <c r="DG178" i="27"/>
  <c r="DG179" i="27"/>
  <c r="DG180" i="27"/>
  <c r="DG181" i="27"/>
  <c r="DG182" i="27"/>
  <c r="DG144" i="27"/>
  <c r="DC185" i="27" a="1"/>
  <c r="DC185" i="27" s="1"/>
  <c r="DB185" i="27" a="1"/>
  <c r="DB185" i="27" s="1"/>
  <c r="DA185" i="27" a="1"/>
  <c r="DA185" i="27" s="1"/>
  <c r="DC184" i="27" a="1"/>
  <c r="DC184" i="27" s="1"/>
  <c r="DB184" i="27" a="1"/>
  <c r="DB184" i="27" s="1"/>
  <c r="DA184" i="27" a="1"/>
  <c r="DA184" i="27" s="1"/>
  <c r="DC182" i="27" a="1"/>
  <c r="DC182" i="27" s="1"/>
  <c r="DB182" i="27" a="1"/>
  <c r="DB182" i="27" s="1"/>
  <c r="DA182" i="27" a="1"/>
  <c r="DA182" i="27" s="1"/>
  <c r="CV186" i="27" a="1"/>
  <c r="CV186" i="27" s="1"/>
  <c r="CU186" i="27" a="1"/>
  <c r="CU186" i="27" s="1"/>
  <c r="CT186" i="27" a="1"/>
  <c r="CT186" i="27" s="1"/>
  <c r="CV185" i="27" a="1"/>
  <c r="CV185" i="27" s="1"/>
  <c r="CU185" i="27" a="1"/>
  <c r="CU185" i="27" s="1"/>
  <c r="CT185" i="27" a="1"/>
  <c r="CT185" i="27" s="1"/>
  <c r="CV183" i="27" a="1"/>
  <c r="CV183" i="27" s="1"/>
  <c r="CU183" i="27" a="1"/>
  <c r="CU183" i="27" s="1"/>
  <c r="CT183" i="27" a="1"/>
  <c r="CT183" i="27" s="1"/>
  <c r="CZ155" i="27"/>
  <c r="CZ156" i="27"/>
  <c r="CZ157" i="27"/>
  <c r="CZ158" i="27"/>
  <c r="CZ159" i="27"/>
  <c r="CZ160" i="27"/>
  <c r="CZ161" i="27"/>
  <c r="CZ162" i="27"/>
  <c r="CZ163" i="27"/>
  <c r="CZ164" i="27"/>
  <c r="CZ165" i="27"/>
  <c r="CZ166" i="27"/>
  <c r="CZ167" i="27"/>
  <c r="CZ168" i="27"/>
  <c r="CZ169" i="27"/>
  <c r="CZ170" i="27"/>
  <c r="CZ171" i="27"/>
  <c r="CZ172" i="27"/>
  <c r="CZ173" i="27"/>
  <c r="CZ174" i="27"/>
  <c r="CZ175" i="27"/>
  <c r="CZ176" i="27"/>
  <c r="CZ177" i="27"/>
  <c r="CZ178" i="27"/>
  <c r="CZ179" i="27"/>
  <c r="CZ180" i="27"/>
  <c r="CZ181" i="27"/>
  <c r="CZ182" i="27"/>
  <c r="CZ183" i="27"/>
  <c r="CZ184" i="27"/>
  <c r="CZ185" i="27"/>
  <c r="CZ186" i="27"/>
  <c r="CZ187" i="27"/>
  <c r="CZ188" i="27"/>
  <c r="CZ189" i="27"/>
  <c r="CZ190" i="27"/>
  <c r="CZ191" i="27"/>
  <c r="CZ192" i="27"/>
  <c r="CS156" i="27"/>
  <c r="CS157" i="27"/>
  <c r="CS158" i="27"/>
  <c r="CS159" i="27"/>
  <c r="CS160" i="27"/>
  <c r="CS161" i="27"/>
  <c r="CS162" i="27"/>
  <c r="CS163" i="27"/>
  <c r="CS164" i="27"/>
  <c r="CS165" i="27"/>
  <c r="CS166" i="27"/>
  <c r="CS167" i="27"/>
  <c r="CS168" i="27"/>
  <c r="CS169" i="27"/>
  <c r="CS170" i="27"/>
  <c r="CS171" i="27"/>
  <c r="CS172" i="27"/>
  <c r="CS173" i="27"/>
  <c r="CS174" i="27"/>
  <c r="CS175" i="27"/>
  <c r="CS176" i="27"/>
  <c r="CS177" i="27"/>
  <c r="CS178" i="27"/>
  <c r="CS179" i="27"/>
  <c r="CS180" i="27"/>
  <c r="CS181" i="27"/>
  <c r="CS182" i="27"/>
  <c r="CS183" i="27"/>
  <c r="CS184" i="27"/>
  <c r="CS185" i="27"/>
  <c r="CS186" i="27"/>
  <c r="CS187" i="27"/>
  <c r="CS188" i="27"/>
  <c r="CS189" i="27"/>
  <c r="CS190" i="27"/>
  <c r="CS191" i="27"/>
  <c r="CS192" i="27"/>
  <c r="CS193" i="27"/>
  <c r="BX197" i="27" l="1"/>
  <c r="BX198" i="27"/>
  <c r="BX199" i="27"/>
  <c r="BX200" i="27"/>
  <c r="BX201" i="27"/>
  <c r="BX202" i="27"/>
  <c r="BX203" i="27"/>
  <c r="BX204" i="27"/>
  <c r="BX205" i="27"/>
  <c r="BX206" i="27"/>
  <c r="BX207" i="27"/>
  <c r="BX208" i="27"/>
  <c r="BX209" i="27"/>
  <c r="BX210" i="27"/>
  <c r="BX211" i="27"/>
  <c r="BX212" i="27"/>
  <c r="BX213" i="27"/>
  <c r="BX214" i="27"/>
  <c r="BX215" i="27"/>
  <c r="BX216" i="27"/>
  <c r="BX217" i="27"/>
  <c r="BX218" i="27"/>
  <c r="BX219" i="27"/>
  <c r="BX220" i="27"/>
  <c r="BX221" i="27"/>
  <c r="BX222" i="27"/>
  <c r="BX223" i="27"/>
  <c r="BX224" i="27"/>
  <c r="BX225" i="27"/>
  <c r="BX226" i="27"/>
  <c r="BX227" i="27"/>
  <c r="BX228" i="27"/>
  <c r="BX229" i="27"/>
  <c r="BX230" i="27"/>
  <c r="BX231" i="27"/>
  <c r="BX196" i="27"/>
  <c r="BX145" i="27"/>
  <c r="BX146" i="27"/>
  <c r="BX147" i="27"/>
  <c r="BX148" i="27"/>
  <c r="BX149" i="27"/>
  <c r="BX150" i="27"/>
  <c r="BX151" i="27"/>
  <c r="BX152" i="27"/>
  <c r="BX153" i="27"/>
  <c r="BX154" i="27"/>
  <c r="BX155" i="27"/>
  <c r="BX156" i="27"/>
  <c r="BX157" i="27"/>
  <c r="BX158" i="27"/>
  <c r="BX159" i="27"/>
  <c r="BX160" i="27"/>
  <c r="BX161" i="27"/>
  <c r="BX162" i="27"/>
  <c r="BX163" i="27"/>
  <c r="BX164" i="27"/>
  <c r="BX165" i="27"/>
  <c r="BX166" i="27"/>
  <c r="BX167" i="27"/>
  <c r="BX168" i="27"/>
  <c r="BX169" i="27"/>
  <c r="BX170" i="27"/>
  <c r="BX171" i="27"/>
  <c r="BX172" i="27"/>
  <c r="BX173" i="27"/>
  <c r="BX174" i="27"/>
  <c r="BX175" i="27"/>
  <c r="BX176" i="27"/>
  <c r="BX177" i="27"/>
  <c r="BX178" i="27"/>
  <c r="BX144" i="27"/>
  <c r="BM115" i="27"/>
  <c r="BM116" i="27"/>
  <c r="BM117" i="27"/>
  <c r="BM118" i="27"/>
  <c r="BM119" i="27"/>
  <c r="BM120" i="27"/>
  <c r="BM121" i="27"/>
  <c r="BM122" i="27"/>
  <c r="BM123" i="27"/>
  <c r="BM124" i="27"/>
  <c r="BM125" i="27"/>
  <c r="BM126" i="27"/>
  <c r="BM127" i="27"/>
  <c r="BM128" i="27"/>
  <c r="BM129" i="27"/>
  <c r="BM130" i="27"/>
  <c r="BM131" i="27"/>
  <c r="BM132" i="27"/>
  <c r="BM133" i="27"/>
  <c r="BM134" i="27"/>
  <c r="BM135" i="27"/>
  <c r="BM136" i="27"/>
  <c r="BM137" i="27"/>
  <c r="BM138" i="27"/>
  <c r="BM139" i="27"/>
  <c r="BM140" i="27"/>
  <c r="BM141" i="27"/>
  <c r="BM142" i="27"/>
  <c r="BM143" i="27"/>
  <c r="BM144" i="27"/>
  <c r="BM145" i="27"/>
  <c r="BM146" i="27"/>
  <c r="BM147" i="27"/>
  <c r="BM148" i="27"/>
  <c r="BM114" i="27"/>
  <c r="BM74" i="27"/>
  <c r="BM75" i="27"/>
  <c r="BM76" i="27"/>
  <c r="BM77" i="27"/>
  <c r="BM78" i="27"/>
  <c r="BM79" i="27"/>
  <c r="BM80" i="27"/>
  <c r="BM81" i="27"/>
  <c r="BM82" i="27"/>
  <c r="BM83" i="27"/>
  <c r="BM84" i="27"/>
  <c r="BM85" i="27"/>
  <c r="BM86" i="27"/>
  <c r="BM87" i="27"/>
  <c r="BM88" i="27"/>
  <c r="BM89" i="27"/>
  <c r="BM90" i="27"/>
  <c r="BM91" i="27"/>
  <c r="BM92" i="27"/>
  <c r="BM93" i="27"/>
  <c r="BM94" i="27"/>
  <c r="BM95" i="27"/>
  <c r="BM96" i="27"/>
  <c r="BM97" i="27"/>
  <c r="BM98" i="27"/>
  <c r="BM99" i="27"/>
  <c r="BM100" i="27"/>
  <c r="BM101" i="27"/>
  <c r="BM102" i="27"/>
  <c r="BM103" i="27"/>
  <c r="BM104" i="27"/>
  <c r="BM105" i="27"/>
  <c r="BM106" i="27"/>
  <c r="BM73" i="27"/>
  <c r="BB380" i="27"/>
  <c r="BB343" i="27"/>
  <c r="BB344" i="27"/>
  <c r="BB345" i="27"/>
  <c r="BB346" i="27"/>
  <c r="BB347" i="27"/>
  <c r="BB348" i="27"/>
  <c r="BB349" i="27"/>
  <c r="BB350" i="27"/>
  <c r="BB351" i="27"/>
  <c r="BB352" i="27"/>
  <c r="BB353" i="27"/>
  <c r="BB354" i="27"/>
  <c r="BB355" i="27"/>
  <c r="BB356" i="27"/>
  <c r="BB357" i="27"/>
  <c r="BB358" i="27"/>
  <c r="BB359" i="27"/>
  <c r="BB360" i="27"/>
  <c r="BB361" i="27"/>
  <c r="BB362" i="27"/>
  <c r="BB363" i="27"/>
  <c r="BB364" i="27"/>
  <c r="BB365" i="27"/>
  <c r="BB366" i="27"/>
  <c r="BB367" i="27"/>
  <c r="BB368" i="27"/>
  <c r="BB369" i="27"/>
  <c r="BB370" i="27"/>
  <c r="BB371" i="27"/>
  <c r="BB372" i="27"/>
  <c r="BB373" i="27"/>
  <c r="BB374" i="27"/>
  <c r="BB375" i="27"/>
  <c r="BB376" i="27"/>
  <c r="BB377" i="27"/>
  <c r="BB378" i="27"/>
  <c r="BB379" i="27"/>
  <c r="BB342" i="27"/>
  <c r="BB285" i="27"/>
  <c r="BB286" i="27"/>
  <c r="BB287" i="27"/>
  <c r="BB288" i="27"/>
  <c r="BB289" i="27"/>
  <c r="BB290" i="27"/>
  <c r="BB291" i="27"/>
  <c r="BB292" i="27"/>
  <c r="BB293" i="27"/>
  <c r="BB294" i="27"/>
  <c r="BB295" i="27"/>
  <c r="BB296" i="27"/>
  <c r="BB297" i="27"/>
  <c r="BB298" i="27"/>
  <c r="BB299" i="27"/>
  <c r="BB300" i="27"/>
  <c r="BB301" i="27"/>
  <c r="BB302" i="27"/>
  <c r="BB303" i="27"/>
  <c r="BB304" i="27"/>
  <c r="BB305" i="27"/>
  <c r="BB306" i="27"/>
  <c r="BB307" i="27"/>
  <c r="BB308" i="27"/>
  <c r="BB309" i="27"/>
  <c r="BB310" i="27"/>
  <c r="BB311" i="27"/>
  <c r="BB312" i="27"/>
  <c r="BB313" i="27"/>
  <c r="BB314" i="27"/>
  <c r="BB315" i="27"/>
  <c r="BB316" i="27"/>
  <c r="BB317" i="27"/>
  <c r="BB318" i="27"/>
  <c r="BB319" i="27"/>
  <c r="BB320" i="27"/>
  <c r="BB321" i="27"/>
  <c r="BB322" i="27"/>
  <c r="BB323" i="27"/>
  <c r="BB284" i="27"/>
  <c r="BB237" i="27"/>
  <c r="BB238" i="27"/>
  <c r="BB239" i="27"/>
  <c r="BB240" i="27"/>
  <c r="BB241" i="27"/>
  <c r="BB242" i="27"/>
  <c r="BB243" i="27"/>
  <c r="BB244" i="27"/>
  <c r="BB245" i="27"/>
  <c r="BB246" i="27"/>
  <c r="BB247" i="27"/>
  <c r="BB248" i="27"/>
  <c r="BB249" i="27"/>
  <c r="BB250" i="27"/>
  <c r="BB251" i="27"/>
  <c r="BB252" i="27"/>
  <c r="BB253" i="27"/>
  <c r="BB254" i="27"/>
  <c r="BB255" i="27"/>
  <c r="BB256" i="27"/>
  <c r="BB257" i="27"/>
  <c r="BB258" i="27"/>
  <c r="BB259" i="27"/>
  <c r="BB260" i="27"/>
  <c r="BB261" i="27"/>
  <c r="BB262" i="27"/>
  <c r="BB263" i="27"/>
  <c r="BB264" i="27"/>
  <c r="BB265" i="27"/>
  <c r="BB266" i="27"/>
  <c r="BB267" i="27"/>
  <c r="BB268" i="27"/>
  <c r="BB269" i="27"/>
  <c r="BB270" i="27"/>
  <c r="BB271" i="27"/>
  <c r="BB272" i="27"/>
  <c r="BB273" i="27"/>
  <c r="BB274" i="27"/>
  <c r="BB236" i="27"/>
  <c r="FO96" i="27" l="1" a="1"/>
  <c r="FO96" i="27" s="1"/>
  <c r="FP96" i="27" a="1"/>
  <c r="FP96" i="27" s="1"/>
  <c r="FQ96" i="27" a="1"/>
  <c r="FQ96" i="27" s="1"/>
  <c r="FR96" i="27" a="1"/>
  <c r="FR96" i="27" s="1"/>
  <c r="FO97" i="27" a="1"/>
  <c r="FO97" i="27" s="1"/>
  <c r="FP97" i="27" a="1"/>
  <c r="FP97" i="27" s="1"/>
  <c r="FQ97" i="27" a="1"/>
  <c r="FQ97" i="27" s="1"/>
  <c r="FR97" i="27" a="1"/>
  <c r="FR97" i="27" s="1"/>
  <c r="FO98" i="27" a="1"/>
  <c r="FO98" i="27" s="1"/>
  <c r="FP98" i="27" a="1"/>
  <c r="FP98" i="27" s="1"/>
  <c r="FQ98" i="27" a="1"/>
  <c r="FQ98" i="27" s="1"/>
  <c r="FR98" i="27" a="1"/>
  <c r="FR98" i="27" s="1"/>
  <c r="FO99" i="27" a="1"/>
  <c r="FO99" i="27" s="1"/>
  <c r="FP99" i="27" a="1"/>
  <c r="FP99" i="27" s="1"/>
  <c r="FQ99" i="27" a="1"/>
  <c r="FQ99" i="27" s="1"/>
  <c r="FR99" i="27" a="1"/>
  <c r="FR99" i="27" s="1"/>
  <c r="FO100" i="27" a="1"/>
  <c r="FO100" i="27" s="1"/>
  <c r="FP100" i="27" a="1"/>
  <c r="FP100" i="27" s="1"/>
  <c r="FQ100" i="27" a="1"/>
  <c r="FQ100" i="27" s="1"/>
  <c r="FR100" i="27" a="1"/>
  <c r="FR100" i="27" s="1"/>
  <c r="FO101" i="27" a="1"/>
  <c r="FO101" i="27" s="1"/>
  <c r="FP101" i="27" a="1"/>
  <c r="FP101" i="27" s="1"/>
  <c r="FQ101" i="27" a="1"/>
  <c r="FQ101" i="27" s="1"/>
  <c r="FR101" i="27" a="1"/>
  <c r="FR101" i="27" s="1"/>
  <c r="FO102" i="27" a="1"/>
  <c r="FO102" i="27" s="1"/>
  <c r="FP102" i="27" a="1"/>
  <c r="FP102" i="27" s="1"/>
  <c r="FQ102" i="27" a="1"/>
  <c r="FQ102" i="27" s="1"/>
  <c r="FR102" i="27" a="1"/>
  <c r="FR102" i="27" s="1"/>
  <c r="FO103" i="27" a="1"/>
  <c r="FO103" i="27" s="1"/>
  <c r="FP103" i="27" a="1"/>
  <c r="FP103" i="27" s="1"/>
  <c r="FQ103" i="27" a="1"/>
  <c r="FQ103" i="27" s="1"/>
  <c r="FR103" i="27" a="1"/>
  <c r="FR103" i="27" s="1"/>
  <c r="FO104" i="27" a="1"/>
  <c r="FO104" i="27" s="1"/>
  <c r="FP104" i="27" a="1"/>
  <c r="FP104" i="27" s="1"/>
  <c r="FQ104" i="27" a="1"/>
  <c r="FQ104" i="27" s="1"/>
  <c r="FR104" i="27" a="1"/>
  <c r="FR104" i="27" s="1"/>
  <c r="FO105" i="27" a="1"/>
  <c r="FO105" i="27" s="1"/>
  <c r="FP105" i="27" a="1"/>
  <c r="FP105" i="27" s="1"/>
  <c r="FQ105" i="27" a="1"/>
  <c r="FQ105" i="27" s="1"/>
  <c r="FR105" i="27" a="1"/>
  <c r="FR105" i="27" s="1"/>
  <c r="FO106" i="27" a="1"/>
  <c r="FO106" i="27" s="1"/>
  <c r="FP106" i="27" a="1"/>
  <c r="FP106" i="27" s="1"/>
  <c r="FQ106" i="27" a="1"/>
  <c r="FQ106" i="27" s="1"/>
  <c r="FR106" i="27" a="1"/>
  <c r="FR106" i="27" s="1"/>
  <c r="FO107" i="27" a="1"/>
  <c r="FO107" i="27" s="1"/>
  <c r="FP107" i="27" a="1"/>
  <c r="FP107" i="27" s="1"/>
  <c r="FQ107" i="27" a="1"/>
  <c r="FQ107" i="27" s="1"/>
  <c r="FR107" i="27" a="1"/>
  <c r="FR107" i="27" s="1"/>
  <c r="FO108" i="27" a="1"/>
  <c r="FO108" i="27" s="1"/>
  <c r="FP108" i="27" a="1"/>
  <c r="FP108" i="27" s="1"/>
  <c r="FQ108" i="27" a="1"/>
  <c r="FQ108" i="27" s="1"/>
  <c r="FR108" i="27" a="1"/>
  <c r="FR108" i="27" s="1"/>
  <c r="FO109" i="27" a="1"/>
  <c r="FO109" i="27" s="1"/>
  <c r="FP109" i="27" a="1"/>
  <c r="FP109" i="27" s="1"/>
  <c r="FQ109" i="27" a="1"/>
  <c r="FQ109" i="27" s="1"/>
  <c r="FR109" i="27" a="1"/>
  <c r="FR109" i="27" s="1"/>
  <c r="FO110" i="27" a="1"/>
  <c r="FO110" i="27" s="1"/>
  <c r="FP110" i="27" a="1"/>
  <c r="FP110" i="27" s="1"/>
  <c r="FQ110" i="27" a="1"/>
  <c r="FQ110" i="27" s="1"/>
  <c r="FR110" i="27" a="1"/>
  <c r="FR110" i="27" s="1"/>
  <c r="FO111" i="27" a="1"/>
  <c r="FO111" i="27" s="1"/>
  <c r="FP111" i="27" a="1"/>
  <c r="FP111" i="27" s="1"/>
  <c r="FQ111" i="27" a="1"/>
  <c r="FQ111" i="27" s="1"/>
  <c r="FR111" i="27" a="1"/>
  <c r="FR111" i="27" s="1"/>
  <c r="FO112" i="27" a="1"/>
  <c r="FO112" i="27" s="1"/>
  <c r="FP112" i="27" a="1"/>
  <c r="FP112" i="27" s="1"/>
  <c r="FQ112" i="27" a="1"/>
  <c r="FQ112" i="27" s="1"/>
  <c r="FR112" i="27" a="1"/>
  <c r="FR112" i="27" s="1"/>
  <c r="FO113" i="27" a="1"/>
  <c r="FO113" i="27" s="1"/>
  <c r="FP113" i="27" a="1"/>
  <c r="FP113" i="27" s="1"/>
  <c r="FQ113" i="27" a="1"/>
  <c r="FQ113" i="27" s="1"/>
  <c r="FR113" i="27" a="1"/>
  <c r="FR113" i="27" s="1"/>
  <c r="FO114" i="27" a="1"/>
  <c r="FO114" i="27" s="1"/>
  <c r="FP114" i="27" a="1"/>
  <c r="FP114" i="27" s="1"/>
  <c r="FQ114" i="27" a="1"/>
  <c r="FQ114" i="27" s="1"/>
  <c r="FR114" i="27" a="1"/>
  <c r="FR114" i="27" s="1"/>
  <c r="FO115" i="27" a="1"/>
  <c r="FO115" i="27" s="1"/>
  <c r="FP115" i="27" a="1"/>
  <c r="FP115" i="27" s="1"/>
  <c r="FQ115" i="27" a="1"/>
  <c r="FQ115" i="27" s="1"/>
  <c r="FR115" i="27" a="1"/>
  <c r="FR115" i="27" s="1"/>
  <c r="FO116" i="27" a="1"/>
  <c r="FO116" i="27" s="1"/>
  <c r="FP116" i="27" a="1"/>
  <c r="FP116" i="27" s="1"/>
  <c r="FQ116" i="27" a="1"/>
  <c r="FQ116" i="27" s="1"/>
  <c r="FR116" i="27" a="1"/>
  <c r="FR116" i="27" s="1"/>
  <c r="FO117" i="27" a="1"/>
  <c r="FO117" i="27" s="1"/>
  <c r="FP117" i="27" a="1"/>
  <c r="FP117" i="27" s="1"/>
  <c r="FQ117" i="27" a="1"/>
  <c r="FQ117" i="27" s="1"/>
  <c r="FR117" i="27" a="1"/>
  <c r="FR117" i="27" s="1"/>
  <c r="FO118" i="27" a="1"/>
  <c r="FO118" i="27" s="1"/>
  <c r="FP118" i="27" a="1"/>
  <c r="FP118" i="27" s="1"/>
  <c r="FQ118" i="27" a="1"/>
  <c r="FQ118" i="27" s="1"/>
  <c r="FR118" i="27" a="1"/>
  <c r="FR118" i="27" s="1"/>
  <c r="FO119" i="27" a="1"/>
  <c r="FO119" i="27" s="1"/>
  <c r="FP119" i="27" a="1"/>
  <c r="FP119" i="27" s="1"/>
  <c r="FQ119" i="27" a="1"/>
  <c r="FQ119" i="27" s="1"/>
  <c r="FR119" i="27" a="1"/>
  <c r="FR119" i="27" s="1"/>
  <c r="FO120" i="27" a="1"/>
  <c r="FO120" i="27" s="1"/>
  <c r="FP120" i="27" a="1"/>
  <c r="FP120" i="27" s="1"/>
  <c r="FQ120" i="27" a="1"/>
  <c r="FQ120" i="27" s="1"/>
  <c r="FR120" i="27" a="1"/>
  <c r="FR120" i="27" s="1"/>
  <c r="FO121" i="27" a="1"/>
  <c r="FO121" i="27" s="1"/>
  <c r="FP121" i="27" a="1"/>
  <c r="FP121" i="27" s="1"/>
  <c r="FQ121" i="27" a="1"/>
  <c r="FQ121" i="27" s="1"/>
  <c r="FR121" i="27" a="1"/>
  <c r="FR121" i="27" s="1"/>
  <c r="FO122" i="27" a="1"/>
  <c r="FO122" i="27" s="1"/>
  <c r="FP122" i="27" a="1"/>
  <c r="FP122" i="27" s="1"/>
  <c r="FQ122" i="27" a="1"/>
  <c r="FQ122" i="27" s="1"/>
  <c r="FR122" i="27" a="1"/>
  <c r="FR122" i="27" s="1"/>
  <c r="FO123" i="27" a="1"/>
  <c r="FO123" i="27" s="1"/>
  <c r="FP123" i="27" a="1"/>
  <c r="FP123" i="27" s="1"/>
  <c r="FQ123" i="27" a="1"/>
  <c r="FQ123" i="27" s="1"/>
  <c r="FR123" i="27" a="1"/>
  <c r="FR123" i="27" s="1"/>
  <c r="FO124" i="27" a="1"/>
  <c r="FO124" i="27" s="1"/>
  <c r="FP124" i="27" a="1"/>
  <c r="FP124" i="27" s="1"/>
  <c r="FQ124" i="27" a="1"/>
  <c r="FQ124" i="27" s="1"/>
  <c r="FR124" i="27" a="1"/>
  <c r="FR124" i="27" s="1"/>
  <c r="FO125" i="27" a="1"/>
  <c r="FO125" i="27" s="1"/>
  <c r="FP125" i="27" a="1"/>
  <c r="FP125" i="27" s="1"/>
  <c r="FQ125" i="27" a="1"/>
  <c r="FQ125" i="27" s="1"/>
  <c r="FR125" i="27" a="1"/>
  <c r="FR125" i="27" s="1"/>
  <c r="FO126" i="27" a="1"/>
  <c r="FO126" i="27" s="1"/>
  <c r="FP126" i="27" a="1"/>
  <c r="FP126" i="27" s="1"/>
  <c r="FQ126" i="27" a="1"/>
  <c r="FQ126" i="27" s="1"/>
  <c r="FR126" i="27" a="1"/>
  <c r="FR126" i="27" s="1"/>
  <c r="FO127" i="27" a="1"/>
  <c r="FO127" i="27" s="1"/>
  <c r="FP127" i="27" a="1"/>
  <c r="FP127" i="27" s="1"/>
  <c r="FQ127" i="27" a="1"/>
  <c r="FQ127" i="27" s="1"/>
  <c r="FR127" i="27" a="1"/>
  <c r="FR127" i="27" s="1"/>
  <c r="FO128" i="27" a="1"/>
  <c r="FO128" i="27" s="1"/>
  <c r="FP128" i="27" a="1"/>
  <c r="FP128" i="27" s="1"/>
  <c r="FQ128" i="27" a="1"/>
  <c r="FQ128" i="27" s="1"/>
  <c r="FR128" i="27" a="1"/>
  <c r="FR128" i="27" s="1"/>
  <c r="FO129" i="27" a="1"/>
  <c r="FO129" i="27" s="1"/>
  <c r="FP129" i="27" a="1"/>
  <c r="FP129" i="27" s="1"/>
  <c r="FQ129" i="27" a="1"/>
  <c r="FQ129" i="27" s="1"/>
  <c r="FR129" i="27" a="1"/>
  <c r="FR129" i="27" s="1"/>
  <c r="FO130" i="27" a="1"/>
  <c r="FO130" i="27" s="1"/>
  <c r="FP130" i="27" a="1"/>
  <c r="FP130" i="27" s="1"/>
  <c r="FQ130" i="27" a="1"/>
  <c r="FQ130" i="27" s="1"/>
  <c r="FR130" i="27" a="1"/>
  <c r="FR130" i="27" s="1"/>
  <c r="FO131" i="27" a="1"/>
  <c r="FO131" i="27" s="1"/>
  <c r="FP131" i="27" a="1"/>
  <c r="FP131" i="27" s="1"/>
  <c r="FQ131" i="27" a="1"/>
  <c r="FQ131" i="27" s="1"/>
  <c r="FR131" i="27" a="1"/>
  <c r="FR131" i="27" s="1"/>
  <c r="FO132" i="27" a="1"/>
  <c r="FO132" i="27" s="1"/>
  <c r="FP132" i="27" a="1"/>
  <c r="FP132" i="27" s="1"/>
  <c r="FQ132" i="27" a="1"/>
  <c r="FQ132" i="27" s="1"/>
  <c r="FR132" i="27" a="1"/>
  <c r="FR132" i="27" s="1"/>
  <c r="FO133" i="27" a="1"/>
  <c r="FO133" i="27" s="1"/>
  <c r="FP133" i="27" a="1"/>
  <c r="FP133" i="27" s="1"/>
  <c r="FQ133" i="27" a="1"/>
  <c r="FQ133" i="27" s="1"/>
  <c r="FR133" i="27" a="1"/>
  <c r="FR133" i="27" s="1"/>
  <c r="FX85" i="27" a="1"/>
  <c r="FX85" i="27" s="1"/>
  <c r="FY85" i="27" a="1"/>
  <c r="FY85" i="27" s="1"/>
  <c r="FZ85" i="27" a="1"/>
  <c r="FZ85" i="27" s="1"/>
  <c r="GA85" i="27" a="1"/>
  <c r="GA85" i="27" s="1"/>
  <c r="FX90" i="27" a="1"/>
  <c r="FX90" i="27" s="1"/>
  <c r="FY90" i="27" a="1"/>
  <c r="FY90" i="27" s="1"/>
  <c r="FZ90" i="27" a="1"/>
  <c r="FZ90" i="27" s="1"/>
  <c r="GA90" i="27" a="1"/>
  <c r="GA90" i="27" s="1"/>
  <c r="FX91" i="27" a="1"/>
  <c r="FX91" i="27" s="1"/>
  <c r="FY91" i="27" a="1"/>
  <c r="FY91" i="27" s="1"/>
  <c r="FZ91" i="27" a="1"/>
  <c r="FZ91" i="27" s="1"/>
  <c r="GA91" i="27" a="1"/>
  <c r="GA91" i="27" s="1"/>
  <c r="FX92" i="27" a="1"/>
  <c r="FX92" i="27" s="1"/>
  <c r="FY92" i="27" a="1"/>
  <c r="FY92" i="27" s="1"/>
  <c r="FZ92" i="27" a="1"/>
  <c r="FZ92" i="27" s="1"/>
  <c r="GA92" i="27" a="1"/>
  <c r="GA92" i="27" s="1"/>
  <c r="FX93" i="27" a="1"/>
  <c r="FX93" i="27" s="1"/>
  <c r="FY93" i="27" a="1"/>
  <c r="FY93" i="27" s="1"/>
  <c r="FZ93" i="27" a="1"/>
  <c r="FZ93" i="27" s="1"/>
  <c r="GA93" i="27" a="1"/>
  <c r="GA93" i="27" s="1"/>
  <c r="FX94" i="27" a="1"/>
  <c r="FX94" i="27" s="1"/>
  <c r="FY94" i="27" a="1"/>
  <c r="FY94" i="27" s="1"/>
  <c r="FZ94" i="27" a="1"/>
  <c r="FZ94" i="27" s="1"/>
  <c r="GA94" i="27" a="1"/>
  <c r="GA94" i="27" s="1"/>
  <c r="FX95" i="27" a="1"/>
  <c r="FX95" i="27" s="1"/>
  <c r="FY95" i="27" a="1"/>
  <c r="FY95" i="27" s="1"/>
  <c r="FZ95" i="27" a="1"/>
  <c r="FZ95" i="27" s="1"/>
  <c r="GA95" i="27" a="1"/>
  <c r="GA95" i="27" s="1"/>
  <c r="FX96" i="27" a="1"/>
  <c r="FX96" i="27" s="1"/>
  <c r="FY96" i="27" a="1"/>
  <c r="FY96" i="27" s="1"/>
  <c r="FZ96" i="27" a="1"/>
  <c r="FZ96" i="27" s="1"/>
  <c r="GA96" i="27" a="1"/>
  <c r="GA96" i="27" s="1"/>
  <c r="FX97" i="27" a="1"/>
  <c r="FX97" i="27" s="1"/>
  <c r="FY97" i="27" a="1"/>
  <c r="FY97" i="27" s="1"/>
  <c r="FZ97" i="27" a="1"/>
  <c r="FZ97" i="27" s="1"/>
  <c r="GA97" i="27" a="1"/>
  <c r="GA97" i="27" s="1"/>
  <c r="FX98" i="27" a="1"/>
  <c r="FX98" i="27" s="1"/>
  <c r="FY98" i="27" a="1"/>
  <c r="FY98" i="27" s="1"/>
  <c r="FZ98" i="27" a="1"/>
  <c r="FZ98" i="27" s="1"/>
  <c r="GA98" i="27" a="1"/>
  <c r="GA98" i="27" s="1"/>
  <c r="FX99" i="27" a="1"/>
  <c r="FX99" i="27" s="1"/>
  <c r="FY99" i="27" a="1"/>
  <c r="FY99" i="27" s="1"/>
  <c r="FZ99" i="27" a="1"/>
  <c r="FZ99" i="27" s="1"/>
  <c r="GA99" i="27" a="1"/>
  <c r="GA99" i="27" s="1"/>
  <c r="FX100" i="27" a="1"/>
  <c r="FX100" i="27" s="1"/>
  <c r="FY100" i="27" a="1"/>
  <c r="FY100" i="27" s="1"/>
  <c r="FZ100" i="27" a="1"/>
  <c r="FZ100" i="27" s="1"/>
  <c r="GA100" i="27" a="1"/>
  <c r="GA100" i="27" s="1"/>
  <c r="FX101" i="27" a="1"/>
  <c r="FX101" i="27" s="1"/>
  <c r="FY101" i="27" a="1"/>
  <c r="FY101" i="27" s="1"/>
  <c r="FZ101" i="27" a="1"/>
  <c r="FZ101" i="27" s="1"/>
  <c r="GA101" i="27" a="1"/>
  <c r="GA101" i="27" s="1"/>
  <c r="FX102" i="27" a="1"/>
  <c r="FX102" i="27" s="1"/>
  <c r="FY102" i="27" a="1"/>
  <c r="FY102" i="27" s="1"/>
  <c r="FZ102" i="27" a="1"/>
  <c r="FZ102" i="27" s="1"/>
  <c r="GA102" i="27" a="1"/>
  <c r="GA102" i="27" s="1"/>
  <c r="FX103" i="27" a="1"/>
  <c r="FX103" i="27" s="1"/>
  <c r="FY103" i="27" a="1"/>
  <c r="FY103" i="27" s="1"/>
  <c r="FZ103" i="27" a="1"/>
  <c r="FZ103" i="27" s="1"/>
  <c r="GA103" i="27" a="1"/>
  <c r="GA103" i="27" s="1"/>
  <c r="FX104" i="27" a="1"/>
  <c r="FX104" i="27" s="1"/>
  <c r="FY104" i="27" a="1"/>
  <c r="FY104" i="27" s="1"/>
  <c r="FZ104" i="27" a="1"/>
  <c r="FZ104" i="27" s="1"/>
  <c r="GA104" i="27" a="1"/>
  <c r="GA104" i="27" s="1"/>
  <c r="FX105" i="27" a="1"/>
  <c r="FX105" i="27" s="1"/>
  <c r="FY105" i="27" a="1"/>
  <c r="FY105" i="27" s="1"/>
  <c r="FZ105" i="27" a="1"/>
  <c r="FZ105" i="27" s="1"/>
  <c r="GA105" i="27" a="1"/>
  <c r="GA105" i="27" s="1"/>
  <c r="FX106" i="27" a="1"/>
  <c r="FX106" i="27" s="1"/>
  <c r="FY106" i="27" a="1"/>
  <c r="FY106" i="27" s="1"/>
  <c r="FZ106" i="27" a="1"/>
  <c r="FZ106" i="27" s="1"/>
  <c r="GA106" i="27" a="1"/>
  <c r="GA106" i="27" s="1"/>
  <c r="FX107" i="27" a="1"/>
  <c r="FX107" i="27" s="1"/>
  <c r="FY107" i="27" a="1"/>
  <c r="FY107" i="27" s="1"/>
  <c r="FZ107" i="27" a="1"/>
  <c r="FZ107" i="27" s="1"/>
  <c r="GA107" i="27" a="1"/>
  <c r="GA107" i="27" s="1"/>
  <c r="FX108" i="27" a="1"/>
  <c r="FX108" i="27" s="1"/>
  <c r="FY108" i="27" a="1"/>
  <c r="FY108" i="27" s="1"/>
  <c r="FZ108" i="27" a="1"/>
  <c r="FZ108" i="27" s="1"/>
  <c r="GA108" i="27" a="1"/>
  <c r="GA108" i="27" s="1"/>
  <c r="FX109" i="27" a="1"/>
  <c r="FX109" i="27" s="1"/>
  <c r="FY109" i="27" a="1"/>
  <c r="FY109" i="27" s="1"/>
  <c r="FZ109" i="27" a="1"/>
  <c r="FZ109" i="27" s="1"/>
  <c r="GA109" i="27" a="1"/>
  <c r="GA109" i="27" s="1"/>
  <c r="FX110" i="27" a="1"/>
  <c r="FX110" i="27" s="1"/>
  <c r="FY110" i="27" a="1"/>
  <c r="FY110" i="27" s="1"/>
  <c r="FZ110" i="27" a="1"/>
  <c r="FZ110" i="27" s="1"/>
  <c r="GA110" i="27" a="1"/>
  <c r="GA110" i="27" s="1"/>
  <c r="FX111" i="27" a="1"/>
  <c r="FX111" i="27" s="1"/>
  <c r="FY111" i="27" a="1"/>
  <c r="FY111" i="27" s="1"/>
  <c r="FZ111" i="27" a="1"/>
  <c r="FZ111" i="27" s="1"/>
  <c r="GA111" i="27" a="1"/>
  <c r="GA111" i="27" s="1"/>
  <c r="FX112" i="27" a="1"/>
  <c r="FX112" i="27" s="1"/>
  <c r="FY112" i="27" a="1"/>
  <c r="FY112" i="27" s="1"/>
  <c r="FZ112" i="27" a="1"/>
  <c r="FZ112" i="27" s="1"/>
  <c r="GA112" i="27" a="1"/>
  <c r="GA112" i="27" s="1"/>
  <c r="FX113" i="27" a="1"/>
  <c r="FX113" i="27" s="1"/>
  <c r="FY113" i="27" a="1"/>
  <c r="FY113" i="27" s="1"/>
  <c r="FZ113" i="27" a="1"/>
  <c r="FZ113" i="27" s="1"/>
  <c r="GA113" i="27" a="1"/>
  <c r="GA113" i="27" s="1"/>
  <c r="FX114" i="27" a="1"/>
  <c r="FX114" i="27" s="1"/>
  <c r="FY114" i="27" a="1"/>
  <c r="FY114" i="27" s="1"/>
  <c r="FZ114" i="27" a="1"/>
  <c r="FZ114" i="27" s="1"/>
  <c r="GA114" i="27" a="1"/>
  <c r="GA114" i="27" s="1"/>
  <c r="FX115" i="27" a="1"/>
  <c r="FX115" i="27" s="1"/>
  <c r="FY115" i="27" a="1"/>
  <c r="FY115" i="27" s="1"/>
  <c r="FZ115" i="27" a="1"/>
  <c r="FZ115" i="27" s="1"/>
  <c r="GA115" i="27" a="1"/>
  <c r="GA115" i="27" s="1"/>
  <c r="FX116" i="27" a="1"/>
  <c r="FX116" i="27" s="1"/>
  <c r="FY116" i="27" a="1"/>
  <c r="FY116" i="27" s="1"/>
  <c r="FZ116" i="27" a="1"/>
  <c r="FZ116" i="27" s="1"/>
  <c r="GA116" i="27" a="1"/>
  <c r="GA116" i="27" s="1"/>
  <c r="FX117" i="27" a="1"/>
  <c r="FX117" i="27" s="1"/>
  <c r="FY117" i="27" a="1"/>
  <c r="FY117" i="27" s="1"/>
  <c r="FZ117" i="27" a="1"/>
  <c r="FZ117" i="27" s="1"/>
  <c r="GA117" i="27" a="1"/>
  <c r="GA117" i="27" s="1"/>
  <c r="FX118" i="27" a="1"/>
  <c r="FX118" i="27" s="1"/>
  <c r="FY118" i="27" a="1"/>
  <c r="FY118" i="27" s="1"/>
  <c r="FZ118" i="27" a="1"/>
  <c r="FZ118" i="27" s="1"/>
  <c r="GA118" i="27" a="1"/>
  <c r="GA118" i="27" s="1"/>
  <c r="FX119" i="27" a="1"/>
  <c r="FX119" i="27" s="1"/>
  <c r="FY119" i="27" a="1"/>
  <c r="FY119" i="27" s="1"/>
  <c r="FZ119" i="27" a="1"/>
  <c r="FZ119" i="27" s="1"/>
  <c r="GA119" i="27" a="1"/>
  <c r="GA119" i="27" s="1"/>
  <c r="FX120" i="27" a="1"/>
  <c r="FX120" i="27" s="1"/>
  <c r="FY120" i="27" a="1"/>
  <c r="FY120" i="27" s="1"/>
  <c r="FZ120" i="27" a="1"/>
  <c r="FZ120" i="27" s="1"/>
  <c r="GA120" i="27" a="1"/>
  <c r="GA120" i="27" s="1"/>
  <c r="FX121" i="27" a="1"/>
  <c r="FX121" i="27" s="1"/>
  <c r="FY121" i="27" a="1"/>
  <c r="FY121" i="27" s="1"/>
  <c r="FZ121" i="27" a="1"/>
  <c r="FZ121" i="27" s="1"/>
  <c r="GA121" i="27" a="1"/>
  <c r="GA121" i="27" s="1"/>
  <c r="FX122" i="27" a="1"/>
  <c r="FX122" i="27" s="1"/>
  <c r="FY122" i="27" a="1"/>
  <c r="FY122" i="27" s="1"/>
  <c r="FZ122" i="27" a="1"/>
  <c r="FZ122" i="27" s="1"/>
  <c r="GA122" i="27" a="1"/>
  <c r="GA122" i="27" s="1"/>
  <c r="FX123" i="27" a="1"/>
  <c r="FX123" i="27" s="1"/>
  <c r="FY123" i="27" a="1"/>
  <c r="FY123" i="27" s="1"/>
  <c r="FZ123" i="27" a="1"/>
  <c r="FZ123" i="27" s="1"/>
  <c r="GA123" i="27" a="1"/>
  <c r="GA123" i="27" s="1"/>
  <c r="FX124" i="27" a="1"/>
  <c r="FX124" i="27" s="1"/>
  <c r="FY124" i="27" a="1"/>
  <c r="FY124" i="27" s="1"/>
  <c r="FZ124" i="27" a="1"/>
  <c r="FZ124" i="27" s="1"/>
  <c r="GA124" i="27" a="1"/>
  <c r="GA124" i="27" s="1"/>
  <c r="FR95" i="27" a="1"/>
  <c r="FR95" i="27" s="1"/>
  <c r="FQ91" i="27" a="1"/>
  <c r="FQ91" i="27" s="1"/>
  <c r="FQ90" i="27" a="1"/>
  <c r="FQ90" i="27" s="1"/>
  <c r="FQ89" i="27" a="1"/>
  <c r="FQ89" i="27" s="1"/>
  <c r="FQ88" i="27" a="1"/>
  <c r="FQ88" i="27" s="1"/>
  <c r="FQ87" i="27" a="1"/>
  <c r="FQ87" i="27" s="1"/>
  <c r="FQ86" i="27" a="1"/>
  <c r="FQ86" i="27" s="1"/>
  <c r="FQ85" i="27" a="1"/>
  <c r="FQ85" i="27" s="1"/>
  <c r="FQ84" i="27" a="1"/>
  <c r="FQ84" i="27" s="1"/>
  <c r="FQ83" i="27" a="1"/>
  <c r="FQ83" i="27" s="1"/>
  <c r="FQ82" i="27" a="1"/>
  <c r="FQ82" i="27" s="1"/>
  <c r="FQ81" i="27" a="1"/>
  <c r="FQ81" i="27" s="1"/>
  <c r="FQ80" i="27" a="1"/>
  <c r="FQ80" i="27" s="1"/>
  <c r="FQ79" i="27" a="1"/>
  <c r="FQ79" i="27" s="1"/>
  <c r="FQ78" i="27" a="1"/>
  <c r="FQ78" i="27" s="1"/>
  <c r="FQ77" i="27" a="1"/>
  <c r="FQ77" i="27" s="1"/>
  <c r="FQ76" i="27" a="1"/>
  <c r="FQ76" i="27" s="1"/>
  <c r="FQ75" i="27" a="1"/>
  <c r="FQ75" i="27" s="1"/>
  <c r="FQ74" i="27" a="1"/>
  <c r="FQ74" i="27" s="1"/>
  <c r="FQ73" i="27" a="1"/>
  <c r="FQ73" i="27" s="1"/>
  <c r="FQ72" i="27" a="1"/>
  <c r="FQ72" i="27" s="1"/>
  <c r="FQ71" i="27" a="1"/>
  <c r="FQ71" i="27" s="1"/>
  <c r="FQ70" i="27" a="1"/>
  <c r="FQ70" i="27" s="1"/>
  <c r="FQ69" i="27" a="1"/>
  <c r="FQ69" i="27" s="1"/>
  <c r="FQ68" i="27" a="1"/>
  <c r="FQ68" i="27" s="1"/>
  <c r="FQ67" i="27" a="1"/>
  <c r="FQ67" i="27" s="1"/>
  <c r="FQ66" i="27" a="1"/>
  <c r="FQ66" i="27" s="1"/>
  <c r="FQ65" i="27" a="1"/>
  <c r="FQ65" i="27" s="1"/>
  <c r="FQ64" i="27" a="1"/>
  <c r="FQ64" i="27" s="1"/>
  <c r="FQ63" i="27" a="1"/>
  <c r="FQ63" i="27" s="1"/>
  <c r="FQ62" i="27" a="1"/>
  <c r="FQ62" i="27" s="1"/>
  <c r="FQ61" i="27" a="1"/>
  <c r="FQ61" i="27" s="1"/>
  <c r="FQ60" i="27" a="1"/>
  <c r="FQ60" i="27" s="1"/>
  <c r="FQ59" i="27" a="1"/>
  <c r="FQ59" i="27" s="1"/>
  <c r="FQ58" i="27" a="1"/>
  <c r="FQ58" i="27" s="1"/>
  <c r="FQ57" i="27" a="1"/>
  <c r="FQ57" i="27" s="1"/>
  <c r="FQ56" i="27" a="1"/>
  <c r="FQ56" i="27" s="1"/>
  <c r="FQ55" i="27" a="1"/>
  <c r="FQ55" i="27" s="1"/>
  <c r="FQ54" i="27" a="1"/>
  <c r="FQ54" i="27" s="1"/>
  <c r="FQ53" i="27" a="1"/>
  <c r="FQ53" i="27" s="1"/>
  <c r="FQ95" i="27"/>
  <c r="FP95" i="27" a="1"/>
  <c r="FP95" i="27" s="1"/>
  <c r="FO95" i="27" a="1"/>
  <c r="FO95" i="27" s="1"/>
  <c r="FR91" i="27" a="1"/>
  <c r="FR91" i="27" s="1"/>
  <c r="FP91" i="27" a="1"/>
  <c r="FP91" i="27" s="1"/>
  <c r="FO91" i="27" a="1"/>
  <c r="FO91" i="27" s="1"/>
  <c r="FR90" i="27" a="1"/>
  <c r="FR90" i="27" s="1"/>
  <c r="FP90" i="27" a="1"/>
  <c r="FP90" i="27" s="1"/>
  <c r="FO90" i="27" a="1"/>
  <c r="FO90" i="27" s="1"/>
  <c r="FR89" i="27" a="1"/>
  <c r="FR89" i="27" s="1"/>
  <c r="FP89" i="27" a="1"/>
  <c r="FP89" i="27" s="1"/>
  <c r="FO89" i="27" a="1"/>
  <c r="FO89" i="27" s="1"/>
  <c r="FR88" i="27" a="1"/>
  <c r="FR88" i="27" s="1"/>
  <c r="FP88" i="27" a="1"/>
  <c r="FP88" i="27" s="1"/>
  <c r="FO88" i="27" a="1"/>
  <c r="FO88" i="27" s="1"/>
  <c r="FR87" i="27" a="1"/>
  <c r="FR87" i="27" s="1"/>
  <c r="FP87" i="27" a="1"/>
  <c r="FP87" i="27" s="1"/>
  <c r="FO87" i="27" a="1"/>
  <c r="FO87" i="27" s="1"/>
  <c r="FR86" i="27" a="1"/>
  <c r="FR86" i="27" s="1"/>
  <c r="FP86" i="27" a="1"/>
  <c r="FP86" i="27" s="1"/>
  <c r="FO86" i="27" a="1"/>
  <c r="FO86" i="27" s="1"/>
  <c r="FR85" i="27" a="1"/>
  <c r="FR85" i="27" s="1"/>
  <c r="FP85" i="27" a="1"/>
  <c r="FP85" i="27" s="1"/>
  <c r="FO85" i="27" a="1"/>
  <c r="FO85" i="27" s="1"/>
  <c r="FR84" i="27" a="1"/>
  <c r="FR84" i="27" s="1"/>
  <c r="FP84" i="27" a="1"/>
  <c r="FP84" i="27" s="1"/>
  <c r="FO84" i="27" a="1"/>
  <c r="FO84" i="27" s="1"/>
  <c r="FR83" i="27" a="1"/>
  <c r="FR83" i="27" s="1"/>
  <c r="FP83" i="27" a="1"/>
  <c r="FP83" i="27" s="1"/>
  <c r="FO83" i="27" a="1"/>
  <c r="FO83" i="27" s="1"/>
  <c r="FR82" i="27" a="1"/>
  <c r="FR82" i="27" s="1"/>
  <c r="FP82" i="27" a="1"/>
  <c r="FP82" i="27" s="1"/>
  <c r="FO82" i="27" a="1"/>
  <c r="FO82" i="27" s="1"/>
  <c r="FR81" i="27" a="1"/>
  <c r="FR81" i="27" s="1"/>
  <c r="FP81" i="27" a="1"/>
  <c r="FP81" i="27" s="1"/>
  <c r="FO81" i="27" a="1"/>
  <c r="FO81" i="27" s="1"/>
  <c r="FR80" i="27" a="1"/>
  <c r="FR80" i="27" s="1"/>
  <c r="FP80" i="27" a="1"/>
  <c r="FP80" i="27" s="1"/>
  <c r="FO80" i="27" a="1"/>
  <c r="FO80" i="27" s="1"/>
  <c r="FR79" i="27" a="1"/>
  <c r="FR79" i="27" s="1"/>
  <c r="FP79" i="27" a="1"/>
  <c r="FP79" i="27" s="1"/>
  <c r="FO79" i="27" a="1"/>
  <c r="FO79" i="27" s="1"/>
  <c r="FR78" i="27" a="1"/>
  <c r="FR78" i="27" s="1"/>
  <c r="FP78" i="27" a="1"/>
  <c r="FP78" i="27" s="1"/>
  <c r="FO78" i="27" a="1"/>
  <c r="FO78" i="27" s="1"/>
  <c r="FR77" i="27" a="1"/>
  <c r="FR77" i="27" s="1"/>
  <c r="FP77" i="27" a="1"/>
  <c r="FP77" i="27" s="1"/>
  <c r="FO77" i="27" a="1"/>
  <c r="FO77" i="27" s="1"/>
  <c r="FR76" i="27" a="1"/>
  <c r="FR76" i="27" s="1"/>
  <c r="FP76" i="27" a="1"/>
  <c r="FP76" i="27" s="1"/>
  <c r="FO76" i="27" a="1"/>
  <c r="FO76" i="27" s="1"/>
  <c r="FR75" i="27" a="1"/>
  <c r="FR75" i="27" s="1"/>
  <c r="FP75" i="27" a="1"/>
  <c r="FP75" i="27" s="1"/>
  <c r="FO75" i="27" a="1"/>
  <c r="FO75" i="27" s="1"/>
  <c r="FR74" i="27" a="1"/>
  <c r="FR74" i="27" s="1"/>
  <c r="FP74" i="27" a="1"/>
  <c r="FP74" i="27" s="1"/>
  <c r="FO74" i="27" a="1"/>
  <c r="FO74" i="27" s="1"/>
  <c r="FR73" i="27" a="1"/>
  <c r="FR73" i="27" s="1"/>
  <c r="FP73" i="27" a="1"/>
  <c r="FP73" i="27" s="1"/>
  <c r="FO73" i="27" a="1"/>
  <c r="FO73" i="27" s="1"/>
  <c r="FR72" i="27" a="1"/>
  <c r="FR72" i="27" s="1"/>
  <c r="FP72" i="27" a="1"/>
  <c r="FP72" i="27" s="1"/>
  <c r="FO72" i="27" a="1"/>
  <c r="FO72" i="27" s="1"/>
  <c r="FR71" i="27" a="1"/>
  <c r="FR71" i="27" s="1"/>
  <c r="FP71" i="27" a="1"/>
  <c r="FP71" i="27" s="1"/>
  <c r="FO71" i="27" a="1"/>
  <c r="FO71" i="27" s="1"/>
  <c r="FR70" i="27" a="1"/>
  <c r="FR70" i="27" s="1"/>
  <c r="FP70" i="27" a="1"/>
  <c r="FP70" i="27" s="1"/>
  <c r="FO70" i="27" a="1"/>
  <c r="FO70" i="27" s="1"/>
  <c r="FR69" i="27" a="1"/>
  <c r="FR69" i="27" s="1"/>
  <c r="FP69" i="27" a="1"/>
  <c r="FP69" i="27" s="1"/>
  <c r="FO69" i="27" a="1"/>
  <c r="FO69" i="27" s="1"/>
  <c r="FR68" i="27" a="1"/>
  <c r="FR68" i="27" s="1"/>
  <c r="FP68" i="27" a="1"/>
  <c r="FP68" i="27" s="1"/>
  <c r="FO68" i="27" a="1"/>
  <c r="FO68" i="27" s="1"/>
  <c r="FR67" i="27" a="1"/>
  <c r="FR67" i="27" s="1"/>
  <c r="FP67" i="27" a="1"/>
  <c r="FP67" i="27" s="1"/>
  <c r="FO67" i="27" a="1"/>
  <c r="FO67" i="27" s="1"/>
  <c r="FR66" i="27" a="1"/>
  <c r="FR66" i="27" s="1"/>
  <c r="FP66" i="27" a="1"/>
  <c r="FP66" i="27" s="1"/>
  <c r="FO66" i="27" a="1"/>
  <c r="FO66" i="27" s="1"/>
  <c r="FR65" i="27" a="1"/>
  <c r="FR65" i="27" s="1"/>
  <c r="FP65" i="27" a="1"/>
  <c r="FP65" i="27" s="1"/>
  <c r="FO65" i="27" a="1"/>
  <c r="FO65" i="27" s="1"/>
  <c r="FR64" i="27" a="1"/>
  <c r="FR64" i="27" s="1"/>
  <c r="FP64" i="27" a="1"/>
  <c r="FP64" i="27" s="1"/>
  <c r="FO64" i="27" a="1"/>
  <c r="FO64" i="27" s="1"/>
  <c r="FR63" i="27" a="1"/>
  <c r="FR63" i="27" s="1"/>
  <c r="FP63" i="27" a="1"/>
  <c r="FP63" i="27" s="1"/>
  <c r="FO63" i="27" a="1"/>
  <c r="FO63" i="27" s="1"/>
  <c r="FR62" i="27" a="1"/>
  <c r="FR62" i="27" s="1"/>
  <c r="FP62" i="27" a="1"/>
  <c r="FP62" i="27" s="1"/>
  <c r="FO62" i="27" a="1"/>
  <c r="FO62" i="27" s="1"/>
  <c r="FR61" i="27" a="1"/>
  <c r="FR61" i="27" s="1"/>
  <c r="FP61" i="27" a="1"/>
  <c r="FP61" i="27" s="1"/>
  <c r="FO61" i="27" a="1"/>
  <c r="FO61" i="27" s="1"/>
  <c r="FR60" i="27" a="1"/>
  <c r="FR60" i="27" s="1"/>
  <c r="FP60" i="27" a="1"/>
  <c r="FP60" i="27" s="1"/>
  <c r="FO60" i="27" a="1"/>
  <c r="FO60" i="27" s="1"/>
  <c r="FR59" i="27" a="1"/>
  <c r="FR59" i="27" s="1"/>
  <c r="FP59" i="27" a="1"/>
  <c r="FP59" i="27" s="1"/>
  <c r="FO59" i="27" a="1"/>
  <c r="FO59" i="27" s="1"/>
  <c r="FR58" i="27" a="1"/>
  <c r="FR58" i="27" s="1"/>
  <c r="FP58" i="27" a="1"/>
  <c r="FP58" i="27" s="1"/>
  <c r="FO58" i="27" a="1"/>
  <c r="FO58" i="27" s="1"/>
  <c r="FR57" i="27" a="1"/>
  <c r="FR57" i="27" s="1"/>
  <c r="FP57" i="27" a="1"/>
  <c r="FP57" i="27" s="1"/>
  <c r="FO57" i="27" a="1"/>
  <c r="FO57" i="27" s="1"/>
  <c r="FR56" i="27" a="1"/>
  <c r="FR56" i="27" s="1"/>
  <c r="FP56" i="27" a="1"/>
  <c r="FP56" i="27" s="1"/>
  <c r="FO56" i="27" a="1"/>
  <c r="FO56" i="27" s="1"/>
  <c r="FR55" i="27" a="1"/>
  <c r="FR55" i="27" s="1"/>
  <c r="FP55" i="27" a="1"/>
  <c r="FP55" i="27" s="1"/>
  <c r="FO55" i="27" a="1"/>
  <c r="FO55" i="27" s="1"/>
  <c r="FR54" i="27" a="1"/>
  <c r="FR54" i="27" s="1"/>
  <c r="FP54" i="27" a="1"/>
  <c r="FP54" i="27" s="1"/>
  <c r="FO54" i="27" a="1"/>
  <c r="FO54" i="27" s="1"/>
  <c r="FR53" i="27" a="1"/>
  <c r="FR53" i="27" s="1"/>
  <c r="FP53" i="27" a="1"/>
  <c r="FP53" i="27" s="1"/>
  <c r="FO53" i="27" a="1"/>
  <c r="FO53" i="27" s="1"/>
  <c r="FH134" i="27" a="1"/>
  <c r="FH134" i="27" s="1"/>
  <c r="FG134" i="27" a="1"/>
  <c r="FG134" i="27" s="1"/>
  <c r="FF134" i="27" a="1"/>
  <c r="FF134" i="27" s="1"/>
  <c r="FE134" i="27" a="1"/>
  <c r="FE134" i="27" s="1"/>
  <c r="FH133" i="27" a="1"/>
  <c r="FH133" i="27" s="1"/>
  <c r="FG133" i="27" a="1"/>
  <c r="FG133" i="27" s="1"/>
  <c r="FF133" i="27" a="1"/>
  <c r="FF133" i="27" s="1"/>
  <c r="FE133" i="27" a="1"/>
  <c r="FE133" i="27" s="1"/>
  <c r="FH132" i="27" a="1"/>
  <c r="FH132" i="27" s="1"/>
  <c r="FG132" i="27" a="1"/>
  <c r="FG132" i="27" s="1"/>
  <c r="FF132" i="27" a="1"/>
  <c r="FF132" i="27" s="1"/>
  <c r="FE132" i="27" a="1"/>
  <c r="FE132" i="27" s="1"/>
  <c r="FH131" i="27" a="1"/>
  <c r="FH131" i="27" s="1"/>
  <c r="FG131" i="27" a="1"/>
  <c r="FG131" i="27" s="1"/>
  <c r="FF131" i="27" a="1"/>
  <c r="FF131" i="27" s="1"/>
  <c r="FE131" i="27" a="1"/>
  <c r="FE131" i="27" s="1"/>
  <c r="FH130" i="27" a="1"/>
  <c r="FH130" i="27" s="1"/>
  <c r="FG130" i="27" a="1"/>
  <c r="FG130" i="27" s="1"/>
  <c r="FF130" i="27" a="1"/>
  <c r="FF130" i="27" s="1"/>
  <c r="FE130" i="27" a="1"/>
  <c r="FE130" i="27" s="1"/>
  <c r="FH129" i="27" a="1"/>
  <c r="FH129" i="27" s="1"/>
  <c r="FG129" i="27" a="1"/>
  <c r="FG129" i="27" s="1"/>
  <c r="FF129" i="27" a="1"/>
  <c r="FF129" i="27" s="1"/>
  <c r="FE129" i="27" a="1"/>
  <c r="FE129" i="27" s="1"/>
  <c r="FH128" i="27" a="1"/>
  <c r="FH128" i="27" s="1"/>
  <c r="FG128" i="27" a="1"/>
  <c r="FG128" i="27" s="1"/>
  <c r="FF128" i="27" a="1"/>
  <c r="FF128" i="27" s="1"/>
  <c r="FE128" i="27" a="1"/>
  <c r="FE128" i="27" s="1"/>
  <c r="FH127" i="27" a="1"/>
  <c r="FH127" i="27" s="1"/>
  <c r="FG127" i="27" a="1"/>
  <c r="FG127" i="27" s="1"/>
  <c r="FF127" i="27" a="1"/>
  <c r="FF127" i="27" s="1"/>
  <c r="FE127" i="27" a="1"/>
  <c r="FE127" i="27" s="1"/>
  <c r="FH126" i="27" a="1"/>
  <c r="FH126" i="27" s="1"/>
  <c r="FG126" i="27" a="1"/>
  <c r="FG126" i="27" s="1"/>
  <c r="FF126" i="27" a="1"/>
  <c r="FF126" i="27" s="1"/>
  <c r="FE126" i="27" a="1"/>
  <c r="FE126" i="27" s="1"/>
  <c r="FH125" i="27" a="1"/>
  <c r="FH125" i="27" s="1"/>
  <c r="FG125" i="27" a="1"/>
  <c r="FG125" i="27" s="1"/>
  <c r="FF125" i="27" a="1"/>
  <c r="FF125" i="27" s="1"/>
  <c r="FE125" i="27" a="1"/>
  <c r="FE125" i="27" s="1"/>
  <c r="FH124" i="27" a="1"/>
  <c r="FH124" i="27" s="1"/>
  <c r="FG124" i="27" a="1"/>
  <c r="FG124" i="27" s="1"/>
  <c r="FF124" i="27" a="1"/>
  <c r="FF124" i="27" s="1"/>
  <c r="FE124" i="27" a="1"/>
  <c r="FE124" i="27" s="1"/>
  <c r="FH123" i="27" a="1"/>
  <c r="FH123" i="27" s="1"/>
  <c r="FG123" i="27" a="1"/>
  <c r="FG123" i="27" s="1"/>
  <c r="FF123" i="27" a="1"/>
  <c r="FF123" i="27" s="1"/>
  <c r="FE123" i="27" a="1"/>
  <c r="FE123" i="27" s="1"/>
  <c r="FH122" i="27" a="1"/>
  <c r="FH122" i="27" s="1"/>
  <c r="FG122" i="27" a="1"/>
  <c r="FG122" i="27" s="1"/>
  <c r="FF122" i="27" a="1"/>
  <c r="FF122" i="27" s="1"/>
  <c r="FE122" i="27" a="1"/>
  <c r="FE122" i="27" s="1"/>
  <c r="FH121" i="27" a="1"/>
  <c r="FH121" i="27" s="1"/>
  <c r="FG121" i="27" a="1"/>
  <c r="FG121" i="27" s="1"/>
  <c r="FF121" i="27" a="1"/>
  <c r="FF121" i="27" s="1"/>
  <c r="FE121" i="27" a="1"/>
  <c r="FE121" i="27" s="1"/>
  <c r="FH120" i="27" a="1"/>
  <c r="FH120" i="27" s="1"/>
  <c r="FG120" i="27" a="1"/>
  <c r="FG120" i="27" s="1"/>
  <c r="FF120" i="27" a="1"/>
  <c r="FF120" i="27" s="1"/>
  <c r="FE120" i="27" a="1"/>
  <c r="FE120" i="27" s="1"/>
  <c r="FH119" i="27" a="1"/>
  <c r="FH119" i="27" s="1"/>
  <c r="FG119" i="27" a="1"/>
  <c r="FG119" i="27" s="1"/>
  <c r="FF119" i="27" a="1"/>
  <c r="FF119" i="27" s="1"/>
  <c r="FE119" i="27" a="1"/>
  <c r="FE119" i="27" s="1"/>
  <c r="FH118" i="27" a="1"/>
  <c r="FH118" i="27" s="1"/>
  <c r="FG118" i="27" a="1"/>
  <c r="FG118" i="27" s="1"/>
  <c r="FF118" i="27" a="1"/>
  <c r="FF118" i="27" s="1"/>
  <c r="FE118" i="27" a="1"/>
  <c r="FE118" i="27" s="1"/>
  <c r="FH117" i="27" a="1"/>
  <c r="FH117" i="27" s="1"/>
  <c r="FG117" i="27" a="1"/>
  <c r="FG117" i="27" s="1"/>
  <c r="FF117" i="27" a="1"/>
  <c r="FF117" i="27" s="1"/>
  <c r="FE117" i="27" a="1"/>
  <c r="FE117" i="27" s="1"/>
  <c r="FH116" i="27" a="1"/>
  <c r="FH116" i="27" s="1"/>
  <c r="FG116" i="27" a="1"/>
  <c r="FG116" i="27" s="1"/>
  <c r="FF116" i="27" a="1"/>
  <c r="FF116" i="27" s="1"/>
  <c r="FE116" i="27" a="1"/>
  <c r="FE116" i="27" s="1"/>
  <c r="FH115" i="27" a="1"/>
  <c r="FH115" i="27" s="1"/>
  <c r="FG115" i="27" a="1"/>
  <c r="FG115" i="27" s="1"/>
  <c r="FF115" i="27" a="1"/>
  <c r="FF115" i="27" s="1"/>
  <c r="FE115" i="27" a="1"/>
  <c r="FE115" i="27" s="1"/>
  <c r="FH114" i="27" a="1"/>
  <c r="FH114" i="27" s="1"/>
  <c r="FG114" i="27" a="1"/>
  <c r="FG114" i="27" s="1"/>
  <c r="FF114" i="27" a="1"/>
  <c r="FF114" i="27" s="1"/>
  <c r="FE114" i="27" a="1"/>
  <c r="FE114" i="27" s="1"/>
  <c r="FH113" i="27" a="1"/>
  <c r="FH113" i="27" s="1"/>
  <c r="FG113" i="27" a="1"/>
  <c r="FG113" i="27" s="1"/>
  <c r="FF113" i="27" a="1"/>
  <c r="FF113" i="27" s="1"/>
  <c r="FE113" i="27" a="1"/>
  <c r="FE113" i="27" s="1"/>
  <c r="FH112" i="27" a="1"/>
  <c r="FH112" i="27" s="1"/>
  <c r="FG112" i="27" a="1"/>
  <c r="FG112" i="27" s="1"/>
  <c r="FF112" i="27" a="1"/>
  <c r="FF112" i="27" s="1"/>
  <c r="FE112" i="27" a="1"/>
  <c r="FE112" i="27" s="1"/>
  <c r="FH111" i="27" a="1"/>
  <c r="FH111" i="27" s="1"/>
  <c r="FG111" i="27" a="1"/>
  <c r="FG111" i="27" s="1"/>
  <c r="FF111" i="27" a="1"/>
  <c r="FF111" i="27" s="1"/>
  <c r="FE111" i="27" a="1"/>
  <c r="FE111" i="27" s="1"/>
  <c r="FH110" i="27" a="1"/>
  <c r="FH110" i="27" s="1"/>
  <c r="FG110" i="27" a="1"/>
  <c r="FG110" i="27" s="1"/>
  <c r="FF110" i="27" a="1"/>
  <c r="FF110" i="27" s="1"/>
  <c r="FE110" i="27" a="1"/>
  <c r="FE110" i="27" s="1"/>
  <c r="FH109" i="27" a="1"/>
  <c r="FH109" i="27" s="1"/>
  <c r="FG109" i="27" a="1"/>
  <c r="FG109" i="27" s="1"/>
  <c r="FF109" i="27" a="1"/>
  <c r="FF109" i="27" s="1"/>
  <c r="FE109" i="27" a="1"/>
  <c r="FE109" i="27" s="1"/>
  <c r="FH108" i="27" a="1"/>
  <c r="FH108" i="27" s="1"/>
  <c r="FG108" i="27" a="1"/>
  <c r="FG108" i="27" s="1"/>
  <c r="FF108" i="27" a="1"/>
  <c r="FF108" i="27" s="1"/>
  <c r="FE108" i="27" a="1"/>
  <c r="FE108" i="27" s="1"/>
  <c r="FH107" i="27" a="1"/>
  <c r="FH107" i="27" s="1"/>
  <c r="FG107" i="27" a="1"/>
  <c r="FG107" i="27" s="1"/>
  <c r="FF107" i="27" a="1"/>
  <c r="FF107" i="27" s="1"/>
  <c r="FE107" i="27" a="1"/>
  <c r="FE107" i="27" s="1"/>
  <c r="FH106" i="27" a="1"/>
  <c r="FH106" i="27" s="1"/>
  <c r="FG106" i="27" a="1"/>
  <c r="FG106" i="27" s="1"/>
  <c r="FF106" i="27" a="1"/>
  <c r="FF106" i="27" s="1"/>
  <c r="FE106" i="27" a="1"/>
  <c r="FE106" i="27" s="1"/>
  <c r="FH105" i="27" a="1"/>
  <c r="FH105" i="27" s="1"/>
  <c r="FG105" i="27" a="1"/>
  <c r="FG105" i="27" s="1"/>
  <c r="FF105" i="27" a="1"/>
  <c r="FF105" i="27" s="1"/>
  <c r="FE105" i="27" a="1"/>
  <c r="FE105" i="27" s="1"/>
  <c r="FH104" i="27" a="1"/>
  <c r="FH104" i="27" s="1"/>
  <c r="FG104" i="27" a="1"/>
  <c r="FG104" i="27" s="1"/>
  <c r="FF104" i="27" a="1"/>
  <c r="FF104" i="27" s="1"/>
  <c r="FE104" i="27" a="1"/>
  <c r="FE104" i="27" s="1"/>
  <c r="FH103" i="27" a="1"/>
  <c r="FH103" i="27" s="1"/>
  <c r="FG103" i="27" a="1"/>
  <c r="FG103" i="27" s="1"/>
  <c r="FF103" i="27" a="1"/>
  <c r="FF103" i="27" s="1"/>
  <c r="FE103" i="27" a="1"/>
  <c r="FE103" i="27" s="1"/>
  <c r="FH102" i="27" a="1"/>
  <c r="FH102" i="27" s="1"/>
  <c r="FG102" i="27" a="1"/>
  <c r="FG102" i="27" s="1"/>
  <c r="FF102" i="27" a="1"/>
  <c r="FF102" i="27" s="1"/>
  <c r="FE102" i="27" a="1"/>
  <c r="FE102" i="27" s="1"/>
  <c r="FH101" i="27" a="1"/>
  <c r="FH101" i="27" s="1"/>
  <c r="FG101" i="27" a="1"/>
  <c r="FG101" i="27" s="1"/>
  <c r="FF101" i="27" a="1"/>
  <c r="FF101" i="27" s="1"/>
  <c r="FE101" i="27" a="1"/>
  <c r="FE101" i="27" s="1"/>
  <c r="FH100" i="27" a="1"/>
  <c r="FH100" i="27" s="1"/>
  <c r="FG100" i="27" a="1"/>
  <c r="FG100" i="27" s="1"/>
  <c r="FF100" i="27" a="1"/>
  <c r="FF100" i="27" s="1"/>
  <c r="FE100" i="27" a="1"/>
  <c r="FE100" i="27" s="1"/>
  <c r="FH99" i="27" a="1"/>
  <c r="FH99" i="27" s="1"/>
  <c r="FG99" i="27" a="1"/>
  <c r="FG99" i="27" s="1"/>
  <c r="FF99" i="27" a="1"/>
  <c r="FF99" i="27" s="1"/>
  <c r="FE99" i="27" a="1"/>
  <c r="FE99" i="27" s="1"/>
  <c r="FH98" i="27" a="1"/>
  <c r="FH98" i="27" s="1"/>
  <c r="FG98" i="27" a="1"/>
  <c r="FG98" i="27" s="1"/>
  <c r="FF98" i="27" a="1"/>
  <c r="FF98" i="27" s="1"/>
  <c r="FE98" i="27" a="1"/>
  <c r="FE98" i="27" s="1"/>
  <c r="FH97" i="27" a="1"/>
  <c r="FH97" i="27" s="1"/>
  <c r="FG97" i="27" a="1"/>
  <c r="FG97" i="27" s="1"/>
  <c r="FF97" i="27" a="1"/>
  <c r="FF97" i="27" s="1"/>
  <c r="FE97" i="27" a="1"/>
  <c r="FE97" i="27" s="1"/>
  <c r="FH96" i="27" a="1"/>
  <c r="FH96" i="27" s="1"/>
  <c r="FG96" i="27" a="1"/>
  <c r="FG96" i="27" s="1"/>
  <c r="FF96" i="27" a="1"/>
  <c r="FF96" i="27" s="1"/>
  <c r="FE96" i="27" a="1"/>
  <c r="FE96" i="27" s="1"/>
  <c r="FH92" i="27" a="1"/>
  <c r="FH92" i="27" s="1"/>
  <c r="FG92" i="27" a="1"/>
  <c r="FG92" i="27" s="1"/>
  <c r="FF92" i="27" a="1"/>
  <c r="FF92" i="27" s="1"/>
  <c r="FE92" i="27" a="1"/>
  <c r="FE92" i="27" s="1"/>
  <c r="FH91" i="27" a="1"/>
  <c r="FH91" i="27" s="1"/>
  <c r="FG91" i="27" a="1"/>
  <c r="FG91" i="27" s="1"/>
  <c r="FF91" i="27" a="1"/>
  <c r="FF91" i="27" s="1"/>
  <c r="FE91" i="27" a="1"/>
  <c r="FE91" i="27" s="1"/>
  <c r="FH90" i="27" a="1"/>
  <c r="FH90" i="27" s="1"/>
  <c r="FG90" i="27" a="1"/>
  <c r="FG90" i="27" s="1"/>
  <c r="FF90" i="27" a="1"/>
  <c r="FF90" i="27" s="1"/>
  <c r="FE90" i="27" a="1"/>
  <c r="FE90" i="27" s="1"/>
  <c r="FH89" i="27" a="1"/>
  <c r="FH89" i="27" s="1"/>
  <c r="FG89" i="27" a="1"/>
  <c r="FG89" i="27" s="1"/>
  <c r="FF89" i="27" a="1"/>
  <c r="FF89" i="27" s="1"/>
  <c r="FE89" i="27" a="1"/>
  <c r="FE89" i="27" s="1"/>
  <c r="FH88" i="27" a="1"/>
  <c r="FH88" i="27" s="1"/>
  <c r="FG88" i="27" a="1"/>
  <c r="FG88" i="27" s="1"/>
  <c r="FF88" i="27" a="1"/>
  <c r="FF88" i="27" s="1"/>
  <c r="FE88" i="27" a="1"/>
  <c r="FE88" i="27" s="1"/>
  <c r="FH87" i="27" a="1"/>
  <c r="FH87" i="27" s="1"/>
  <c r="FG87" i="27" a="1"/>
  <c r="FG87" i="27" s="1"/>
  <c r="FF87" i="27" a="1"/>
  <c r="FF87" i="27" s="1"/>
  <c r="FE87" i="27" a="1"/>
  <c r="FE87" i="27" s="1"/>
  <c r="FH86" i="27" a="1"/>
  <c r="FH86" i="27" s="1"/>
  <c r="FG86" i="27" a="1"/>
  <c r="FG86" i="27" s="1"/>
  <c r="FF86" i="27" a="1"/>
  <c r="FF86" i="27" s="1"/>
  <c r="FE86" i="27" a="1"/>
  <c r="FE86" i="27" s="1"/>
  <c r="FH85" i="27" a="1"/>
  <c r="FH85" i="27" s="1"/>
  <c r="FG85" i="27" a="1"/>
  <c r="FG85" i="27" s="1"/>
  <c r="FF85" i="27" a="1"/>
  <c r="FF85" i="27" s="1"/>
  <c r="FE85" i="27" a="1"/>
  <c r="FE85" i="27" s="1"/>
  <c r="FH84" i="27" a="1"/>
  <c r="FH84" i="27" s="1"/>
  <c r="FG84" i="27" a="1"/>
  <c r="FG84" i="27" s="1"/>
  <c r="FF84" i="27" a="1"/>
  <c r="FF84" i="27" s="1"/>
  <c r="FE84" i="27" a="1"/>
  <c r="FE84" i="27" s="1"/>
  <c r="FH83" i="27" a="1"/>
  <c r="FH83" i="27" s="1"/>
  <c r="FG83" i="27" a="1"/>
  <c r="FG83" i="27" s="1"/>
  <c r="FF83" i="27" a="1"/>
  <c r="FF83" i="27" s="1"/>
  <c r="FE83" i="27" a="1"/>
  <c r="FE83" i="27" s="1"/>
  <c r="FH82" i="27" a="1"/>
  <c r="FH82" i="27" s="1"/>
  <c r="FG82" i="27" a="1"/>
  <c r="FG82" i="27" s="1"/>
  <c r="FF82" i="27" a="1"/>
  <c r="FF82" i="27" s="1"/>
  <c r="FE82" i="27" a="1"/>
  <c r="FE82" i="27" s="1"/>
  <c r="FH81" i="27" a="1"/>
  <c r="FH81" i="27" s="1"/>
  <c r="FG81" i="27" a="1"/>
  <c r="FG81" i="27" s="1"/>
  <c r="FF81" i="27" a="1"/>
  <c r="FF81" i="27" s="1"/>
  <c r="FE81" i="27" a="1"/>
  <c r="FE81" i="27" s="1"/>
  <c r="FH80" i="27" a="1"/>
  <c r="FH80" i="27" s="1"/>
  <c r="FG80" i="27" a="1"/>
  <c r="FG80" i="27" s="1"/>
  <c r="FF80" i="27" a="1"/>
  <c r="FF80" i="27" s="1"/>
  <c r="FE80" i="27" a="1"/>
  <c r="FE80" i="27" s="1"/>
  <c r="FH79" i="27" a="1"/>
  <c r="FH79" i="27" s="1"/>
  <c r="FG79" i="27" a="1"/>
  <c r="FG79" i="27" s="1"/>
  <c r="FF79" i="27" a="1"/>
  <c r="FF79" i="27" s="1"/>
  <c r="FE79" i="27" a="1"/>
  <c r="FE79" i="27" s="1"/>
  <c r="FH78" i="27" a="1"/>
  <c r="FH78" i="27" s="1"/>
  <c r="FG78" i="27" a="1"/>
  <c r="FG78" i="27" s="1"/>
  <c r="FF78" i="27" a="1"/>
  <c r="FF78" i="27" s="1"/>
  <c r="FE78" i="27" a="1"/>
  <c r="FE78" i="27" s="1"/>
  <c r="FH77" i="27" a="1"/>
  <c r="FH77" i="27" s="1"/>
  <c r="FG77" i="27" a="1"/>
  <c r="FG77" i="27" s="1"/>
  <c r="FF77" i="27" a="1"/>
  <c r="FF77" i="27" s="1"/>
  <c r="FE77" i="27" a="1"/>
  <c r="FE77" i="27" s="1"/>
  <c r="FH76" i="27" a="1"/>
  <c r="FH76" i="27" s="1"/>
  <c r="FG76" i="27" a="1"/>
  <c r="FG76" i="27" s="1"/>
  <c r="FF76" i="27" a="1"/>
  <c r="FF76" i="27" s="1"/>
  <c r="FE76" i="27" a="1"/>
  <c r="FE76" i="27" s="1"/>
  <c r="FH75" i="27" a="1"/>
  <c r="FH75" i="27" s="1"/>
  <c r="FG75" i="27" a="1"/>
  <c r="FG75" i="27" s="1"/>
  <c r="FF75" i="27" a="1"/>
  <c r="FF75" i="27" s="1"/>
  <c r="FE75" i="27" a="1"/>
  <c r="FE75" i="27" s="1"/>
  <c r="FH74" i="27" a="1"/>
  <c r="FH74" i="27" s="1"/>
  <c r="FG74" i="27" a="1"/>
  <c r="FG74" i="27" s="1"/>
  <c r="FF74" i="27" a="1"/>
  <c r="FF74" i="27" s="1"/>
  <c r="FE74" i="27" a="1"/>
  <c r="FE74" i="27" s="1"/>
  <c r="FH73" i="27" a="1"/>
  <c r="FH73" i="27" s="1"/>
  <c r="FG73" i="27" a="1"/>
  <c r="FG73" i="27" s="1"/>
  <c r="FF73" i="27" a="1"/>
  <c r="FF73" i="27" s="1"/>
  <c r="FE73" i="27" a="1"/>
  <c r="FE73" i="27" s="1"/>
  <c r="FH72" i="27" a="1"/>
  <c r="FH72" i="27" s="1"/>
  <c r="FG72" i="27" a="1"/>
  <c r="FG72" i="27" s="1"/>
  <c r="FF72" i="27" a="1"/>
  <c r="FF72" i="27" s="1"/>
  <c r="FE72" i="27" a="1"/>
  <c r="FE72" i="27" s="1"/>
  <c r="FH71" i="27" a="1"/>
  <c r="FH71" i="27" s="1"/>
  <c r="FG71" i="27" a="1"/>
  <c r="FG71" i="27" s="1"/>
  <c r="FF71" i="27" a="1"/>
  <c r="FF71" i="27" s="1"/>
  <c r="FE71" i="27" a="1"/>
  <c r="FE71" i="27" s="1"/>
  <c r="FH70" i="27" a="1"/>
  <c r="FH70" i="27" s="1"/>
  <c r="FG70" i="27" a="1"/>
  <c r="FG70" i="27" s="1"/>
  <c r="FF70" i="27" a="1"/>
  <c r="FF70" i="27" s="1"/>
  <c r="FE70" i="27" a="1"/>
  <c r="FE70" i="27" s="1"/>
  <c r="FH69" i="27" a="1"/>
  <c r="FH69" i="27" s="1"/>
  <c r="FG69" i="27" a="1"/>
  <c r="FG69" i="27" s="1"/>
  <c r="FF69" i="27" a="1"/>
  <c r="FF69" i="27" s="1"/>
  <c r="FE69" i="27" a="1"/>
  <c r="FE69" i="27" s="1"/>
  <c r="FH68" i="27" a="1"/>
  <c r="FH68" i="27" s="1"/>
  <c r="FG68" i="27" a="1"/>
  <c r="FG68" i="27" s="1"/>
  <c r="FF68" i="27" a="1"/>
  <c r="FF68" i="27" s="1"/>
  <c r="FE68" i="27" a="1"/>
  <c r="FE68" i="27" s="1"/>
  <c r="FH67" i="27" a="1"/>
  <c r="FH67" i="27" s="1"/>
  <c r="FG67" i="27" a="1"/>
  <c r="FG67" i="27" s="1"/>
  <c r="FF67" i="27" a="1"/>
  <c r="FF67" i="27" s="1"/>
  <c r="FE67" i="27" a="1"/>
  <c r="FE67" i="27" s="1"/>
  <c r="FH66" i="27" a="1"/>
  <c r="FH66" i="27" s="1"/>
  <c r="FG66" i="27" a="1"/>
  <c r="FG66" i="27" s="1"/>
  <c r="FF66" i="27" a="1"/>
  <c r="FF66" i="27" s="1"/>
  <c r="FE66" i="27" a="1"/>
  <c r="FE66" i="27" s="1"/>
  <c r="FH65" i="27" a="1"/>
  <c r="FH65" i="27" s="1"/>
  <c r="FG65" i="27" a="1"/>
  <c r="FG65" i="27" s="1"/>
  <c r="FF65" i="27" a="1"/>
  <c r="FF65" i="27" s="1"/>
  <c r="FE65" i="27" a="1"/>
  <c r="FE65" i="27" s="1"/>
  <c r="FH64" i="27" a="1"/>
  <c r="FH64" i="27" s="1"/>
  <c r="FG64" i="27" a="1"/>
  <c r="FG64" i="27" s="1"/>
  <c r="FF64" i="27" a="1"/>
  <c r="FF64" i="27" s="1"/>
  <c r="FE64" i="27" a="1"/>
  <c r="FE64" i="27" s="1"/>
  <c r="FH63" i="27" a="1"/>
  <c r="FH63" i="27" s="1"/>
  <c r="FG63" i="27" a="1"/>
  <c r="FG63" i="27" s="1"/>
  <c r="FF63" i="27" a="1"/>
  <c r="FF63" i="27" s="1"/>
  <c r="FE63" i="27" a="1"/>
  <c r="FE63" i="27" s="1"/>
  <c r="FH62" i="27" a="1"/>
  <c r="FH62" i="27" s="1"/>
  <c r="FG62" i="27" a="1"/>
  <c r="FG62" i="27" s="1"/>
  <c r="FF62" i="27" a="1"/>
  <c r="FF62" i="27" s="1"/>
  <c r="FE62" i="27" a="1"/>
  <c r="FE62" i="27" s="1"/>
  <c r="FH61" i="27" a="1"/>
  <c r="FH61" i="27" s="1"/>
  <c r="FG61" i="27" a="1"/>
  <c r="FG61" i="27" s="1"/>
  <c r="FF61" i="27" a="1"/>
  <c r="FF61" i="27" s="1"/>
  <c r="FE61" i="27" a="1"/>
  <c r="FE61" i="27" s="1"/>
  <c r="FH60" i="27" a="1"/>
  <c r="FH60" i="27" s="1"/>
  <c r="FG60" i="27" a="1"/>
  <c r="FG60" i="27" s="1"/>
  <c r="FF60" i="27" a="1"/>
  <c r="FF60" i="27" s="1"/>
  <c r="FE60" i="27" a="1"/>
  <c r="FE60" i="27" s="1"/>
  <c r="FH59" i="27" a="1"/>
  <c r="FH59" i="27" s="1"/>
  <c r="FG59" i="27" a="1"/>
  <c r="FG59" i="27" s="1"/>
  <c r="FF59" i="27" a="1"/>
  <c r="FF59" i="27" s="1"/>
  <c r="FE59" i="27" a="1"/>
  <c r="FE59" i="27" s="1"/>
  <c r="FH58" i="27" a="1"/>
  <c r="FH58" i="27" s="1"/>
  <c r="FG58" i="27" a="1"/>
  <c r="FG58" i="27" s="1"/>
  <c r="FF58" i="27" a="1"/>
  <c r="FF58" i="27" s="1"/>
  <c r="FE58" i="27" a="1"/>
  <c r="FE58" i="27" s="1"/>
  <c r="FH57" i="27" a="1"/>
  <c r="FH57" i="27" s="1"/>
  <c r="FG57" i="27" a="1"/>
  <c r="FG57" i="27" s="1"/>
  <c r="FF57" i="27" a="1"/>
  <c r="FF57" i="27" s="1"/>
  <c r="FE57" i="27" a="1"/>
  <c r="FE57" i="27" s="1"/>
  <c r="FH56" i="27" a="1"/>
  <c r="FH56" i="27" s="1"/>
  <c r="FG56" i="27" a="1"/>
  <c r="FG56" i="27" s="1"/>
  <c r="FF56" i="27" a="1"/>
  <c r="FF56" i="27" s="1"/>
  <c r="FE56" i="27" a="1"/>
  <c r="FE56" i="27" s="1"/>
  <c r="FH55" i="27" a="1"/>
  <c r="FH55" i="27" s="1"/>
  <c r="FG55" i="27" a="1"/>
  <c r="FG55" i="27" s="1"/>
  <c r="FF55" i="27" a="1"/>
  <c r="FF55" i="27" s="1"/>
  <c r="FE55" i="27" a="1"/>
  <c r="FE55" i="27" s="1"/>
  <c r="FH54" i="27" a="1"/>
  <c r="FH54" i="27" s="1"/>
  <c r="FG54" i="27" a="1"/>
  <c r="FG54" i="27" s="1"/>
  <c r="FF54" i="27" a="1"/>
  <c r="FF54" i="27" s="1"/>
  <c r="FE54" i="27" a="1"/>
  <c r="FE54" i="27" s="1"/>
  <c r="EW98" i="27" a="1"/>
  <c r="EW98" i="27" s="1"/>
  <c r="EW97" i="27" a="1"/>
  <c r="EW97" i="27" s="1"/>
  <c r="EW96" i="27" a="1"/>
  <c r="EW96" i="27" s="1"/>
  <c r="EW95" i="27" a="1"/>
  <c r="EW95" i="27" s="1"/>
  <c r="EW94" i="27" a="1"/>
  <c r="EW94" i="27" s="1"/>
  <c r="EW93" i="27" a="1"/>
  <c r="EW93" i="27" s="1"/>
  <c r="EW92" i="27" a="1"/>
  <c r="EW92" i="27" s="1"/>
  <c r="EW91" i="27" a="1"/>
  <c r="EW91" i="27" s="1"/>
  <c r="EW90" i="27" a="1"/>
  <c r="EW90" i="27" s="1"/>
  <c r="EW89" i="27" a="1"/>
  <c r="EW89" i="27" s="1"/>
  <c r="EW88" i="27" a="1"/>
  <c r="EW88" i="27" s="1"/>
  <c r="EW87" i="27" a="1"/>
  <c r="EW87" i="27" s="1"/>
  <c r="EW86" i="27" a="1"/>
  <c r="EW86" i="27" s="1"/>
  <c r="EW85" i="27" a="1"/>
  <c r="EW85" i="27" s="1"/>
  <c r="EW84" i="27" a="1"/>
  <c r="EW84" i="27" s="1"/>
  <c r="EW83" i="27" a="1"/>
  <c r="EW83" i="27" s="1"/>
  <c r="EW82" i="27" a="1"/>
  <c r="EW82" i="27" s="1"/>
  <c r="EW81" i="27" a="1"/>
  <c r="EW81" i="27" s="1"/>
  <c r="EW80" i="27" a="1"/>
  <c r="EW80" i="27" s="1"/>
  <c r="EW79" i="27" a="1"/>
  <c r="EW79" i="27" s="1"/>
  <c r="EW78" i="27" a="1"/>
  <c r="EW78" i="27" s="1"/>
  <c r="EW77" i="27" a="1"/>
  <c r="EW77" i="27" s="1"/>
  <c r="EW76" i="27" a="1"/>
  <c r="EW76" i="27" s="1"/>
  <c r="EW75" i="27" a="1"/>
  <c r="EW75" i="27" s="1"/>
  <c r="EW74" i="27" a="1"/>
  <c r="EW74" i="27" s="1"/>
  <c r="EW73" i="27" a="1"/>
  <c r="EW73" i="27" s="1"/>
  <c r="EW72" i="27" a="1"/>
  <c r="EW72" i="27" s="1"/>
  <c r="EW71" i="27" a="1"/>
  <c r="EW71" i="27" s="1"/>
  <c r="EW70" i="27" a="1"/>
  <c r="EW70" i="27" s="1"/>
  <c r="EW69" i="27" a="1"/>
  <c r="EW69" i="27" s="1"/>
  <c r="EW68" i="27" a="1"/>
  <c r="EW68" i="27" s="1"/>
  <c r="EW67" i="27" a="1"/>
  <c r="EW67" i="27" s="1"/>
  <c r="EW66" i="27" a="1"/>
  <c r="EW66" i="27" s="1"/>
  <c r="EW65" i="27" a="1"/>
  <c r="EW65" i="27" s="1"/>
  <c r="EW64" i="27" a="1"/>
  <c r="EW64" i="27" s="1"/>
  <c r="EW63" i="27" a="1"/>
  <c r="EW63" i="27" s="1"/>
  <c r="EW62" i="27" a="1"/>
  <c r="EW62" i="27" s="1"/>
  <c r="EW61" i="27" a="1"/>
  <c r="EW61" i="27" s="1"/>
  <c r="EW60" i="27" a="1"/>
  <c r="EW60" i="27" s="1"/>
  <c r="FE199" i="27" l="1" a="1"/>
  <c r="FE199" i="27" s="1"/>
  <c r="FG199" i="27" a="1"/>
  <c r="FG199" i="27" s="1"/>
  <c r="FF199" i="27" a="1"/>
  <c r="FF199" i="27" s="1"/>
  <c r="FE207" i="27" a="1"/>
  <c r="FE207" i="27" s="1"/>
  <c r="FG207" i="27" a="1"/>
  <c r="FG207" i="27" s="1"/>
  <c r="FF207" i="27" a="1"/>
  <c r="FF207" i="27" s="1"/>
  <c r="FF213" i="27" a="1"/>
  <c r="FF213" i="27" s="1"/>
  <c r="FG213" i="27" a="1"/>
  <c r="FG213" i="27" s="1"/>
  <c r="FE213" i="27" a="1"/>
  <c r="FE213" i="27" s="1"/>
  <c r="FE219" i="27" a="1"/>
  <c r="FE219" i="27" s="1"/>
  <c r="FF219" i="27" a="1"/>
  <c r="FF219" i="27" s="1"/>
  <c r="FG225" i="27" a="1"/>
  <c r="FG225" i="27" s="1"/>
  <c r="FF225" i="27" a="1"/>
  <c r="FF225" i="27" s="1"/>
  <c r="FE225" i="27" a="1"/>
  <c r="FE225" i="27" s="1"/>
  <c r="FG203" i="27" a="1"/>
  <c r="FG203" i="27" s="1"/>
  <c r="FE203" i="27" a="1"/>
  <c r="FE203" i="27" s="1"/>
  <c r="FF203" i="27" a="1"/>
  <c r="FF203" i="27" s="1"/>
  <c r="FG209" i="27" a="1"/>
  <c r="FG209" i="27" s="1"/>
  <c r="FF209" i="27" a="1"/>
  <c r="FF209" i="27" s="1"/>
  <c r="FE209" i="27" a="1"/>
  <c r="FE209" i="27" s="1"/>
  <c r="FE215" i="27" a="1"/>
  <c r="FE215" i="27" s="1"/>
  <c r="FG215" i="27" a="1"/>
  <c r="FG215" i="27" s="1"/>
  <c r="FF215" i="27" a="1"/>
  <c r="FF215" i="27" s="1"/>
  <c r="FG221" i="27" a="1"/>
  <c r="FG221" i="27" s="1"/>
  <c r="FF221" i="27" a="1"/>
  <c r="FF221" i="27" s="1"/>
  <c r="FE221" i="27" a="1"/>
  <c r="FE221" i="27" s="1"/>
  <c r="FG201" i="27" a="1"/>
  <c r="FG201" i="27" s="1"/>
  <c r="FF201" i="27" a="1"/>
  <c r="FF201" i="27" s="1"/>
  <c r="FE201" i="27" a="1"/>
  <c r="FE201" i="27" s="1"/>
  <c r="FF205" i="27" a="1"/>
  <c r="FF205" i="27" s="1"/>
  <c r="FE205" i="27" a="1"/>
  <c r="FE205" i="27" s="1"/>
  <c r="FG205" i="27" a="1"/>
  <c r="FG205" i="27" s="1"/>
  <c r="FG211" i="27" a="1"/>
  <c r="FG211" i="27" s="1"/>
  <c r="FF211" i="27" a="1"/>
  <c r="FF211" i="27" s="1"/>
  <c r="FE211" i="27" a="1"/>
  <c r="FE211" i="27" s="1"/>
  <c r="FG217" i="27" a="1"/>
  <c r="FG217" i="27" s="1"/>
  <c r="FF217" i="27" a="1"/>
  <c r="FF217" i="27" s="1"/>
  <c r="FE217" i="27" a="1"/>
  <c r="FE217" i="27" s="1"/>
  <c r="FF223" i="27" a="1"/>
  <c r="FF223" i="27" s="1"/>
  <c r="FE223" i="27" a="1"/>
  <c r="FE223" i="27" s="1"/>
  <c r="FG223" i="27" a="1"/>
  <c r="FG223" i="27" s="1"/>
  <c r="FE227" i="27" a="1"/>
  <c r="FE227" i="27" s="1"/>
  <c r="FG227" i="27" a="1"/>
  <c r="FG227" i="27" s="1"/>
  <c r="FF227" i="27" a="1"/>
  <c r="FF227" i="27" s="1"/>
  <c r="FG198" i="27" a="1"/>
  <c r="FG198" i="27" s="1"/>
  <c r="FF198" i="27" a="1"/>
  <c r="FF198" i="27" s="1"/>
  <c r="FE198" i="27" a="1"/>
  <c r="FE198" i="27" s="1"/>
  <c r="FE200" i="27" a="1"/>
  <c r="FE200" i="27" s="1"/>
  <c r="FG200" i="27" a="1"/>
  <c r="FG200" i="27" s="1"/>
  <c r="FF200" i="27" a="1"/>
  <c r="FF200" i="27" s="1"/>
  <c r="FG202" i="27" a="1"/>
  <c r="FG202" i="27" s="1"/>
  <c r="FF202" i="27" a="1"/>
  <c r="FF202" i="27" s="1"/>
  <c r="FE202" i="27" a="1"/>
  <c r="FE202" i="27" s="1"/>
  <c r="FF204" i="27" a="1"/>
  <c r="FF204" i="27" s="1"/>
  <c r="FE204" i="27" a="1"/>
  <c r="FE204" i="27" s="1"/>
  <c r="FG204" i="27" a="1"/>
  <c r="FG204" i="27" s="1"/>
  <c r="FG206" i="27" a="1"/>
  <c r="FG206" i="27" s="1"/>
  <c r="FF206" i="27" a="1"/>
  <c r="FF206" i="27" s="1"/>
  <c r="FE206" i="27" a="1"/>
  <c r="FE206" i="27" s="1"/>
  <c r="FE208" i="27" a="1"/>
  <c r="FE208" i="27" s="1"/>
  <c r="FF208" i="27" a="1"/>
  <c r="FF208" i="27" s="1"/>
  <c r="FG208" i="27" a="1"/>
  <c r="FG208" i="27" s="1"/>
  <c r="FG210" i="27" a="1"/>
  <c r="FG210" i="27" s="1"/>
  <c r="FF210" i="27" a="1"/>
  <c r="FF210" i="27" s="1"/>
  <c r="FE210" i="27" a="1"/>
  <c r="FE210" i="27" s="1"/>
  <c r="FF212" i="27" a="1"/>
  <c r="FF212" i="27" s="1"/>
  <c r="FE212" i="27" a="1"/>
  <c r="FE212" i="27" s="1"/>
  <c r="FG212" i="27" a="1"/>
  <c r="FG212" i="27" s="1"/>
  <c r="FG214" i="27" a="1"/>
  <c r="FG214" i="27" s="1"/>
  <c r="FF214" i="27" a="1"/>
  <c r="FF214" i="27" s="1"/>
  <c r="FE214" i="27" a="1"/>
  <c r="FE214" i="27" s="1"/>
  <c r="FE216" i="27" a="1"/>
  <c r="FE216" i="27" s="1"/>
  <c r="FG216" i="27" a="1"/>
  <c r="FG216" i="27" s="1"/>
  <c r="FF216" i="27" a="1"/>
  <c r="FF216" i="27" s="1"/>
  <c r="FG218" i="27" a="1"/>
  <c r="FG218" i="27" s="1"/>
  <c r="FF218" i="27" a="1"/>
  <c r="FF218" i="27" s="1"/>
  <c r="FE218" i="27" a="1"/>
  <c r="FE218" i="27" s="1"/>
  <c r="FG220" i="27" a="1"/>
  <c r="FG220" i="27" s="1"/>
  <c r="FF220" i="27" a="1"/>
  <c r="FF220" i="27" s="1"/>
  <c r="FE220" i="27" a="1"/>
  <c r="FE220" i="27" s="1"/>
  <c r="FG222" i="27" a="1"/>
  <c r="FG222" i="27" s="1"/>
  <c r="FF222" i="27" a="1"/>
  <c r="FF222" i="27" s="1"/>
  <c r="FE222" i="27" a="1"/>
  <c r="FE222" i="27" s="1"/>
  <c r="FF224" i="27" a="1"/>
  <c r="FF224" i="27" s="1"/>
  <c r="FG224" i="27" a="1"/>
  <c r="FG224" i="27" s="1"/>
  <c r="FE224" i="27" a="1"/>
  <c r="FE224" i="27" s="1"/>
  <c r="FG230" i="27" a="1"/>
  <c r="FG230" i="27" s="1"/>
  <c r="FE230" i="27" a="1"/>
  <c r="FE230" i="27" s="1"/>
  <c r="FF230" i="27" a="1"/>
  <c r="FF230" i="27" s="1"/>
  <c r="GB104" i="27"/>
  <c r="GB120" i="27"/>
  <c r="GB95" i="27"/>
  <c r="GB122" i="27"/>
  <c r="GB117" i="27"/>
  <c r="GB106" i="27"/>
  <c r="GB101" i="27"/>
  <c r="GB90" i="27"/>
  <c r="GB105" i="27"/>
  <c r="GB121" i="27"/>
  <c r="GB116" i="27"/>
  <c r="GB111" i="27"/>
  <c r="GB100" i="27"/>
  <c r="GB96" i="27"/>
  <c r="GB112" i="27"/>
  <c r="GB123" i="27"/>
  <c r="GB118" i="27"/>
  <c r="GB107" i="27"/>
  <c r="GB102" i="27"/>
  <c r="GB91" i="27"/>
  <c r="GB124" i="27"/>
  <c r="GB119" i="27"/>
  <c r="GB113" i="27"/>
  <c r="GB108" i="27"/>
  <c r="GB103" i="27"/>
  <c r="GB97" i="27"/>
  <c r="GB92" i="27"/>
  <c r="GB114" i="27"/>
  <c r="GB109" i="27"/>
  <c r="GB98" i="27"/>
  <c r="GB93" i="27"/>
  <c r="GB115" i="27"/>
  <c r="GB110" i="27"/>
  <c r="GB99" i="27"/>
  <c r="GB94" i="27"/>
  <c r="GB85" i="27"/>
  <c r="FS121" i="27"/>
  <c r="FI102" i="27"/>
  <c r="FI104" i="27"/>
  <c r="FI108" i="27"/>
  <c r="FI110" i="27"/>
  <c r="FI112" i="27"/>
  <c r="FI118" i="27"/>
  <c r="FI120" i="27"/>
  <c r="FI124" i="27"/>
  <c r="FI126" i="27"/>
  <c r="FI128" i="27"/>
  <c r="FI134" i="27"/>
  <c r="FS133" i="27"/>
  <c r="FS120" i="27"/>
  <c r="FS99" i="27"/>
  <c r="FS117" i="27"/>
  <c r="FS112" i="27"/>
  <c r="FS114" i="27"/>
  <c r="FS123" i="27"/>
  <c r="FS122" i="27"/>
  <c r="FS110" i="27"/>
  <c r="FS105" i="27"/>
  <c r="FS106" i="27"/>
  <c r="FS130" i="27"/>
  <c r="FS97" i="27"/>
  <c r="FS103" i="27"/>
  <c r="FS115" i="27"/>
  <c r="FS126" i="27"/>
  <c r="FS132" i="27"/>
  <c r="FS109" i="27"/>
  <c r="FS129" i="27"/>
  <c r="FS116" i="27"/>
  <c r="FS108" i="27"/>
  <c r="FS102" i="27"/>
  <c r="FS95" i="27"/>
  <c r="FS100" i="27"/>
  <c r="FS107" i="27"/>
  <c r="FS113" i="27"/>
  <c r="FS118" i="27"/>
  <c r="FS124" i="27"/>
  <c r="FS127" i="27"/>
  <c r="FS96" i="27"/>
  <c r="FS128" i="27"/>
  <c r="FS111" i="27"/>
  <c r="FS119" i="27"/>
  <c r="FS125" i="27"/>
  <c r="FS131" i="27"/>
  <c r="FS98" i="27"/>
  <c r="FS101" i="27"/>
  <c r="FS104" i="27"/>
  <c r="FI97" i="27"/>
  <c r="FI99" i="27"/>
  <c r="FI105" i="27"/>
  <c r="FI109" i="27"/>
  <c r="FI111" i="27"/>
  <c r="FI115" i="27"/>
  <c r="FI117" i="27"/>
  <c r="FI121" i="27"/>
  <c r="FI125" i="27"/>
  <c r="FI127" i="27"/>
  <c r="FI131" i="27"/>
  <c r="FI133" i="27"/>
  <c r="FI96" i="27"/>
  <c r="FI114" i="27"/>
  <c r="FI130" i="27"/>
  <c r="FI101" i="27"/>
  <c r="FI107" i="27"/>
  <c r="FI123" i="27"/>
  <c r="FI132" i="27"/>
  <c r="FI98" i="27"/>
  <c r="FI113" i="27"/>
  <c r="FI116" i="27"/>
  <c r="FI129" i="27"/>
  <c r="FI100" i="27"/>
  <c r="FI103" i="27"/>
  <c r="FI106" i="27"/>
  <c r="FI119" i="27"/>
  <c r="FI122" i="27"/>
  <c r="EY140" i="27" a="1"/>
  <c r="EY140" i="27" s="1"/>
  <c r="EX140" i="27" a="1"/>
  <c r="EX140" i="27" s="1"/>
  <c r="EW140" i="27" a="1"/>
  <c r="EW140" i="27" s="1"/>
  <c r="EV140" i="27" a="1"/>
  <c r="EV140" i="27" s="1"/>
  <c r="EY139" i="27" a="1"/>
  <c r="EY139" i="27" s="1"/>
  <c r="EX139" i="27" a="1"/>
  <c r="EX139" i="27" s="1"/>
  <c r="EW139" i="27" a="1"/>
  <c r="EW139" i="27" s="1"/>
  <c r="EV139" i="27" a="1"/>
  <c r="EV139" i="27" s="1"/>
  <c r="EY138" i="27" a="1"/>
  <c r="EY138" i="27" s="1"/>
  <c r="EX138" i="27" a="1"/>
  <c r="EX138" i="27" s="1"/>
  <c r="EW138" i="27" a="1"/>
  <c r="EW138" i="27" s="1"/>
  <c r="EV138" i="27" a="1"/>
  <c r="EV138" i="27" s="1"/>
  <c r="EY137" i="27" a="1"/>
  <c r="EY137" i="27" s="1"/>
  <c r="EX137" i="27" a="1"/>
  <c r="EX137" i="27" s="1"/>
  <c r="EW137" i="27" a="1"/>
  <c r="EW137" i="27" s="1"/>
  <c r="EV137" i="27" a="1"/>
  <c r="EV137" i="27" s="1"/>
  <c r="EY136" i="27" a="1"/>
  <c r="EY136" i="27" s="1"/>
  <c r="EX136" i="27" a="1"/>
  <c r="EX136" i="27" s="1"/>
  <c r="EW136" i="27" a="1"/>
  <c r="EW136" i="27" s="1"/>
  <c r="EV136" i="27" a="1"/>
  <c r="EV136" i="27" s="1"/>
  <c r="EY135" i="27" a="1"/>
  <c r="EY135" i="27" s="1"/>
  <c r="EX135" i="27" a="1"/>
  <c r="EX135" i="27" s="1"/>
  <c r="EW135" i="27" a="1"/>
  <c r="EW135" i="27" s="1"/>
  <c r="EV135" i="27" a="1"/>
  <c r="EV135" i="27" s="1"/>
  <c r="EY134" i="27" a="1"/>
  <c r="EY134" i="27" s="1"/>
  <c r="EX134" i="27" a="1"/>
  <c r="EX134" i="27" s="1"/>
  <c r="EW134" i="27" a="1"/>
  <c r="EW134" i="27" s="1"/>
  <c r="EV134" i="27" a="1"/>
  <c r="EV134" i="27" s="1"/>
  <c r="EY133" i="27" a="1"/>
  <c r="EY133" i="27" s="1"/>
  <c r="EX133" i="27" a="1"/>
  <c r="EX133" i="27" s="1"/>
  <c r="EW133" i="27" a="1"/>
  <c r="EW133" i="27" s="1"/>
  <c r="EV133" i="27" a="1"/>
  <c r="EV133" i="27" s="1"/>
  <c r="EY132" i="27" a="1"/>
  <c r="EY132" i="27" s="1"/>
  <c r="EX132" i="27" a="1"/>
  <c r="EX132" i="27" s="1"/>
  <c r="EW132" i="27" a="1"/>
  <c r="EW132" i="27" s="1"/>
  <c r="EV132" i="27" a="1"/>
  <c r="EV132" i="27" s="1"/>
  <c r="EY131" i="27" a="1"/>
  <c r="EY131" i="27" s="1"/>
  <c r="EX131" i="27" a="1"/>
  <c r="EX131" i="27" s="1"/>
  <c r="EW131" i="27" a="1"/>
  <c r="EW131" i="27" s="1"/>
  <c r="EV131" i="27" a="1"/>
  <c r="EV131" i="27" s="1"/>
  <c r="EY130" i="27" a="1"/>
  <c r="EY130" i="27" s="1"/>
  <c r="EX130" i="27" a="1"/>
  <c r="EX130" i="27" s="1"/>
  <c r="EW130" i="27" a="1"/>
  <c r="EW130" i="27" s="1"/>
  <c r="EV130" i="27" a="1"/>
  <c r="EV130" i="27" s="1"/>
  <c r="EY129" i="27" a="1"/>
  <c r="EY129" i="27" s="1"/>
  <c r="EX129" i="27" a="1"/>
  <c r="EX129" i="27" s="1"/>
  <c r="EW129" i="27" a="1"/>
  <c r="EW129" i="27" s="1"/>
  <c r="EV129" i="27" a="1"/>
  <c r="EV129" i="27" s="1"/>
  <c r="EY128" i="27" a="1"/>
  <c r="EY128" i="27" s="1"/>
  <c r="EX128" i="27" a="1"/>
  <c r="EX128" i="27" s="1"/>
  <c r="EW128" i="27" a="1"/>
  <c r="EW128" i="27" s="1"/>
  <c r="EV128" i="27" a="1"/>
  <c r="EV128" i="27" s="1"/>
  <c r="EY127" i="27" a="1"/>
  <c r="EY127" i="27" s="1"/>
  <c r="EX127" i="27" a="1"/>
  <c r="EX127" i="27" s="1"/>
  <c r="EW127" i="27" a="1"/>
  <c r="EW127" i="27" s="1"/>
  <c r="EV127" i="27" a="1"/>
  <c r="EV127" i="27" s="1"/>
  <c r="EY126" i="27" a="1"/>
  <c r="EY126" i="27" s="1"/>
  <c r="EX126" i="27" a="1"/>
  <c r="EX126" i="27" s="1"/>
  <c r="EW126" i="27" a="1"/>
  <c r="EW126" i="27" s="1"/>
  <c r="EV126" i="27" a="1"/>
  <c r="EV126" i="27" s="1"/>
  <c r="EY125" i="27" a="1"/>
  <c r="EY125" i="27" s="1"/>
  <c r="EX125" i="27" a="1"/>
  <c r="EX125" i="27" s="1"/>
  <c r="EW125" i="27" a="1"/>
  <c r="EW125" i="27" s="1"/>
  <c r="EV125" i="27" a="1"/>
  <c r="EV125" i="27" s="1"/>
  <c r="EY124" i="27" a="1"/>
  <c r="EY124" i="27" s="1"/>
  <c r="EX124" i="27" a="1"/>
  <c r="EX124" i="27" s="1"/>
  <c r="EW124" i="27" a="1"/>
  <c r="EW124" i="27" s="1"/>
  <c r="EV124" i="27" a="1"/>
  <c r="EV124" i="27" s="1"/>
  <c r="EY123" i="27" a="1"/>
  <c r="EY123" i="27" s="1"/>
  <c r="EX123" i="27" a="1"/>
  <c r="EX123" i="27" s="1"/>
  <c r="EW123" i="27" a="1"/>
  <c r="EW123" i="27" s="1"/>
  <c r="EV123" i="27" a="1"/>
  <c r="EV123" i="27" s="1"/>
  <c r="EY122" i="27" a="1"/>
  <c r="EY122" i="27" s="1"/>
  <c r="EX122" i="27" a="1"/>
  <c r="EX122" i="27" s="1"/>
  <c r="EW122" i="27" a="1"/>
  <c r="EW122" i="27" s="1"/>
  <c r="EV122" i="27" a="1"/>
  <c r="EV122" i="27" s="1"/>
  <c r="EY121" i="27" a="1"/>
  <c r="EY121" i="27" s="1"/>
  <c r="EX121" i="27" a="1"/>
  <c r="EX121" i="27" s="1"/>
  <c r="EW121" i="27" a="1"/>
  <c r="EW121" i="27" s="1"/>
  <c r="EV121" i="27" a="1"/>
  <c r="EV121" i="27" s="1"/>
  <c r="EY120" i="27" a="1"/>
  <c r="EY120" i="27" s="1"/>
  <c r="EX120" i="27" a="1"/>
  <c r="EX120" i="27" s="1"/>
  <c r="EW120" i="27" a="1"/>
  <c r="EW120" i="27" s="1"/>
  <c r="EV120" i="27" a="1"/>
  <c r="EV120" i="27" s="1"/>
  <c r="EY119" i="27" a="1"/>
  <c r="EY119" i="27" s="1"/>
  <c r="EX119" i="27" a="1"/>
  <c r="EX119" i="27" s="1"/>
  <c r="EW119" i="27" a="1"/>
  <c r="EW119" i="27" s="1"/>
  <c r="EV119" i="27" a="1"/>
  <c r="EV119" i="27" s="1"/>
  <c r="EY118" i="27" a="1"/>
  <c r="EY118" i="27" s="1"/>
  <c r="EX118" i="27" a="1"/>
  <c r="EX118" i="27" s="1"/>
  <c r="EW118" i="27" a="1"/>
  <c r="EW118" i="27" s="1"/>
  <c r="EV118" i="27" a="1"/>
  <c r="EV118" i="27" s="1"/>
  <c r="EY117" i="27" a="1"/>
  <c r="EY117" i="27" s="1"/>
  <c r="EX117" i="27" a="1"/>
  <c r="EX117" i="27" s="1"/>
  <c r="EW117" i="27" a="1"/>
  <c r="EW117" i="27" s="1"/>
  <c r="EV117" i="27" a="1"/>
  <c r="EV117" i="27" s="1"/>
  <c r="EY116" i="27" a="1"/>
  <c r="EY116" i="27" s="1"/>
  <c r="EX116" i="27" a="1"/>
  <c r="EX116" i="27" s="1"/>
  <c r="EW116" i="27" a="1"/>
  <c r="EW116" i="27" s="1"/>
  <c r="EV116" i="27" a="1"/>
  <c r="EV116" i="27" s="1"/>
  <c r="EY115" i="27" a="1"/>
  <c r="EY115" i="27" s="1"/>
  <c r="EX115" i="27" a="1"/>
  <c r="EX115" i="27" s="1"/>
  <c r="EW115" i="27" a="1"/>
  <c r="EW115" i="27" s="1"/>
  <c r="EV115" i="27" a="1"/>
  <c r="EV115" i="27" s="1"/>
  <c r="EY114" i="27" a="1"/>
  <c r="EY114" i="27" s="1"/>
  <c r="EX114" i="27" a="1"/>
  <c r="EX114" i="27" s="1"/>
  <c r="EW114" i="27" a="1"/>
  <c r="EW114" i="27" s="1"/>
  <c r="EV114" i="27" a="1"/>
  <c r="EV114" i="27" s="1"/>
  <c r="EY113" i="27" a="1"/>
  <c r="EY113" i="27" s="1"/>
  <c r="EX113" i="27" a="1"/>
  <c r="EX113" i="27" s="1"/>
  <c r="EW113" i="27" a="1"/>
  <c r="EW113" i="27" s="1"/>
  <c r="EV113" i="27" a="1"/>
  <c r="EV113" i="27" s="1"/>
  <c r="EY112" i="27" a="1"/>
  <c r="EY112" i="27" s="1"/>
  <c r="EX112" i="27" a="1"/>
  <c r="EX112" i="27" s="1"/>
  <c r="EW112" i="27" a="1"/>
  <c r="EW112" i="27" s="1"/>
  <c r="EV112" i="27" a="1"/>
  <c r="EV112" i="27" s="1"/>
  <c r="EY111" i="27" a="1"/>
  <c r="EY111" i="27" s="1"/>
  <c r="EX111" i="27" a="1"/>
  <c r="EX111" i="27" s="1"/>
  <c r="EW111" i="27" a="1"/>
  <c r="EW111" i="27" s="1"/>
  <c r="EV111" i="27" a="1"/>
  <c r="EV111" i="27" s="1"/>
  <c r="EY110" i="27" a="1"/>
  <c r="EY110" i="27" s="1"/>
  <c r="EX110" i="27" a="1"/>
  <c r="EX110" i="27" s="1"/>
  <c r="EW110" i="27" a="1"/>
  <c r="EW110" i="27" s="1"/>
  <c r="EV110" i="27" a="1"/>
  <c r="EV110" i="27" s="1"/>
  <c r="EY109" i="27" a="1"/>
  <c r="EY109" i="27" s="1"/>
  <c r="EX109" i="27" a="1"/>
  <c r="EX109" i="27" s="1"/>
  <c r="EW109" i="27" a="1"/>
  <c r="EW109" i="27" s="1"/>
  <c r="EV109" i="27" a="1"/>
  <c r="EV109" i="27" s="1"/>
  <c r="EY108" i="27" a="1"/>
  <c r="EY108" i="27" s="1"/>
  <c r="EX108" i="27" a="1"/>
  <c r="EX108" i="27" s="1"/>
  <c r="EW108" i="27" a="1"/>
  <c r="EW108" i="27" s="1"/>
  <c r="EV108" i="27" a="1"/>
  <c r="EV108" i="27" s="1"/>
  <c r="EY107" i="27" a="1"/>
  <c r="EY107" i="27" s="1"/>
  <c r="EX107" i="27" a="1"/>
  <c r="EX107" i="27" s="1"/>
  <c r="EW107" i="27" a="1"/>
  <c r="EW107" i="27" s="1"/>
  <c r="EV107" i="27" a="1"/>
  <c r="EV107" i="27" s="1"/>
  <c r="EY106" i="27" a="1"/>
  <c r="EY106" i="27" s="1"/>
  <c r="EX106" i="27" a="1"/>
  <c r="EX106" i="27" s="1"/>
  <c r="EW106" i="27" a="1"/>
  <c r="EW106" i="27" s="1"/>
  <c r="EV106" i="27" a="1"/>
  <c r="EV106" i="27" s="1"/>
  <c r="EY105" i="27" a="1"/>
  <c r="EY105" i="27" s="1"/>
  <c r="EX105" i="27" a="1"/>
  <c r="EX105" i="27" s="1"/>
  <c r="EW105" i="27" a="1"/>
  <c r="EW105" i="27" s="1"/>
  <c r="EV105" i="27" a="1"/>
  <c r="EV105" i="27" s="1"/>
  <c r="EY104" i="27" a="1"/>
  <c r="EY104" i="27" s="1"/>
  <c r="EX104" i="27" a="1"/>
  <c r="EX104" i="27" s="1"/>
  <c r="EW104" i="27" a="1"/>
  <c r="EW104" i="27" s="1"/>
  <c r="EV104" i="27" a="1"/>
  <c r="EV104" i="27" s="1"/>
  <c r="EY103" i="27" a="1"/>
  <c r="EY103" i="27" s="1"/>
  <c r="EX103" i="27" a="1"/>
  <c r="EX103" i="27" s="1"/>
  <c r="EW103" i="27" a="1"/>
  <c r="EW103" i="27" s="1"/>
  <c r="EV103" i="27" a="1"/>
  <c r="EV103" i="27" s="1"/>
  <c r="EY102" i="27" a="1"/>
  <c r="EY102" i="27" s="1"/>
  <c r="EX102" i="27" a="1"/>
  <c r="EX102" i="27" s="1"/>
  <c r="EW102" i="27" a="1"/>
  <c r="EW102" i="27" s="1"/>
  <c r="EV102" i="27" a="1"/>
  <c r="EV102" i="27" s="1"/>
  <c r="EY98" i="27" a="1"/>
  <c r="EY98" i="27" s="1"/>
  <c r="EX98" i="27" a="1"/>
  <c r="EX98" i="27" s="1"/>
  <c r="EV98" i="27" a="1"/>
  <c r="EV98" i="27" s="1"/>
  <c r="EY97" i="27" a="1"/>
  <c r="EY97" i="27" s="1"/>
  <c r="EX97" i="27" a="1"/>
  <c r="EX97" i="27" s="1"/>
  <c r="EV97" i="27" a="1"/>
  <c r="EV97" i="27" s="1"/>
  <c r="EY96" i="27" a="1"/>
  <c r="EY96" i="27" s="1"/>
  <c r="EX96" i="27" a="1"/>
  <c r="EX96" i="27" s="1"/>
  <c r="EV96" i="27" a="1"/>
  <c r="EV96" i="27" s="1"/>
  <c r="EY95" i="27" a="1"/>
  <c r="EY95" i="27" s="1"/>
  <c r="EX95" i="27" a="1"/>
  <c r="EX95" i="27" s="1"/>
  <c r="EV95" i="27" a="1"/>
  <c r="EV95" i="27" s="1"/>
  <c r="EY94" i="27" a="1"/>
  <c r="EY94" i="27" s="1"/>
  <c r="EX94" i="27" a="1"/>
  <c r="EX94" i="27" s="1"/>
  <c r="EV94" i="27" a="1"/>
  <c r="EV94" i="27" s="1"/>
  <c r="EY93" i="27" a="1"/>
  <c r="EY93" i="27" s="1"/>
  <c r="EX93" i="27" a="1"/>
  <c r="EX93" i="27" s="1"/>
  <c r="EV93" i="27" a="1"/>
  <c r="EV93" i="27" s="1"/>
  <c r="EY92" i="27" a="1"/>
  <c r="EY92" i="27" s="1"/>
  <c r="EX92" i="27" a="1"/>
  <c r="EX92" i="27" s="1"/>
  <c r="EV92" i="27" a="1"/>
  <c r="EV92" i="27" s="1"/>
  <c r="EY91" i="27" a="1"/>
  <c r="EY91" i="27" s="1"/>
  <c r="EX91" i="27" a="1"/>
  <c r="EX91" i="27" s="1"/>
  <c r="EV91" i="27" a="1"/>
  <c r="EV91" i="27" s="1"/>
  <c r="EY90" i="27" a="1"/>
  <c r="EY90" i="27" s="1"/>
  <c r="EX90" i="27" a="1"/>
  <c r="EX90" i="27" s="1"/>
  <c r="EV90" i="27" a="1"/>
  <c r="EV90" i="27" s="1"/>
  <c r="EY89" i="27" a="1"/>
  <c r="EY89" i="27" s="1"/>
  <c r="EX89" i="27" a="1"/>
  <c r="EX89" i="27" s="1"/>
  <c r="EV89" i="27" a="1"/>
  <c r="EV89" i="27" s="1"/>
  <c r="EY88" i="27" a="1"/>
  <c r="EY88" i="27" s="1"/>
  <c r="EX88" i="27" a="1"/>
  <c r="EX88" i="27" s="1"/>
  <c r="EV88" i="27" a="1"/>
  <c r="EV88" i="27" s="1"/>
  <c r="EY87" i="27" a="1"/>
  <c r="EY87" i="27" s="1"/>
  <c r="EX87" i="27" a="1"/>
  <c r="EX87" i="27" s="1"/>
  <c r="EV87" i="27" a="1"/>
  <c r="EV87" i="27" s="1"/>
  <c r="EY86" i="27" a="1"/>
  <c r="EY86" i="27" s="1"/>
  <c r="EX86" i="27" a="1"/>
  <c r="EX86" i="27" s="1"/>
  <c r="EV86" i="27" a="1"/>
  <c r="EV86" i="27" s="1"/>
  <c r="EY85" i="27" a="1"/>
  <c r="EY85" i="27" s="1"/>
  <c r="EX85" i="27" a="1"/>
  <c r="EX85" i="27" s="1"/>
  <c r="EV85" i="27" a="1"/>
  <c r="EV85" i="27" s="1"/>
  <c r="EY84" i="27" a="1"/>
  <c r="EY84" i="27" s="1"/>
  <c r="EX84" i="27" a="1"/>
  <c r="EX84" i="27" s="1"/>
  <c r="EV84" i="27" a="1"/>
  <c r="EV84" i="27" s="1"/>
  <c r="EY83" i="27" a="1"/>
  <c r="EY83" i="27" s="1"/>
  <c r="EX83" i="27" a="1"/>
  <c r="EX83" i="27" s="1"/>
  <c r="EV83" i="27" a="1"/>
  <c r="EV83" i="27" s="1"/>
  <c r="EY82" i="27" a="1"/>
  <c r="EY82" i="27" s="1"/>
  <c r="EX82" i="27" a="1"/>
  <c r="EX82" i="27" s="1"/>
  <c r="EV82" i="27" a="1"/>
  <c r="EV82" i="27" s="1"/>
  <c r="EY81" i="27" a="1"/>
  <c r="EY81" i="27" s="1"/>
  <c r="EX81" i="27" a="1"/>
  <c r="EX81" i="27" s="1"/>
  <c r="EV81" i="27" a="1"/>
  <c r="EV81" i="27" s="1"/>
  <c r="EY80" i="27" a="1"/>
  <c r="EY80" i="27" s="1"/>
  <c r="EX80" i="27" a="1"/>
  <c r="EX80" i="27" s="1"/>
  <c r="EV80" i="27" a="1"/>
  <c r="EV80" i="27" s="1"/>
  <c r="EY79" i="27" a="1"/>
  <c r="EY79" i="27" s="1"/>
  <c r="EX79" i="27" a="1"/>
  <c r="EX79" i="27" s="1"/>
  <c r="EV79" i="27" a="1"/>
  <c r="EV79" i="27" s="1"/>
  <c r="EY78" i="27" a="1"/>
  <c r="EY78" i="27" s="1"/>
  <c r="EX78" i="27" a="1"/>
  <c r="EX78" i="27" s="1"/>
  <c r="EV78" i="27" a="1"/>
  <c r="EV78" i="27" s="1"/>
  <c r="EY77" i="27" a="1"/>
  <c r="EY77" i="27" s="1"/>
  <c r="EX77" i="27" a="1"/>
  <c r="EX77" i="27" s="1"/>
  <c r="EV77" i="27" a="1"/>
  <c r="EV77" i="27" s="1"/>
  <c r="EY76" i="27" a="1"/>
  <c r="EY76" i="27" s="1"/>
  <c r="EX76" i="27" a="1"/>
  <c r="EX76" i="27" s="1"/>
  <c r="EV76" i="27" a="1"/>
  <c r="EV76" i="27" s="1"/>
  <c r="EY75" i="27" a="1"/>
  <c r="EY75" i="27" s="1"/>
  <c r="EX75" i="27" a="1"/>
  <c r="EX75" i="27" s="1"/>
  <c r="EV75" i="27" a="1"/>
  <c r="EV75" i="27" s="1"/>
  <c r="EY74" i="27" a="1"/>
  <c r="EY74" i="27" s="1"/>
  <c r="EX74" i="27" a="1"/>
  <c r="EX74" i="27" s="1"/>
  <c r="EV74" i="27" a="1"/>
  <c r="EV74" i="27" s="1"/>
  <c r="EY73" i="27" a="1"/>
  <c r="EY73" i="27" s="1"/>
  <c r="EX73" i="27" a="1"/>
  <c r="EX73" i="27" s="1"/>
  <c r="EV73" i="27" a="1"/>
  <c r="EV73" i="27" s="1"/>
  <c r="EY72" i="27" a="1"/>
  <c r="EY72" i="27" s="1"/>
  <c r="EX72" i="27" a="1"/>
  <c r="EX72" i="27" s="1"/>
  <c r="EV72" i="27" a="1"/>
  <c r="EV72" i="27" s="1"/>
  <c r="EY71" i="27" a="1"/>
  <c r="EY71" i="27" s="1"/>
  <c r="EX71" i="27" a="1"/>
  <c r="EX71" i="27" s="1"/>
  <c r="EV71" i="27" a="1"/>
  <c r="EV71" i="27" s="1"/>
  <c r="EY70" i="27" a="1"/>
  <c r="EY70" i="27" s="1"/>
  <c r="EX70" i="27" a="1"/>
  <c r="EX70" i="27" s="1"/>
  <c r="EV70" i="27" a="1"/>
  <c r="EV70" i="27" s="1"/>
  <c r="EY69" i="27" a="1"/>
  <c r="EY69" i="27" s="1"/>
  <c r="EX69" i="27" a="1"/>
  <c r="EX69" i="27" s="1"/>
  <c r="EV69" i="27" a="1"/>
  <c r="EV69" i="27" s="1"/>
  <c r="EY68" i="27" a="1"/>
  <c r="EY68" i="27" s="1"/>
  <c r="EX68" i="27" a="1"/>
  <c r="EX68" i="27" s="1"/>
  <c r="EV68" i="27" a="1"/>
  <c r="EV68" i="27" s="1"/>
  <c r="EY67" i="27" a="1"/>
  <c r="EY67" i="27" s="1"/>
  <c r="EX67" i="27" a="1"/>
  <c r="EX67" i="27" s="1"/>
  <c r="EV67" i="27" a="1"/>
  <c r="EV67" i="27" s="1"/>
  <c r="EY66" i="27" a="1"/>
  <c r="EY66" i="27" s="1"/>
  <c r="EX66" i="27" a="1"/>
  <c r="EX66" i="27" s="1"/>
  <c r="EV66" i="27" a="1"/>
  <c r="EV66" i="27" s="1"/>
  <c r="EY65" i="27" a="1"/>
  <c r="EY65" i="27" s="1"/>
  <c r="EX65" i="27" a="1"/>
  <c r="EX65" i="27" s="1"/>
  <c r="EV65" i="27" a="1"/>
  <c r="EV65" i="27" s="1"/>
  <c r="EY64" i="27" a="1"/>
  <c r="EY64" i="27" s="1"/>
  <c r="EX64" i="27" a="1"/>
  <c r="EX64" i="27" s="1"/>
  <c r="EV64" i="27" a="1"/>
  <c r="EV64" i="27" s="1"/>
  <c r="EY63" i="27" a="1"/>
  <c r="EY63" i="27" s="1"/>
  <c r="EX63" i="27" a="1"/>
  <c r="EX63" i="27" s="1"/>
  <c r="EV63" i="27" a="1"/>
  <c r="EV63" i="27" s="1"/>
  <c r="EY62" i="27" a="1"/>
  <c r="EY62" i="27" s="1"/>
  <c r="EX62" i="27" a="1"/>
  <c r="EX62" i="27" s="1"/>
  <c r="EV62" i="27" a="1"/>
  <c r="EV62" i="27" s="1"/>
  <c r="EY61" i="27" a="1"/>
  <c r="EY61" i="27" s="1"/>
  <c r="EX61" i="27" a="1"/>
  <c r="EX61" i="27" s="1"/>
  <c r="EV61" i="27" a="1"/>
  <c r="EV61" i="27" s="1"/>
  <c r="EY60" i="27" a="1"/>
  <c r="EY60" i="27" s="1"/>
  <c r="EX60" i="27" a="1"/>
  <c r="EX60" i="27" s="1"/>
  <c r="EV60" i="27" a="1"/>
  <c r="EV60" i="27" s="1"/>
  <c r="DH140" i="27"/>
  <c r="EX217" i="27" l="1" a="1"/>
  <c r="EX217" i="27" s="1"/>
  <c r="EW217" i="27" a="1"/>
  <c r="EW217" i="27" s="1"/>
  <c r="EV217" i="27" a="1"/>
  <c r="EV217" i="27" s="1"/>
  <c r="EX225" i="27" a="1"/>
  <c r="EX225" i="27" s="1"/>
  <c r="EW225" i="27" a="1"/>
  <c r="EW225" i="27" s="1"/>
  <c r="EV225" i="27" a="1"/>
  <c r="EV225" i="27" s="1"/>
  <c r="EW207" i="27" a="1"/>
  <c r="EW207" i="27" s="1"/>
  <c r="EV207" i="27" a="1"/>
  <c r="EV207" i="27" s="1"/>
  <c r="EX207" i="27" a="1"/>
  <c r="EX207" i="27" s="1"/>
  <c r="EW215" i="27" a="1"/>
  <c r="EW215" i="27" s="1"/>
  <c r="EV215" i="27" a="1"/>
  <c r="EV215" i="27" s="1"/>
  <c r="EX215" i="27" a="1"/>
  <c r="EX215" i="27" s="1"/>
  <c r="EW223" i="27" a="1"/>
  <c r="EW223" i="27" s="1"/>
  <c r="EV223" i="27" a="1"/>
  <c r="EV223" i="27" s="1"/>
  <c r="EX223" i="27" a="1"/>
  <c r="EX223" i="27" s="1"/>
  <c r="EX212" i="27" a="1"/>
  <c r="EX212" i="27" s="1"/>
  <c r="EW212" i="27" a="1"/>
  <c r="EW212" i="27" s="1"/>
  <c r="EV212" i="27" a="1"/>
  <c r="EV212" i="27" s="1"/>
  <c r="EX220" i="27" a="1"/>
  <c r="EX220" i="27" s="1"/>
  <c r="EW220" i="27" a="1"/>
  <c r="EW220" i="27" s="1"/>
  <c r="EV220" i="27" a="1"/>
  <c r="EV220" i="27" s="1"/>
  <c r="EX228" i="27" a="1"/>
  <c r="EX228" i="27" s="1"/>
  <c r="EW228" i="27" a="1"/>
  <c r="EW228" i="27" s="1"/>
  <c r="EV228" i="27" a="1"/>
  <c r="EV228" i="27" s="1"/>
  <c r="EV218" i="27" a="1"/>
  <c r="EV218" i="27" s="1"/>
  <c r="EW218" i="27" a="1"/>
  <c r="EW218" i="27" s="1"/>
  <c r="EX218" i="27" a="1"/>
  <c r="EX218" i="27" s="1"/>
  <c r="EX205" i="27" a="1"/>
  <c r="EX205" i="27" s="1"/>
  <c r="EV205" i="27" a="1"/>
  <c r="EV205" i="27" s="1"/>
  <c r="EW205" i="27" a="1"/>
  <c r="EW205" i="27" s="1"/>
  <c r="EX213" i="27" a="1"/>
  <c r="EX213" i="27" s="1"/>
  <c r="EV213" i="27" a="1"/>
  <c r="EV213" i="27" s="1"/>
  <c r="EW213" i="27" a="1"/>
  <c r="EW213" i="27" s="1"/>
  <c r="EW226" i="27" a="1"/>
  <c r="EW226" i="27" s="1"/>
  <c r="EV226" i="27" a="1"/>
  <c r="EV226" i="27" s="1"/>
  <c r="EX226" i="27" a="1"/>
  <c r="EX226" i="27" s="1"/>
  <c r="EW208" i="27" a="1"/>
  <c r="EW208" i="27" s="1"/>
  <c r="EX208" i="27" a="1"/>
  <c r="EX208" i="27" s="1"/>
  <c r="EV208" i="27" a="1"/>
  <c r="EV208" i="27" s="1"/>
  <c r="EV219" i="27" a="1"/>
  <c r="EV219" i="27" s="1"/>
  <c r="EX219" i="27" a="1"/>
  <c r="EX219" i="27" s="1"/>
  <c r="EW219" i="27" a="1"/>
  <c r="EW219" i="27" s="1"/>
  <c r="EW227" i="27" a="1"/>
  <c r="EW227" i="27" s="1"/>
  <c r="EV227" i="27" a="1"/>
  <c r="EV227" i="27" s="1"/>
  <c r="EX227" i="27" a="1"/>
  <c r="EX227" i="27" s="1"/>
  <c r="EX209" i="27" a="1"/>
  <c r="EX209" i="27" s="1"/>
  <c r="EW209" i="27" a="1"/>
  <c r="EW209" i="27" s="1"/>
  <c r="EV209" i="27" a="1"/>
  <c r="EV209" i="27" s="1"/>
  <c r="EX204" i="27" a="1"/>
  <c r="EX204" i="27" s="1"/>
  <c r="EW204" i="27" a="1"/>
  <c r="EW204" i="27" s="1"/>
  <c r="EV204" i="27" a="1"/>
  <c r="EV204" i="27" s="1"/>
  <c r="EV210" i="27" a="1"/>
  <c r="EV210" i="27" s="1"/>
  <c r="EX210" i="27" a="1"/>
  <c r="EX210" i="27" s="1"/>
  <c r="EW210" i="27" a="1"/>
  <c r="EW210" i="27" s="1"/>
  <c r="EX221" i="27" a="1"/>
  <c r="EX221" i="27" s="1"/>
  <c r="EW221" i="27" a="1"/>
  <c r="EW221" i="27" s="1"/>
  <c r="EV221" i="27" a="1"/>
  <c r="EV221" i="27" s="1"/>
  <c r="EV229" i="27" a="1"/>
  <c r="EV229" i="27" s="1"/>
  <c r="EW229" i="27" a="1"/>
  <c r="EW229" i="27" s="1"/>
  <c r="EX229" i="27" a="1"/>
  <c r="EX229" i="27" s="1"/>
  <c r="EW216" i="27" a="1"/>
  <c r="EW216" i="27" s="1"/>
  <c r="EX216" i="27" a="1"/>
  <c r="EX216" i="27" s="1"/>
  <c r="EV216" i="27" a="1"/>
  <c r="EV216" i="27" s="1"/>
  <c r="EW224" i="27" a="1"/>
  <c r="EW224" i="27" s="1"/>
  <c r="EV224" i="27" a="1"/>
  <c r="EV224" i="27" s="1"/>
  <c r="EX232" i="27" a="1"/>
  <c r="EX232" i="27" s="1"/>
  <c r="EW232" i="27" a="1"/>
  <c r="EW232" i="27" s="1"/>
  <c r="EV232" i="27" a="1"/>
  <c r="EV232" i="27" s="1"/>
  <c r="EV203" i="27" a="1"/>
  <c r="EV203" i="27" s="1"/>
  <c r="EX203" i="27" a="1"/>
  <c r="EX203" i="27" s="1"/>
  <c r="EW203" i="27" a="1"/>
  <c r="EW203" i="27" s="1"/>
  <c r="EV211" i="27" a="1"/>
  <c r="EV211" i="27" s="1"/>
  <c r="EX211" i="27" a="1"/>
  <c r="EX211" i="27" s="1"/>
  <c r="EW211" i="27" a="1"/>
  <c r="EW211" i="27" s="1"/>
  <c r="EW235" i="27" a="1"/>
  <c r="EW235" i="27" s="1"/>
  <c r="EX235" i="27" a="1"/>
  <c r="EX235" i="27" s="1"/>
  <c r="EV235" i="27" a="1"/>
  <c r="EV235" i="27" s="1"/>
  <c r="EX206" i="27" a="1"/>
  <c r="EX206" i="27" s="1"/>
  <c r="EW206" i="27" a="1"/>
  <c r="EW206" i="27" s="1"/>
  <c r="EV206" i="27" a="1"/>
  <c r="EV206" i="27" s="1"/>
  <c r="EX214" i="27" a="1"/>
  <c r="EX214" i="27" s="1"/>
  <c r="EW214" i="27" a="1"/>
  <c r="EW214" i="27" s="1"/>
  <c r="EV214" i="27" a="1"/>
  <c r="EV214" i="27" s="1"/>
  <c r="EX222" i="27" a="1"/>
  <c r="EX222" i="27" s="1"/>
  <c r="EW222" i="27" a="1"/>
  <c r="EW222" i="27" s="1"/>
  <c r="EV222" i="27" a="1"/>
  <c r="EV222" i="27" s="1"/>
  <c r="EV230" i="27" a="1"/>
  <c r="EV230" i="27" s="1"/>
  <c r="EX230" i="27" a="1"/>
  <c r="EX230" i="27" s="1"/>
  <c r="EW230" i="27" a="1"/>
  <c r="EW230" i="27" s="1"/>
  <c r="EZ124" i="27"/>
  <c r="EZ132" i="27"/>
  <c r="EZ106" i="27"/>
  <c r="EZ108" i="27"/>
  <c r="EZ114" i="27"/>
  <c r="EZ116" i="27"/>
  <c r="EZ140" i="27"/>
  <c r="EZ122" i="27"/>
  <c r="EZ130" i="27"/>
  <c r="EZ138" i="27"/>
  <c r="EZ103" i="27"/>
  <c r="EZ109" i="27"/>
  <c r="EZ111" i="27"/>
  <c r="EZ117" i="27"/>
  <c r="EZ125" i="27"/>
  <c r="EZ133" i="27"/>
  <c r="EZ119" i="27"/>
  <c r="EZ127" i="27"/>
  <c r="EZ135" i="27"/>
  <c r="EZ105" i="27"/>
  <c r="EZ113" i="27"/>
  <c r="EZ121" i="27"/>
  <c r="EZ129" i="27"/>
  <c r="EZ137" i="27"/>
  <c r="EZ102" i="27"/>
  <c r="EZ110" i="27"/>
  <c r="EZ118" i="27"/>
  <c r="EZ126" i="27"/>
  <c r="EZ134" i="27"/>
  <c r="EZ104" i="27"/>
  <c r="EZ107" i="27"/>
  <c r="EZ112" i="27"/>
  <c r="EZ115" i="27"/>
  <c r="EZ120" i="27"/>
  <c r="EZ123" i="27"/>
  <c r="EZ128" i="27"/>
  <c r="EZ131" i="27"/>
  <c r="EZ136" i="27"/>
  <c r="EZ139" i="27"/>
  <c r="CB142" i="27"/>
  <c r="CA142" i="27"/>
  <c r="BZ142" i="27"/>
  <c r="BY142" i="27"/>
  <c r="M203" i="48"/>
  <c r="Z100" i="27" l="1"/>
  <c r="AA100" i="27" l="1"/>
  <c r="AC100" i="27"/>
  <c r="AD100" i="27"/>
  <c r="CB104" i="27"/>
  <c r="CA104" i="27"/>
  <c r="BZ104" i="27"/>
  <c r="BY104" i="27"/>
  <c r="AG100" i="27" l="1"/>
  <c r="AG99" i="27"/>
  <c r="AG98" i="27"/>
  <c r="AG97" i="27"/>
  <c r="AG96" i="27"/>
  <c r="AG95" i="27"/>
  <c r="AG94" i="27"/>
  <c r="AG93" i="27"/>
  <c r="AG92" i="27"/>
  <c r="AF100" i="27"/>
  <c r="AF99" i="27"/>
  <c r="AF98" i="27"/>
  <c r="AF97" i="27"/>
  <c r="AF96" i="27"/>
  <c r="AF95" i="27"/>
  <c r="AF94" i="27"/>
  <c r="AF93" i="27"/>
  <c r="AF92" i="27"/>
  <c r="AE100" i="27"/>
  <c r="AE99" i="27"/>
  <c r="AE98" i="27"/>
  <c r="AE97" i="27"/>
  <c r="AE96" i="27"/>
  <c r="AE95" i="27"/>
  <c r="AE94" i="27"/>
  <c r="AE93" i="27"/>
  <c r="AE92" i="27"/>
  <c r="AG91" i="27"/>
  <c r="AF91" i="27"/>
  <c r="AG90" i="27"/>
  <c r="AF90" i="27"/>
  <c r="AG89" i="27"/>
  <c r="AF89" i="27"/>
  <c r="AG88" i="27"/>
  <c r="AF88" i="27"/>
  <c r="AG87" i="27"/>
  <c r="AF87" i="27"/>
  <c r="AG86" i="27"/>
  <c r="AF86" i="27"/>
  <c r="AG85" i="27"/>
  <c r="AF85" i="27"/>
  <c r="AG84" i="27"/>
  <c r="AF84" i="27"/>
  <c r="AG83" i="27"/>
  <c r="AF83" i="27"/>
  <c r="AG82" i="27"/>
  <c r="AF82" i="27"/>
  <c r="AG81" i="27"/>
  <c r="AF81" i="27"/>
  <c r="AG80" i="27"/>
  <c r="AF80" i="27"/>
  <c r="AG79" i="27"/>
  <c r="AF79" i="27"/>
  <c r="AG78" i="27"/>
  <c r="AF78" i="27"/>
  <c r="AG77" i="27"/>
  <c r="AF77" i="27"/>
  <c r="AG76" i="27"/>
  <c r="AF76" i="27"/>
  <c r="AC94" i="27"/>
  <c r="AB100" i="27"/>
  <c r="AB99" i="27"/>
  <c r="AB98" i="27"/>
  <c r="AB97" i="27"/>
  <c r="AB96" i="27"/>
  <c r="AB95" i="27"/>
  <c r="AB94" i="27"/>
  <c r="AE91" i="27"/>
  <c r="AE90" i="27"/>
  <c r="AE89" i="27"/>
  <c r="AE88" i="27"/>
  <c r="AE87" i="27"/>
  <c r="AE86" i="27"/>
  <c r="AE85" i="27"/>
  <c r="AE84" i="27"/>
  <c r="AE83" i="27"/>
  <c r="AE82" i="27"/>
  <c r="AE81" i="27"/>
  <c r="AE80" i="27"/>
  <c r="AE79" i="27"/>
  <c r="AE78" i="27"/>
  <c r="AE77" i="27"/>
  <c r="AE76" i="27"/>
  <c r="AD93" i="27"/>
  <c r="AD92" i="27"/>
  <c r="AD91" i="27"/>
  <c r="AD90" i="27"/>
  <c r="AD89" i="27"/>
  <c r="AD88" i="27"/>
  <c r="AD87" i="27"/>
  <c r="AD86" i="27"/>
  <c r="AD85" i="27"/>
  <c r="AD84" i="27"/>
  <c r="AD83" i="27"/>
  <c r="AD82" i="27"/>
  <c r="AD81" i="27"/>
  <c r="AD80" i="27"/>
  <c r="AD79" i="27"/>
  <c r="AD78" i="27"/>
  <c r="AD77" i="27"/>
  <c r="AD76" i="27"/>
  <c r="AC93" i="27"/>
  <c r="AC92" i="27"/>
  <c r="AC91" i="27"/>
  <c r="AC90" i="27"/>
  <c r="AC89" i="27"/>
  <c r="AC88" i="27"/>
  <c r="AC87" i="27"/>
  <c r="AC86" i="27"/>
  <c r="AC85" i="27"/>
  <c r="AC84" i="27"/>
  <c r="AC83" i="27"/>
  <c r="AC82" i="27"/>
  <c r="AC81" i="27"/>
  <c r="AC80" i="27"/>
  <c r="AC79" i="27"/>
  <c r="AC78" i="27"/>
  <c r="AC77" i="27"/>
  <c r="AC76" i="27"/>
  <c r="AB93" i="27"/>
  <c r="AB92" i="27"/>
  <c r="AB91" i="27"/>
  <c r="AB90" i="27"/>
  <c r="AB89" i="27"/>
  <c r="AB88" i="27"/>
  <c r="AB87" i="27"/>
  <c r="AB86" i="27"/>
  <c r="AB85" i="27"/>
  <c r="AB84" i="27"/>
  <c r="AB83" i="27"/>
  <c r="AB82" i="27"/>
  <c r="AB81" i="27"/>
  <c r="AB80" i="27"/>
  <c r="AB79" i="27"/>
  <c r="AB78" i="27"/>
  <c r="AB77" i="27"/>
  <c r="AB76" i="27"/>
  <c r="AA93" i="27"/>
  <c r="AA92" i="27"/>
  <c r="AA91" i="27"/>
  <c r="AA90" i="27"/>
  <c r="AA89" i="27"/>
  <c r="AA88" i="27"/>
  <c r="AA87" i="27"/>
  <c r="AA86" i="27"/>
  <c r="AA85" i="27"/>
  <c r="AA84" i="27"/>
  <c r="AA83" i="27"/>
  <c r="AA82" i="27"/>
  <c r="AA81" i="27"/>
  <c r="AA80" i="27"/>
  <c r="AA79" i="27"/>
  <c r="AA78" i="27"/>
  <c r="AA77" i="27"/>
  <c r="AA76" i="27"/>
  <c r="Z99" i="27"/>
  <c r="AA99" i="27" s="1"/>
  <c r="Z98" i="27"/>
  <c r="AA98" i="27" s="1"/>
  <c r="Z97" i="27"/>
  <c r="AA97" i="27" s="1"/>
  <c r="Z96" i="27"/>
  <c r="AD96" i="27" s="1"/>
  <c r="Z95" i="27"/>
  <c r="AD95" i="27" s="1"/>
  <c r="Z94" i="27"/>
  <c r="AD94" i="27" s="1"/>
  <c r="Z93" i="27"/>
  <c r="Z92" i="27"/>
  <c r="Z91" i="27"/>
  <c r="Z90" i="27"/>
  <c r="Z89" i="27"/>
  <c r="Z88" i="27"/>
  <c r="Z87" i="27"/>
  <c r="Z86" i="27"/>
  <c r="Z85" i="27"/>
  <c r="Z84" i="27"/>
  <c r="Z83" i="27"/>
  <c r="Z82" i="27"/>
  <c r="Z81" i="27"/>
  <c r="Z80" i="27"/>
  <c r="Z79" i="27"/>
  <c r="Z78" i="27"/>
  <c r="Z77" i="27"/>
  <c r="Z76" i="27"/>
  <c r="BY106" i="27" l="1" a="1"/>
  <c r="BY106" i="27" s="1"/>
  <c r="BY120" i="27" a="1"/>
  <c r="BY120" i="27" s="1"/>
  <c r="DP225" i="27" a="1"/>
  <c r="DP225" i="27" s="1"/>
  <c r="DP193" i="27" a="1"/>
  <c r="DP193" i="27" s="1"/>
  <c r="DP210" i="27" a="1"/>
  <c r="DP210" i="27" s="1"/>
  <c r="DP230" i="27" a="1"/>
  <c r="DP230" i="27" s="1"/>
  <c r="DP198" i="27" a="1"/>
  <c r="DP198" i="27" s="1"/>
  <c r="DP205" i="27" a="1"/>
  <c r="DP205" i="27" s="1"/>
  <c r="DP224" i="27" a="1"/>
  <c r="DP224" i="27" s="1"/>
  <c r="DP213" i="27" a="1"/>
  <c r="DP213" i="27" s="1"/>
  <c r="DP202" i="27" a="1"/>
  <c r="DP202" i="27" s="1"/>
  <c r="DP200" i="27" a="1"/>
  <c r="DP200" i="27" s="1"/>
  <c r="DP209" i="27" a="1"/>
  <c r="DP209" i="27" s="1"/>
  <c r="DP194" i="27" a="1"/>
  <c r="DP194" i="27" s="1"/>
  <c r="DP201" i="27" a="1"/>
  <c r="DP201" i="27" s="1"/>
  <c r="DP221" i="27" a="1"/>
  <c r="DP221" i="27" s="1"/>
  <c r="DP219" i="27" a="1"/>
  <c r="DP219" i="27" s="1"/>
  <c r="DP226" i="27" a="1"/>
  <c r="DP226" i="27" s="1"/>
  <c r="DP229" i="27" a="1"/>
  <c r="DP229" i="27" s="1"/>
  <c r="DP218" i="27" a="1"/>
  <c r="DP218" i="27" s="1"/>
  <c r="DP208" i="27" a="1"/>
  <c r="DP208" i="27" s="1"/>
  <c r="DP197" i="27" a="1"/>
  <c r="DP197" i="27" s="1"/>
  <c r="DP227" i="27" a="1"/>
  <c r="DP227" i="27" s="1"/>
  <c r="DP217" i="27" a="1"/>
  <c r="DP217" i="27" s="1"/>
  <c r="DP206" i="27" a="1"/>
  <c r="DP206" i="27" s="1"/>
  <c r="DP195" i="27" a="1"/>
  <c r="DP195" i="27" s="1"/>
  <c r="DP216" i="27" a="1"/>
  <c r="DP216" i="27" s="1"/>
  <c r="DP203" i="27" a="1"/>
  <c r="DP203" i="27" s="1"/>
  <c r="DP220" i="27" a="1"/>
  <c r="DP220" i="27" s="1"/>
  <c r="DP199" i="27" a="1"/>
  <c r="DP199" i="27" s="1"/>
  <c r="DP215" i="27" a="1"/>
  <c r="DP215" i="27" s="1"/>
  <c r="DP211" i="27" a="1"/>
  <c r="DP211" i="27" s="1"/>
  <c r="DP204" i="27" a="1"/>
  <c r="DP204" i="27" s="1"/>
  <c r="DP192" i="27" a="1"/>
  <c r="DP192" i="27" s="1"/>
  <c r="DP228" i="27" a="1"/>
  <c r="DP228" i="27" s="1"/>
  <c r="DP223" i="27" a="1"/>
  <c r="DP223" i="27" s="1"/>
  <c r="DP207" i="27" a="1"/>
  <c r="DP207" i="27" s="1"/>
  <c r="DP196" i="27" a="1"/>
  <c r="DP196" i="27" s="1"/>
  <c r="DP212" i="27" a="1"/>
  <c r="DP212" i="27" s="1"/>
  <c r="DP214" i="27" a="1"/>
  <c r="DP214" i="27" s="1"/>
  <c r="DP222" i="27" a="1"/>
  <c r="DP222" i="27" s="1"/>
  <c r="CA167" i="27" a="1"/>
  <c r="CA167" i="27" s="1"/>
  <c r="CA155" i="27" a="1"/>
  <c r="CA155" i="27" s="1"/>
  <c r="CA147" i="27" a="1"/>
  <c r="CA147" i="27" s="1"/>
  <c r="CA146" i="27" a="1"/>
  <c r="CA146" i="27" s="1"/>
  <c r="CA175" i="27" a="1"/>
  <c r="CA175" i="27" s="1"/>
  <c r="CA162" i="27" a="1"/>
  <c r="CA162" i="27" s="1"/>
  <c r="CA161" i="27" a="1"/>
  <c r="CA161" i="27" s="1"/>
  <c r="CA154" i="27" a="1"/>
  <c r="CA154" i="27" s="1"/>
  <c r="CA153" i="27" a="1"/>
  <c r="CA153" i="27" s="1"/>
  <c r="CA177" i="27" a="1"/>
  <c r="CA177" i="27" s="1"/>
  <c r="CA171" i="27" a="1"/>
  <c r="CA171" i="27" s="1"/>
  <c r="CA144" i="27" a="1"/>
  <c r="CA144" i="27" s="1"/>
  <c r="CA160" i="27" a="1"/>
  <c r="CA160" i="27" s="1"/>
  <c r="CA178" i="27" a="1"/>
  <c r="CA178" i="27" s="1"/>
  <c r="CA168" i="27" a="1"/>
  <c r="CA168" i="27" s="1"/>
  <c r="CA158" i="27" a="1"/>
  <c r="CA158" i="27" s="1"/>
  <c r="CA159" i="27" a="1"/>
  <c r="CA159" i="27" s="1"/>
  <c r="CA156" i="27" a="1"/>
  <c r="CA156" i="27" s="1"/>
  <c r="CA169" i="27" a="1"/>
  <c r="CA169" i="27" s="1"/>
  <c r="CA176" i="27" a="1"/>
  <c r="CA176" i="27" s="1"/>
  <c r="CA152" i="27" a="1"/>
  <c r="CA152" i="27" s="1"/>
  <c r="CA150" i="27" a="1"/>
  <c r="CA150" i="27" s="1"/>
  <c r="CA173" i="27" a="1"/>
  <c r="CA173" i="27" s="1"/>
  <c r="CA151" i="27" a="1"/>
  <c r="CA151" i="27" s="1"/>
  <c r="CA172" i="27" a="1"/>
  <c r="CA172" i="27" s="1"/>
  <c r="CA145" i="27" a="1"/>
  <c r="CA145" i="27" s="1"/>
  <c r="CA164" i="27" a="1"/>
  <c r="CA164" i="27" s="1"/>
  <c r="CA165" i="27" a="1"/>
  <c r="CA165" i="27" s="1"/>
  <c r="CA166" i="27" a="1"/>
  <c r="CA166" i="27" s="1"/>
  <c r="CA148" i="27" a="1"/>
  <c r="CA148" i="27" s="1"/>
  <c r="CA170" i="27" a="1"/>
  <c r="CA170" i="27" s="1"/>
  <c r="CA157" i="27" a="1"/>
  <c r="CA157" i="27" s="1"/>
  <c r="CA163" i="27" a="1"/>
  <c r="CA163" i="27" s="1"/>
  <c r="CA174" i="27" a="1"/>
  <c r="CA174" i="27" s="1"/>
  <c r="CA149" i="27" a="1"/>
  <c r="CA149" i="27" s="1"/>
  <c r="BZ177" i="27" a="1"/>
  <c r="BZ177" i="27" s="1"/>
  <c r="BZ175" i="27" a="1"/>
  <c r="BZ175" i="27" s="1"/>
  <c r="BZ173" i="27" a="1"/>
  <c r="BZ173" i="27" s="1"/>
  <c r="BZ171" i="27" a="1"/>
  <c r="BZ171" i="27" s="1"/>
  <c r="BZ169" i="27" a="1"/>
  <c r="BZ169" i="27" s="1"/>
  <c r="BZ167" i="27" a="1"/>
  <c r="BZ167" i="27" s="1"/>
  <c r="BZ165" i="27" a="1"/>
  <c r="BZ165" i="27" s="1"/>
  <c r="BZ163" i="27" a="1"/>
  <c r="BZ163" i="27" s="1"/>
  <c r="BZ161" i="27" a="1"/>
  <c r="BZ161" i="27" s="1"/>
  <c r="BZ159" i="27" a="1"/>
  <c r="BZ159" i="27" s="1"/>
  <c r="BZ157" i="27" a="1"/>
  <c r="BZ157" i="27" s="1"/>
  <c r="BY177" i="27" a="1"/>
  <c r="BY177" i="27" s="1"/>
  <c r="BY175" i="27" a="1"/>
  <c r="BY175" i="27" s="1"/>
  <c r="BZ227" i="27" s="1" a="1"/>
  <c r="BZ227" i="27" s="1"/>
  <c r="BY173" i="27" a="1"/>
  <c r="BY173" i="27" s="1"/>
  <c r="BZ225" i="27" s="1" a="1"/>
  <c r="BZ225" i="27" s="1"/>
  <c r="BY171" i="27" a="1"/>
  <c r="BY171" i="27" s="1"/>
  <c r="BZ223" i="27" s="1" a="1"/>
  <c r="BZ223" i="27" s="1"/>
  <c r="BY169" i="27" a="1"/>
  <c r="BY169" i="27" s="1"/>
  <c r="BZ221" i="27" s="1" a="1"/>
  <c r="BZ221" i="27" s="1"/>
  <c r="BY167" i="27" a="1"/>
  <c r="BY167" i="27" s="1"/>
  <c r="BZ219" i="27" s="1" a="1"/>
  <c r="BZ219" i="27" s="1"/>
  <c r="CB178" i="27" a="1"/>
  <c r="CB178" i="27" s="1"/>
  <c r="CB176" i="27" a="1"/>
  <c r="CB176" i="27" s="1"/>
  <c r="CB174" i="27" a="1"/>
  <c r="CB174" i="27" s="1"/>
  <c r="CB172" i="27" a="1"/>
  <c r="CB172" i="27" s="1"/>
  <c r="CB170" i="27" a="1"/>
  <c r="CB170" i="27" s="1"/>
  <c r="CB168" i="27" a="1"/>
  <c r="CB168" i="27" s="1"/>
  <c r="CB166" i="27" a="1"/>
  <c r="CB166" i="27" s="1"/>
  <c r="CB164" i="27" a="1"/>
  <c r="CB164" i="27" s="1"/>
  <c r="CB162" i="27" a="1"/>
  <c r="CB162" i="27" s="1"/>
  <c r="BY178" i="27" a="1"/>
  <c r="BY178" i="27" s="1"/>
  <c r="BY176" i="27" a="1"/>
  <c r="BY176" i="27" s="1"/>
  <c r="BZ228" i="27" s="1" a="1"/>
  <c r="BZ228" i="27" s="1"/>
  <c r="BY174" i="27" a="1"/>
  <c r="BY174" i="27" s="1"/>
  <c r="BZ226" i="27" s="1" a="1"/>
  <c r="BZ226" i="27" s="1"/>
  <c r="BY172" i="27" a="1"/>
  <c r="BY172" i="27" s="1"/>
  <c r="BZ224" i="27" s="1" a="1"/>
  <c r="BZ224" i="27" s="1"/>
  <c r="BY170" i="27" a="1"/>
  <c r="BY170" i="27" s="1"/>
  <c r="BZ222" i="27" s="1" a="1"/>
  <c r="BZ222" i="27" s="1"/>
  <c r="BY168" i="27" a="1"/>
  <c r="BY168" i="27" s="1"/>
  <c r="BZ220" i="27" s="1" a="1"/>
  <c r="BZ220" i="27" s="1"/>
  <c r="BY166" i="27" a="1"/>
  <c r="BY166" i="27" s="1"/>
  <c r="BZ218" i="27" s="1" a="1"/>
  <c r="BZ218" i="27" s="1"/>
  <c r="BY164" i="27" a="1"/>
  <c r="BY164" i="27" s="1"/>
  <c r="BZ216" i="27" s="1" a="1"/>
  <c r="BZ216" i="27" s="1"/>
  <c r="BY162" i="27" a="1"/>
  <c r="BY162" i="27" s="1"/>
  <c r="BZ214" i="27" s="1" a="1"/>
  <c r="BZ214" i="27" s="1"/>
  <c r="BY160" i="27" a="1"/>
  <c r="BY160" i="27" s="1"/>
  <c r="BZ212" i="27" s="1" a="1"/>
  <c r="BZ212" i="27" s="1"/>
  <c r="BY158" i="27" a="1"/>
  <c r="BY158" i="27" s="1"/>
  <c r="BZ210" i="27" s="1" a="1"/>
  <c r="BZ210" i="27" s="1"/>
  <c r="BY156" i="27" a="1"/>
  <c r="BY156" i="27" s="1"/>
  <c r="BZ208" i="27" s="1" a="1"/>
  <c r="BZ208" i="27" s="1"/>
  <c r="BY154" i="27" a="1"/>
  <c r="BY154" i="27" s="1"/>
  <c r="BZ206" i="27" s="1" a="1"/>
  <c r="BZ206" i="27" s="1"/>
  <c r="BY152" i="27" a="1"/>
  <c r="BY152" i="27" s="1"/>
  <c r="BZ204" i="27" s="1" a="1"/>
  <c r="BZ204" i="27" s="1"/>
  <c r="BY150" i="27" a="1"/>
  <c r="BY150" i="27" s="1"/>
  <c r="BZ202" i="27" s="1" a="1"/>
  <c r="BZ202" i="27" s="1"/>
  <c r="BY148" i="27" a="1"/>
  <c r="BY148" i="27" s="1"/>
  <c r="BZ200" i="27" s="1" a="1"/>
  <c r="BZ200" i="27" s="1"/>
  <c r="BZ176" i="27" a="1"/>
  <c r="BZ176" i="27" s="1"/>
  <c r="BZ172" i="27" a="1"/>
  <c r="BZ172" i="27" s="1"/>
  <c r="BZ168" i="27" a="1"/>
  <c r="BZ168" i="27" s="1"/>
  <c r="CB158" i="27" a="1"/>
  <c r="CB158" i="27" s="1"/>
  <c r="BZ156" i="27" a="1"/>
  <c r="BZ156" i="27" s="1"/>
  <c r="CB153" i="27" a="1"/>
  <c r="CB153" i="27" s="1"/>
  <c r="BZ149" i="27" a="1"/>
  <c r="BZ149" i="27" s="1"/>
  <c r="BY147" i="27" a="1"/>
  <c r="BY147" i="27" s="1"/>
  <c r="BZ199" i="27" s="1" a="1"/>
  <c r="BZ199" i="27" s="1"/>
  <c r="BY145" i="27" a="1"/>
  <c r="BY145" i="27" s="1"/>
  <c r="BZ197" i="27" s="1" a="1"/>
  <c r="BZ197" i="27" s="1"/>
  <c r="BY140" i="27" a="1"/>
  <c r="BY140" i="27" s="1"/>
  <c r="BY138" i="27" a="1"/>
  <c r="BY138" i="27" s="1"/>
  <c r="CA228" i="27" s="1" a="1"/>
  <c r="CA228" i="27" s="1"/>
  <c r="BY136" i="27" a="1"/>
  <c r="BY136" i="27" s="1"/>
  <c r="CA226" i="27" s="1" a="1"/>
  <c r="CA226" i="27" s="1"/>
  <c r="BY134" i="27" a="1"/>
  <c r="BY134" i="27" s="1"/>
  <c r="CA224" i="27" s="1" a="1"/>
  <c r="CA224" i="27" s="1"/>
  <c r="BY132" i="27" a="1"/>
  <c r="BY132" i="27" s="1"/>
  <c r="CA222" i="27" s="1" a="1"/>
  <c r="CA222" i="27" s="1"/>
  <c r="BY130" i="27" a="1"/>
  <c r="BY130" i="27" s="1"/>
  <c r="CA220" i="27" s="1" a="1"/>
  <c r="CA220" i="27" s="1"/>
  <c r="BY128" i="27" a="1"/>
  <c r="BY128" i="27" s="1"/>
  <c r="CA218" i="27" s="1" a="1"/>
  <c r="CA218" i="27" s="1"/>
  <c r="BY126" i="27" a="1"/>
  <c r="BY126" i="27" s="1"/>
  <c r="CA216" i="27" s="1" a="1"/>
  <c r="CA216" i="27" s="1"/>
  <c r="BY124" i="27" a="1"/>
  <c r="BY124" i="27" s="1"/>
  <c r="CA214" i="27" s="1" a="1"/>
  <c r="CA214" i="27" s="1"/>
  <c r="BY122" i="27" a="1"/>
  <c r="BY122" i="27" s="1"/>
  <c r="CA212" i="27" s="1" a="1"/>
  <c r="CA212" i="27" s="1"/>
  <c r="CA210" i="27" a="1"/>
  <c r="CA210" i="27" s="1"/>
  <c r="BY118" i="27" a="1"/>
  <c r="BY118" i="27" s="1"/>
  <c r="CA208" i="27" s="1" a="1"/>
  <c r="CA208" i="27" s="1"/>
  <c r="BY116" i="27" a="1"/>
  <c r="BY116" i="27" s="1"/>
  <c r="CA206" i="27" s="1" a="1"/>
  <c r="CA206" i="27" s="1"/>
  <c r="BY114" i="27" a="1"/>
  <c r="BY114" i="27" s="1"/>
  <c r="CA204" i="27" s="1" a="1"/>
  <c r="CA204" i="27" s="1"/>
  <c r="BY112" i="27" a="1"/>
  <c r="BY112" i="27" s="1"/>
  <c r="CA202" i="27" s="1" a="1"/>
  <c r="CA202" i="27" s="1"/>
  <c r="BY110" i="27" a="1"/>
  <c r="BY110" i="27" s="1"/>
  <c r="CA200" i="27" s="1" a="1"/>
  <c r="CA200" i="27" s="1"/>
  <c r="BY108" i="27" a="1"/>
  <c r="BY108" i="27" s="1"/>
  <c r="CA198" i="27" s="1" a="1"/>
  <c r="CA198" i="27" s="1"/>
  <c r="CA196" i="27" a="1"/>
  <c r="CA196" i="27" s="1"/>
  <c r="BY153" i="27" a="1"/>
  <c r="BY153" i="27" s="1"/>
  <c r="BZ205" i="27" s="1" a="1"/>
  <c r="BZ205" i="27" s="1"/>
  <c r="BZ146" i="27" a="1"/>
  <c r="BZ146" i="27" s="1"/>
  <c r="BZ137" i="27" a="1"/>
  <c r="BZ137" i="27" s="1"/>
  <c r="BZ131" i="27" a="1"/>
  <c r="BZ131" i="27" s="1"/>
  <c r="BZ125" i="27" a="1"/>
  <c r="BZ125" i="27" s="1"/>
  <c r="BZ119" i="27" a="1"/>
  <c r="BZ119" i="27" s="1"/>
  <c r="BZ113" i="27" a="1"/>
  <c r="BZ113" i="27" s="1"/>
  <c r="BZ107" i="27" a="1"/>
  <c r="BZ107" i="27" s="1"/>
  <c r="CB175" i="27" a="1"/>
  <c r="CB175" i="27" s="1"/>
  <c r="CB171" i="27" a="1"/>
  <c r="CB171" i="27" s="1"/>
  <c r="CB167" i="27" a="1"/>
  <c r="CB167" i="27" s="1"/>
  <c r="BZ164" i="27" a="1"/>
  <c r="BZ164" i="27" s="1"/>
  <c r="BY161" i="27" a="1"/>
  <c r="BY161" i="27" s="1"/>
  <c r="BZ213" i="27" s="1" a="1"/>
  <c r="BZ213" i="27" s="1"/>
  <c r="CB155" i="27" a="1"/>
  <c r="CB155" i="27" s="1"/>
  <c r="BZ151" i="27" a="1"/>
  <c r="BZ151" i="27" s="1"/>
  <c r="BY149" i="27" a="1"/>
  <c r="BY149" i="27" s="1"/>
  <c r="BZ201" i="27" s="1" a="1"/>
  <c r="BZ201" i="27" s="1"/>
  <c r="CB146" i="27" a="1"/>
  <c r="CB146" i="27" s="1"/>
  <c r="CB144" i="27" a="1"/>
  <c r="CB144" i="27" s="1"/>
  <c r="CB139" i="27" a="1"/>
  <c r="CB139" i="27" s="1"/>
  <c r="CB137" i="27" a="1"/>
  <c r="CB137" i="27" s="1"/>
  <c r="CB135" i="27" a="1"/>
  <c r="CB135" i="27" s="1"/>
  <c r="CB133" i="27" a="1"/>
  <c r="CB133" i="27" s="1"/>
  <c r="CB131" i="27" a="1"/>
  <c r="CB131" i="27" s="1"/>
  <c r="CB129" i="27" a="1"/>
  <c r="CB129" i="27" s="1"/>
  <c r="CB127" i="27" a="1"/>
  <c r="CB127" i="27" s="1"/>
  <c r="CB125" i="27" a="1"/>
  <c r="CB125" i="27" s="1"/>
  <c r="CB123" i="27" a="1"/>
  <c r="CB123" i="27" s="1"/>
  <c r="CB121" i="27" a="1"/>
  <c r="CB121" i="27" s="1"/>
  <c r="CB119" i="27" a="1"/>
  <c r="CB119" i="27" s="1"/>
  <c r="CB117" i="27" a="1"/>
  <c r="CB117" i="27" s="1"/>
  <c r="CB115" i="27" a="1"/>
  <c r="CB115" i="27" s="1"/>
  <c r="CB113" i="27" a="1"/>
  <c r="CB113" i="27" s="1"/>
  <c r="CB111" i="27" a="1"/>
  <c r="CB111" i="27" s="1"/>
  <c r="CB109" i="27" a="1"/>
  <c r="CB109" i="27" s="1"/>
  <c r="CB107" i="27" a="1"/>
  <c r="CB107" i="27" s="1"/>
  <c r="CB157" i="27" a="1"/>
  <c r="CB157" i="27" s="1"/>
  <c r="CB150" i="27" a="1"/>
  <c r="CB150" i="27" s="1"/>
  <c r="BZ144" i="27" a="1"/>
  <c r="BZ144" i="27" s="1"/>
  <c r="BZ133" i="27" a="1"/>
  <c r="BZ133" i="27" s="1"/>
  <c r="BZ127" i="27" a="1"/>
  <c r="BZ127" i="27" s="1"/>
  <c r="BZ121" i="27" a="1"/>
  <c r="BZ121" i="27" s="1"/>
  <c r="BZ115" i="27" a="1"/>
  <c r="BZ115" i="27" s="1"/>
  <c r="BZ109" i="27" a="1"/>
  <c r="BZ109" i="27" s="1"/>
  <c r="CB163" i="27" a="1"/>
  <c r="CB163" i="27" s="1"/>
  <c r="CB160" i="27" a="1"/>
  <c r="CB160" i="27" s="1"/>
  <c r="BZ158" i="27" a="1"/>
  <c r="BZ158" i="27" s="1"/>
  <c r="BZ153" i="27" a="1"/>
  <c r="BZ153" i="27" s="1"/>
  <c r="BY151" i="27" a="1"/>
  <c r="BY151" i="27" s="1"/>
  <c r="BZ203" i="27" s="1" a="1"/>
  <c r="BZ203" i="27" s="1"/>
  <c r="CB148" i="27" a="1"/>
  <c r="CB148" i="27" s="1"/>
  <c r="CA139" i="27" a="1"/>
  <c r="CA139" i="27" s="1"/>
  <c r="CA137" i="27" a="1"/>
  <c r="CA137" i="27" s="1"/>
  <c r="CA135" i="27" a="1"/>
  <c r="CA135" i="27" s="1"/>
  <c r="CA133" i="27" a="1"/>
  <c r="CA133" i="27" s="1"/>
  <c r="CA131" i="27" a="1"/>
  <c r="CA131" i="27" s="1"/>
  <c r="CA129" i="27" a="1"/>
  <c r="CA129" i="27" s="1"/>
  <c r="CA127" i="27" a="1"/>
  <c r="CA127" i="27" s="1"/>
  <c r="CA125" i="27" a="1"/>
  <c r="CA125" i="27" s="1"/>
  <c r="CA123" i="27" a="1"/>
  <c r="CA123" i="27" s="1"/>
  <c r="CA121" i="27" a="1"/>
  <c r="CA121" i="27" s="1"/>
  <c r="CA119" i="27" a="1"/>
  <c r="CA119" i="27" s="1"/>
  <c r="CA117" i="27" a="1"/>
  <c r="CA117" i="27" s="1"/>
  <c r="CA115" i="27" a="1"/>
  <c r="CA115" i="27" s="1"/>
  <c r="CA113" i="27" a="1"/>
  <c r="CA113" i="27" s="1"/>
  <c r="CA111" i="27" a="1"/>
  <c r="CA111" i="27" s="1"/>
  <c r="CA109" i="27" a="1"/>
  <c r="CA109" i="27" s="1"/>
  <c r="CA107" i="27" a="1"/>
  <c r="CA107" i="27" s="1"/>
  <c r="BZ155" i="27" a="1"/>
  <c r="BZ155" i="27" s="1"/>
  <c r="BZ139" i="27" a="1"/>
  <c r="BZ139" i="27" s="1"/>
  <c r="BZ135" i="27" a="1"/>
  <c r="BZ135" i="27" s="1"/>
  <c r="BZ129" i="27" a="1"/>
  <c r="BZ129" i="27" s="1"/>
  <c r="BZ123" i="27" a="1"/>
  <c r="BZ123" i="27" s="1"/>
  <c r="BZ117" i="27" a="1"/>
  <c r="BZ117" i="27" s="1"/>
  <c r="BZ111" i="27" a="1"/>
  <c r="BZ111" i="27" s="1"/>
  <c r="CB177" i="27" a="1"/>
  <c r="CB177" i="27" s="1"/>
  <c r="CB173" i="27" a="1"/>
  <c r="CB173" i="27" s="1"/>
  <c r="CB169" i="27" a="1"/>
  <c r="CB169" i="27" s="1"/>
  <c r="CB165" i="27" a="1"/>
  <c r="CB165" i="27" s="1"/>
  <c r="CB159" i="27" a="1"/>
  <c r="CB159" i="27" s="1"/>
  <c r="BY157" i="27" a="1"/>
  <c r="BY157" i="27" s="1"/>
  <c r="BZ209" i="27" s="1" a="1"/>
  <c r="BZ209" i="27" s="1"/>
  <c r="CB154" i="27" a="1"/>
  <c r="CB154" i="27" s="1"/>
  <c r="BZ150" i="27" a="1"/>
  <c r="BZ150" i="27" s="1"/>
  <c r="CB147" i="27" a="1"/>
  <c r="CB147" i="27" s="1"/>
  <c r="CB145" i="27" a="1"/>
  <c r="CB145" i="27" s="1"/>
  <c r="CB140" i="27" a="1"/>
  <c r="CB140" i="27" s="1"/>
  <c r="CB138" i="27" a="1"/>
  <c r="CB138" i="27" s="1"/>
  <c r="CB136" i="27" a="1"/>
  <c r="CB136" i="27" s="1"/>
  <c r="CB134" i="27" a="1"/>
  <c r="CB134" i="27" s="1"/>
  <c r="CB132" i="27" a="1"/>
  <c r="CB132" i="27" s="1"/>
  <c r="CB130" i="27" a="1"/>
  <c r="CB130" i="27" s="1"/>
  <c r="CB128" i="27" a="1"/>
  <c r="CB128" i="27" s="1"/>
  <c r="CB126" i="27" a="1"/>
  <c r="CB126" i="27" s="1"/>
  <c r="CB124" i="27" a="1"/>
  <c r="CB124" i="27" s="1"/>
  <c r="CB122" i="27" a="1"/>
  <c r="CB122" i="27" s="1"/>
  <c r="CB120" i="27" a="1"/>
  <c r="CB120" i="27" s="1"/>
  <c r="CB118" i="27" a="1"/>
  <c r="CB118" i="27" s="1"/>
  <c r="CB116" i="27" a="1"/>
  <c r="CB116" i="27" s="1"/>
  <c r="CB114" i="27" a="1"/>
  <c r="CB114" i="27" s="1"/>
  <c r="CB112" i="27" a="1"/>
  <c r="CB112" i="27" s="1"/>
  <c r="CB110" i="27" a="1"/>
  <c r="CB110" i="27" s="1"/>
  <c r="CB108" i="27" a="1"/>
  <c r="CB108" i="27" s="1"/>
  <c r="CB106" i="27" a="1"/>
  <c r="CB106" i="27" s="1"/>
  <c r="BZ162" i="27" a="1"/>
  <c r="BZ162" i="27" s="1"/>
  <c r="CB156" i="27" a="1"/>
  <c r="CB156" i="27" s="1"/>
  <c r="BZ152" i="27" a="1"/>
  <c r="BZ152" i="27" s="1"/>
  <c r="CB149" i="27" a="1"/>
  <c r="CB149" i="27" s="1"/>
  <c r="CA140" i="27" a="1"/>
  <c r="CA140" i="27" s="1"/>
  <c r="CA138" i="27" a="1"/>
  <c r="CA138" i="27" s="1"/>
  <c r="BZ178" i="27" a="1"/>
  <c r="BZ178" i="27" s="1"/>
  <c r="BY163" i="27" a="1"/>
  <c r="BY163" i="27" s="1"/>
  <c r="BZ215" i="27" s="1" a="1"/>
  <c r="BZ215" i="27" s="1"/>
  <c r="CB152" i="27" a="1"/>
  <c r="CB152" i="27" s="1"/>
  <c r="BY144" i="27" a="1"/>
  <c r="BY144" i="27" s="1"/>
  <c r="BZ196" i="27" s="1" a="1"/>
  <c r="BZ196" i="27" s="1"/>
  <c r="CA134" i="27" a="1"/>
  <c r="CA134" i="27" s="1"/>
  <c r="BY129" i="27" a="1"/>
  <c r="BY129" i="27" s="1"/>
  <c r="CA219" i="27" s="1" a="1"/>
  <c r="CA219" i="27" s="1"/>
  <c r="BZ124" i="27" a="1"/>
  <c r="BZ124" i="27" s="1"/>
  <c r="CA118" i="27" a="1"/>
  <c r="CA118" i="27" s="1"/>
  <c r="BY113" i="27" a="1"/>
  <c r="BY113" i="27" s="1"/>
  <c r="CA203" i="27" s="1" a="1"/>
  <c r="CA203" i="27" s="1"/>
  <c r="BZ108" i="27" a="1"/>
  <c r="BZ108" i="27" s="1"/>
  <c r="BY119" i="27" a="1"/>
  <c r="BY119" i="27" s="1"/>
  <c r="CA209" i="27" s="1" a="1"/>
  <c r="CA209" i="27" s="1"/>
  <c r="CB161" i="27" a="1"/>
  <c r="CB161" i="27" s="1"/>
  <c r="CB151" i="27" a="1"/>
  <c r="CB151" i="27" s="1"/>
  <c r="BZ140" i="27" a="1"/>
  <c r="BZ140" i="27" s="1"/>
  <c r="BZ134" i="27" a="1"/>
  <c r="BZ134" i="27" s="1"/>
  <c r="CA128" i="27" a="1"/>
  <c r="CA128" i="27" s="1"/>
  <c r="BY123" i="27" a="1"/>
  <c r="BY123" i="27" s="1"/>
  <c r="CA213" i="27" s="1" a="1"/>
  <c r="CA213" i="27" s="1"/>
  <c r="BZ118" i="27" a="1"/>
  <c r="BZ118" i="27" s="1"/>
  <c r="CA112" i="27" a="1"/>
  <c r="CA112" i="27" s="1"/>
  <c r="BY107" i="27" a="1"/>
  <c r="BY107" i="27" s="1"/>
  <c r="CA197" i="27" s="1" a="1"/>
  <c r="CA197" i="27" s="1"/>
  <c r="BZ132" i="27" a="1"/>
  <c r="BZ132" i="27" s="1"/>
  <c r="BZ116" i="27" a="1"/>
  <c r="BZ116" i="27" s="1"/>
  <c r="BZ126" i="27" a="1"/>
  <c r="BZ126" i="27" s="1"/>
  <c r="BZ110" i="27" a="1"/>
  <c r="BZ110" i="27" s="1"/>
  <c r="BY155" i="27" a="1"/>
  <c r="BY155" i="27" s="1"/>
  <c r="BZ207" i="27" s="1" a="1"/>
  <c r="BZ207" i="27" s="1"/>
  <c r="CA130" i="27" a="1"/>
  <c r="CA130" i="27" s="1"/>
  <c r="CA114" i="27" a="1"/>
  <c r="CA114" i="27" s="1"/>
  <c r="BZ145" i="27" a="1"/>
  <c r="BZ145" i="27" s="1"/>
  <c r="CA124" i="27" a="1"/>
  <c r="CA124" i="27" s="1"/>
  <c r="BZ174" i="27" a="1"/>
  <c r="BZ174" i="27" s="1"/>
  <c r="BZ160" i="27" a="1"/>
  <c r="BZ160" i="27" s="1"/>
  <c r="BY139" i="27" a="1"/>
  <c r="BY139" i="27" s="1"/>
  <c r="BY133" i="27" a="1"/>
  <c r="BY133" i="27" s="1"/>
  <c r="CA223" i="27" s="1" a="1"/>
  <c r="CA223" i="27" s="1"/>
  <c r="BZ128" i="27" a="1"/>
  <c r="BZ128" i="27" s="1"/>
  <c r="CA122" i="27" a="1"/>
  <c r="CA122" i="27" s="1"/>
  <c r="BY117" i="27" a="1"/>
  <c r="BY117" i="27" s="1"/>
  <c r="CA207" i="27" s="1" a="1"/>
  <c r="CA207" i="27" s="1"/>
  <c r="BZ112" i="27" a="1"/>
  <c r="BZ112" i="27" s="1"/>
  <c r="CA106" i="27" a="1"/>
  <c r="CA106" i="27" s="1"/>
  <c r="BZ170" i="27" a="1"/>
  <c r="BZ170" i="27" s="1"/>
  <c r="BZ148" i="27" a="1"/>
  <c r="BZ148" i="27" s="1"/>
  <c r="CA126" i="27" a="1"/>
  <c r="CA126" i="27" s="1"/>
  <c r="CA110" i="27" a="1"/>
  <c r="CA110" i="27" s="1"/>
  <c r="BZ147" i="27" a="1"/>
  <c r="BZ147" i="27" s="1"/>
  <c r="BY131" i="27" a="1"/>
  <c r="BY131" i="27" s="1"/>
  <c r="CA221" i="27" s="1" a="1"/>
  <c r="CA221" i="27" s="1"/>
  <c r="BY115" i="27" a="1"/>
  <c r="BY115" i="27" s="1"/>
  <c r="CA205" i="27" s="1" a="1"/>
  <c r="CA205" i="27" s="1"/>
  <c r="BY146" i="27" a="1"/>
  <c r="BY146" i="27" s="1"/>
  <c r="BZ198" i="27" s="1" a="1"/>
  <c r="BZ198" i="27" s="1"/>
  <c r="BY125" i="27" a="1"/>
  <c r="BY125" i="27" s="1"/>
  <c r="CA215" i="27" s="1" a="1"/>
  <c r="CA215" i="27" s="1"/>
  <c r="BY109" i="27" a="1"/>
  <c r="BY109" i="27" s="1"/>
  <c r="CA199" i="27" s="1" a="1"/>
  <c r="CA199" i="27" s="1"/>
  <c r="BY165" i="27" a="1"/>
  <c r="BY165" i="27" s="1"/>
  <c r="BZ217" i="27" s="1" a="1"/>
  <c r="BZ217" i="27" s="1"/>
  <c r="BZ130" i="27" a="1"/>
  <c r="BZ130" i="27" s="1"/>
  <c r="CA108" i="27" a="1"/>
  <c r="CA108" i="27" s="1"/>
  <c r="BY159" i="27" a="1"/>
  <c r="BY159" i="27" s="1"/>
  <c r="BZ211" i="27" s="1" a="1"/>
  <c r="BZ211" i="27" s="1"/>
  <c r="BZ138" i="27" a="1"/>
  <c r="BZ138" i="27" s="1"/>
  <c r="CA132" i="27" a="1"/>
  <c r="CA132" i="27" s="1"/>
  <c r="BY127" i="27" a="1"/>
  <c r="BY127" i="27" s="1"/>
  <c r="BZ122" i="27" a="1"/>
  <c r="BZ122" i="27" s="1"/>
  <c r="CA116" i="27" a="1"/>
  <c r="CA116" i="27" s="1"/>
  <c r="BY111" i="27" a="1"/>
  <c r="BY111" i="27" s="1"/>
  <c r="CA201" i="27" s="1" a="1"/>
  <c r="CA201" i="27" s="1"/>
  <c r="BZ106" i="27" a="1"/>
  <c r="BZ106" i="27" s="1"/>
  <c r="BY137" i="27" a="1"/>
  <c r="BY137" i="27" s="1"/>
  <c r="CA227" i="27" s="1" a="1"/>
  <c r="CA227" i="27" s="1"/>
  <c r="BY121" i="27" a="1"/>
  <c r="BY121" i="27" s="1"/>
  <c r="CA211" i="27" s="1" a="1"/>
  <c r="CA211" i="27" s="1"/>
  <c r="CA136" i="27" a="1"/>
  <c r="CA136" i="27" s="1"/>
  <c r="CA120" i="27" a="1"/>
  <c r="CA120" i="27" s="1"/>
  <c r="BZ166" i="27" a="1"/>
  <c r="BZ166" i="27" s="1"/>
  <c r="BZ136" i="27" a="1"/>
  <c r="BZ136" i="27" s="1"/>
  <c r="BZ120" i="27" a="1"/>
  <c r="BZ120" i="27" s="1"/>
  <c r="BZ154" i="27" a="1"/>
  <c r="BZ154" i="27" s="1"/>
  <c r="BY135" i="27" a="1"/>
  <c r="BY135" i="27" s="1"/>
  <c r="CA225" i="27" s="1" a="1"/>
  <c r="CA225" i="27" s="1"/>
  <c r="BZ114" i="27" a="1"/>
  <c r="BZ114" i="27" s="1"/>
  <c r="DQ230" i="27" a="1"/>
  <c r="DQ230" i="27" s="1"/>
  <c r="DQ228" i="27" a="1"/>
  <c r="DQ228" i="27" s="1"/>
  <c r="DQ226" i="27" a="1"/>
  <c r="DQ226" i="27" s="1"/>
  <c r="DQ224" i="27" a="1"/>
  <c r="DQ224" i="27" s="1"/>
  <c r="DQ222" i="27" a="1"/>
  <c r="DQ222" i="27" s="1"/>
  <c r="DQ220" i="27" a="1"/>
  <c r="DQ220" i="27" s="1"/>
  <c r="DQ218" i="27" a="1"/>
  <c r="DQ218" i="27" s="1"/>
  <c r="DQ216" i="27" a="1"/>
  <c r="DQ216" i="27" s="1"/>
  <c r="DQ214" i="27" a="1"/>
  <c r="DQ214" i="27" s="1"/>
  <c r="DQ212" i="27" a="1"/>
  <c r="DQ212" i="27" s="1"/>
  <c r="DQ210" i="27" a="1"/>
  <c r="DQ210" i="27" s="1"/>
  <c r="DQ208" i="27" a="1"/>
  <c r="DQ208" i="27" s="1"/>
  <c r="DQ206" i="27" a="1"/>
  <c r="DQ206" i="27" s="1"/>
  <c r="DQ204" i="27" a="1"/>
  <c r="DQ204" i="27" s="1"/>
  <c r="DQ202" i="27" a="1"/>
  <c r="DQ202" i="27" s="1"/>
  <c r="DQ200" i="27" a="1"/>
  <c r="DQ200" i="27" s="1"/>
  <c r="DQ198" i="27" a="1"/>
  <c r="DQ198" i="27" s="1"/>
  <c r="DQ196" i="27" a="1"/>
  <c r="DQ196" i="27" s="1"/>
  <c r="DQ194" i="27" a="1"/>
  <c r="DQ194" i="27" s="1"/>
  <c r="DO230" i="27" a="1"/>
  <c r="DO230" i="27" s="1"/>
  <c r="DO228" i="27" a="1"/>
  <c r="DO228" i="27" s="1"/>
  <c r="DO226" i="27" a="1"/>
  <c r="DO226" i="27" s="1"/>
  <c r="DO224" i="27" a="1"/>
  <c r="DO224" i="27" s="1"/>
  <c r="DO222" i="27" a="1"/>
  <c r="DO222" i="27" s="1"/>
  <c r="DO220" i="27" a="1"/>
  <c r="DO220" i="27" s="1"/>
  <c r="DO218" i="27" a="1"/>
  <c r="DO218" i="27" s="1"/>
  <c r="DO216" i="27" a="1"/>
  <c r="DO216" i="27" s="1"/>
  <c r="DO214" i="27" a="1"/>
  <c r="DO214" i="27" s="1"/>
  <c r="DO212" i="27" a="1"/>
  <c r="DO212" i="27" s="1"/>
  <c r="DO210" i="27" a="1"/>
  <c r="DO210" i="27" s="1"/>
  <c r="DO208" i="27" a="1"/>
  <c r="DO208" i="27" s="1"/>
  <c r="DO206" i="27" a="1"/>
  <c r="DO206" i="27" s="1"/>
  <c r="DO204" i="27" a="1"/>
  <c r="DO204" i="27" s="1"/>
  <c r="DO202" i="27" a="1"/>
  <c r="DO202" i="27" s="1"/>
  <c r="DO200" i="27" a="1"/>
  <c r="DO200" i="27" s="1"/>
  <c r="DO198" i="27" a="1"/>
  <c r="DO198" i="27" s="1"/>
  <c r="DO196" i="27" a="1"/>
  <c r="DO196" i="27" s="1"/>
  <c r="DO194" i="27" a="1"/>
  <c r="DO194" i="27" s="1"/>
  <c r="DR229" i="27" a="1"/>
  <c r="DR229" i="27" s="1"/>
  <c r="DR227" i="27" a="1"/>
  <c r="DR227" i="27" s="1"/>
  <c r="DR225" i="27" a="1"/>
  <c r="DR225" i="27" s="1"/>
  <c r="DR223" i="27" a="1"/>
  <c r="DR223" i="27" s="1"/>
  <c r="DR221" i="27" a="1"/>
  <c r="DR221" i="27" s="1"/>
  <c r="DR219" i="27" a="1"/>
  <c r="DR219" i="27" s="1"/>
  <c r="DR217" i="27" a="1"/>
  <c r="DR217" i="27" s="1"/>
  <c r="DR215" i="27" a="1"/>
  <c r="DR215" i="27" s="1"/>
  <c r="DR213" i="27" a="1"/>
  <c r="DR213" i="27" s="1"/>
  <c r="DR211" i="27" a="1"/>
  <c r="DR211" i="27" s="1"/>
  <c r="DR209" i="27" a="1"/>
  <c r="DR209" i="27" s="1"/>
  <c r="DR207" i="27" a="1"/>
  <c r="DR207" i="27" s="1"/>
  <c r="DR205" i="27" a="1"/>
  <c r="DR205" i="27" s="1"/>
  <c r="DR203" i="27" a="1"/>
  <c r="DR203" i="27" s="1"/>
  <c r="DR201" i="27" a="1"/>
  <c r="DR201" i="27" s="1"/>
  <c r="DR199" i="27" a="1"/>
  <c r="DR199" i="27" s="1"/>
  <c r="DR197" i="27" a="1"/>
  <c r="DR197" i="27" s="1"/>
  <c r="DR195" i="27" a="1"/>
  <c r="DR195" i="27" s="1"/>
  <c r="DR193" i="27" a="1"/>
  <c r="DR193" i="27" s="1"/>
  <c r="DR188" i="27" a="1"/>
  <c r="DR188" i="27" s="1"/>
  <c r="DR186" i="27" a="1"/>
  <c r="DR186" i="27" s="1"/>
  <c r="DR184" i="27" a="1"/>
  <c r="DR184" i="27" s="1"/>
  <c r="DR182" i="27" a="1"/>
  <c r="DR182" i="27" s="1"/>
  <c r="DR180" i="27" a="1"/>
  <c r="DR180" i="27" s="1"/>
  <c r="DR178" i="27" a="1"/>
  <c r="DR178" i="27" s="1"/>
  <c r="DR176" i="27" a="1"/>
  <c r="DR176" i="27" s="1"/>
  <c r="DQ193" i="27" a="1"/>
  <c r="DQ193" i="27" s="1"/>
  <c r="DP188" i="27" a="1"/>
  <c r="DP188" i="27" s="1"/>
  <c r="DO186" i="27" a="1"/>
  <c r="DO186" i="27" s="1"/>
  <c r="DR183" i="27" a="1"/>
  <c r="DR183" i="27" s="1"/>
  <c r="DQ181" i="27" a="1"/>
  <c r="DQ181" i="27" s="1"/>
  <c r="DP179" i="27" a="1"/>
  <c r="DP179" i="27" s="1"/>
  <c r="DO177" i="27" a="1"/>
  <c r="DO177" i="27" s="1"/>
  <c r="DR174" i="27" a="1"/>
  <c r="DR174" i="27" s="1"/>
  <c r="DR172" i="27" a="1"/>
  <c r="DR172" i="27" s="1"/>
  <c r="DR170" i="27" a="1"/>
  <c r="DR170" i="27" s="1"/>
  <c r="DR168" i="27" a="1"/>
  <c r="DR168" i="27" s="1"/>
  <c r="DR166" i="27" a="1"/>
  <c r="DR166" i="27" s="1"/>
  <c r="DR164" i="27" a="1"/>
  <c r="DR164" i="27" s="1"/>
  <c r="DR162" i="27" a="1"/>
  <c r="DR162" i="27" s="1"/>
  <c r="DR160" i="27" a="1"/>
  <c r="DR160" i="27" s="1"/>
  <c r="DR158" i="27" a="1"/>
  <c r="DR158" i="27" s="1"/>
  <c r="DR156" i="27" a="1"/>
  <c r="DR156" i="27" s="1"/>
  <c r="DR154" i="27" a="1"/>
  <c r="DR154" i="27" s="1"/>
  <c r="DR152" i="27" a="1"/>
  <c r="DR152" i="27" s="1"/>
  <c r="DR150" i="27" a="1"/>
  <c r="DR150" i="27" s="1"/>
  <c r="DO229" i="27" a="1"/>
  <c r="DO229" i="27" s="1"/>
  <c r="DO225" i="27" a="1"/>
  <c r="DO225" i="27" s="1"/>
  <c r="DO221" i="27" a="1"/>
  <c r="DO221" i="27" s="1"/>
  <c r="DO217" i="27" a="1"/>
  <c r="DO217" i="27" s="1"/>
  <c r="DO213" i="27" a="1"/>
  <c r="DO213" i="27" s="1"/>
  <c r="DO209" i="27" a="1"/>
  <c r="DO209" i="27" s="1"/>
  <c r="DO205" i="27" a="1"/>
  <c r="DO205" i="27" s="1"/>
  <c r="DO201" i="27" a="1"/>
  <c r="DO201" i="27" s="1"/>
  <c r="DO197" i="27" a="1"/>
  <c r="DO197" i="27" s="1"/>
  <c r="DO188" i="27" a="1"/>
  <c r="DO188" i="27" s="1"/>
  <c r="DR185" i="27" a="1"/>
  <c r="DR185" i="27" s="1"/>
  <c r="DQ183" i="27" a="1"/>
  <c r="DQ183" i="27" s="1"/>
  <c r="DP181" i="27" a="1"/>
  <c r="DP181" i="27" s="1"/>
  <c r="DO179" i="27" a="1"/>
  <c r="DO179" i="27" s="1"/>
  <c r="DQ176" i="27" a="1"/>
  <c r="DQ176" i="27" s="1"/>
  <c r="DQ174" i="27" a="1"/>
  <c r="DQ174" i="27" s="1"/>
  <c r="DQ172" i="27" a="1"/>
  <c r="DQ172" i="27" s="1"/>
  <c r="DQ170" i="27" a="1"/>
  <c r="DQ170" i="27" s="1"/>
  <c r="DQ168" i="27" a="1"/>
  <c r="DQ168" i="27" s="1"/>
  <c r="DQ166" i="27" a="1"/>
  <c r="DQ166" i="27" s="1"/>
  <c r="DQ164" i="27" a="1"/>
  <c r="DQ164" i="27" s="1"/>
  <c r="DQ162" i="27" a="1"/>
  <c r="DQ162" i="27" s="1"/>
  <c r="DQ160" i="27" a="1"/>
  <c r="DQ160" i="27" s="1"/>
  <c r="DQ158" i="27" a="1"/>
  <c r="DQ158" i="27" s="1"/>
  <c r="DQ156" i="27" a="1"/>
  <c r="DQ156" i="27" s="1"/>
  <c r="DQ154" i="27" a="1"/>
  <c r="DQ154" i="27" s="1"/>
  <c r="DQ152" i="27" a="1"/>
  <c r="DQ152" i="27" s="1"/>
  <c r="DP150" i="27" a="1"/>
  <c r="DP150" i="27" s="1"/>
  <c r="DR228" i="27" a="1"/>
  <c r="DR228" i="27" s="1"/>
  <c r="DR224" i="27" a="1"/>
  <c r="DR224" i="27" s="1"/>
  <c r="DR220" i="27" a="1"/>
  <c r="DR220" i="27" s="1"/>
  <c r="DR216" i="27" a="1"/>
  <c r="DR216" i="27" s="1"/>
  <c r="DR212" i="27" a="1"/>
  <c r="DR212" i="27" s="1"/>
  <c r="DR208" i="27" a="1"/>
  <c r="DR208" i="27" s="1"/>
  <c r="DR204" i="27" a="1"/>
  <c r="DR204" i="27" s="1"/>
  <c r="DR200" i="27" a="1"/>
  <c r="DR200" i="27" s="1"/>
  <c r="DR196" i="27" a="1"/>
  <c r="DR196" i="27" s="1"/>
  <c r="DO193" i="27" a="1"/>
  <c r="DO193" i="27" s="1"/>
  <c r="DR187" i="27" a="1"/>
  <c r="DR187" i="27" s="1"/>
  <c r="DQ185" i="27" a="1"/>
  <c r="DQ185" i="27" s="1"/>
  <c r="DP183" i="27" a="1"/>
  <c r="DP183" i="27" s="1"/>
  <c r="DO181" i="27" a="1"/>
  <c r="DO181" i="27" s="1"/>
  <c r="DQ178" i="27" a="1"/>
  <c r="DQ178" i="27" s="1"/>
  <c r="DP176" i="27" a="1"/>
  <c r="DP176" i="27" s="1"/>
  <c r="DP174" i="27" a="1"/>
  <c r="DP174" i="27" s="1"/>
  <c r="DP172" i="27" a="1"/>
  <c r="DP172" i="27" s="1"/>
  <c r="DP170" i="27" a="1"/>
  <c r="DP170" i="27" s="1"/>
  <c r="DP168" i="27" a="1"/>
  <c r="DP168" i="27" s="1"/>
  <c r="DP166" i="27" a="1"/>
  <c r="DP166" i="27" s="1"/>
  <c r="DP164" i="27" a="1"/>
  <c r="DP164" i="27" s="1"/>
  <c r="DP162" i="27" a="1"/>
  <c r="DP162" i="27" s="1"/>
  <c r="DP160" i="27" a="1"/>
  <c r="DP160" i="27" s="1"/>
  <c r="DP158" i="27" a="1"/>
  <c r="DP158" i="27" s="1"/>
  <c r="DP156" i="27" a="1"/>
  <c r="DP156" i="27" s="1"/>
  <c r="DP154" i="27" a="1"/>
  <c r="DP154" i="27" s="1"/>
  <c r="DP152" i="27" a="1"/>
  <c r="DP152" i="27" s="1"/>
  <c r="DQ150" i="27" a="1"/>
  <c r="DQ150" i="27" s="1"/>
  <c r="DQ227" i="27" a="1"/>
  <c r="DQ227" i="27" s="1"/>
  <c r="DQ223" i="27" a="1"/>
  <c r="DQ223" i="27" s="1"/>
  <c r="DQ219" i="27" a="1"/>
  <c r="DQ219" i="27" s="1"/>
  <c r="DQ215" i="27" a="1"/>
  <c r="DQ215" i="27" s="1"/>
  <c r="DQ211" i="27" a="1"/>
  <c r="DQ211" i="27" s="1"/>
  <c r="DQ207" i="27" a="1"/>
  <c r="DQ207" i="27" s="1"/>
  <c r="DQ203" i="27" a="1"/>
  <c r="DQ203" i="27" s="1"/>
  <c r="DQ199" i="27" a="1"/>
  <c r="DQ199" i="27" s="1"/>
  <c r="DQ195" i="27" a="1"/>
  <c r="DQ195" i="27" s="1"/>
  <c r="DR192" i="27" a="1"/>
  <c r="DR192" i="27" s="1"/>
  <c r="DQ187" i="27" a="1"/>
  <c r="DQ187" i="27" s="1"/>
  <c r="DP185" i="27" a="1"/>
  <c r="DP185" i="27" s="1"/>
  <c r="DO183" i="27" a="1"/>
  <c r="DO183" i="27" s="1"/>
  <c r="DQ180" i="27" a="1"/>
  <c r="DQ180" i="27" s="1"/>
  <c r="DP178" i="27" a="1"/>
  <c r="DP178" i="27" s="1"/>
  <c r="DO176" i="27" a="1"/>
  <c r="DO176" i="27" s="1"/>
  <c r="DO174" i="27" a="1"/>
  <c r="DO174" i="27" s="1"/>
  <c r="DO172" i="27" a="1"/>
  <c r="DO172" i="27" s="1"/>
  <c r="DO170" i="27" a="1"/>
  <c r="DO170" i="27" s="1"/>
  <c r="DO168" i="27" a="1"/>
  <c r="DO168" i="27" s="1"/>
  <c r="DO166" i="27" a="1"/>
  <c r="DO166" i="27" s="1"/>
  <c r="DO164" i="27" a="1"/>
  <c r="DO164" i="27" s="1"/>
  <c r="DO162" i="27" a="1"/>
  <c r="DO162" i="27" s="1"/>
  <c r="DO160" i="27" a="1"/>
  <c r="DO160" i="27" s="1"/>
  <c r="DO158" i="27" a="1"/>
  <c r="DO158" i="27" s="1"/>
  <c r="DO156" i="27" a="1"/>
  <c r="DO156" i="27" s="1"/>
  <c r="DO154" i="27" a="1"/>
  <c r="DO154" i="27" s="1"/>
  <c r="DO152" i="27" a="1"/>
  <c r="DO152" i="27" s="1"/>
  <c r="DO150" i="27" a="1"/>
  <c r="DO150" i="27" s="1"/>
  <c r="DO223" i="27" a="1"/>
  <c r="DO223" i="27" s="1"/>
  <c r="DO215" i="27" a="1"/>
  <c r="DO215" i="27" s="1"/>
  <c r="DO207" i="27" a="1"/>
  <c r="DO207" i="27" s="1"/>
  <c r="DO199" i="27" a="1"/>
  <c r="DO199" i="27" s="1"/>
  <c r="DQ184" i="27" a="1"/>
  <c r="DQ184" i="27" s="1"/>
  <c r="DO180" i="27" a="1"/>
  <c r="DO180" i="27" s="1"/>
  <c r="DQ175" i="27" a="1"/>
  <c r="DQ175" i="27" s="1"/>
  <c r="DQ171" i="27" a="1"/>
  <c r="DQ171" i="27" s="1"/>
  <c r="DQ167" i="27" a="1"/>
  <c r="DQ167" i="27" s="1"/>
  <c r="DQ163" i="27" a="1"/>
  <c r="DQ163" i="27" s="1"/>
  <c r="DQ159" i="27" a="1"/>
  <c r="DQ159" i="27" s="1"/>
  <c r="DQ155" i="27" a="1"/>
  <c r="DQ155" i="27" s="1"/>
  <c r="DQ151" i="27" a="1"/>
  <c r="DQ151" i="27" s="1"/>
  <c r="DR230" i="27" a="1"/>
  <c r="DR230" i="27" s="1"/>
  <c r="DR222" i="27" a="1"/>
  <c r="DR222" i="27" s="1"/>
  <c r="DR214" i="27" a="1"/>
  <c r="DR214" i="27" s="1"/>
  <c r="DR206" i="27" a="1"/>
  <c r="DR206" i="27" s="1"/>
  <c r="DR198" i="27" a="1"/>
  <c r="DR198" i="27" s="1"/>
  <c r="DO192" i="27" a="1"/>
  <c r="DO192" i="27" s="1"/>
  <c r="DP184" i="27" a="1"/>
  <c r="DP184" i="27" s="1"/>
  <c r="DR179" i="27" a="1"/>
  <c r="DR179" i="27" s="1"/>
  <c r="DP175" i="27" a="1"/>
  <c r="DP175" i="27" s="1"/>
  <c r="DP171" i="27" a="1"/>
  <c r="DP171" i="27" s="1"/>
  <c r="DP167" i="27" a="1"/>
  <c r="DP167" i="27" s="1"/>
  <c r="DP163" i="27" a="1"/>
  <c r="DP163" i="27" s="1"/>
  <c r="DP159" i="27" a="1"/>
  <c r="DP159" i="27" s="1"/>
  <c r="DP155" i="27" a="1"/>
  <c r="DP155" i="27" s="1"/>
  <c r="DP151" i="27" a="1"/>
  <c r="DP151" i="27" s="1"/>
  <c r="DQ229" i="27" a="1"/>
  <c r="DQ229" i="27" s="1"/>
  <c r="DQ221" i="27" a="1"/>
  <c r="DQ221" i="27" s="1"/>
  <c r="DQ213" i="27" a="1"/>
  <c r="DQ213" i="27" s="1"/>
  <c r="DQ205" i="27" a="1"/>
  <c r="DQ205" i="27" s="1"/>
  <c r="DQ197" i="27" a="1"/>
  <c r="DQ197" i="27" s="1"/>
  <c r="DQ188" i="27" a="1"/>
  <c r="DQ188" i="27" s="1"/>
  <c r="DO184" i="27" a="1"/>
  <c r="DO184" i="27" s="1"/>
  <c r="DQ179" i="27" a="1"/>
  <c r="DQ179" i="27" s="1"/>
  <c r="DO175" i="27" a="1"/>
  <c r="DO175" i="27" s="1"/>
  <c r="DO171" i="27" a="1"/>
  <c r="DO171" i="27" s="1"/>
  <c r="DO167" i="27" a="1"/>
  <c r="DO167" i="27" s="1"/>
  <c r="DO163" i="27" a="1"/>
  <c r="DO163" i="27" s="1"/>
  <c r="DO159" i="27" a="1"/>
  <c r="DO159" i="27" s="1"/>
  <c r="DO155" i="27" a="1"/>
  <c r="DO155" i="27" s="1"/>
  <c r="DO151" i="27" a="1"/>
  <c r="DO151" i="27" s="1"/>
  <c r="DO227" i="27" a="1"/>
  <c r="DO227" i="27" s="1"/>
  <c r="DO219" i="27" a="1"/>
  <c r="DO219" i="27" s="1"/>
  <c r="DO211" i="27" a="1"/>
  <c r="DO211" i="27" s="1"/>
  <c r="DO203" i="27" a="1"/>
  <c r="DO203" i="27" s="1"/>
  <c r="DO195" i="27" a="1"/>
  <c r="DO195" i="27" s="1"/>
  <c r="DO187" i="27" a="1"/>
  <c r="DO187" i="27" s="1"/>
  <c r="DP182" i="27" a="1"/>
  <c r="DP182" i="27" s="1"/>
  <c r="DR177" i="27" a="1"/>
  <c r="DR177" i="27" s="1"/>
  <c r="DQ173" i="27" a="1"/>
  <c r="DQ173" i="27" s="1"/>
  <c r="DQ169" i="27" a="1"/>
  <c r="DQ169" i="27" s="1"/>
  <c r="DQ165" i="27" a="1"/>
  <c r="DQ165" i="27" s="1"/>
  <c r="DQ161" i="27" a="1"/>
  <c r="DQ161" i="27" s="1"/>
  <c r="DQ157" i="27" a="1"/>
  <c r="DQ157" i="27" s="1"/>
  <c r="DQ153" i="27" a="1"/>
  <c r="DQ153" i="27" s="1"/>
  <c r="DR226" i="27" a="1"/>
  <c r="DR226" i="27" s="1"/>
  <c r="DR210" i="27" a="1"/>
  <c r="DR210" i="27" s="1"/>
  <c r="DR194" i="27" a="1"/>
  <c r="DR194" i="27" s="1"/>
  <c r="DO182" i="27" a="1"/>
  <c r="DO182" i="27" s="1"/>
  <c r="DP173" i="27" a="1"/>
  <c r="DP173" i="27" s="1"/>
  <c r="DP165" i="27" a="1"/>
  <c r="DP165" i="27" s="1"/>
  <c r="DP157" i="27" a="1"/>
  <c r="DP157" i="27" s="1"/>
  <c r="DP180" i="27" a="1"/>
  <c r="DP180" i="27" s="1"/>
  <c r="DR155" i="27" a="1"/>
  <c r="DR155" i="27" s="1"/>
  <c r="DQ225" i="27" a="1"/>
  <c r="DQ225" i="27" s="1"/>
  <c r="DQ209" i="27" a="1"/>
  <c r="DQ209" i="27" s="1"/>
  <c r="DR181" i="27" a="1"/>
  <c r="DR181" i="27" s="1"/>
  <c r="DO173" i="27" a="1"/>
  <c r="DO173" i="27" s="1"/>
  <c r="DO165" i="27" a="1"/>
  <c r="DO165" i="27" s="1"/>
  <c r="DO157" i="27" a="1"/>
  <c r="DO157" i="27" s="1"/>
  <c r="DR171" i="27" a="1"/>
  <c r="DR171" i="27" s="1"/>
  <c r="DR218" i="27" a="1"/>
  <c r="DR218" i="27" s="1"/>
  <c r="DR202" i="27" a="1"/>
  <c r="DR202" i="27" s="1"/>
  <c r="DQ186" i="27" a="1"/>
  <c r="DQ186" i="27" s="1"/>
  <c r="DQ177" i="27" a="1"/>
  <c r="DQ177" i="27" s="1"/>
  <c r="DP169" i="27" a="1"/>
  <c r="DP169" i="27" s="1"/>
  <c r="DP161" i="27" a="1"/>
  <c r="DP161" i="27" s="1"/>
  <c r="DP153" i="27" a="1"/>
  <c r="DP153" i="27" s="1"/>
  <c r="DQ217" i="27" a="1"/>
  <c r="DQ217" i="27" s="1"/>
  <c r="DQ201" i="27" a="1"/>
  <c r="DQ201" i="27" s="1"/>
  <c r="DP186" i="27" a="1"/>
  <c r="DP186" i="27" s="1"/>
  <c r="DP177" i="27" a="1"/>
  <c r="DP177" i="27" s="1"/>
  <c r="DO169" i="27" a="1"/>
  <c r="DO169" i="27" s="1"/>
  <c r="DO161" i="27" a="1"/>
  <c r="DO161" i="27" s="1"/>
  <c r="DO153" i="27" a="1"/>
  <c r="DO153" i="27" s="1"/>
  <c r="DQ182" i="27" a="1"/>
  <c r="DQ182" i="27" s="1"/>
  <c r="DR173" i="27" a="1"/>
  <c r="DR173" i="27" s="1"/>
  <c r="DR165" i="27" a="1"/>
  <c r="DR165" i="27" s="1"/>
  <c r="DR157" i="27" a="1"/>
  <c r="DR157" i="27" s="1"/>
  <c r="DQ192" i="27" a="1"/>
  <c r="DQ192" i="27" s="1"/>
  <c r="DR163" i="27" a="1"/>
  <c r="DR163" i="27" s="1"/>
  <c r="DO185" i="27" a="1"/>
  <c r="DO185" i="27" s="1"/>
  <c r="DR151" i="27" a="1"/>
  <c r="DR151" i="27" s="1"/>
  <c r="DO178" i="27" a="1"/>
  <c r="DO178" i="27" s="1"/>
  <c r="DR159" i="27" a="1"/>
  <c r="DR159" i="27" s="1"/>
  <c r="DR153" i="27" a="1"/>
  <c r="DR153" i="27" s="1"/>
  <c r="DR175" i="27" a="1"/>
  <c r="DR175" i="27" s="1"/>
  <c r="DR169" i="27" a="1"/>
  <c r="DR169" i="27" s="1"/>
  <c r="DR167" i="27" a="1"/>
  <c r="DR167" i="27" s="1"/>
  <c r="DR161" i="27" a="1"/>
  <c r="DR161" i="27" s="1"/>
  <c r="DP187" i="27" a="1"/>
  <c r="DP187" i="27" s="1"/>
  <c r="EO131" i="27" a="1"/>
  <c r="EO131" i="27" s="1"/>
  <c r="EP128" i="27" a="1"/>
  <c r="EP128" i="27" s="1"/>
  <c r="EQ125" i="27" a="1"/>
  <c r="EQ125" i="27" s="1"/>
  <c r="EO123" i="27" a="1"/>
  <c r="EO123" i="27" s="1"/>
  <c r="EP120" i="27" a="1"/>
  <c r="EP120" i="27" s="1"/>
  <c r="EQ117" i="27" a="1"/>
  <c r="EQ117" i="27" s="1"/>
  <c r="EO115" i="27" a="1"/>
  <c r="EO115" i="27" s="1"/>
  <c r="EP112" i="27" a="1"/>
  <c r="EP112" i="27" s="1"/>
  <c r="EQ109" i="27" a="1"/>
  <c r="EQ109" i="27" s="1"/>
  <c r="EO107" i="27" a="1"/>
  <c r="EO107" i="27" s="1"/>
  <c r="EP104" i="27" a="1"/>
  <c r="EP104" i="27" s="1"/>
  <c r="EQ101" i="27" a="1"/>
  <c r="EQ101" i="27" s="1"/>
  <c r="EO99" i="27" a="1"/>
  <c r="EO99" i="27" s="1"/>
  <c r="EP96" i="27" a="1"/>
  <c r="EP96" i="27" s="1"/>
  <c r="EQ90" i="27" a="1"/>
  <c r="EQ90" i="27" s="1"/>
  <c r="EO88" i="27" a="1"/>
  <c r="EO88" i="27" s="1"/>
  <c r="EP85" i="27" a="1"/>
  <c r="EP85" i="27" s="1"/>
  <c r="EQ82" i="27" a="1"/>
  <c r="EQ82" i="27" s="1"/>
  <c r="EO80" i="27" a="1"/>
  <c r="EO80" i="27" s="1"/>
  <c r="EP77" i="27" a="1"/>
  <c r="EP77" i="27" s="1"/>
  <c r="EQ74" i="27" a="1"/>
  <c r="EQ74" i="27" s="1"/>
  <c r="EO72" i="27" a="1"/>
  <c r="EO72" i="27" s="1"/>
  <c r="EP69" i="27" a="1"/>
  <c r="EP69" i="27" s="1"/>
  <c r="EQ66" i="27" a="1"/>
  <c r="EQ66" i="27" s="1"/>
  <c r="EO64" i="27" a="1"/>
  <c r="EO64" i="27" s="1"/>
  <c r="EP61" i="27" a="1"/>
  <c r="EP61" i="27" s="1"/>
  <c r="EQ58" i="27" a="1"/>
  <c r="EQ58" i="27" s="1"/>
  <c r="EO56" i="27" a="1"/>
  <c r="EO56" i="27" s="1"/>
  <c r="EP53" i="27" a="1"/>
  <c r="EP53" i="27" s="1"/>
  <c r="EJ132" i="27" a="1"/>
  <c r="EJ132" i="27" s="1"/>
  <c r="EH130" i="27" a="1"/>
  <c r="EH130" i="27" s="1"/>
  <c r="EI127" i="27" a="1"/>
  <c r="EI127" i="27" s="1"/>
  <c r="EJ124" i="27" a="1"/>
  <c r="EJ124" i="27" s="1"/>
  <c r="EH122" i="27" a="1"/>
  <c r="EH122" i="27" s="1"/>
  <c r="EI119" i="27" a="1"/>
  <c r="EI119" i="27" s="1"/>
  <c r="EJ116" i="27" a="1"/>
  <c r="EJ116" i="27" s="1"/>
  <c r="EH114" i="27" a="1"/>
  <c r="EH114" i="27" s="1"/>
  <c r="EI111" i="27" a="1"/>
  <c r="EI111" i="27" s="1"/>
  <c r="EJ108" i="27" a="1"/>
  <c r="EJ108" i="27" s="1"/>
  <c r="EH106" i="27" a="1"/>
  <c r="EH106" i="27" s="1"/>
  <c r="EI103" i="27" a="1"/>
  <c r="EI103" i="27" s="1"/>
  <c r="EJ100" i="27" a="1"/>
  <c r="EJ100" i="27" s="1"/>
  <c r="EH98" i="27" a="1"/>
  <c r="EH98" i="27" s="1"/>
  <c r="EI95" i="27" a="1"/>
  <c r="EI95" i="27" s="1"/>
  <c r="EJ89" i="27" a="1"/>
  <c r="EJ89" i="27" s="1"/>
  <c r="EH87" i="27" a="1"/>
  <c r="EH87" i="27" s="1"/>
  <c r="EI84" i="27" a="1"/>
  <c r="EI84" i="27" s="1"/>
  <c r="EJ81" i="27" a="1"/>
  <c r="EJ81" i="27" s="1"/>
  <c r="EH79" i="27" a="1"/>
  <c r="EH79" i="27" s="1"/>
  <c r="EI76" i="27" a="1"/>
  <c r="EI76" i="27" s="1"/>
  <c r="EJ73" i="27" a="1"/>
  <c r="EJ73" i="27" s="1"/>
  <c r="EH71" i="27" a="1"/>
  <c r="EH71" i="27" s="1"/>
  <c r="EI68" i="27" a="1"/>
  <c r="EI68" i="27" s="1"/>
  <c r="EJ65" i="27" a="1"/>
  <c r="EJ65" i="27" s="1"/>
  <c r="EH63" i="27" a="1"/>
  <c r="EH63" i="27" s="1"/>
  <c r="EI60" i="27" a="1"/>
  <c r="EI60" i="27" s="1"/>
  <c r="EJ57" i="27" a="1"/>
  <c r="EJ57" i="27" s="1"/>
  <c r="EH55" i="27" a="1"/>
  <c r="EH55" i="27" s="1"/>
  <c r="EQ130" i="27" a="1"/>
  <c r="EQ130" i="27" s="1"/>
  <c r="EO128" i="27" a="1"/>
  <c r="EO128" i="27" s="1"/>
  <c r="EP125" i="27" a="1"/>
  <c r="EP125" i="27" s="1"/>
  <c r="EQ122" i="27" a="1"/>
  <c r="EQ122" i="27" s="1"/>
  <c r="EO120" i="27" a="1"/>
  <c r="EO120" i="27" s="1"/>
  <c r="EP117" i="27" a="1"/>
  <c r="EP117" i="27" s="1"/>
  <c r="EQ114" i="27" a="1"/>
  <c r="EQ114" i="27" s="1"/>
  <c r="EO112" i="27" a="1"/>
  <c r="EO112" i="27" s="1"/>
  <c r="EP109" i="27" a="1"/>
  <c r="EP109" i="27" s="1"/>
  <c r="EQ106" i="27" a="1"/>
  <c r="EQ106" i="27" s="1"/>
  <c r="EO104" i="27" a="1"/>
  <c r="EO104" i="27" s="1"/>
  <c r="EP101" i="27" a="1"/>
  <c r="EP101" i="27" s="1"/>
  <c r="EQ98" i="27" a="1"/>
  <c r="EQ98" i="27" s="1"/>
  <c r="EO96" i="27" a="1"/>
  <c r="EO96" i="27" s="1"/>
  <c r="EP90" i="27" a="1"/>
  <c r="EP90" i="27" s="1"/>
  <c r="EQ87" i="27" a="1"/>
  <c r="EQ87" i="27" s="1"/>
  <c r="EO85" i="27" a="1"/>
  <c r="EO85" i="27" s="1"/>
  <c r="EP82" i="27" a="1"/>
  <c r="EP82" i="27" s="1"/>
  <c r="EQ79" i="27" a="1"/>
  <c r="EQ79" i="27" s="1"/>
  <c r="EO77" i="27" a="1"/>
  <c r="EO77" i="27" s="1"/>
  <c r="EP74" i="27" a="1"/>
  <c r="EP74" i="27" s="1"/>
  <c r="EQ71" i="27" a="1"/>
  <c r="EQ71" i="27" s="1"/>
  <c r="EO69" i="27" a="1"/>
  <c r="EO69" i="27" s="1"/>
  <c r="EP66" i="27" a="1"/>
  <c r="EP66" i="27" s="1"/>
  <c r="EQ63" i="27" a="1"/>
  <c r="EQ63" i="27" s="1"/>
  <c r="EO61" i="27" a="1"/>
  <c r="EO61" i="27" s="1"/>
  <c r="EP58" i="27" a="1"/>
  <c r="EP58" i="27" s="1"/>
  <c r="EQ55" i="27" a="1"/>
  <c r="EQ55" i="27" s="1"/>
  <c r="EO53" i="27" a="1"/>
  <c r="EO53" i="27" s="1"/>
  <c r="EI132" i="27" a="1"/>
  <c r="EI132" i="27" s="1"/>
  <c r="EJ129" i="27" a="1"/>
  <c r="EJ129" i="27" s="1"/>
  <c r="EH127" i="27" a="1"/>
  <c r="EH127" i="27" s="1"/>
  <c r="EI124" i="27" a="1"/>
  <c r="EI124" i="27" s="1"/>
  <c r="EJ121" i="27" a="1"/>
  <c r="EJ121" i="27" s="1"/>
  <c r="EH119" i="27" a="1"/>
  <c r="EH119" i="27" s="1"/>
  <c r="EI116" i="27" a="1"/>
  <c r="EI116" i="27" s="1"/>
  <c r="EJ113" i="27" a="1"/>
  <c r="EJ113" i="27" s="1"/>
  <c r="EH111" i="27" a="1"/>
  <c r="EH111" i="27" s="1"/>
  <c r="EI108" i="27" a="1"/>
  <c r="EI108" i="27" s="1"/>
  <c r="EJ105" i="27" a="1"/>
  <c r="EJ105" i="27" s="1"/>
  <c r="EH103" i="27" a="1"/>
  <c r="EH103" i="27" s="1"/>
  <c r="EI100" i="27" a="1"/>
  <c r="EI100" i="27" s="1"/>
  <c r="EJ97" i="27" a="1"/>
  <c r="EJ97" i="27" s="1"/>
  <c r="EH95" i="27" a="1"/>
  <c r="EH95" i="27" s="1"/>
  <c r="EI89" i="27" a="1"/>
  <c r="EI89" i="27" s="1"/>
  <c r="EJ86" i="27" a="1"/>
  <c r="EJ86" i="27" s="1"/>
  <c r="EH84" i="27" a="1"/>
  <c r="EH84" i="27" s="1"/>
  <c r="EI81" i="27" a="1"/>
  <c r="EI81" i="27" s="1"/>
  <c r="EJ78" i="27" a="1"/>
  <c r="EJ78" i="27" s="1"/>
  <c r="EH76" i="27" a="1"/>
  <c r="EH76" i="27" s="1"/>
  <c r="EI73" i="27" a="1"/>
  <c r="EI73" i="27" s="1"/>
  <c r="EJ70" i="27" a="1"/>
  <c r="EJ70" i="27" s="1"/>
  <c r="EH68" i="27" a="1"/>
  <c r="EH68" i="27" s="1"/>
  <c r="EI65" i="27" a="1"/>
  <c r="EI65" i="27" s="1"/>
  <c r="EJ62" i="27" a="1"/>
  <c r="EJ62" i="27" s="1"/>
  <c r="EH60" i="27" a="1"/>
  <c r="EH60" i="27" s="1"/>
  <c r="EI57" i="27" a="1"/>
  <c r="EI57" i="27" s="1"/>
  <c r="EJ54" i="27" a="1"/>
  <c r="EJ54" i="27" s="1"/>
  <c r="EP130" i="27" a="1"/>
  <c r="EP130" i="27" s="1"/>
  <c r="EQ127" i="27" a="1"/>
  <c r="EQ127" i="27" s="1"/>
  <c r="EO125" i="27" a="1"/>
  <c r="EO125" i="27" s="1"/>
  <c r="EP122" i="27" a="1"/>
  <c r="EP122" i="27" s="1"/>
  <c r="EQ119" i="27" a="1"/>
  <c r="EQ119" i="27" s="1"/>
  <c r="EO117" i="27" a="1"/>
  <c r="EO117" i="27" s="1"/>
  <c r="EP114" i="27" a="1"/>
  <c r="EP114" i="27" s="1"/>
  <c r="EQ111" i="27" a="1"/>
  <c r="EQ111" i="27" s="1"/>
  <c r="EO109" i="27" a="1"/>
  <c r="EO109" i="27" s="1"/>
  <c r="EP106" i="27" a="1"/>
  <c r="EP106" i="27" s="1"/>
  <c r="EQ103" i="27" a="1"/>
  <c r="EQ103" i="27" s="1"/>
  <c r="EO101" i="27" a="1"/>
  <c r="EO101" i="27" s="1"/>
  <c r="EP98" i="27" a="1"/>
  <c r="EP98" i="27" s="1"/>
  <c r="EQ95" i="27" a="1"/>
  <c r="EQ95" i="27" s="1"/>
  <c r="EO90" i="27" a="1"/>
  <c r="EO90" i="27" s="1"/>
  <c r="EP87" i="27" a="1"/>
  <c r="EP87" i="27" s="1"/>
  <c r="EQ84" i="27" a="1"/>
  <c r="EQ84" i="27" s="1"/>
  <c r="EO82" i="27" a="1"/>
  <c r="EO82" i="27" s="1"/>
  <c r="EP79" i="27" a="1"/>
  <c r="EP79" i="27" s="1"/>
  <c r="EQ76" i="27" a="1"/>
  <c r="EQ76" i="27" s="1"/>
  <c r="EO74" i="27" a="1"/>
  <c r="EO74" i="27" s="1"/>
  <c r="EP71" i="27" a="1"/>
  <c r="EP71" i="27" s="1"/>
  <c r="EQ68" i="27" a="1"/>
  <c r="EQ68" i="27" s="1"/>
  <c r="EO66" i="27" a="1"/>
  <c r="EO66" i="27" s="1"/>
  <c r="EP63" i="27" a="1"/>
  <c r="EP63" i="27" s="1"/>
  <c r="EQ60" i="27" a="1"/>
  <c r="EQ60" i="27" s="1"/>
  <c r="EO58" i="27" a="1"/>
  <c r="EO58" i="27" s="1"/>
  <c r="EP55" i="27" a="1"/>
  <c r="EP55" i="27" s="1"/>
  <c r="EQ52" i="27" a="1"/>
  <c r="EQ52" i="27" s="1"/>
  <c r="EH132" i="27" a="1"/>
  <c r="EH132" i="27" s="1"/>
  <c r="EI129" i="27" a="1"/>
  <c r="EI129" i="27" s="1"/>
  <c r="EJ126" i="27" a="1"/>
  <c r="EJ126" i="27" s="1"/>
  <c r="EH124" i="27" a="1"/>
  <c r="EH124" i="27" s="1"/>
  <c r="EI121" i="27" a="1"/>
  <c r="EI121" i="27" s="1"/>
  <c r="EJ118" i="27" a="1"/>
  <c r="EJ118" i="27" s="1"/>
  <c r="EH116" i="27" a="1"/>
  <c r="EH116" i="27" s="1"/>
  <c r="EI113" i="27" a="1"/>
  <c r="EI113" i="27" s="1"/>
  <c r="EJ110" i="27" a="1"/>
  <c r="EJ110" i="27" s="1"/>
  <c r="EH108" i="27" a="1"/>
  <c r="EH108" i="27" s="1"/>
  <c r="EI105" i="27" a="1"/>
  <c r="EI105" i="27" s="1"/>
  <c r="EJ102" i="27" a="1"/>
  <c r="EJ102" i="27" s="1"/>
  <c r="EH100" i="27" a="1"/>
  <c r="EH100" i="27" s="1"/>
  <c r="EI97" i="27" a="1"/>
  <c r="EI97" i="27" s="1"/>
  <c r="EJ91" i="27" a="1"/>
  <c r="EJ91" i="27" s="1"/>
  <c r="EH89" i="27" a="1"/>
  <c r="EH89" i="27" s="1"/>
  <c r="EI86" i="27" a="1"/>
  <c r="EI86" i="27" s="1"/>
  <c r="EJ83" i="27" a="1"/>
  <c r="EJ83" i="27" s="1"/>
  <c r="EH81" i="27" a="1"/>
  <c r="EH81" i="27" s="1"/>
  <c r="EI78" i="27" a="1"/>
  <c r="EI78" i="27" s="1"/>
  <c r="EJ75" i="27" a="1"/>
  <c r="EJ75" i="27" s="1"/>
  <c r="EH73" i="27" a="1"/>
  <c r="EH73" i="27" s="1"/>
  <c r="EI70" i="27" a="1"/>
  <c r="EI70" i="27" s="1"/>
  <c r="EJ67" i="27" a="1"/>
  <c r="EJ67" i="27" s="1"/>
  <c r="EH65" i="27" a="1"/>
  <c r="EH65" i="27" s="1"/>
  <c r="EI62" i="27" a="1"/>
  <c r="EI62" i="27" s="1"/>
  <c r="EJ59" i="27" a="1"/>
  <c r="EJ59" i="27" s="1"/>
  <c r="EH57" i="27" a="1"/>
  <c r="EH57" i="27" s="1"/>
  <c r="EI54" i="27" a="1"/>
  <c r="EI54" i="27" s="1"/>
  <c r="EQ132" i="27" a="1"/>
  <c r="EQ132" i="27" s="1"/>
  <c r="EO130" i="27" a="1"/>
  <c r="EO130" i="27" s="1"/>
  <c r="EP127" i="27" a="1"/>
  <c r="EP127" i="27" s="1"/>
  <c r="EQ124" i="27" a="1"/>
  <c r="EQ124" i="27" s="1"/>
  <c r="EO122" i="27" a="1"/>
  <c r="EO122" i="27" s="1"/>
  <c r="EP119" i="27" a="1"/>
  <c r="EP119" i="27" s="1"/>
  <c r="EQ116" i="27" a="1"/>
  <c r="EQ116" i="27" s="1"/>
  <c r="EO114" i="27" a="1"/>
  <c r="EO114" i="27" s="1"/>
  <c r="EP111" i="27" a="1"/>
  <c r="EP111" i="27" s="1"/>
  <c r="EQ108" i="27" a="1"/>
  <c r="EQ108" i="27" s="1"/>
  <c r="EO106" i="27" a="1"/>
  <c r="EO106" i="27" s="1"/>
  <c r="EP103" i="27" a="1"/>
  <c r="EP103" i="27" s="1"/>
  <c r="EQ100" i="27" a="1"/>
  <c r="EQ100" i="27" s="1"/>
  <c r="EO98" i="27" a="1"/>
  <c r="EO98" i="27" s="1"/>
  <c r="EP95" i="27" a="1"/>
  <c r="EP95" i="27" s="1"/>
  <c r="EQ89" i="27" a="1"/>
  <c r="EQ89" i="27" s="1"/>
  <c r="EO87" i="27" a="1"/>
  <c r="EO87" i="27" s="1"/>
  <c r="EP84" i="27" a="1"/>
  <c r="EP84" i="27" s="1"/>
  <c r="EQ81" i="27" a="1"/>
  <c r="EQ81" i="27" s="1"/>
  <c r="EO79" i="27" a="1"/>
  <c r="EO79" i="27" s="1"/>
  <c r="EP76" i="27" a="1"/>
  <c r="EP76" i="27" s="1"/>
  <c r="EQ73" i="27" a="1"/>
  <c r="EQ73" i="27" s="1"/>
  <c r="EO71" i="27" a="1"/>
  <c r="EO71" i="27" s="1"/>
  <c r="EP68" i="27" a="1"/>
  <c r="EP68" i="27" s="1"/>
  <c r="EQ65" i="27" a="1"/>
  <c r="EQ65" i="27" s="1"/>
  <c r="EO63" i="27" a="1"/>
  <c r="EO63" i="27" s="1"/>
  <c r="EP60" i="27" a="1"/>
  <c r="EP60" i="27" s="1"/>
  <c r="EQ57" i="27" a="1"/>
  <c r="EQ57" i="27" s="1"/>
  <c r="EO55" i="27" a="1"/>
  <c r="EO55" i="27" s="1"/>
  <c r="EP52" i="27" a="1"/>
  <c r="EP52" i="27" s="1"/>
  <c r="EJ131" i="27" a="1"/>
  <c r="EJ131" i="27" s="1"/>
  <c r="EH129" i="27" a="1"/>
  <c r="EH129" i="27" s="1"/>
  <c r="EI126" i="27" a="1"/>
  <c r="EI126" i="27" s="1"/>
  <c r="EJ123" i="27" a="1"/>
  <c r="EJ123" i="27" s="1"/>
  <c r="EH121" i="27" a="1"/>
  <c r="EH121" i="27" s="1"/>
  <c r="EI118" i="27" a="1"/>
  <c r="EI118" i="27" s="1"/>
  <c r="EJ115" i="27" a="1"/>
  <c r="EJ115" i="27" s="1"/>
  <c r="EH113" i="27" a="1"/>
  <c r="EH113" i="27" s="1"/>
  <c r="EI110" i="27" a="1"/>
  <c r="EI110" i="27" s="1"/>
  <c r="EJ107" i="27" a="1"/>
  <c r="EJ107" i="27" s="1"/>
  <c r="EH105" i="27" a="1"/>
  <c r="EH105" i="27" s="1"/>
  <c r="EI102" i="27" a="1"/>
  <c r="EI102" i="27" s="1"/>
  <c r="EJ99" i="27" a="1"/>
  <c r="EJ99" i="27" s="1"/>
  <c r="EH97" i="27" a="1"/>
  <c r="EH97" i="27" s="1"/>
  <c r="EI91" i="27" a="1"/>
  <c r="EI91" i="27" s="1"/>
  <c r="EJ88" i="27" a="1"/>
  <c r="EJ88" i="27" s="1"/>
  <c r="EH86" i="27" a="1"/>
  <c r="EH86" i="27" s="1"/>
  <c r="EI83" i="27" a="1"/>
  <c r="EI83" i="27" s="1"/>
  <c r="EJ80" i="27" a="1"/>
  <c r="EJ80" i="27" s="1"/>
  <c r="EH78" i="27" a="1"/>
  <c r="EH78" i="27" s="1"/>
  <c r="EI75" i="27" a="1"/>
  <c r="EI75" i="27" s="1"/>
  <c r="EJ72" i="27" a="1"/>
  <c r="EJ72" i="27" s="1"/>
  <c r="EH70" i="27" a="1"/>
  <c r="EH70" i="27" s="1"/>
  <c r="EI67" i="27" a="1"/>
  <c r="EI67" i="27" s="1"/>
  <c r="EJ64" i="27" a="1"/>
  <c r="EJ64" i="27" s="1"/>
  <c r="EH62" i="27" a="1"/>
  <c r="EH62" i="27" s="1"/>
  <c r="EI59" i="27" a="1"/>
  <c r="EI59" i="27" s="1"/>
  <c r="EJ56" i="27" a="1"/>
  <c r="EJ56" i="27" s="1"/>
  <c r="EH54" i="27" a="1"/>
  <c r="EH54" i="27" s="1"/>
  <c r="EP129" i="27" a="1"/>
  <c r="EP129" i="27" s="1"/>
  <c r="EO124" i="27" a="1"/>
  <c r="EO124" i="27" s="1"/>
  <c r="EQ118" i="27" a="1"/>
  <c r="EQ118" i="27" s="1"/>
  <c r="EP113" i="27" a="1"/>
  <c r="EP113" i="27" s="1"/>
  <c r="EO108" i="27" a="1"/>
  <c r="EO108" i="27" s="1"/>
  <c r="EQ102" i="27" a="1"/>
  <c r="EQ102" i="27" s="1"/>
  <c r="EP97" i="27" a="1"/>
  <c r="EP97" i="27" s="1"/>
  <c r="EO89" i="27" a="1"/>
  <c r="EO89" i="27" s="1"/>
  <c r="EQ83" i="27" a="1"/>
  <c r="EQ83" i="27" s="1"/>
  <c r="EP78" i="27" a="1"/>
  <c r="EP78" i="27" s="1"/>
  <c r="EO73" i="27" a="1"/>
  <c r="EO73" i="27" s="1"/>
  <c r="EQ67" i="27" a="1"/>
  <c r="EQ67" i="27" s="1"/>
  <c r="EP62" i="27" a="1"/>
  <c r="EP62" i="27" s="1"/>
  <c r="EO57" i="27" a="1"/>
  <c r="EO57" i="27" s="1"/>
  <c r="EJ133" i="27" a="1"/>
  <c r="EJ133" i="27" s="1"/>
  <c r="EI128" i="27" a="1"/>
  <c r="EI128" i="27" s="1"/>
  <c r="EH123" i="27" a="1"/>
  <c r="EH123" i="27" s="1"/>
  <c r="EJ117" i="27" a="1"/>
  <c r="EJ117" i="27" s="1"/>
  <c r="EI112" i="27" a="1"/>
  <c r="EI112" i="27" s="1"/>
  <c r="EH107" i="27" a="1"/>
  <c r="EH107" i="27" s="1"/>
  <c r="EJ101" i="27" a="1"/>
  <c r="EJ101" i="27" s="1"/>
  <c r="EI96" i="27" a="1"/>
  <c r="EI96" i="27" s="1"/>
  <c r="EH88" i="27" a="1"/>
  <c r="EH88" i="27" s="1"/>
  <c r="EJ82" i="27" a="1"/>
  <c r="EJ82" i="27" s="1"/>
  <c r="EI77" i="27" a="1"/>
  <c r="EI77" i="27" s="1"/>
  <c r="EH72" i="27" a="1"/>
  <c r="EH72" i="27" s="1"/>
  <c r="EJ66" i="27" a="1"/>
  <c r="EJ66" i="27" s="1"/>
  <c r="EI61" i="27" a="1"/>
  <c r="EI61" i="27" s="1"/>
  <c r="EH56" i="27" a="1"/>
  <c r="EH56" i="27" s="1"/>
  <c r="DI127" i="27" a="1"/>
  <c r="DI127" i="27" s="1"/>
  <c r="DJ124" i="27" a="1"/>
  <c r="DJ124" i="27" s="1"/>
  <c r="DH122" i="27" a="1"/>
  <c r="DH122" i="27" s="1"/>
  <c r="DI119" i="27" a="1"/>
  <c r="DI119" i="27" s="1"/>
  <c r="DJ116" i="27" a="1"/>
  <c r="DJ116" i="27" s="1"/>
  <c r="DH114" i="27" a="1"/>
  <c r="DH114" i="27" s="1"/>
  <c r="DI111" i="27" a="1"/>
  <c r="DI111" i="27" s="1"/>
  <c r="DJ108" i="27" a="1"/>
  <c r="DJ108" i="27" s="1"/>
  <c r="DH106" i="27" a="1"/>
  <c r="DH106" i="27" s="1"/>
  <c r="DI103" i="27" a="1"/>
  <c r="DI103" i="27" s="1"/>
  <c r="DJ100" i="27" a="1"/>
  <c r="DJ100" i="27" s="1"/>
  <c r="DH98" i="27" a="1"/>
  <c r="DH98" i="27" s="1"/>
  <c r="DI95" i="27" a="1"/>
  <c r="DI95" i="27" s="1"/>
  <c r="DJ92" i="27" a="1"/>
  <c r="DJ92" i="27" s="1"/>
  <c r="DH90" i="27" a="1"/>
  <c r="DH90" i="27" s="1"/>
  <c r="DI84" i="27" a="1"/>
  <c r="DI84" i="27" s="1"/>
  <c r="DJ81" i="27" a="1"/>
  <c r="DJ81" i="27" s="1"/>
  <c r="DH79" i="27" a="1"/>
  <c r="DH79" i="27" s="1"/>
  <c r="DI76" i="27" a="1"/>
  <c r="DI76" i="27" s="1"/>
  <c r="DJ73" i="27" a="1"/>
  <c r="DJ73" i="27" s="1"/>
  <c r="DH71" i="27" a="1"/>
  <c r="DH71" i="27" s="1"/>
  <c r="DI68" i="27" a="1"/>
  <c r="DI68" i="27" s="1"/>
  <c r="DJ65" i="27" a="1"/>
  <c r="DJ65" i="27" s="1"/>
  <c r="DH63" i="27" a="1"/>
  <c r="DH63" i="27" s="1"/>
  <c r="DI60" i="27" a="1"/>
  <c r="DI60" i="27" s="1"/>
  <c r="DJ57" i="27" a="1"/>
  <c r="DJ57" i="27" s="1"/>
  <c r="DH55" i="27" a="1"/>
  <c r="DH55" i="27" s="1"/>
  <c r="EO129" i="27" a="1"/>
  <c r="EO129" i="27" s="1"/>
  <c r="EQ123" i="27" a="1"/>
  <c r="EQ123" i="27" s="1"/>
  <c r="EP118" i="27" a="1"/>
  <c r="EP118" i="27" s="1"/>
  <c r="EO113" i="27" a="1"/>
  <c r="EO113" i="27" s="1"/>
  <c r="EQ107" i="27" a="1"/>
  <c r="EQ107" i="27" s="1"/>
  <c r="EP102" i="27" a="1"/>
  <c r="EP102" i="27" s="1"/>
  <c r="EO97" i="27" a="1"/>
  <c r="EO97" i="27" s="1"/>
  <c r="EQ88" i="27" a="1"/>
  <c r="EQ88" i="27" s="1"/>
  <c r="EP83" i="27" a="1"/>
  <c r="EP83" i="27" s="1"/>
  <c r="EO78" i="27" a="1"/>
  <c r="EO78" i="27" s="1"/>
  <c r="EQ72" i="27" a="1"/>
  <c r="EQ72" i="27" s="1"/>
  <c r="EP67" i="27" a="1"/>
  <c r="EP67" i="27" s="1"/>
  <c r="EO62" i="27" a="1"/>
  <c r="EO62" i="27" s="1"/>
  <c r="EQ56" i="27" a="1"/>
  <c r="EQ56" i="27" s="1"/>
  <c r="EI133" i="27" a="1"/>
  <c r="EI133" i="27" s="1"/>
  <c r="EH128" i="27" a="1"/>
  <c r="EH128" i="27" s="1"/>
  <c r="EJ122" i="27" a="1"/>
  <c r="EJ122" i="27" s="1"/>
  <c r="EI117" i="27" a="1"/>
  <c r="EI117" i="27" s="1"/>
  <c r="EH112" i="27" a="1"/>
  <c r="EH112" i="27" s="1"/>
  <c r="EJ106" i="27" a="1"/>
  <c r="EJ106" i="27" s="1"/>
  <c r="EI101" i="27" a="1"/>
  <c r="EI101" i="27" s="1"/>
  <c r="EH96" i="27" a="1"/>
  <c r="EH96" i="27" s="1"/>
  <c r="EJ87" i="27" a="1"/>
  <c r="EJ87" i="27" s="1"/>
  <c r="EI82" i="27" a="1"/>
  <c r="EI82" i="27" s="1"/>
  <c r="EH77" i="27" a="1"/>
  <c r="EH77" i="27" s="1"/>
  <c r="EJ71" i="27" a="1"/>
  <c r="EJ71" i="27" s="1"/>
  <c r="EI66" i="27" a="1"/>
  <c r="EI66" i="27" s="1"/>
  <c r="EH61" i="27" a="1"/>
  <c r="EH61" i="27" s="1"/>
  <c r="EJ55" i="27" a="1"/>
  <c r="EJ55" i="27" s="1"/>
  <c r="DH127" i="27" a="1"/>
  <c r="DH127" i="27" s="1"/>
  <c r="DI124" i="27" a="1"/>
  <c r="DI124" i="27" s="1"/>
  <c r="DJ121" i="27" a="1"/>
  <c r="DJ121" i="27" s="1"/>
  <c r="DH119" i="27" a="1"/>
  <c r="DH119" i="27" s="1"/>
  <c r="DI116" i="27" a="1"/>
  <c r="DI116" i="27" s="1"/>
  <c r="DJ113" i="27" a="1"/>
  <c r="DJ113" i="27" s="1"/>
  <c r="DH111" i="27" a="1"/>
  <c r="DH111" i="27" s="1"/>
  <c r="DI108" i="27" a="1"/>
  <c r="DI108" i="27" s="1"/>
  <c r="DJ105" i="27" a="1"/>
  <c r="DJ105" i="27" s="1"/>
  <c r="DH103" i="27" a="1"/>
  <c r="DH103" i="27" s="1"/>
  <c r="DI100" i="27" a="1"/>
  <c r="DI100" i="27" s="1"/>
  <c r="DJ97" i="27" a="1"/>
  <c r="DJ97" i="27" s="1"/>
  <c r="DH95" i="27" a="1"/>
  <c r="DH95" i="27" s="1"/>
  <c r="DI92" i="27" a="1"/>
  <c r="DI92" i="27" s="1"/>
  <c r="DJ86" i="27" a="1"/>
  <c r="DJ86" i="27" s="1"/>
  <c r="DH84" i="27" a="1"/>
  <c r="DH84" i="27" s="1"/>
  <c r="DI81" i="27" a="1"/>
  <c r="DI81" i="27" s="1"/>
  <c r="DJ78" i="27" a="1"/>
  <c r="DJ78" i="27" s="1"/>
  <c r="DH76" i="27" a="1"/>
  <c r="DH76" i="27" s="1"/>
  <c r="EQ128" i="27" a="1"/>
  <c r="EQ128" i="27" s="1"/>
  <c r="EP123" i="27" a="1"/>
  <c r="EP123" i="27" s="1"/>
  <c r="EO118" i="27" a="1"/>
  <c r="EO118" i="27" s="1"/>
  <c r="ER118" i="27" s="1"/>
  <c r="EQ112" i="27" a="1"/>
  <c r="EQ112" i="27" s="1"/>
  <c r="EP107" i="27" a="1"/>
  <c r="EP107" i="27" s="1"/>
  <c r="EO102" i="27" a="1"/>
  <c r="EO102" i="27" s="1"/>
  <c r="ER102" i="27" s="1"/>
  <c r="EQ96" i="27" a="1"/>
  <c r="EQ96" i="27" s="1"/>
  <c r="EP88" i="27" a="1"/>
  <c r="EP88" i="27" s="1"/>
  <c r="EO83" i="27" a="1"/>
  <c r="EO83" i="27" s="1"/>
  <c r="EQ77" i="27" a="1"/>
  <c r="EQ77" i="27" s="1"/>
  <c r="EP72" i="27" a="1"/>
  <c r="EP72" i="27" s="1"/>
  <c r="EO67" i="27" a="1"/>
  <c r="EO67" i="27" s="1"/>
  <c r="EQ61" i="27" a="1"/>
  <c r="EQ61" i="27" s="1"/>
  <c r="EP56" i="27" a="1"/>
  <c r="EP56" i="27" s="1"/>
  <c r="EH133" i="27" a="1"/>
  <c r="EH133" i="27" s="1"/>
  <c r="EK133" i="27" s="1"/>
  <c r="EJ127" i="27" a="1"/>
  <c r="EJ127" i="27" s="1"/>
  <c r="EI122" i="27" a="1"/>
  <c r="EI122" i="27" s="1"/>
  <c r="EH117" i="27" a="1"/>
  <c r="EH117" i="27" s="1"/>
  <c r="EK117" i="27" s="1"/>
  <c r="EJ111" i="27" a="1"/>
  <c r="EJ111" i="27" s="1"/>
  <c r="EI106" i="27" a="1"/>
  <c r="EI106" i="27" s="1"/>
  <c r="EH101" i="27" a="1"/>
  <c r="EH101" i="27" s="1"/>
  <c r="EK101" i="27" s="1"/>
  <c r="EJ95" i="27" a="1"/>
  <c r="EJ95" i="27" s="1"/>
  <c r="EI87" i="27" a="1"/>
  <c r="EI87" i="27" s="1"/>
  <c r="EH82" i="27" a="1"/>
  <c r="EH82" i="27" s="1"/>
  <c r="EJ76" i="27" a="1"/>
  <c r="EJ76" i="27" s="1"/>
  <c r="EI71" i="27" a="1"/>
  <c r="EI71" i="27" s="1"/>
  <c r="EH66" i="27" a="1"/>
  <c r="EH66" i="27" s="1"/>
  <c r="EJ60" i="27" a="1"/>
  <c r="EJ60" i="27" s="1"/>
  <c r="EI55" i="27" a="1"/>
  <c r="EI55" i="27" s="1"/>
  <c r="DJ126" i="27" a="1"/>
  <c r="DJ126" i="27" s="1"/>
  <c r="DH124" i="27" a="1"/>
  <c r="DH124" i="27" s="1"/>
  <c r="DK124" i="27" s="1"/>
  <c r="DI121" i="27" a="1"/>
  <c r="DI121" i="27" s="1"/>
  <c r="DJ118" i="27" a="1"/>
  <c r="DJ118" i="27" s="1"/>
  <c r="DH116" i="27" a="1"/>
  <c r="DH116" i="27" s="1"/>
  <c r="DK116" i="27" s="1"/>
  <c r="DI113" i="27" a="1"/>
  <c r="DI113" i="27" s="1"/>
  <c r="DJ110" i="27" a="1"/>
  <c r="DJ110" i="27" s="1"/>
  <c r="DH108" i="27" a="1"/>
  <c r="DH108" i="27" s="1"/>
  <c r="DK108" i="27" s="1"/>
  <c r="DI105" i="27" a="1"/>
  <c r="DI105" i="27" s="1"/>
  <c r="DJ102" i="27" a="1"/>
  <c r="DJ102" i="27" s="1"/>
  <c r="DH100" i="27" a="1"/>
  <c r="DH100" i="27" s="1"/>
  <c r="DK100" i="27" s="1"/>
  <c r="DI97" i="27" a="1"/>
  <c r="DI97" i="27" s="1"/>
  <c r="DJ94" i="27" a="1"/>
  <c r="DJ94" i="27" s="1"/>
  <c r="DH92" i="27" a="1"/>
  <c r="DH92" i="27" s="1"/>
  <c r="DK92" i="27" s="1"/>
  <c r="DI86" i="27" a="1"/>
  <c r="DI86" i="27" s="1"/>
  <c r="DJ83" i="27" a="1"/>
  <c r="DJ83" i="27" s="1"/>
  <c r="DH81" i="27" a="1"/>
  <c r="DH81" i="27" s="1"/>
  <c r="DI78" i="27" a="1"/>
  <c r="DI78" i="27" s="1"/>
  <c r="DJ75" i="27" a="1"/>
  <c r="DJ75" i="27" s="1"/>
  <c r="DH73" i="27" a="1"/>
  <c r="DH73" i="27" s="1"/>
  <c r="DI70" i="27" a="1"/>
  <c r="DI70" i="27" s="1"/>
  <c r="DJ67" i="27" a="1"/>
  <c r="DJ67" i="27" s="1"/>
  <c r="DH65" i="27" a="1"/>
  <c r="DH65" i="27" s="1"/>
  <c r="DI62" i="27" a="1"/>
  <c r="DI62" i="27" s="1"/>
  <c r="DJ59" i="27" a="1"/>
  <c r="DJ59" i="27" s="1"/>
  <c r="DH57" i="27" a="1"/>
  <c r="DH57" i="27" s="1"/>
  <c r="EP132" i="27" a="1"/>
  <c r="EP132" i="27" s="1"/>
  <c r="EO127" i="27" a="1"/>
  <c r="EO127" i="27" s="1"/>
  <c r="EQ121" i="27" a="1"/>
  <c r="EQ121" i="27" s="1"/>
  <c r="EP116" i="27" a="1"/>
  <c r="EP116" i="27" s="1"/>
  <c r="EO111" i="27" a="1"/>
  <c r="EO111" i="27" s="1"/>
  <c r="EQ105" i="27" a="1"/>
  <c r="EQ105" i="27" s="1"/>
  <c r="EP100" i="27" a="1"/>
  <c r="EP100" i="27" s="1"/>
  <c r="EO95" i="27" a="1"/>
  <c r="EO95" i="27" s="1"/>
  <c r="EQ86" i="27" a="1"/>
  <c r="EQ86" i="27" s="1"/>
  <c r="EP81" i="27" a="1"/>
  <c r="EP81" i="27" s="1"/>
  <c r="EO76" i="27" a="1"/>
  <c r="EO76" i="27" s="1"/>
  <c r="EQ70" i="27" a="1"/>
  <c r="EQ70" i="27" s="1"/>
  <c r="EP65" i="27" a="1"/>
  <c r="EP65" i="27" s="1"/>
  <c r="EO60" i="27" a="1"/>
  <c r="EO60" i="27" s="1"/>
  <c r="EQ54" i="27" a="1"/>
  <c r="EQ54" i="27" s="1"/>
  <c r="EI131" i="27" a="1"/>
  <c r="EI131" i="27" s="1"/>
  <c r="EH126" i="27" a="1"/>
  <c r="EH126" i="27" s="1"/>
  <c r="EJ120" i="27" a="1"/>
  <c r="EJ120" i="27" s="1"/>
  <c r="EI115" i="27" a="1"/>
  <c r="EI115" i="27" s="1"/>
  <c r="EH110" i="27" a="1"/>
  <c r="EH110" i="27" s="1"/>
  <c r="EJ104" i="27" a="1"/>
  <c r="EJ104" i="27" s="1"/>
  <c r="EI99" i="27" a="1"/>
  <c r="EI99" i="27" s="1"/>
  <c r="EH91" i="27" a="1"/>
  <c r="EH91" i="27" s="1"/>
  <c r="EJ85" i="27" a="1"/>
  <c r="EJ85" i="27" s="1"/>
  <c r="EI80" i="27" a="1"/>
  <c r="EI80" i="27" s="1"/>
  <c r="EH75" i="27" a="1"/>
  <c r="EH75" i="27" s="1"/>
  <c r="EJ69" i="27" a="1"/>
  <c r="EJ69" i="27" s="1"/>
  <c r="EI64" i="27" a="1"/>
  <c r="EI64" i="27" s="1"/>
  <c r="EH59" i="27" a="1"/>
  <c r="EH59" i="27" s="1"/>
  <c r="EJ53" i="27" a="1"/>
  <c r="EJ53" i="27" s="1"/>
  <c r="DI126" i="27" a="1"/>
  <c r="DI126" i="27" s="1"/>
  <c r="DJ123" i="27" a="1"/>
  <c r="DJ123" i="27" s="1"/>
  <c r="DH121" i="27" a="1"/>
  <c r="DH121" i="27" s="1"/>
  <c r="DK121" i="27" s="1"/>
  <c r="DI118" i="27" a="1"/>
  <c r="DI118" i="27" s="1"/>
  <c r="DJ115" i="27" a="1"/>
  <c r="DJ115" i="27" s="1"/>
  <c r="DH113" i="27" a="1"/>
  <c r="DH113" i="27" s="1"/>
  <c r="DK113" i="27" s="1"/>
  <c r="DI110" i="27" a="1"/>
  <c r="DI110" i="27" s="1"/>
  <c r="DJ107" i="27" a="1"/>
  <c r="DJ107" i="27" s="1"/>
  <c r="DH105" i="27" a="1"/>
  <c r="DH105" i="27" s="1"/>
  <c r="DK105" i="27" s="1"/>
  <c r="DI102" i="27" a="1"/>
  <c r="DI102" i="27" s="1"/>
  <c r="DJ99" i="27" a="1"/>
  <c r="DJ99" i="27" s="1"/>
  <c r="DH97" i="27" a="1"/>
  <c r="DH97" i="27" s="1"/>
  <c r="DK97" i="27" s="1"/>
  <c r="DI94" i="27" a="1"/>
  <c r="DI94" i="27" s="1"/>
  <c r="DJ91" i="27" a="1"/>
  <c r="DJ91" i="27" s="1"/>
  <c r="DH86" i="27" a="1"/>
  <c r="DH86" i="27" s="1"/>
  <c r="DI83" i="27" a="1"/>
  <c r="DI83" i="27" s="1"/>
  <c r="DJ80" i="27" a="1"/>
  <c r="DJ80" i="27" s="1"/>
  <c r="DH78" i="27" a="1"/>
  <c r="DH78" i="27" s="1"/>
  <c r="DI75" i="27" a="1"/>
  <c r="DI75" i="27" s="1"/>
  <c r="DJ72" i="27" a="1"/>
  <c r="DJ72" i="27" s="1"/>
  <c r="DH70" i="27" a="1"/>
  <c r="DH70" i="27" s="1"/>
  <c r="DI67" i="27" a="1"/>
  <c r="DI67" i="27" s="1"/>
  <c r="DJ64" i="27" a="1"/>
  <c r="DJ64" i="27" s="1"/>
  <c r="DH62" i="27" a="1"/>
  <c r="DH62" i="27" s="1"/>
  <c r="DI59" i="27" a="1"/>
  <c r="DI59" i="27" s="1"/>
  <c r="DJ56" i="27" a="1"/>
  <c r="DJ56" i="27" s="1"/>
  <c r="DH54" i="27" a="1"/>
  <c r="DH54" i="27" s="1"/>
  <c r="DI51" i="27" a="1"/>
  <c r="DI51" i="27" s="1"/>
  <c r="DJ48" i="27" a="1"/>
  <c r="DJ48" i="27" s="1"/>
  <c r="DB136" i="27" a="1"/>
  <c r="DB136" i="27" s="1"/>
  <c r="DC133" i="27" a="1"/>
  <c r="DC133" i="27" s="1"/>
  <c r="DA131" i="27" a="1"/>
  <c r="DA131" i="27" s="1"/>
  <c r="DB128" i="27" a="1"/>
  <c r="DB128" i="27" s="1"/>
  <c r="DC125" i="27" a="1"/>
  <c r="DC125" i="27" s="1"/>
  <c r="DA123" i="27" a="1"/>
  <c r="DA123" i="27" s="1"/>
  <c r="DB120" i="27" a="1"/>
  <c r="DB120" i="27" s="1"/>
  <c r="DC117" i="27" a="1"/>
  <c r="DC117" i="27" s="1"/>
  <c r="DA115" i="27" a="1"/>
  <c r="DA115" i="27" s="1"/>
  <c r="DB112" i="27" a="1"/>
  <c r="DB112" i="27" s="1"/>
  <c r="DC109" i="27" a="1"/>
  <c r="DC109" i="27" s="1"/>
  <c r="DA107" i="27" a="1"/>
  <c r="DA107" i="27" s="1"/>
  <c r="DB104" i="27" a="1"/>
  <c r="DB104" i="27" s="1"/>
  <c r="DC101" i="27" a="1"/>
  <c r="DC101" i="27" s="1"/>
  <c r="DA99" i="27" a="1"/>
  <c r="DA99" i="27" s="1"/>
  <c r="DB93" i="27" a="1"/>
  <c r="DB93" i="27" s="1"/>
  <c r="DC90" i="27" a="1"/>
  <c r="DC90" i="27" s="1"/>
  <c r="DA88" i="27" a="1"/>
  <c r="DA88" i="27" s="1"/>
  <c r="DB85" i="27" a="1"/>
  <c r="DB85" i="27" s="1"/>
  <c r="DC82" i="27" a="1"/>
  <c r="DC82" i="27" s="1"/>
  <c r="DA80" i="27" a="1"/>
  <c r="DA80" i="27" s="1"/>
  <c r="DB77" i="27" a="1"/>
  <c r="DB77" i="27" s="1"/>
  <c r="DC74" i="27" a="1"/>
  <c r="DC74" i="27" s="1"/>
  <c r="DA72" i="27" a="1"/>
  <c r="DA72" i="27" s="1"/>
  <c r="EP126" i="27" a="1"/>
  <c r="EP126" i="27" s="1"/>
  <c r="EQ115" i="27" a="1"/>
  <c r="EQ115" i="27" s="1"/>
  <c r="EO105" i="27" a="1"/>
  <c r="EO105" i="27" s="1"/>
  <c r="EP94" i="27" a="1"/>
  <c r="EP94" i="27" s="1"/>
  <c r="EQ80" i="27" a="1"/>
  <c r="EQ80" i="27" s="1"/>
  <c r="EO70" i="27" a="1"/>
  <c r="EO70" i="27" s="1"/>
  <c r="EP59" i="27" a="1"/>
  <c r="EP59" i="27" s="1"/>
  <c r="EJ130" i="27" a="1"/>
  <c r="EJ130" i="27" s="1"/>
  <c r="EH120" i="27" a="1"/>
  <c r="EH120" i="27" s="1"/>
  <c r="EI109" i="27" a="1"/>
  <c r="EI109" i="27" s="1"/>
  <c r="EJ98" i="27" a="1"/>
  <c r="EJ98" i="27" s="1"/>
  <c r="EH85" i="27" a="1"/>
  <c r="EH85" i="27" s="1"/>
  <c r="EI74" i="27" a="1"/>
  <c r="EI74" i="27" s="1"/>
  <c r="EJ63" i="27" a="1"/>
  <c r="EJ63" i="27" s="1"/>
  <c r="EH53" i="27" a="1"/>
  <c r="EH53" i="27" s="1"/>
  <c r="DJ125" i="27" a="1"/>
  <c r="DJ125" i="27" s="1"/>
  <c r="DI120" i="27" a="1"/>
  <c r="DI120" i="27" s="1"/>
  <c r="DH115" i="27" a="1"/>
  <c r="DH115" i="27" s="1"/>
  <c r="DJ109" i="27" a="1"/>
  <c r="DJ109" i="27" s="1"/>
  <c r="DI104" i="27" a="1"/>
  <c r="DI104" i="27" s="1"/>
  <c r="DH99" i="27" a="1"/>
  <c r="DH99" i="27" s="1"/>
  <c r="DJ93" i="27" a="1"/>
  <c r="DJ93" i="27" s="1"/>
  <c r="DI85" i="27" a="1"/>
  <c r="DI85" i="27" s="1"/>
  <c r="DH80" i="27" a="1"/>
  <c r="DH80" i="27" s="1"/>
  <c r="DJ74" i="27" a="1"/>
  <c r="DJ74" i="27" s="1"/>
  <c r="DJ70" i="27" a="1"/>
  <c r="DJ70" i="27" s="1"/>
  <c r="DI66" i="27" a="1"/>
  <c r="DI66" i="27" s="1"/>
  <c r="DJ61" i="27" a="1"/>
  <c r="DJ61" i="27" s="1"/>
  <c r="DH58" i="27" a="1"/>
  <c r="DH58" i="27" s="1"/>
  <c r="DJ53" i="27" a="1"/>
  <c r="DJ53" i="27" s="1"/>
  <c r="DJ50" i="27" a="1"/>
  <c r="DJ50" i="27" s="1"/>
  <c r="DA135" i="27" a="1"/>
  <c r="DA135" i="27" s="1"/>
  <c r="DA132" i="27" a="1"/>
  <c r="DA132" i="27" s="1"/>
  <c r="DA129" i="27" a="1"/>
  <c r="DA129" i="27" s="1"/>
  <c r="DA126" i="27" a="1"/>
  <c r="DA126" i="27" s="1"/>
  <c r="DC122" i="27" a="1"/>
  <c r="DC122" i="27" s="1"/>
  <c r="DC119" i="27" a="1"/>
  <c r="DC119" i="27" s="1"/>
  <c r="DC116" i="27" a="1"/>
  <c r="DC116" i="27" s="1"/>
  <c r="DC113" i="27" a="1"/>
  <c r="DC113" i="27" s="1"/>
  <c r="DC110" i="27" a="1"/>
  <c r="DC110" i="27" s="1"/>
  <c r="DC107" i="27" a="1"/>
  <c r="DC107" i="27" s="1"/>
  <c r="DC104" i="27" a="1"/>
  <c r="DC104" i="27" s="1"/>
  <c r="DB101" i="27" a="1"/>
  <c r="DB101" i="27" s="1"/>
  <c r="DB95" i="27" a="1"/>
  <c r="DB95" i="27" s="1"/>
  <c r="DB92" i="27" a="1"/>
  <c r="DB92" i="27" s="1"/>
  <c r="DB89" i="27" a="1"/>
  <c r="DB89" i="27" s="1"/>
  <c r="DB86" i="27" a="1"/>
  <c r="DB86" i="27" s="1"/>
  <c r="DB83" i="27" a="1"/>
  <c r="DB83" i="27" s="1"/>
  <c r="EO126" i="27" a="1"/>
  <c r="EO126" i="27" s="1"/>
  <c r="EP115" i="27" a="1"/>
  <c r="EP115" i="27" s="1"/>
  <c r="EQ104" i="27" a="1"/>
  <c r="EQ104" i="27" s="1"/>
  <c r="EO94" i="27" a="1"/>
  <c r="EO94" i="27" s="1"/>
  <c r="EP80" i="27" a="1"/>
  <c r="EP80" i="27" s="1"/>
  <c r="EQ69" i="27" a="1"/>
  <c r="EQ69" i="27" s="1"/>
  <c r="EO59" i="27" a="1"/>
  <c r="EO59" i="27" s="1"/>
  <c r="EI130" i="27" a="1"/>
  <c r="EI130" i="27" s="1"/>
  <c r="EJ119" i="27" a="1"/>
  <c r="EJ119" i="27" s="1"/>
  <c r="EH109" i="27" a="1"/>
  <c r="EH109" i="27" s="1"/>
  <c r="EI98" i="27" a="1"/>
  <c r="EI98" i="27" s="1"/>
  <c r="EJ84" i="27" a="1"/>
  <c r="EJ84" i="27" s="1"/>
  <c r="EH74" i="27" a="1"/>
  <c r="EH74" i="27" s="1"/>
  <c r="EI63" i="27" a="1"/>
  <c r="EI63" i="27" s="1"/>
  <c r="DI125" i="27" a="1"/>
  <c r="DI125" i="27" s="1"/>
  <c r="DH120" i="27" a="1"/>
  <c r="DH120" i="27" s="1"/>
  <c r="DJ114" i="27" a="1"/>
  <c r="DJ114" i="27" s="1"/>
  <c r="DI109" i="27" a="1"/>
  <c r="DI109" i="27" s="1"/>
  <c r="DH104" i="27" a="1"/>
  <c r="DH104" i="27" s="1"/>
  <c r="DJ98" i="27" a="1"/>
  <c r="DJ98" i="27" s="1"/>
  <c r="DI93" i="27" a="1"/>
  <c r="DI93" i="27" s="1"/>
  <c r="DH85" i="27" a="1"/>
  <c r="DH85" i="27" s="1"/>
  <c r="DJ79" i="27" a="1"/>
  <c r="DJ79" i="27" s="1"/>
  <c r="DI74" i="27" a="1"/>
  <c r="DI74" i="27" s="1"/>
  <c r="DJ69" i="27" a="1"/>
  <c r="DJ69" i="27" s="1"/>
  <c r="DH66" i="27" a="1"/>
  <c r="DH66" i="27" s="1"/>
  <c r="DI61" i="27" a="1"/>
  <c r="DI61" i="27" s="1"/>
  <c r="DI57" i="27" a="1"/>
  <c r="DI57" i="27" s="1"/>
  <c r="DI53" i="27" a="1"/>
  <c r="DI53" i="27" s="1"/>
  <c r="DI50" i="27" a="1"/>
  <c r="DI50" i="27" s="1"/>
  <c r="DC137" i="27" a="1"/>
  <c r="DC137" i="27" s="1"/>
  <c r="DC134" i="27" a="1"/>
  <c r="DC134" i="27" s="1"/>
  <c r="DC131" i="27" a="1"/>
  <c r="DC131" i="27" s="1"/>
  <c r="DC128" i="27" a="1"/>
  <c r="DC128" i="27" s="1"/>
  <c r="DB125" i="27" a="1"/>
  <c r="DB125" i="27" s="1"/>
  <c r="DB122" i="27" a="1"/>
  <c r="DB122" i="27" s="1"/>
  <c r="DB119" i="27" a="1"/>
  <c r="DB119" i="27" s="1"/>
  <c r="DB116" i="27" a="1"/>
  <c r="DB116" i="27" s="1"/>
  <c r="DB113" i="27" a="1"/>
  <c r="DB113" i="27" s="1"/>
  <c r="DB110" i="27" a="1"/>
  <c r="DB110" i="27" s="1"/>
  <c r="DB107" i="27" a="1"/>
  <c r="DB107" i="27" s="1"/>
  <c r="DA104" i="27" a="1"/>
  <c r="DA104" i="27" s="1"/>
  <c r="DA101" i="27" a="1"/>
  <c r="DA101" i="27" s="1"/>
  <c r="EP124" i="27" a="1"/>
  <c r="EP124" i="27" s="1"/>
  <c r="EQ113" i="27" a="1"/>
  <c r="EQ113" i="27" s="1"/>
  <c r="EO103" i="27" a="1"/>
  <c r="EO103" i="27" s="1"/>
  <c r="EP89" i="27" a="1"/>
  <c r="EP89" i="27" s="1"/>
  <c r="EQ78" i="27" a="1"/>
  <c r="EQ78" i="27" s="1"/>
  <c r="EO68" i="27" a="1"/>
  <c r="EO68" i="27" s="1"/>
  <c r="EP57" i="27" a="1"/>
  <c r="EP57" i="27" s="1"/>
  <c r="EJ128" i="27" a="1"/>
  <c r="EJ128" i="27" s="1"/>
  <c r="EH118" i="27" a="1"/>
  <c r="EH118" i="27" s="1"/>
  <c r="EI107" i="27" a="1"/>
  <c r="EI107" i="27" s="1"/>
  <c r="EJ96" i="27" a="1"/>
  <c r="EJ96" i="27" s="1"/>
  <c r="EH83" i="27" a="1"/>
  <c r="EH83" i="27" s="1"/>
  <c r="EI72" i="27" a="1"/>
  <c r="EI72" i="27" s="1"/>
  <c r="EJ61" i="27" a="1"/>
  <c r="EJ61" i="27" s="1"/>
  <c r="DH125" i="27" a="1"/>
  <c r="DH125" i="27" s="1"/>
  <c r="DJ119" i="27" a="1"/>
  <c r="DJ119" i="27" s="1"/>
  <c r="DI114" i="27" a="1"/>
  <c r="DI114" i="27" s="1"/>
  <c r="DH109" i="27" a="1"/>
  <c r="DH109" i="27" s="1"/>
  <c r="DJ103" i="27" a="1"/>
  <c r="DJ103" i="27" s="1"/>
  <c r="DI98" i="27" a="1"/>
  <c r="DI98" i="27" s="1"/>
  <c r="DH93" i="27" a="1"/>
  <c r="DH93" i="27" s="1"/>
  <c r="DJ84" i="27" a="1"/>
  <c r="DJ84" i="27" s="1"/>
  <c r="DI79" i="27" a="1"/>
  <c r="DI79" i="27" s="1"/>
  <c r="DH74" i="27" a="1"/>
  <c r="DH74" i="27" s="1"/>
  <c r="DI69" i="27" a="1"/>
  <c r="DI69" i="27" s="1"/>
  <c r="DI65" i="27" a="1"/>
  <c r="DI65" i="27" s="1"/>
  <c r="DH61" i="27" a="1"/>
  <c r="DH61" i="27" s="1"/>
  <c r="DI56" i="27" a="1"/>
  <c r="DI56" i="27" s="1"/>
  <c r="DH53" i="27" a="1"/>
  <c r="DH53" i="27" s="1"/>
  <c r="DH50" i="27" a="1"/>
  <c r="DH50" i="27" s="1"/>
  <c r="DB137" i="27" a="1"/>
  <c r="DB137" i="27" s="1"/>
  <c r="DB134" i="27" a="1"/>
  <c r="DB134" i="27" s="1"/>
  <c r="DB131" i="27" a="1"/>
  <c r="DB131" i="27" s="1"/>
  <c r="DA128" i="27" a="1"/>
  <c r="DA128" i="27" s="1"/>
  <c r="DA125" i="27" a="1"/>
  <c r="DA125" i="27" s="1"/>
  <c r="DA122" i="27" a="1"/>
  <c r="DA122" i="27" s="1"/>
  <c r="DA119" i="27" a="1"/>
  <c r="DA119" i="27" s="1"/>
  <c r="DA116" i="27" a="1"/>
  <c r="DA116" i="27" s="1"/>
  <c r="DA113" i="27" a="1"/>
  <c r="DA113" i="27" s="1"/>
  <c r="DA110" i="27" a="1"/>
  <c r="DA110" i="27" s="1"/>
  <c r="DC106" i="27" a="1"/>
  <c r="DC106" i="27" s="1"/>
  <c r="DC103" i="27" a="1"/>
  <c r="DC103" i="27" s="1"/>
  <c r="DC100" i="27" a="1"/>
  <c r="DC100" i="27" s="1"/>
  <c r="DC94" i="27" a="1"/>
  <c r="DC94" i="27" s="1"/>
  <c r="DC91" i="27" a="1"/>
  <c r="DC91" i="27" s="1"/>
  <c r="DC88" i="27" a="1"/>
  <c r="DC88" i="27" s="1"/>
  <c r="DC85" i="27" a="1"/>
  <c r="DC85" i="27" s="1"/>
  <c r="DB82" i="27" a="1"/>
  <c r="DB82" i="27" s="1"/>
  <c r="DB79" i="27" a="1"/>
  <c r="DB79" i="27" s="1"/>
  <c r="DB76" i="27" a="1"/>
  <c r="DB76" i="27" s="1"/>
  <c r="DB73" i="27" a="1"/>
  <c r="DB73" i="27" s="1"/>
  <c r="DB70" i="27" a="1"/>
  <c r="DB70" i="27" s="1"/>
  <c r="DC67" i="27" a="1"/>
  <c r="DC67" i="27" s="1"/>
  <c r="EQ131" i="27" a="1"/>
  <c r="EQ131" i="27" s="1"/>
  <c r="EO121" i="27" a="1"/>
  <c r="EO121" i="27" s="1"/>
  <c r="EP110" i="27" a="1"/>
  <c r="EP110" i="27" s="1"/>
  <c r="EQ99" i="27" a="1"/>
  <c r="EQ99" i="27" s="1"/>
  <c r="EO86" i="27" a="1"/>
  <c r="EO86" i="27" s="1"/>
  <c r="EP75" i="27" a="1"/>
  <c r="EP75" i="27" s="1"/>
  <c r="EQ64" i="27" a="1"/>
  <c r="EQ64" i="27" s="1"/>
  <c r="EO54" i="27" a="1"/>
  <c r="EO54" i="27" s="1"/>
  <c r="EI125" i="27" a="1"/>
  <c r="EI125" i="27" s="1"/>
  <c r="EJ114" i="27" a="1"/>
  <c r="EJ114" i="27" s="1"/>
  <c r="EH104" i="27" a="1"/>
  <c r="EH104" i="27" s="1"/>
  <c r="EI90" i="27" a="1"/>
  <c r="EI90" i="27" s="1"/>
  <c r="EJ79" i="27" a="1"/>
  <c r="EJ79" i="27" s="1"/>
  <c r="EH69" i="27" a="1"/>
  <c r="EH69" i="27" s="1"/>
  <c r="EI58" i="27" a="1"/>
  <c r="EI58" i="27" s="1"/>
  <c r="DI128" i="27" a="1"/>
  <c r="DI128" i="27" s="1"/>
  <c r="DH123" i="27" a="1"/>
  <c r="DH123" i="27" s="1"/>
  <c r="DJ117" i="27" a="1"/>
  <c r="DJ117" i="27" s="1"/>
  <c r="DI112" i="27" a="1"/>
  <c r="DI112" i="27" s="1"/>
  <c r="DH107" i="27" a="1"/>
  <c r="DH107" i="27" s="1"/>
  <c r="DJ101" i="27" a="1"/>
  <c r="DJ101" i="27" s="1"/>
  <c r="DI96" i="27" a="1"/>
  <c r="DI96" i="27" s="1"/>
  <c r="DH91" i="27" a="1"/>
  <c r="DH91" i="27" s="1"/>
  <c r="DJ82" i="27" a="1"/>
  <c r="DJ82" i="27" s="1"/>
  <c r="DI77" i="27" a="1"/>
  <c r="DI77" i="27" s="1"/>
  <c r="DI72" i="27" a="1"/>
  <c r="DI72" i="27" s="1"/>
  <c r="DJ68" i="27" a="1"/>
  <c r="DJ68" i="27" s="1"/>
  <c r="DH64" i="27" a="1"/>
  <c r="DH64" i="27" s="1"/>
  <c r="DH60" i="27" a="1"/>
  <c r="DH60" i="27" s="1"/>
  <c r="DJ55" i="27" a="1"/>
  <c r="DJ55" i="27" s="1"/>
  <c r="DI52" i="27" a="1"/>
  <c r="DI52" i="27" s="1"/>
  <c r="DI49" i="27" a="1"/>
  <c r="DI49" i="27" s="1"/>
  <c r="DC136" i="27" a="1"/>
  <c r="DC136" i="27" s="1"/>
  <c r="DB133" i="27" a="1"/>
  <c r="DB133" i="27" s="1"/>
  <c r="DB130" i="27" a="1"/>
  <c r="DB130" i="27" s="1"/>
  <c r="DB127" i="27" a="1"/>
  <c r="DB127" i="27" s="1"/>
  <c r="DB124" i="27" a="1"/>
  <c r="DB124" i="27" s="1"/>
  <c r="DB121" i="27" a="1"/>
  <c r="DB121" i="27" s="1"/>
  <c r="DB118" i="27" a="1"/>
  <c r="DB118" i="27" s="1"/>
  <c r="DB115" i="27" a="1"/>
  <c r="DB115" i="27" s="1"/>
  <c r="DA112" i="27" a="1"/>
  <c r="DA112" i="27" s="1"/>
  <c r="DA109" i="27" a="1"/>
  <c r="DA109" i="27" s="1"/>
  <c r="DA106" i="27" a="1"/>
  <c r="DA106" i="27" s="1"/>
  <c r="DA103" i="27" a="1"/>
  <c r="DA103" i="27" s="1"/>
  <c r="DA100" i="27" a="1"/>
  <c r="DA100" i="27" s="1"/>
  <c r="DA94" i="27" a="1"/>
  <c r="DA94" i="27" s="1"/>
  <c r="DA91" i="27" a="1"/>
  <c r="DA91" i="27" s="1"/>
  <c r="DC87" i="27" a="1"/>
  <c r="DC87" i="27" s="1"/>
  <c r="DC84" i="27" a="1"/>
  <c r="DC84" i="27" s="1"/>
  <c r="DC81" i="27" a="1"/>
  <c r="DC81" i="27" s="1"/>
  <c r="DC78" i="27" a="1"/>
  <c r="DC78" i="27" s="1"/>
  <c r="DC75" i="27" a="1"/>
  <c r="DC75" i="27" s="1"/>
  <c r="DC72" i="27" a="1"/>
  <c r="DC72" i="27" s="1"/>
  <c r="DC69" i="27" a="1"/>
  <c r="DC69" i="27" s="1"/>
  <c r="DA67" i="27" a="1"/>
  <c r="DA67" i="27" s="1"/>
  <c r="DB64" i="27" a="1"/>
  <c r="DB64" i="27" s="1"/>
  <c r="DC61" i="27" a="1"/>
  <c r="DC61" i="27" s="1"/>
  <c r="DA59" i="27" a="1"/>
  <c r="DA59" i="27" s="1"/>
  <c r="CU137" i="27" a="1"/>
  <c r="CU137" i="27" s="1"/>
  <c r="CV134" i="27" a="1"/>
  <c r="CV134" i="27" s="1"/>
  <c r="CT132" i="27" a="1"/>
  <c r="CT132" i="27" s="1"/>
  <c r="CU129" i="27" a="1"/>
  <c r="CU129" i="27" s="1"/>
  <c r="CV126" i="27" a="1"/>
  <c r="CV126" i="27" s="1"/>
  <c r="CT124" i="27" a="1"/>
  <c r="CT124" i="27" s="1"/>
  <c r="CU121" i="27" a="1"/>
  <c r="CU121" i="27" s="1"/>
  <c r="CV118" i="27" a="1"/>
  <c r="CV118" i="27" s="1"/>
  <c r="CT116" i="27" a="1"/>
  <c r="CT116" i="27" s="1"/>
  <c r="CU113" i="27" a="1"/>
  <c r="CU113" i="27" s="1"/>
  <c r="CV110" i="27" a="1"/>
  <c r="CV110" i="27" s="1"/>
  <c r="CT108" i="27" a="1"/>
  <c r="CT108" i="27" s="1"/>
  <c r="CU105" i="27" a="1"/>
  <c r="CU105" i="27" s="1"/>
  <c r="EQ120" i="27" a="1"/>
  <c r="EQ120" i="27" s="1"/>
  <c r="EP99" i="27" a="1"/>
  <c r="EP99" i="27" s="1"/>
  <c r="EO75" i="27" a="1"/>
  <c r="EO75" i="27" s="1"/>
  <c r="EQ53" i="27" a="1"/>
  <c r="EQ53" i="27" s="1"/>
  <c r="EI114" i="27" a="1"/>
  <c r="EI114" i="27" s="1"/>
  <c r="EH90" i="27" a="1"/>
  <c r="EH90" i="27" s="1"/>
  <c r="EJ68" i="27" a="1"/>
  <c r="EJ68" i="27" s="1"/>
  <c r="DH128" i="27" a="1"/>
  <c r="DH128" i="27" s="1"/>
  <c r="DI117" i="27" a="1"/>
  <c r="DI117" i="27" s="1"/>
  <c r="DJ106" i="27" a="1"/>
  <c r="DJ106" i="27" s="1"/>
  <c r="DH96" i="27" a="1"/>
  <c r="DH96" i="27" s="1"/>
  <c r="DI82" i="27" a="1"/>
  <c r="DI82" i="27" s="1"/>
  <c r="DH72" i="27" a="1"/>
  <c r="DH72" i="27" s="1"/>
  <c r="DJ63" i="27" a="1"/>
  <c r="DJ63" i="27" s="1"/>
  <c r="DI55" i="27" a="1"/>
  <c r="DI55" i="27" s="1"/>
  <c r="DH49" i="27" a="1"/>
  <c r="DH49" i="27" s="1"/>
  <c r="DA134" i="27" a="1"/>
  <c r="DA134" i="27" s="1"/>
  <c r="DC127" i="27" a="1"/>
  <c r="DC127" i="27" s="1"/>
  <c r="DC121" i="27" a="1"/>
  <c r="DC121" i="27" s="1"/>
  <c r="DC115" i="27" a="1"/>
  <c r="DC115" i="27" s="1"/>
  <c r="DB109" i="27" a="1"/>
  <c r="DB109" i="27" s="1"/>
  <c r="DB103" i="27" a="1"/>
  <c r="DB103" i="27" s="1"/>
  <c r="DA95" i="27" a="1"/>
  <c r="DA95" i="27" s="1"/>
  <c r="DA90" i="27" a="1"/>
  <c r="DA90" i="27" s="1"/>
  <c r="DA85" i="27" a="1"/>
  <c r="DA85" i="27" s="1"/>
  <c r="DC80" i="27" a="1"/>
  <c r="DC80" i="27" s="1"/>
  <c r="DC76" i="27" a="1"/>
  <c r="DC76" i="27" s="1"/>
  <c r="DB72" i="27" a="1"/>
  <c r="DB72" i="27" s="1"/>
  <c r="DC68" i="27" a="1"/>
  <c r="DC68" i="27" s="1"/>
  <c r="DB65" i="27" a="1"/>
  <c r="DB65" i="27" s="1"/>
  <c r="DB62" i="27" a="1"/>
  <c r="DB62" i="27" s="1"/>
  <c r="DB59" i="27" a="1"/>
  <c r="DB59" i="27" s="1"/>
  <c r="CT137" i="27" a="1"/>
  <c r="CT137" i="27" s="1"/>
  <c r="CT134" i="27" a="1"/>
  <c r="CT134" i="27" s="1"/>
  <c r="CT131" i="27" a="1"/>
  <c r="CT131" i="27" s="1"/>
  <c r="CT128" i="27" a="1"/>
  <c r="CT128" i="27" s="1"/>
  <c r="CT125" i="27" a="1"/>
  <c r="CT125" i="27" s="1"/>
  <c r="CT122" i="27" a="1"/>
  <c r="CT122" i="27" s="1"/>
  <c r="CT119" i="27" a="1"/>
  <c r="CT119" i="27" s="1"/>
  <c r="CV115" i="27" a="1"/>
  <c r="CV115" i="27" s="1"/>
  <c r="CV112" i="27" a="1"/>
  <c r="CV112" i="27" s="1"/>
  <c r="CV109" i="27" a="1"/>
  <c r="CV109" i="27" s="1"/>
  <c r="CV106" i="27" a="1"/>
  <c r="CV106" i="27" s="1"/>
  <c r="CV103" i="27" a="1"/>
  <c r="CV103" i="27" s="1"/>
  <c r="CT101" i="27" a="1"/>
  <c r="CT101" i="27" s="1"/>
  <c r="CU95" i="27" a="1"/>
  <c r="CU95" i="27" s="1"/>
  <c r="CV92" i="27" a="1"/>
  <c r="CV92" i="27" s="1"/>
  <c r="CT90" i="27" a="1"/>
  <c r="CT90" i="27" s="1"/>
  <c r="CU87" i="27" a="1"/>
  <c r="CU87" i="27" s="1"/>
  <c r="CV84" i="27" a="1"/>
  <c r="CV84" i="27" s="1"/>
  <c r="CT82" i="27" a="1"/>
  <c r="CT82" i="27" s="1"/>
  <c r="CU79" i="27" a="1"/>
  <c r="CU79" i="27" s="1"/>
  <c r="CV76" i="27" a="1"/>
  <c r="CV76" i="27" s="1"/>
  <c r="CT74" i="27" a="1"/>
  <c r="CT74" i="27" s="1"/>
  <c r="CV68" i="27" a="1"/>
  <c r="CV68" i="27" s="1"/>
  <c r="CU63" i="27" a="1"/>
  <c r="CU63" i="27" s="1"/>
  <c r="CT58" i="27" a="1"/>
  <c r="CT58" i="27" s="1"/>
  <c r="CU60" i="27" a="1"/>
  <c r="CU60" i="27" s="1"/>
  <c r="EQ94" i="27" a="1"/>
  <c r="EQ94" i="27" s="1"/>
  <c r="EJ109" i="27" a="1"/>
  <c r="EJ109" i="27" s="1"/>
  <c r="DH48" i="27" a="1"/>
  <c r="DH48" i="27" s="1"/>
  <c r="DB108" i="27" a="1"/>
  <c r="DB108" i="27" s="1"/>
  <c r="DA89" i="27" a="1"/>
  <c r="DA89" i="27" s="1"/>
  <c r="EO119" i="27" a="1"/>
  <c r="EO119" i="27" s="1"/>
  <c r="EQ97" i="27" a="1"/>
  <c r="EQ97" i="27" s="1"/>
  <c r="EP73" i="27" a="1"/>
  <c r="EP73" i="27" s="1"/>
  <c r="EO52" i="27" a="1"/>
  <c r="EO52" i="27" s="1"/>
  <c r="EJ112" i="27" a="1"/>
  <c r="EJ112" i="27" s="1"/>
  <c r="EI88" i="27" a="1"/>
  <c r="EI88" i="27" s="1"/>
  <c r="EH67" i="27" a="1"/>
  <c r="EH67" i="27" s="1"/>
  <c r="DJ127" i="27" a="1"/>
  <c r="DJ127" i="27" s="1"/>
  <c r="DH117" i="27" a="1"/>
  <c r="DH117" i="27" s="1"/>
  <c r="DI106" i="27" a="1"/>
  <c r="DI106" i="27" s="1"/>
  <c r="DJ95" i="27" a="1"/>
  <c r="DJ95" i="27" s="1"/>
  <c r="DH82" i="27" a="1"/>
  <c r="DH82" i="27" s="1"/>
  <c r="DJ71" i="27" a="1"/>
  <c r="DJ71" i="27" s="1"/>
  <c r="DI63" i="27" a="1"/>
  <c r="DI63" i="27" s="1"/>
  <c r="DJ54" i="27" a="1"/>
  <c r="DJ54" i="27" s="1"/>
  <c r="DI48" i="27" a="1"/>
  <c r="DI48" i="27" s="1"/>
  <c r="DA133" i="27" a="1"/>
  <c r="DA133" i="27" s="1"/>
  <c r="DA127" i="27" a="1"/>
  <c r="DA127" i="27" s="1"/>
  <c r="DA121" i="27" a="1"/>
  <c r="DA121" i="27" s="1"/>
  <c r="DC114" i="27" a="1"/>
  <c r="DC114" i="27" s="1"/>
  <c r="DC108" i="27" a="1"/>
  <c r="DC108" i="27" s="1"/>
  <c r="DC102" i="27" a="1"/>
  <c r="DC102" i="27" s="1"/>
  <c r="DB94" i="27" a="1"/>
  <c r="DB94" i="27" s="1"/>
  <c r="DC89" i="27" a="1"/>
  <c r="DC89" i="27" s="1"/>
  <c r="DB84" i="27" a="1"/>
  <c r="DB84" i="27" s="1"/>
  <c r="DB80" i="27" a="1"/>
  <c r="DB80" i="27" s="1"/>
  <c r="DA76" i="27" a="1"/>
  <c r="DA76" i="27" s="1"/>
  <c r="DC71" i="27" a="1"/>
  <c r="DC71" i="27" s="1"/>
  <c r="DB68" i="27" a="1"/>
  <c r="DB68" i="27" s="1"/>
  <c r="DA65" i="27" a="1"/>
  <c r="DA65" i="27" s="1"/>
  <c r="DA62" i="27" a="1"/>
  <c r="DA62" i="27" s="1"/>
  <c r="DC58" i="27" a="1"/>
  <c r="DC58" i="27" s="1"/>
  <c r="CV136" i="27" a="1"/>
  <c r="CV136" i="27" s="1"/>
  <c r="CV133" i="27" a="1"/>
  <c r="CV133" i="27" s="1"/>
  <c r="CV130" i="27" a="1"/>
  <c r="CV130" i="27" s="1"/>
  <c r="CV127" i="27" a="1"/>
  <c r="CV127" i="27" s="1"/>
  <c r="CV124" i="27" a="1"/>
  <c r="CV124" i="27" s="1"/>
  <c r="CV121" i="27" a="1"/>
  <c r="CV121" i="27" s="1"/>
  <c r="CU118" i="27" a="1"/>
  <c r="CU118" i="27" s="1"/>
  <c r="CU115" i="27" a="1"/>
  <c r="CU115" i="27" s="1"/>
  <c r="CU112" i="27" a="1"/>
  <c r="CU112" i="27" s="1"/>
  <c r="CU109" i="27" a="1"/>
  <c r="CU109" i="27" s="1"/>
  <c r="CU106" i="27" a="1"/>
  <c r="CU106" i="27" s="1"/>
  <c r="CU103" i="27" a="1"/>
  <c r="CU103" i="27" s="1"/>
  <c r="CV100" i="27" a="1"/>
  <c r="CV100" i="27" s="1"/>
  <c r="CT95" i="27" a="1"/>
  <c r="CT95" i="27" s="1"/>
  <c r="CU92" i="27" a="1"/>
  <c r="CU92" i="27" s="1"/>
  <c r="CV89" i="27" a="1"/>
  <c r="CV89" i="27" s="1"/>
  <c r="CT87" i="27" a="1"/>
  <c r="CT87" i="27" s="1"/>
  <c r="CU84" i="27" a="1"/>
  <c r="CU84" i="27" s="1"/>
  <c r="CV81" i="27" a="1"/>
  <c r="CV81" i="27" s="1"/>
  <c r="CT79" i="27" a="1"/>
  <c r="CT79" i="27" s="1"/>
  <c r="CU76" i="27" a="1"/>
  <c r="CU76" i="27" s="1"/>
  <c r="CV73" i="27" a="1"/>
  <c r="CV73" i="27" s="1"/>
  <c r="CT71" i="27" a="1"/>
  <c r="CT71" i="27" s="1"/>
  <c r="CU68" i="27" a="1"/>
  <c r="CU68" i="27" s="1"/>
  <c r="CT63" i="27" a="1"/>
  <c r="CT63" i="27" s="1"/>
  <c r="EO116" i="27" a="1"/>
  <c r="EO116" i="27" s="1"/>
  <c r="EI85" i="27" a="1"/>
  <c r="EI85" i="27" s="1"/>
  <c r="DH126" i="27" a="1"/>
  <c r="DH126" i="27" s="1"/>
  <c r="DJ104" i="27" a="1"/>
  <c r="DJ104" i="27" s="1"/>
  <c r="DI71" i="27" a="1"/>
  <c r="DI71" i="27" s="1"/>
  <c r="DI54" i="27" a="1"/>
  <c r="DI54" i="27" s="1"/>
  <c r="DC126" i="27" a="1"/>
  <c r="DC126" i="27" s="1"/>
  <c r="DB114" i="27" a="1"/>
  <c r="DB114" i="27" s="1"/>
  <c r="DC93" i="27" a="1"/>
  <c r="DC93" i="27" s="1"/>
  <c r="DC79" i="27" a="1"/>
  <c r="DC79" i="27" s="1"/>
  <c r="EP131" i="27" a="1"/>
  <c r="EP131" i="27" s="1"/>
  <c r="EO110" i="27" a="1"/>
  <c r="EO110" i="27" s="1"/>
  <c r="EQ85" i="27" a="1"/>
  <c r="EQ85" i="27" s="1"/>
  <c r="EP64" i="27" a="1"/>
  <c r="EP64" i="27" s="1"/>
  <c r="EH125" i="27" a="1"/>
  <c r="EH125" i="27" s="1"/>
  <c r="EJ103" i="27" a="1"/>
  <c r="EJ103" i="27" s="1"/>
  <c r="EI79" i="27" a="1"/>
  <c r="EI79" i="27" s="1"/>
  <c r="EH58" i="27" a="1"/>
  <c r="EH58" i="27" s="1"/>
  <c r="DJ122" i="27" a="1"/>
  <c r="DJ122" i="27" s="1"/>
  <c r="DH112" i="27" a="1"/>
  <c r="DH112" i="27" s="1"/>
  <c r="DI101" i="27" a="1"/>
  <c r="DI101" i="27" s="1"/>
  <c r="DJ90" i="27" a="1"/>
  <c r="DJ90" i="27" s="1"/>
  <c r="DH77" i="27" a="1"/>
  <c r="DH77" i="27" s="1"/>
  <c r="DH68" i="27" a="1"/>
  <c r="DH68" i="27" s="1"/>
  <c r="DH59" i="27" a="1"/>
  <c r="DH59" i="27" s="1"/>
  <c r="DH52" i="27" a="1"/>
  <c r="DH52" i="27" s="1"/>
  <c r="DA137" i="27" a="1"/>
  <c r="DA137" i="27" s="1"/>
  <c r="DC130" i="27" a="1"/>
  <c r="DC130" i="27" s="1"/>
  <c r="DC124" i="27" a="1"/>
  <c r="DC124" i="27" s="1"/>
  <c r="DC118" i="27" a="1"/>
  <c r="DC118" i="27" s="1"/>
  <c r="DC112" i="27" a="1"/>
  <c r="DC112" i="27" s="1"/>
  <c r="DB106" i="27" a="1"/>
  <c r="DB106" i="27" s="1"/>
  <c r="DB100" i="27" a="1"/>
  <c r="DB100" i="27" s="1"/>
  <c r="DC92" i="27" a="1"/>
  <c r="DC92" i="27" s="1"/>
  <c r="DB87" i="27" a="1"/>
  <c r="DB87" i="27" s="1"/>
  <c r="DA83" i="27" a="1"/>
  <c r="DA83" i="27" s="1"/>
  <c r="DB78" i="27" a="1"/>
  <c r="DB78" i="27" s="1"/>
  <c r="DB74" i="27" a="1"/>
  <c r="DB74" i="27" s="1"/>
  <c r="DC70" i="27" a="1"/>
  <c r="DC70" i="27" s="1"/>
  <c r="DC66" i="27" a="1"/>
  <c r="DC66" i="27" s="1"/>
  <c r="DC63" i="27" a="1"/>
  <c r="DC63" i="27" s="1"/>
  <c r="DC60" i="27" a="1"/>
  <c r="DC60" i="27" s="1"/>
  <c r="DC57" i="27" a="1"/>
  <c r="DC57" i="27" s="1"/>
  <c r="CV135" i="27" a="1"/>
  <c r="CV135" i="27" s="1"/>
  <c r="CV132" i="27" a="1"/>
  <c r="CV132" i="27" s="1"/>
  <c r="CV129" i="27" a="1"/>
  <c r="CV129" i="27" s="1"/>
  <c r="CU126" i="27" a="1"/>
  <c r="CU126" i="27" s="1"/>
  <c r="CU123" i="27" a="1"/>
  <c r="CU123" i="27" s="1"/>
  <c r="CU120" i="27" a="1"/>
  <c r="CU120" i="27" s="1"/>
  <c r="CU117" i="27" a="1"/>
  <c r="CU117" i="27" s="1"/>
  <c r="CU114" i="27" a="1"/>
  <c r="CU114" i="27" s="1"/>
  <c r="CU111" i="27" a="1"/>
  <c r="CU111" i="27" s="1"/>
  <c r="CU108" i="27" a="1"/>
  <c r="CU108" i="27" s="1"/>
  <c r="CT105" i="27" a="1"/>
  <c r="CT105" i="27" s="1"/>
  <c r="CU102" i="27" a="1"/>
  <c r="CU102" i="27" s="1"/>
  <c r="CV99" i="27" a="1"/>
  <c r="CV99" i="27" s="1"/>
  <c r="CT94" i="27" a="1"/>
  <c r="CT94" i="27" s="1"/>
  <c r="CU91" i="27" a="1"/>
  <c r="CU91" i="27" s="1"/>
  <c r="CV88" i="27" a="1"/>
  <c r="CV88" i="27" s="1"/>
  <c r="CT86" i="27" a="1"/>
  <c r="CT86" i="27" s="1"/>
  <c r="CU83" i="27" a="1"/>
  <c r="CU83" i="27" s="1"/>
  <c r="CV80" i="27" a="1"/>
  <c r="CV80" i="27" s="1"/>
  <c r="CT78" i="27" a="1"/>
  <c r="CT78" i="27" s="1"/>
  <c r="CU75" i="27" a="1"/>
  <c r="CU75" i="27" s="1"/>
  <c r="CV72" i="27" a="1"/>
  <c r="CV72" i="27" s="1"/>
  <c r="CT70" i="27" a="1"/>
  <c r="CT70" i="27" s="1"/>
  <c r="CU67" i="27" a="1"/>
  <c r="CU67" i="27" s="1"/>
  <c r="CV64" i="27" a="1"/>
  <c r="CV64" i="27" s="1"/>
  <c r="CT62" i="27" a="1"/>
  <c r="CT62" i="27" s="1"/>
  <c r="CU59" i="27" a="1"/>
  <c r="CU59" i="27" s="1"/>
  <c r="EQ129" i="27" a="1"/>
  <c r="EQ129" i="27" s="1"/>
  <c r="EP108" i="27" a="1"/>
  <c r="EP108" i="27" s="1"/>
  <c r="EO84" i="27" a="1"/>
  <c r="EO84" i="27" s="1"/>
  <c r="EQ62" i="27" a="1"/>
  <c r="EQ62" i="27" s="1"/>
  <c r="EI123" i="27" a="1"/>
  <c r="EI123" i="27" s="1"/>
  <c r="EH102" i="27" a="1"/>
  <c r="EH102" i="27" s="1"/>
  <c r="EJ77" i="27" a="1"/>
  <c r="EJ77" i="27" s="1"/>
  <c r="EI56" i="27" a="1"/>
  <c r="EI56" i="27" s="1"/>
  <c r="EP121" i="27" a="1"/>
  <c r="EP121" i="27" s="1"/>
  <c r="EO100" i="27" a="1"/>
  <c r="EO100" i="27" s="1"/>
  <c r="EQ75" i="27" a="1"/>
  <c r="EQ75" i="27" s="1"/>
  <c r="EP54" i="27" a="1"/>
  <c r="EP54" i="27" s="1"/>
  <c r="EH115" i="27" a="1"/>
  <c r="EH115" i="27" s="1"/>
  <c r="EJ90" i="27" a="1"/>
  <c r="EJ90" i="27" s="1"/>
  <c r="EI69" i="27" a="1"/>
  <c r="EI69" i="27" s="1"/>
  <c r="DJ128" i="27" a="1"/>
  <c r="DJ128" i="27" s="1"/>
  <c r="DH118" i="27" a="1"/>
  <c r="DH118" i="27" s="1"/>
  <c r="DI107" i="27" a="1"/>
  <c r="DI107" i="27" s="1"/>
  <c r="DJ96" i="27" a="1"/>
  <c r="DJ96" i="27" s="1"/>
  <c r="DH83" i="27" a="1"/>
  <c r="DH83" i="27" s="1"/>
  <c r="DI73" i="27" a="1"/>
  <c r="DI73" i="27" s="1"/>
  <c r="DI64" i="27" a="1"/>
  <c r="DI64" i="27" s="1"/>
  <c r="DH56" i="27" a="1"/>
  <c r="DH56" i="27" s="1"/>
  <c r="DJ49" i="27" a="1"/>
  <c r="DJ49" i="27" s="1"/>
  <c r="DB135" i="27" a="1"/>
  <c r="DB135" i="27" s="1"/>
  <c r="DB129" i="27" a="1"/>
  <c r="DB129" i="27" s="1"/>
  <c r="DB123" i="27" a="1"/>
  <c r="DB123" i="27" s="1"/>
  <c r="DA117" i="27" a="1"/>
  <c r="DA117" i="27" s="1"/>
  <c r="DA111" i="27" a="1"/>
  <c r="DA111" i="27" s="1"/>
  <c r="DA105" i="27" a="1"/>
  <c r="DA105" i="27" s="1"/>
  <c r="DC95" i="27" a="1"/>
  <c r="DC95" i="27" s="1"/>
  <c r="DB90" i="27" a="1"/>
  <c r="DB90" i="27" s="1"/>
  <c r="DA86" i="27" a="1"/>
  <c r="DA86" i="27" s="1"/>
  <c r="DA81" i="27" a="1"/>
  <c r="DA81" i="27" s="1"/>
  <c r="DA77" i="27" a="1"/>
  <c r="DA77" i="27" s="1"/>
  <c r="DA73" i="27" a="1"/>
  <c r="DA73" i="27" s="1"/>
  <c r="DA69" i="27" a="1"/>
  <c r="DA69" i="27" s="1"/>
  <c r="DC65" i="27" a="1"/>
  <c r="DC65" i="27" s="1"/>
  <c r="DC62" i="27" a="1"/>
  <c r="DC62" i="27" s="1"/>
  <c r="DC59" i="27" a="1"/>
  <c r="DC59" i="27" s="1"/>
  <c r="CV137" i="27" a="1"/>
  <c r="CV137" i="27" s="1"/>
  <c r="CU134" i="27" a="1"/>
  <c r="CU134" i="27" s="1"/>
  <c r="CU131" i="27" a="1"/>
  <c r="CU131" i="27" s="1"/>
  <c r="CU128" i="27" a="1"/>
  <c r="CU128" i="27" s="1"/>
  <c r="CU125" i="27" a="1"/>
  <c r="CU125" i="27" s="1"/>
  <c r="CU122" i="27" a="1"/>
  <c r="CU122" i="27" s="1"/>
  <c r="CU119" i="27" a="1"/>
  <c r="CU119" i="27" s="1"/>
  <c r="CU116" i="27" a="1"/>
  <c r="CU116" i="27" s="1"/>
  <c r="CT113" i="27" a="1"/>
  <c r="CT113" i="27" s="1"/>
  <c r="CT110" i="27" a="1"/>
  <c r="CT110" i="27" s="1"/>
  <c r="CT107" i="27" a="1"/>
  <c r="CT107" i="27" s="1"/>
  <c r="CT104" i="27" a="1"/>
  <c r="CT104" i="27" s="1"/>
  <c r="CU101" i="27" a="1"/>
  <c r="CU101" i="27" s="1"/>
  <c r="CV95" i="27" a="1"/>
  <c r="CV95" i="27" s="1"/>
  <c r="CT93" i="27" a="1"/>
  <c r="CT93" i="27" s="1"/>
  <c r="CU90" i="27" a="1"/>
  <c r="CU90" i="27" s="1"/>
  <c r="CV87" i="27" a="1"/>
  <c r="CV87" i="27" s="1"/>
  <c r="CT85" i="27" a="1"/>
  <c r="CT85" i="27" s="1"/>
  <c r="CU82" i="27" a="1"/>
  <c r="CU82" i="27" s="1"/>
  <c r="CV79" i="27" a="1"/>
  <c r="CV79" i="27" s="1"/>
  <c r="CT77" i="27" a="1"/>
  <c r="CT77" i="27" s="1"/>
  <c r="CU74" i="27" a="1"/>
  <c r="CU74" i="27" s="1"/>
  <c r="CV71" i="27" a="1"/>
  <c r="CV71" i="27" s="1"/>
  <c r="CT69" i="27" a="1"/>
  <c r="CT69" i="27" s="1"/>
  <c r="CU66" i="27" a="1"/>
  <c r="CU66" i="27" s="1"/>
  <c r="CV63" i="27" a="1"/>
  <c r="CV63" i="27" s="1"/>
  <c r="CT61" i="27" a="1"/>
  <c r="CT61" i="27" s="1"/>
  <c r="CU58" i="27" a="1"/>
  <c r="CU58" i="27" s="1"/>
  <c r="CU71" i="27" a="1"/>
  <c r="CU71" i="27" s="1"/>
  <c r="CT66" i="27" a="1"/>
  <c r="CT66" i="27" s="1"/>
  <c r="CV60" i="27" a="1"/>
  <c r="CV60" i="27" s="1"/>
  <c r="CV65" i="27" a="1"/>
  <c r="CV65" i="27" s="1"/>
  <c r="CV57" i="27" a="1"/>
  <c r="CV57" i="27" s="1"/>
  <c r="EP70" i="27" a="1"/>
  <c r="EP70" i="27" s="1"/>
  <c r="EH131" i="27" a="1"/>
  <c r="EH131" i="27" s="1"/>
  <c r="EH64" i="27" a="1"/>
  <c r="EH64" i="27" s="1"/>
  <c r="DI115" i="27" a="1"/>
  <c r="DI115" i="27" s="1"/>
  <c r="DH94" i="27" a="1"/>
  <c r="DH94" i="27" s="1"/>
  <c r="DI80" i="27" a="1"/>
  <c r="DI80" i="27" s="1"/>
  <c r="DJ62" i="27" a="1"/>
  <c r="DJ62" i="27" s="1"/>
  <c r="DC132" i="27" a="1"/>
  <c r="DC132" i="27" s="1"/>
  <c r="DC120" i="27" a="1"/>
  <c r="DC120" i="27" s="1"/>
  <c r="DB102" i="27" a="1"/>
  <c r="DB102" i="27" s="1"/>
  <c r="DA84" i="27" a="1"/>
  <c r="DA84" i="27" s="1"/>
  <c r="EO81" i="27" a="1"/>
  <c r="EO81" i="27" s="1"/>
  <c r="EJ74" i="27" a="1"/>
  <c r="EJ74" i="27" s="1"/>
  <c r="DH101" i="27" a="1"/>
  <c r="DH101" i="27" s="1"/>
  <c r="DH69" i="27" a="1"/>
  <c r="DH69" i="27" s="1"/>
  <c r="DH51" i="27" a="1"/>
  <c r="DH51" i="27" s="1"/>
  <c r="DA124" i="27" a="1"/>
  <c r="DA124" i="27" s="1"/>
  <c r="DA108" i="27" a="1"/>
  <c r="DA108" i="27" s="1"/>
  <c r="DB91" i="27" a="1"/>
  <c r="DB91" i="27" s="1"/>
  <c r="DA78" i="27" a="1"/>
  <c r="DA78" i="27" s="1"/>
  <c r="DA70" i="27" a="1"/>
  <c r="DA70" i="27" s="1"/>
  <c r="DB63" i="27" a="1"/>
  <c r="DB63" i="27" s="1"/>
  <c r="DB57" i="27" a="1"/>
  <c r="DB57" i="27" s="1"/>
  <c r="CU132" i="27" a="1"/>
  <c r="CU132" i="27" s="1"/>
  <c r="CT126" i="27" a="1"/>
  <c r="CT126" i="27" s="1"/>
  <c r="CT120" i="27" a="1"/>
  <c r="CT120" i="27" s="1"/>
  <c r="CT114" i="27" a="1"/>
  <c r="CT114" i="27" s="1"/>
  <c r="CV107" i="27" a="1"/>
  <c r="CV107" i="27" s="1"/>
  <c r="CT102" i="27" a="1"/>
  <c r="CT102" i="27" s="1"/>
  <c r="CV93" i="27" a="1"/>
  <c r="CV93" i="27" s="1"/>
  <c r="CU88" i="27" a="1"/>
  <c r="CU88" i="27" s="1"/>
  <c r="CT83" i="27" a="1"/>
  <c r="CT83" i="27" s="1"/>
  <c r="CV77" i="27" a="1"/>
  <c r="CV77" i="27" s="1"/>
  <c r="CU72" i="27" a="1"/>
  <c r="CU72" i="27" s="1"/>
  <c r="CT67" i="27" a="1"/>
  <c r="CT67" i="27" s="1"/>
  <c r="CV61" i="27" a="1"/>
  <c r="CV61" i="27" s="1"/>
  <c r="EJ125" i="27" a="1"/>
  <c r="EJ125" i="27" s="1"/>
  <c r="DJ120" i="27" a="1"/>
  <c r="DJ120" i="27" s="1"/>
  <c r="DI90" i="27" a="1"/>
  <c r="DI90" i="27" s="1"/>
  <c r="DJ60" i="27" a="1"/>
  <c r="DJ60" i="27" s="1"/>
  <c r="DC135" i="27" a="1"/>
  <c r="DC135" i="27" s="1"/>
  <c r="DA118" i="27" a="1"/>
  <c r="DA118" i="27" s="1"/>
  <c r="DA75" i="27" a="1"/>
  <c r="DA75" i="27" s="1"/>
  <c r="CT136" i="27" a="1"/>
  <c r="CT136" i="27" s="1"/>
  <c r="CV123" i="27" a="1"/>
  <c r="CV123" i="27" s="1"/>
  <c r="CV105" i="27" a="1"/>
  <c r="CV105" i="27" s="1"/>
  <c r="CU86" i="27" a="1"/>
  <c r="CU86" i="27" s="1"/>
  <c r="CT65" i="27" a="1"/>
  <c r="CT65" i="27" s="1"/>
  <c r="CV122" i="27" a="1"/>
  <c r="CV122" i="27" s="1"/>
  <c r="CT99" i="27" a="1"/>
  <c r="CT99" i="27" s="1"/>
  <c r="CU69" i="27" a="1"/>
  <c r="CU69" i="27" s="1"/>
  <c r="EH99" i="27" a="1"/>
  <c r="EH99" i="27" s="1"/>
  <c r="DJ76" i="27" a="1"/>
  <c r="DJ76" i="27" s="1"/>
  <c r="DC129" i="27" a="1"/>
  <c r="DC129" i="27" s="1"/>
  <c r="DA93" i="27" a="1"/>
  <c r="DA93" i="27" s="1"/>
  <c r="DB71" i="27" a="1"/>
  <c r="DB71" i="27" s="1"/>
  <c r="CT121" i="27" a="1"/>
  <c r="CT121" i="27" s="1"/>
  <c r="CV94" i="27" a="1"/>
  <c r="CV94" i="27" s="1"/>
  <c r="CU73" i="27" a="1"/>
  <c r="CU73" i="27" s="1"/>
  <c r="EP86" i="27" a="1"/>
  <c r="EP86" i="27" s="1"/>
  <c r="DH102" i="27" a="1"/>
  <c r="DH102" i="27" s="1"/>
  <c r="DJ51" i="27" a="1"/>
  <c r="DJ51" i="27" s="1"/>
  <c r="DA92" i="27" a="1"/>
  <c r="DA92" i="27" s="1"/>
  <c r="DA64" i="27" a="1"/>
  <c r="DA64" i="27" s="1"/>
  <c r="CT127" i="27" a="1"/>
  <c r="CT127" i="27" s="1"/>
  <c r="CU94" i="27" a="1"/>
  <c r="CU94" i="27" s="1"/>
  <c r="CT73" i="27" a="1"/>
  <c r="CT73" i="27" s="1"/>
  <c r="EO65" i="27" a="1"/>
  <c r="EO65" i="27" s="1"/>
  <c r="EJ58" i="27" a="1"/>
  <c r="EJ58" i="27" s="1"/>
  <c r="DI123" i="27" a="1"/>
  <c r="DI123" i="27" s="1"/>
  <c r="DI99" i="27" a="1"/>
  <c r="DI99" i="27" s="1"/>
  <c r="DH67" i="27" a="1"/>
  <c r="DH67" i="27" s="1"/>
  <c r="DC123" i="27" a="1"/>
  <c r="DC123" i="27" s="1"/>
  <c r="DC105" i="27" a="1"/>
  <c r="DC105" i="27" s="1"/>
  <c r="DB88" i="27" a="1"/>
  <c r="DB88" i="27" s="1"/>
  <c r="DC77" i="27" a="1"/>
  <c r="DC77" i="27" s="1"/>
  <c r="DB69" i="27" a="1"/>
  <c r="DB69" i="27" s="1"/>
  <c r="DA63" i="27" a="1"/>
  <c r="DA63" i="27" s="1"/>
  <c r="DA57" i="27" a="1"/>
  <c r="DA57" i="27" s="1"/>
  <c r="CV131" i="27" a="1"/>
  <c r="CV131" i="27" s="1"/>
  <c r="CV125" i="27" a="1"/>
  <c r="CV125" i="27" s="1"/>
  <c r="CV119" i="27" a="1"/>
  <c r="CV119" i="27" s="1"/>
  <c r="CV113" i="27" a="1"/>
  <c r="CV113" i="27" s="1"/>
  <c r="CU107" i="27" a="1"/>
  <c r="CU107" i="27" s="1"/>
  <c r="CV101" i="27" a="1"/>
  <c r="CV101" i="27" s="1"/>
  <c r="CU93" i="27" a="1"/>
  <c r="CU93" i="27" s="1"/>
  <c r="CT88" i="27" a="1"/>
  <c r="CT88" i="27" s="1"/>
  <c r="CV82" i="27" a="1"/>
  <c r="CV82" i="27" s="1"/>
  <c r="CU77" i="27" a="1"/>
  <c r="CU77" i="27" s="1"/>
  <c r="CT72" i="27" a="1"/>
  <c r="CT72" i="27" s="1"/>
  <c r="CV66" i="27" a="1"/>
  <c r="CV66" i="27" s="1"/>
  <c r="CU61" i="27" a="1"/>
  <c r="CU61" i="27" s="1"/>
  <c r="DC86" i="27" a="1"/>
  <c r="DC86" i="27" s="1"/>
  <c r="DA61" i="27" a="1"/>
  <c r="DA61" i="27" s="1"/>
  <c r="CV117" i="27" a="1"/>
  <c r="CV117" i="27" s="1"/>
  <c r="CT100" i="27" a="1"/>
  <c r="CT100" i="27" s="1"/>
  <c r="CV75" i="27" a="1"/>
  <c r="CV75" i="27" s="1"/>
  <c r="CV59" i="27" a="1"/>
  <c r="CV59" i="27" s="1"/>
  <c r="CU110" i="27" a="1"/>
  <c r="CU110" i="27" s="1"/>
  <c r="CT80" i="27" a="1"/>
  <c r="CT80" i="27" s="1"/>
  <c r="DB58" i="27" a="1"/>
  <c r="DB58" i="27" s="1"/>
  <c r="CT109" i="27" a="1"/>
  <c r="CT109" i="27" s="1"/>
  <c r="CT84" i="27" a="1"/>
  <c r="CT84" i="27" s="1"/>
  <c r="CU57" i="27" a="1"/>
  <c r="CU57" i="27" s="1"/>
  <c r="CV114" i="27" a="1"/>
  <c r="CV114" i="27" s="1"/>
  <c r="CV83" i="27" a="1"/>
  <c r="CV83" i="27" s="1"/>
  <c r="CU62" i="27" a="1"/>
  <c r="CU62" i="27" s="1"/>
  <c r="EQ59" i="27" a="1"/>
  <c r="EQ59" i="27" s="1"/>
  <c r="EI53" i="27" a="1"/>
  <c r="EI53" i="27" s="1"/>
  <c r="DI122" i="27" a="1"/>
  <c r="DI122" i="27" s="1"/>
  <c r="DI91" i="27" a="1"/>
  <c r="DI91" i="27" s="1"/>
  <c r="DJ66" i="27" a="1"/>
  <c r="DJ66" i="27" s="1"/>
  <c r="DA136" i="27" a="1"/>
  <c r="DA136" i="27" s="1"/>
  <c r="DA120" i="27" a="1"/>
  <c r="DA120" i="27" s="1"/>
  <c r="DB105" i="27" a="1"/>
  <c r="DB105" i="27" s="1"/>
  <c r="DA87" i="27" a="1"/>
  <c r="DA87" i="27" s="1"/>
  <c r="DB75" i="27" a="1"/>
  <c r="DB75" i="27" s="1"/>
  <c r="DA68" i="27" a="1"/>
  <c r="DA68" i="27" s="1"/>
  <c r="DB61" i="27" a="1"/>
  <c r="DB61" i="27" s="1"/>
  <c r="CU136" i="27" a="1"/>
  <c r="CU136" i="27" s="1"/>
  <c r="CU130" i="27" a="1"/>
  <c r="CU130" i="27" s="1"/>
  <c r="CU124" i="27" a="1"/>
  <c r="CU124" i="27" s="1"/>
  <c r="CT118" i="27" a="1"/>
  <c r="CT118" i="27" s="1"/>
  <c r="CT112" i="27" a="1"/>
  <c r="CT112" i="27" s="1"/>
  <c r="CT106" i="27" a="1"/>
  <c r="CT106" i="27" s="1"/>
  <c r="CU100" i="27" a="1"/>
  <c r="CU100" i="27" s="1"/>
  <c r="CT92" i="27" a="1"/>
  <c r="CT92" i="27" s="1"/>
  <c r="CV86" i="27" a="1"/>
  <c r="CV86" i="27" s="1"/>
  <c r="CU81" i="27" a="1"/>
  <c r="CU81" i="27" s="1"/>
  <c r="CT76" i="27" a="1"/>
  <c r="CT76" i="27" s="1"/>
  <c r="CV70" i="27" a="1"/>
  <c r="CV70" i="27" s="1"/>
  <c r="CU65" i="27" a="1"/>
  <c r="CU65" i="27" s="1"/>
  <c r="CT60" i="27" a="1"/>
  <c r="CT60" i="27" s="1"/>
  <c r="EO132" i="27" a="1"/>
  <c r="EO132" i="27" s="1"/>
  <c r="DA102" i="27" a="1"/>
  <c r="DA102" i="27" s="1"/>
  <c r="DB67" i="27" a="1"/>
  <c r="DB67" i="27" s="1"/>
  <c r="CT130" i="27" a="1"/>
  <c r="CT130" i="27" s="1"/>
  <c r="CV111" i="27" a="1"/>
  <c r="CV111" i="27" s="1"/>
  <c r="CV91" i="27" a="1"/>
  <c r="CV91" i="27" s="1"/>
  <c r="CT81" i="27" a="1"/>
  <c r="CT81" i="27" s="1"/>
  <c r="CU70" i="27" a="1"/>
  <c r="CU70" i="27" s="1"/>
  <c r="CV128" i="27" a="1"/>
  <c r="CV128" i="27" s="1"/>
  <c r="CV90" i="27" a="1"/>
  <c r="CV90" i="27" s="1"/>
  <c r="CV74" i="27" a="1"/>
  <c r="CV74" i="27" s="1"/>
  <c r="CV58" i="27" a="1"/>
  <c r="CV58" i="27" s="1"/>
  <c r="DC64" i="27" a="1"/>
  <c r="DC64" i="27" s="1"/>
  <c r="CT115" i="27" a="1"/>
  <c r="CT115" i="27" s="1"/>
  <c r="CU89" i="27" a="1"/>
  <c r="CU89" i="27" s="1"/>
  <c r="CT68" i="27" a="1"/>
  <c r="CT68" i="27" s="1"/>
  <c r="EH80" i="27" a="1"/>
  <c r="EH80" i="27" s="1"/>
  <c r="DH75" i="27" a="1"/>
  <c r="DH75" i="27" s="1"/>
  <c r="DB111" i="27" a="1"/>
  <c r="DB111" i="27" s="1"/>
  <c r="DA71" i="27" a="1"/>
  <c r="DA71" i="27" s="1"/>
  <c r="CT133" i="27" a="1"/>
  <c r="CT133" i="27" s="1"/>
  <c r="CV108" i="27" a="1"/>
  <c r="CV108" i="27" s="1"/>
  <c r="CT89" i="27" a="1"/>
  <c r="CT89" i="27" s="1"/>
  <c r="CV67" i="27" a="1"/>
  <c r="CV67" i="27" s="1"/>
  <c r="EQ126" i="27" a="1"/>
  <c r="EQ126" i="27" s="1"/>
  <c r="EI120" i="27" a="1"/>
  <c r="EI120" i="27" s="1"/>
  <c r="DJ112" i="27" a="1"/>
  <c r="DJ112" i="27" s="1"/>
  <c r="DJ85" i="27" a="1"/>
  <c r="DJ85" i="27" s="1"/>
  <c r="DJ58" i="27" a="1"/>
  <c r="DJ58" i="27" s="1"/>
  <c r="DB132" i="27" a="1"/>
  <c r="DB132" i="27" s="1"/>
  <c r="DB117" i="27" a="1"/>
  <c r="DB117" i="27" s="1"/>
  <c r="DC99" i="27" a="1"/>
  <c r="DC99" i="27" s="1"/>
  <c r="DC83" i="27" a="1"/>
  <c r="DC83" i="27" s="1"/>
  <c r="DA74" i="27" a="1"/>
  <c r="DA74" i="27" s="1"/>
  <c r="DB66" i="27" a="1"/>
  <c r="DB66" i="27" s="1"/>
  <c r="DB60" i="27" a="1"/>
  <c r="DB60" i="27" s="1"/>
  <c r="CU135" i="27" a="1"/>
  <c r="CU135" i="27" s="1"/>
  <c r="CT129" i="27" a="1"/>
  <c r="CT129" i="27" s="1"/>
  <c r="CT123" i="27" a="1"/>
  <c r="CT123" i="27" s="1"/>
  <c r="CT117" i="27" a="1"/>
  <c r="CT117" i="27" s="1"/>
  <c r="CT111" i="27" a="1"/>
  <c r="CT111" i="27" s="1"/>
  <c r="CV104" i="27" a="1"/>
  <c r="CV104" i="27" s="1"/>
  <c r="CU99" i="27" a="1"/>
  <c r="CU99" i="27" s="1"/>
  <c r="CT91" i="27" a="1"/>
  <c r="CT91" i="27" s="1"/>
  <c r="CV85" i="27" a="1"/>
  <c r="CV85" i="27" s="1"/>
  <c r="CU80" i="27" a="1"/>
  <c r="CU80" i="27" s="1"/>
  <c r="CT75" i="27" a="1"/>
  <c r="CT75" i="27" s="1"/>
  <c r="CV69" i="27" a="1"/>
  <c r="CV69" i="27" s="1"/>
  <c r="CU64" i="27" a="1"/>
  <c r="CU64" i="27" s="1"/>
  <c r="CT59" i="27" a="1"/>
  <c r="CT59" i="27" s="1"/>
  <c r="EQ110" i="27" a="1"/>
  <c r="EQ110" i="27" s="1"/>
  <c r="EI104" i="27" a="1"/>
  <c r="EI104" i="27" s="1"/>
  <c r="DJ111" i="27" a="1"/>
  <c r="DJ111" i="27" s="1"/>
  <c r="DJ77" i="27" a="1"/>
  <c r="DJ77" i="27" s="1"/>
  <c r="DI58" i="27" a="1"/>
  <c r="DI58" i="27" s="1"/>
  <c r="DA130" i="27" a="1"/>
  <c r="DA130" i="27" s="1"/>
  <c r="DD130" i="27" s="1"/>
  <c r="DA114" i="27" a="1"/>
  <c r="DA114" i="27" s="1"/>
  <c r="DB99" i="27" a="1"/>
  <c r="DB99" i="27" s="1"/>
  <c r="DA82" i="27" a="1"/>
  <c r="DA82" i="27" s="1"/>
  <c r="DC73" i="27" a="1"/>
  <c r="DC73" i="27" s="1"/>
  <c r="DA66" i="27" a="1"/>
  <c r="DA66" i="27" s="1"/>
  <c r="DA60" i="27" a="1"/>
  <c r="DA60" i="27" s="1"/>
  <c r="CT135" i="27" a="1"/>
  <c r="CT135" i="27" s="1"/>
  <c r="CV116" i="27" a="1"/>
  <c r="CV116" i="27" s="1"/>
  <c r="CU104" i="27" a="1"/>
  <c r="CU104" i="27" s="1"/>
  <c r="CU85" i="27" a="1"/>
  <c r="CU85" i="27" s="1"/>
  <c r="CT64" i="27" a="1"/>
  <c r="CT64" i="27" s="1"/>
  <c r="EP105" i="27" a="1"/>
  <c r="EP105" i="27" s="1"/>
  <c r="DH110" i="27" a="1"/>
  <c r="DH110" i="27" s="1"/>
  <c r="DJ52" i="27" a="1"/>
  <c r="DJ52" i="27" s="1"/>
  <c r="DC111" i="27" a="1"/>
  <c r="DC111" i="27" s="1"/>
  <c r="DB81" i="27" a="1"/>
  <c r="DB81" i="27" s="1"/>
  <c r="CU133" i="27" a="1"/>
  <c r="CU133" i="27" s="1"/>
  <c r="CU127" i="27" a="1"/>
  <c r="CU127" i="27" s="1"/>
  <c r="CT103" i="27" a="1"/>
  <c r="CT103" i="27" s="1"/>
  <c r="CV78" i="27" a="1"/>
  <c r="CV78" i="27" s="1"/>
  <c r="CV62" i="27" a="1"/>
  <c r="CV62" i="27" s="1"/>
  <c r="DB126" i="27" a="1"/>
  <c r="DB126" i="27" s="1"/>
  <c r="DA79" i="27" a="1"/>
  <c r="DA79" i="27" s="1"/>
  <c r="DA58" i="27" a="1"/>
  <c r="DA58" i="27" s="1"/>
  <c r="CV120" i="27" a="1"/>
  <c r="CV120" i="27" s="1"/>
  <c r="CV102" i="27" a="1"/>
  <c r="CV102" i="27" s="1"/>
  <c r="CU78" i="27" a="1"/>
  <c r="CU78" i="27" s="1"/>
  <c r="CT57" i="27" a="1"/>
  <c r="CT57" i="27" s="1"/>
  <c r="CK122" i="27" a="1"/>
  <c r="CK122" i="27" s="1"/>
  <c r="CM120" i="27" a="1"/>
  <c r="CM120" i="27" s="1"/>
  <c r="CO118" i="27" a="1"/>
  <c r="CO118" i="27" s="1"/>
  <c r="CL117" i="27" a="1"/>
  <c r="CL117" i="27" s="1"/>
  <c r="CN115" i="27" a="1"/>
  <c r="CN115" i="27" s="1"/>
  <c r="CK114" i="27" a="1"/>
  <c r="CK114" i="27" s="1"/>
  <c r="CM112" i="27" a="1"/>
  <c r="CM112" i="27" s="1"/>
  <c r="CO110" i="27" a="1"/>
  <c r="CO110" i="27" s="1"/>
  <c r="CL109" i="27" a="1"/>
  <c r="CL109" i="27" s="1"/>
  <c r="CN107" i="27" a="1"/>
  <c r="CN107" i="27" s="1"/>
  <c r="CK106" i="27" a="1"/>
  <c r="CK106" i="27" s="1"/>
  <c r="CM104" i="27" a="1"/>
  <c r="CM104" i="27" s="1"/>
  <c r="CO102" i="27" a="1"/>
  <c r="CO102" i="27" s="1"/>
  <c r="CL101" i="27" a="1"/>
  <c r="CL101" i="27" s="1"/>
  <c r="CN99" i="27" a="1"/>
  <c r="CN99" i="27" s="1"/>
  <c r="CK98" i="27" a="1"/>
  <c r="CK98" i="27" s="1"/>
  <c r="CM96" i="27" a="1"/>
  <c r="CM96" i="27" s="1"/>
  <c r="CO94" i="27" a="1"/>
  <c r="CO94" i="27" s="1"/>
  <c r="CL93" i="27" a="1"/>
  <c r="CL93" i="27" s="1"/>
  <c r="CN91" i="27" a="1"/>
  <c r="CN91" i="27" s="1"/>
  <c r="CK90" i="27" a="1"/>
  <c r="CK90" i="27" s="1"/>
  <c r="CM88" i="27" a="1"/>
  <c r="CM88" i="27" s="1"/>
  <c r="CO83" i="27" a="1"/>
  <c r="CO83" i="27" s="1"/>
  <c r="CL82" i="27" a="1"/>
  <c r="CL82" i="27" s="1"/>
  <c r="CN80" i="27" a="1"/>
  <c r="CN80" i="27" s="1"/>
  <c r="CK79" i="27" a="1"/>
  <c r="CK79" i="27" s="1"/>
  <c r="CM77" i="27" a="1"/>
  <c r="CM77" i="27" s="1"/>
  <c r="CO75" i="27" a="1"/>
  <c r="CO75" i="27" s="1"/>
  <c r="CL74" i="27" a="1"/>
  <c r="CL74" i="27" s="1"/>
  <c r="CN72" i="27" a="1"/>
  <c r="CN72" i="27" s="1"/>
  <c r="CK71" i="27" a="1"/>
  <c r="CK71" i="27" s="1"/>
  <c r="CM69" i="27" a="1"/>
  <c r="CM69" i="27" s="1"/>
  <c r="CO67" i="27" a="1"/>
  <c r="CO67" i="27" s="1"/>
  <c r="CL66" i="27" a="1"/>
  <c r="CL66" i="27" s="1"/>
  <c r="CN64" i="27" a="1"/>
  <c r="CN64" i="27" s="1"/>
  <c r="CK63" i="27" a="1"/>
  <c r="CK63" i="27" s="1"/>
  <c r="CM61" i="27" a="1"/>
  <c r="CM61" i="27" s="1"/>
  <c r="CO59" i="27" a="1"/>
  <c r="CO59" i="27" s="1"/>
  <c r="CL58" i="27" a="1"/>
  <c r="CL58" i="27" s="1"/>
  <c r="CN56" i="27" a="1"/>
  <c r="CN56" i="27" s="1"/>
  <c r="CK55" i="27" a="1"/>
  <c r="CK55" i="27" s="1"/>
  <c r="CM53" i="27" a="1"/>
  <c r="CM53" i="27" s="1"/>
  <c r="CO51" i="27" a="1"/>
  <c r="CO51" i="27" s="1"/>
  <c r="CL50" i="27" a="1"/>
  <c r="CL50" i="27" s="1"/>
  <c r="CO121" i="27" a="1"/>
  <c r="CO121" i="27" s="1"/>
  <c r="CL120" i="27" a="1"/>
  <c r="CL120" i="27" s="1"/>
  <c r="CN118" i="27" a="1"/>
  <c r="CN118" i="27" s="1"/>
  <c r="CK117" i="27" a="1"/>
  <c r="CK117" i="27" s="1"/>
  <c r="CM115" i="27" a="1"/>
  <c r="CM115" i="27" s="1"/>
  <c r="CO113" i="27" a="1"/>
  <c r="CO113" i="27" s="1"/>
  <c r="CL112" i="27" a="1"/>
  <c r="CL112" i="27" s="1"/>
  <c r="CN110" i="27" a="1"/>
  <c r="CN110" i="27" s="1"/>
  <c r="CK109" i="27" a="1"/>
  <c r="CK109" i="27" s="1"/>
  <c r="CM107" i="27" a="1"/>
  <c r="CM107" i="27" s="1"/>
  <c r="CO105" i="27" a="1"/>
  <c r="CO105" i="27" s="1"/>
  <c r="CL104" i="27" a="1"/>
  <c r="CL104" i="27" s="1"/>
  <c r="CN102" i="27" a="1"/>
  <c r="CN102" i="27" s="1"/>
  <c r="CK101" i="27" a="1"/>
  <c r="CK101" i="27" s="1"/>
  <c r="CM99" i="27" a="1"/>
  <c r="CM99" i="27" s="1"/>
  <c r="CO97" i="27" a="1"/>
  <c r="CO97" i="27" s="1"/>
  <c r="CL96" i="27" a="1"/>
  <c r="CL96" i="27" s="1"/>
  <c r="CN94" i="27" a="1"/>
  <c r="CN94" i="27" s="1"/>
  <c r="CK93" i="27" a="1"/>
  <c r="CK93" i="27" s="1"/>
  <c r="CM91" i="27" a="1"/>
  <c r="CM91" i="27" s="1"/>
  <c r="CO89" i="27" a="1"/>
  <c r="CO89" i="27" s="1"/>
  <c r="CL88" i="27" a="1"/>
  <c r="CL88" i="27" s="1"/>
  <c r="CN83" i="27" a="1"/>
  <c r="CN83" i="27" s="1"/>
  <c r="CK82" i="27" a="1"/>
  <c r="CK82" i="27" s="1"/>
  <c r="CM80" i="27" a="1"/>
  <c r="CM80" i="27" s="1"/>
  <c r="CO78" i="27" a="1"/>
  <c r="CO78" i="27" s="1"/>
  <c r="CL77" i="27" a="1"/>
  <c r="CL77" i="27" s="1"/>
  <c r="CN75" i="27" a="1"/>
  <c r="CN75" i="27" s="1"/>
  <c r="CK74" i="27" a="1"/>
  <c r="CK74" i="27" s="1"/>
  <c r="CM72" i="27" a="1"/>
  <c r="CM72" i="27" s="1"/>
  <c r="CO70" i="27" a="1"/>
  <c r="CO70" i="27" s="1"/>
  <c r="CL69" i="27" a="1"/>
  <c r="CL69" i="27" s="1"/>
  <c r="CN67" i="27" a="1"/>
  <c r="CN67" i="27" s="1"/>
  <c r="CK66" i="27" a="1"/>
  <c r="CK66" i="27" s="1"/>
  <c r="CM64" i="27" a="1"/>
  <c r="CM64" i="27" s="1"/>
  <c r="CO62" i="27" a="1"/>
  <c r="CO62" i="27" s="1"/>
  <c r="CL61" i="27" a="1"/>
  <c r="CL61" i="27" s="1"/>
  <c r="CN59" i="27" a="1"/>
  <c r="CN59" i="27" s="1"/>
  <c r="CK58" i="27" a="1"/>
  <c r="CK58" i="27" s="1"/>
  <c r="CM56" i="27" a="1"/>
  <c r="CM56" i="27" s="1"/>
  <c r="CO54" i="27" a="1"/>
  <c r="CO54" i="27" s="1"/>
  <c r="CL53" i="27" a="1"/>
  <c r="CL53" i="27" s="1"/>
  <c r="CN51" i="27" a="1"/>
  <c r="CN51" i="27" s="1"/>
  <c r="CK50" i="27" a="1"/>
  <c r="CK50" i="27" s="1"/>
  <c r="CN121" i="27" a="1"/>
  <c r="CN121" i="27" s="1"/>
  <c r="CK120" i="27" a="1"/>
  <c r="CK120" i="27" s="1"/>
  <c r="CM118" i="27" a="1"/>
  <c r="CM118" i="27" s="1"/>
  <c r="CO116" i="27" a="1"/>
  <c r="CO116" i="27" s="1"/>
  <c r="CL115" i="27" a="1"/>
  <c r="CL115" i="27" s="1"/>
  <c r="CN113" i="27" a="1"/>
  <c r="CN113" i="27" s="1"/>
  <c r="CK112" i="27" a="1"/>
  <c r="CK112" i="27" s="1"/>
  <c r="CM110" i="27" a="1"/>
  <c r="CM110" i="27" s="1"/>
  <c r="CO108" i="27" a="1"/>
  <c r="CO108" i="27" s="1"/>
  <c r="CL107" i="27" a="1"/>
  <c r="CL107" i="27" s="1"/>
  <c r="CN105" i="27" a="1"/>
  <c r="CN105" i="27" s="1"/>
  <c r="CK104" i="27" a="1"/>
  <c r="CK104" i="27" s="1"/>
  <c r="CM102" i="27" a="1"/>
  <c r="CM102" i="27" s="1"/>
  <c r="CO100" i="27" a="1"/>
  <c r="CO100" i="27" s="1"/>
  <c r="CL99" i="27" a="1"/>
  <c r="CL99" i="27" s="1"/>
  <c r="CN97" i="27" a="1"/>
  <c r="CN97" i="27" s="1"/>
  <c r="CK96" i="27" a="1"/>
  <c r="CK96" i="27" s="1"/>
  <c r="CM94" i="27" a="1"/>
  <c r="CM94" i="27" s="1"/>
  <c r="CO92" i="27" a="1"/>
  <c r="CO92" i="27" s="1"/>
  <c r="CL91" i="27" a="1"/>
  <c r="CL91" i="27" s="1"/>
  <c r="CN89" i="27" a="1"/>
  <c r="CN89" i="27" s="1"/>
  <c r="CK88" i="27" a="1"/>
  <c r="CK88" i="27" s="1"/>
  <c r="CM83" i="27" a="1"/>
  <c r="CM83" i="27" s="1"/>
  <c r="CO81" i="27" a="1"/>
  <c r="CO81" i="27" s="1"/>
  <c r="CL80" i="27" a="1"/>
  <c r="CL80" i="27" s="1"/>
  <c r="CN78" i="27" a="1"/>
  <c r="CN78" i="27" s="1"/>
  <c r="CK77" i="27" a="1"/>
  <c r="CK77" i="27" s="1"/>
  <c r="CM75" i="27" a="1"/>
  <c r="CM75" i="27" s="1"/>
  <c r="CO73" i="27" a="1"/>
  <c r="CO73" i="27" s="1"/>
  <c r="CL72" i="27" a="1"/>
  <c r="CL72" i="27" s="1"/>
  <c r="CN70" i="27" a="1"/>
  <c r="CN70" i="27" s="1"/>
  <c r="CK69" i="27" a="1"/>
  <c r="CK69" i="27" s="1"/>
  <c r="CM67" i="27" a="1"/>
  <c r="CM67" i="27" s="1"/>
  <c r="CO65" i="27" a="1"/>
  <c r="CO65" i="27" s="1"/>
  <c r="CL64" i="27" a="1"/>
  <c r="CL64" i="27" s="1"/>
  <c r="CN62" i="27" a="1"/>
  <c r="CN62" i="27" s="1"/>
  <c r="CK61" i="27" a="1"/>
  <c r="CK61" i="27" s="1"/>
  <c r="CM59" i="27" a="1"/>
  <c r="CM59" i="27" s="1"/>
  <c r="CO57" i="27" a="1"/>
  <c r="CO57" i="27" s="1"/>
  <c r="CL56" i="27" a="1"/>
  <c r="CL56" i="27" s="1"/>
  <c r="CN54" i="27" a="1"/>
  <c r="CN54" i="27" s="1"/>
  <c r="CK53" i="27" a="1"/>
  <c r="CK53" i="27" s="1"/>
  <c r="CM51" i="27" a="1"/>
  <c r="CM51" i="27" s="1"/>
  <c r="CN122" i="27" a="1"/>
  <c r="CN122" i="27" s="1"/>
  <c r="CK121" i="27" a="1"/>
  <c r="CK121" i="27" s="1"/>
  <c r="CM119" i="27" a="1"/>
  <c r="CM119" i="27" s="1"/>
  <c r="CO117" i="27" a="1"/>
  <c r="CO117" i="27" s="1"/>
  <c r="CL116" i="27" a="1"/>
  <c r="CL116" i="27" s="1"/>
  <c r="CN114" i="27" a="1"/>
  <c r="CN114" i="27" s="1"/>
  <c r="CK113" i="27" a="1"/>
  <c r="CK113" i="27" s="1"/>
  <c r="CM111" i="27" a="1"/>
  <c r="CM111" i="27" s="1"/>
  <c r="CO109" i="27" a="1"/>
  <c r="CO109" i="27" s="1"/>
  <c r="CL108" i="27" a="1"/>
  <c r="CL108" i="27" s="1"/>
  <c r="CN106" i="27" a="1"/>
  <c r="CN106" i="27" s="1"/>
  <c r="CK105" i="27" a="1"/>
  <c r="CK105" i="27" s="1"/>
  <c r="CM103" i="27" a="1"/>
  <c r="CM103" i="27" s="1"/>
  <c r="CO101" i="27" a="1"/>
  <c r="CO101" i="27" s="1"/>
  <c r="CL100" i="27" a="1"/>
  <c r="CL100" i="27" s="1"/>
  <c r="CN98" i="27" a="1"/>
  <c r="CN98" i="27" s="1"/>
  <c r="CK97" i="27" a="1"/>
  <c r="CK97" i="27" s="1"/>
  <c r="CM95" i="27" a="1"/>
  <c r="CM95" i="27" s="1"/>
  <c r="CO93" i="27" a="1"/>
  <c r="CO93" i="27" s="1"/>
  <c r="CL92" i="27" a="1"/>
  <c r="CL92" i="27" s="1"/>
  <c r="CN90" i="27" a="1"/>
  <c r="CN90" i="27" s="1"/>
  <c r="CK89" i="27" a="1"/>
  <c r="CK89" i="27" s="1"/>
  <c r="CM84" i="27" a="1"/>
  <c r="CM84" i="27" s="1"/>
  <c r="CO82" i="27" a="1"/>
  <c r="CO82" i="27" s="1"/>
  <c r="CL81" i="27" a="1"/>
  <c r="CL81" i="27" s="1"/>
  <c r="CN79" i="27" a="1"/>
  <c r="CN79" i="27" s="1"/>
  <c r="CK78" i="27" a="1"/>
  <c r="CK78" i="27" s="1"/>
  <c r="CM76" i="27" a="1"/>
  <c r="CM76" i="27" s="1"/>
  <c r="CO74" i="27" a="1"/>
  <c r="CO74" i="27" s="1"/>
  <c r="CL73" i="27" a="1"/>
  <c r="CL73" i="27" s="1"/>
  <c r="CN71" i="27" a="1"/>
  <c r="CN71" i="27" s="1"/>
  <c r="CK70" i="27" a="1"/>
  <c r="CK70" i="27" s="1"/>
  <c r="CM68" i="27" a="1"/>
  <c r="CM68" i="27" s="1"/>
  <c r="CO66" i="27" a="1"/>
  <c r="CO66" i="27" s="1"/>
  <c r="CL65" i="27" a="1"/>
  <c r="CL65" i="27" s="1"/>
  <c r="CN63" i="27" a="1"/>
  <c r="CN63" i="27" s="1"/>
  <c r="CK62" i="27" a="1"/>
  <c r="CK62" i="27" s="1"/>
  <c r="CM60" i="27" a="1"/>
  <c r="CM60" i="27" s="1"/>
  <c r="CO58" i="27" a="1"/>
  <c r="CO58" i="27" s="1"/>
  <c r="CL57" i="27" a="1"/>
  <c r="CL57" i="27" s="1"/>
  <c r="CN55" i="27" a="1"/>
  <c r="CN55" i="27" s="1"/>
  <c r="CK54" i="27" a="1"/>
  <c r="CK54" i="27" s="1"/>
  <c r="CM52" i="27" a="1"/>
  <c r="CM52" i="27" s="1"/>
  <c r="CO50" i="27" a="1"/>
  <c r="CO50" i="27" s="1"/>
  <c r="CL121" i="27" a="1"/>
  <c r="CL121" i="27" s="1"/>
  <c r="CK118" i="27" a="1"/>
  <c r="CK118" i="27" s="1"/>
  <c r="CO114" i="27" a="1"/>
  <c r="CO114" i="27" s="1"/>
  <c r="CN111" i="27" a="1"/>
  <c r="CN111" i="27" s="1"/>
  <c r="CM108" i="27" a="1"/>
  <c r="CM108" i="27" s="1"/>
  <c r="CL105" i="27" a="1"/>
  <c r="CL105" i="27" s="1"/>
  <c r="CK102" i="27" a="1"/>
  <c r="CK102" i="27" s="1"/>
  <c r="CO98" i="27" a="1"/>
  <c r="CO98" i="27" s="1"/>
  <c r="CN95" i="27" a="1"/>
  <c r="CN95" i="27" s="1"/>
  <c r="CM92" i="27" a="1"/>
  <c r="CM92" i="27" s="1"/>
  <c r="CL89" i="27" a="1"/>
  <c r="CL89" i="27" s="1"/>
  <c r="CK83" i="27" a="1"/>
  <c r="CK83" i="27" s="1"/>
  <c r="CO79" i="27" a="1"/>
  <c r="CO79" i="27" s="1"/>
  <c r="CN76" i="27" a="1"/>
  <c r="CN76" i="27" s="1"/>
  <c r="CM73" i="27" a="1"/>
  <c r="CM73" i="27" s="1"/>
  <c r="CL70" i="27" a="1"/>
  <c r="CL70" i="27" s="1"/>
  <c r="CK67" i="27" a="1"/>
  <c r="CK67" i="27" s="1"/>
  <c r="CO63" i="27" a="1"/>
  <c r="CO63" i="27" s="1"/>
  <c r="CN60" i="27" a="1"/>
  <c r="CN60" i="27" s="1"/>
  <c r="CM57" i="27" a="1"/>
  <c r="CM57" i="27" s="1"/>
  <c r="CL54" i="27" a="1"/>
  <c r="CL54" i="27" s="1"/>
  <c r="CK51" i="27" a="1"/>
  <c r="CK51" i="27" s="1"/>
  <c r="CO119" i="27" a="1"/>
  <c r="CO119" i="27" s="1"/>
  <c r="CL110" i="27" a="1"/>
  <c r="CL110" i="27" s="1"/>
  <c r="CN100" i="27" a="1"/>
  <c r="CN100" i="27" s="1"/>
  <c r="CL94" i="27" a="1"/>
  <c r="CL94" i="27" s="1"/>
  <c r="CN81" i="27" a="1"/>
  <c r="CN81" i="27" s="1"/>
  <c r="CK72" i="27" a="1"/>
  <c r="CK72" i="27" s="1"/>
  <c r="CM62" i="27" a="1"/>
  <c r="CM62" i="27" s="1"/>
  <c r="CO52" i="27" a="1"/>
  <c r="CO52" i="27" s="1"/>
  <c r="CO120" i="27" a="1"/>
  <c r="CO120" i="27" s="1"/>
  <c r="CN117" i="27" a="1"/>
  <c r="CN117" i="27" s="1"/>
  <c r="CM114" i="27" a="1"/>
  <c r="CM114" i="27" s="1"/>
  <c r="CL111" i="27" a="1"/>
  <c r="CL111" i="27" s="1"/>
  <c r="CK108" i="27" a="1"/>
  <c r="CK108" i="27" s="1"/>
  <c r="CO104" i="27" a="1"/>
  <c r="CO104" i="27" s="1"/>
  <c r="CN101" i="27" a="1"/>
  <c r="CN101" i="27" s="1"/>
  <c r="CM98" i="27" a="1"/>
  <c r="CM98" i="27" s="1"/>
  <c r="CL95" i="27" a="1"/>
  <c r="CL95" i="27" s="1"/>
  <c r="CK92" i="27" a="1"/>
  <c r="CK92" i="27" s="1"/>
  <c r="CO88" i="27" a="1"/>
  <c r="CO88" i="27" s="1"/>
  <c r="CN82" i="27" a="1"/>
  <c r="CN82" i="27" s="1"/>
  <c r="CM79" i="27" a="1"/>
  <c r="CM79" i="27" s="1"/>
  <c r="CL76" i="27" a="1"/>
  <c r="CL76" i="27" s="1"/>
  <c r="CK73" i="27" a="1"/>
  <c r="CK73" i="27" s="1"/>
  <c r="CO69" i="27" a="1"/>
  <c r="CO69" i="27" s="1"/>
  <c r="CN66" i="27" a="1"/>
  <c r="CN66" i="27" s="1"/>
  <c r="CM63" i="27" a="1"/>
  <c r="CM63" i="27" s="1"/>
  <c r="CL60" i="27" a="1"/>
  <c r="CL60" i="27" s="1"/>
  <c r="CK57" i="27" a="1"/>
  <c r="CK57" i="27" s="1"/>
  <c r="CO53" i="27" a="1"/>
  <c r="CO53" i="27" s="1"/>
  <c r="CN50" i="27" a="1"/>
  <c r="CN50" i="27" s="1"/>
  <c r="CM113" i="27" a="1"/>
  <c r="CM113" i="27" s="1"/>
  <c r="CO103" i="27" a="1"/>
  <c r="CO103" i="27" s="1"/>
  <c r="CK91" i="27" a="1"/>
  <c r="CK91" i="27" s="1"/>
  <c r="CM78" i="27" a="1"/>
  <c r="CM78" i="27" s="1"/>
  <c r="CO68" i="27" a="1"/>
  <c r="CO68" i="27" s="1"/>
  <c r="CL59" i="27" a="1"/>
  <c r="CL59" i="27" s="1"/>
  <c r="CN120" i="27" a="1"/>
  <c r="CN120" i="27" s="1"/>
  <c r="CM117" i="27" a="1"/>
  <c r="CM117" i="27" s="1"/>
  <c r="CL114" i="27" a="1"/>
  <c r="CL114" i="27" s="1"/>
  <c r="CK111" i="27" a="1"/>
  <c r="CK111" i="27" s="1"/>
  <c r="CO107" i="27" a="1"/>
  <c r="CO107" i="27" s="1"/>
  <c r="CN104" i="27" a="1"/>
  <c r="CN104" i="27" s="1"/>
  <c r="CM101" i="27" a="1"/>
  <c r="CM101" i="27" s="1"/>
  <c r="CL98" i="27" a="1"/>
  <c r="CL98" i="27" s="1"/>
  <c r="CK95" i="27" a="1"/>
  <c r="CK95" i="27" s="1"/>
  <c r="CO91" i="27" a="1"/>
  <c r="CO91" i="27" s="1"/>
  <c r="CN88" i="27" a="1"/>
  <c r="CN88" i="27" s="1"/>
  <c r="CM82" i="27" a="1"/>
  <c r="CM82" i="27" s="1"/>
  <c r="CL79" i="27" a="1"/>
  <c r="CL79" i="27" s="1"/>
  <c r="CK76" i="27" a="1"/>
  <c r="CK76" i="27" s="1"/>
  <c r="CO72" i="27" a="1"/>
  <c r="CO72" i="27" s="1"/>
  <c r="CN69" i="27" a="1"/>
  <c r="CN69" i="27" s="1"/>
  <c r="CM66" i="27" a="1"/>
  <c r="CM66" i="27" s="1"/>
  <c r="CL63" i="27" a="1"/>
  <c r="CL63" i="27" s="1"/>
  <c r="CK60" i="27" a="1"/>
  <c r="CK60" i="27" s="1"/>
  <c r="CO56" i="27" a="1"/>
  <c r="CO56" i="27" s="1"/>
  <c r="CN53" i="27" a="1"/>
  <c r="CN53" i="27" s="1"/>
  <c r="CM50" i="27" a="1"/>
  <c r="CM50" i="27" s="1"/>
  <c r="CN116" i="27" a="1"/>
  <c r="CN116" i="27" s="1"/>
  <c r="CK107" i="27" a="1"/>
  <c r="CK107" i="27" s="1"/>
  <c r="CM97" i="27" a="1"/>
  <c r="CM97" i="27" s="1"/>
  <c r="CO84" i="27" a="1"/>
  <c r="CO84" i="27" s="1"/>
  <c r="CL75" i="27" a="1"/>
  <c r="CL75" i="27" s="1"/>
  <c r="CN65" i="27" a="1"/>
  <c r="CN65" i="27" s="1"/>
  <c r="CK56" i="27" a="1"/>
  <c r="CK56" i="27" s="1"/>
  <c r="CM122" i="27" a="1"/>
  <c r="CM122" i="27" s="1"/>
  <c r="CL119" i="27" a="1"/>
  <c r="CL119" i="27" s="1"/>
  <c r="CK116" i="27" a="1"/>
  <c r="CK116" i="27" s="1"/>
  <c r="CO112" i="27" a="1"/>
  <c r="CO112" i="27" s="1"/>
  <c r="CN109" i="27" a="1"/>
  <c r="CN109" i="27" s="1"/>
  <c r="CM106" i="27" a="1"/>
  <c r="CM106" i="27" s="1"/>
  <c r="CL103" i="27" a="1"/>
  <c r="CL103" i="27" s="1"/>
  <c r="CK100" i="27" a="1"/>
  <c r="CK100" i="27" s="1"/>
  <c r="CO96" i="27" a="1"/>
  <c r="CO96" i="27" s="1"/>
  <c r="CN93" i="27" a="1"/>
  <c r="CN93" i="27" s="1"/>
  <c r="CM90" i="27" a="1"/>
  <c r="CM90" i="27" s="1"/>
  <c r="CL84" i="27" a="1"/>
  <c r="CL84" i="27" s="1"/>
  <c r="CK81" i="27" a="1"/>
  <c r="CK81" i="27" s="1"/>
  <c r="CO77" i="27" a="1"/>
  <c r="CO77" i="27" s="1"/>
  <c r="CN74" i="27" a="1"/>
  <c r="CN74" i="27" s="1"/>
  <c r="CM71" i="27" a="1"/>
  <c r="CM71" i="27" s="1"/>
  <c r="CL68" i="27" a="1"/>
  <c r="CL68" i="27" s="1"/>
  <c r="CK65" i="27" a="1"/>
  <c r="CK65" i="27" s="1"/>
  <c r="CO61" i="27" a="1"/>
  <c r="CO61" i="27" s="1"/>
  <c r="CN58" i="27" a="1"/>
  <c r="CN58" i="27" s="1"/>
  <c r="CM55" i="27" a="1"/>
  <c r="CM55" i="27" s="1"/>
  <c r="CL52" i="27" a="1"/>
  <c r="CL52" i="27" s="1"/>
  <c r="CL122" i="27" a="1"/>
  <c r="CL122" i="27" s="1"/>
  <c r="CK119" i="27" a="1"/>
  <c r="CK119" i="27" s="1"/>
  <c r="CO115" i="27" a="1"/>
  <c r="CO115" i="27" s="1"/>
  <c r="CN112" i="27" a="1"/>
  <c r="CN112" i="27" s="1"/>
  <c r="CM109" i="27" a="1"/>
  <c r="CM109" i="27" s="1"/>
  <c r="CL106" i="27" a="1"/>
  <c r="CL106" i="27" s="1"/>
  <c r="CK103" i="27" a="1"/>
  <c r="CK103" i="27" s="1"/>
  <c r="CO99" i="27" a="1"/>
  <c r="CO99" i="27" s="1"/>
  <c r="CN96" i="27" a="1"/>
  <c r="CN96" i="27" s="1"/>
  <c r="CM93" i="27" a="1"/>
  <c r="CM93" i="27" s="1"/>
  <c r="CL90" i="27" a="1"/>
  <c r="CL90" i="27" s="1"/>
  <c r="CK84" i="27" a="1"/>
  <c r="CK84" i="27" s="1"/>
  <c r="CO80" i="27" a="1"/>
  <c r="CO80" i="27" s="1"/>
  <c r="CN77" i="27" a="1"/>
  <c r="CN77" i="27" s="1"/>
  <c r="CM74" i="27" a="1"/>
  <c r="CM74" i="27" s="1"/>
  <c r="CL71" i="27" a="1"/>
  <c r="CL71" i="27" s="1"/>
  <c r="CK68" i="27" a="1"/>
  <c r="CK68" i="27" s="1"/>
  <c r="CO64" i="27" a="1"/>
  <c r="CO64" i="27" s="1"/>
  <c r="CN61" i="27" a="1"/>
  <c r="CN61" i="27" s="1"/>
  <c r="CM58" i="27" a="1"/>
  <c r="CM58" i="27" s="1"/>
  <c r="CL55" i="27" a="1"/>
  <c r="CL55" i="27" s="1"/>
  <c r="CK52" i="27" a="1"/>
  <c r="CK52" i="27" s="1"/>
  <c r="CM116" i="27" a="1"/>
  <c r="CM116" i="27" s="1"/>
  <c r="CN103" i="27" a="1"/>
  <c r="CN103" i="27" s="1"/>
  <c r="CO90" i="27" a="1"/>
  <c r="CO90" i="27" s="1"/>
  <c r="CK75" i="27" a="1"/>
  <c r="CK75" i="27" s="1"/>
  <c r="CL62" i="27" a="1"/>
  <c r="CL62" i="27" s="1"/>
  <c r="CK115" i="27" a="1"/>
  <c r="CK115" i="27" s="1"/>
  <c r="CL102" i="27" a="1"/>
  <c r="CL102" i="27" s="1"/>
  <c r="CM89" i="27" a="1"/>
  <c r="CM89" i="27" s="1"/>
  <c r="CN73" i="27" a="1"/>
  <c r="CN73" i="27" s="1"/>
  <c r="CO60" i="27" a="1"/>
  <c r="CO60" i="27" s="1"/>
  <c r="CL67" i="27" a="1"/>
  <c r="CL67" i="27" s="1"/>
  <c r="CM65" i="27" a="1"/>
  <c r="CM65" i="27" s="1"/>
  <c r="CM105" i="27" a="1"/>
  <c r="CM105" i="27" s="1"/>
  <c r="CK64" i="27" a="1"/>
  <c r="CK64" i="27" s="1"/>
  <c r="CL113" i="27" a="1"/>
  <c r="CL113" i="27" s="1"/>
  <c r="CM100" i="27" a="1"/>
  <c r="CM100" i="27" s="1"/>
  <c r="CN84" i="27" a="1"/>
  <c r="CN84" i="27" s="1"/>
  <c r="CO71" i="27" a="1"/>
  <c r="CO71" i="27" s="1"/>
  <c r="CK59" i="27" a="1"/>
  <c r="CK59" i="27" s="1"/>
  <c r="CM54" i="27" a="1"/>
  <c r="CM54" i="27" s="1"/>
  <c r="CK94" i="27" a="1"/>
  <c r="CK94" i="27" s="1"/>
  <c r="CN52" i="27" a="1"/>
  <c r="CN52" i="27" s="1"/>
  <c r="CO76" i="27" a="1"/>
  <c r="CO76" i="27" s="1"/>
  <c r="CO111" i="27" a="1"/>
  <c r="CO111" i="27" s="1"/>
  <c r="CK99" i="27" a="1"/>
  <c r="CK99" i="27" s="1"/>
  <c r="CL83" i="27" a="1"/>
  <c r="CL83" i="27" s="1"/>
  <c r="CM70" i="27" a="1"/>
  <c r="CM70" i="27" s="1"/>
  <c r="CN57" i="27" a="1"/>
  <c r="CN57" i="27" s="1"/>
  <c r="CO122" i="27" a="1"/>
  <c r="CO122" i="27" s="1"/>
  <c r="CK110" i="27" a="1"/>
  <c r="CK110" i="27" s="1"/>
  <c r="CL97" i="27" a="1"/>
  <c r="CL97" i="27" s="1"/>
  <c r="CM81" i="27" a="1"/>
  <c r="CM81" i="27" s="1"/>
  <c r="CN68" i="27" a="1"/>
  <c r="CN68" i="27" s="1"/>
  <c r="CO55" i="27" a="1"/>
  <c r="CO55" i="27" s="1"/>
  <c r="CM121" i="27" a="1"/>
  <c r="CM121" i="27" s="1"/>
  <c r="CN108" i="27" a="1"/>
  <c r="CN108" i="27" s="1"/>
  <c r="CO95" i="27" a="1"/>
  <c r="CO95" i="27" s="1"/>
  <c r="CK80" i="27" a="1"/>
  <c r="CK80" i="27" s="1"/>
  <c r="CN119" i="27" a="1"/>
  <c r="CN119" i="27" s="1"/>
  <c r="CO106" i="27" a="1"/>
  <c r="CO106" i="27" s="1"/>
  <c r="CL78" i="27" a="1"/>
  <c r="CL78" i="27" s="1"/>
  <c r="CL118" i="27" a="1"/>
  <c r="CL118" i="27" s="1"/>
  <c r="CN92" i="27" a="1"/>
  <c r="CN92" i="27" s="1"/>
  <c r="CL51" i="27" a="1"/>
  <c r="CL51" i="27" s="1"/>
  <c r="DX70" i="27" a="1"/>
  <c r="DX70" i="27" s="1"/>
  <c r="DW69" i="27" a="1"/>
  <c r="DW69" i="27" s="1"/>
  <c r="EC67" i="27" a="1"/>
  <c r="EC67" i="27" s="1"/>
  <c r="EB66" i="27" a="1"/>
  <c r="EB66" i="27" s="1"/>
  <c r="EA65" i="27" a="1"/>
  <c r="EA65" i="27" s="1"/>
  <c r="DZ64" i="27" a="1"/>
  <c r="DZ64" i="27" s="1"/>
  <c r="DY63" i="27" a="1"/>
  <c r="DY63" i="27" s="1"/>
  <c r="DX62" i="27" a="1"/>
  <c r="DX62" i="27" s="1"/>
  <c r="DW61" i="27" a="1"/>
  <c r="DW61" i="27" s="1"/>
  <c r="EC59" i="27" a="1"/>
  <c r="EC59" i="27" s="1"/>
  <c r="EB58" i="27" a="1"/>
  <c r="EB58" i="27" s="1"/>
  <c r="EA57" i="27" a="1"/>
  <c r="EA57" i="27" s="1"/>
  <c r="DZ56" i="27" a="1"/>
  <c r="DZ56" i="27" s="1"/>
  <c r="DY55" i="27" a="1"/>
  <c r="DY55" i="27" s="1"/>
  <c r="DX54" i="27" a="1"/>
  <c r="DX54" i="27" s="1"/>
  <c r="DW53" i="27" a="1"/>
  <c r="DW53" i="27" s="1"/>
  <c r="EC51" i="27" a="1"/>
  <c r="EC51" i="27" s="1"/>
  <c r="EB50" i="27" a="1"/>
  <c r="EB50" i="27" s="1"/>
  <c r="EA49" i="27" a="1"/>
  <c r="EA49" i="27" s="1"/>
  <c r="EA48" i="27" a="1"/>
  <c r="EA48" i="27" s="1"/>
  <c r="DZ47" i="27" a="1"/>
  <c r="DZ47" i="27" s="1"/>
  <c r="DZ46" i="27" a="1"/>
  <c r="DZ46" i="27" s="1"/>
  <c r="DZ45" i="27" a="1"/>
  <c r="DZ45" i="27" s="1"/>
  <c r="DZ44" i="27" a="1"/>
  <c r="DZ44" i="27" s="1"/>
  <c r="DY43" i="27" a="1"/>
  <c r="DY43" i="27" s="1"/>
  <c r="DX42" i="27" a="1"/>
  <c r="DX42" i="27" s="1"/>
  <c r="DY41" i="27" a="1"/>
  <c r="DY41" i="27" s="1"/>
  <c r="DX39" i="27" a="1"/>
  <c r="DX39" i="27" s="1"/>
  <c r="DW38" i="27" a="1"/>
  <c r="DW38" i="27" s="1"/>
  <c r="DW37" i="27" a="1"/>
  <c r="DW37" i="27" s="1"/>
  <c r="DW36" i="27" a="1"/>
  <c r="DW36" i="27" s="1"/>
  <c r="DW35" i="27" a="1"/>
  <c r="DW35" i="27" s="1"/>
  <c r="EC33" i="27" a="1"/>
  <c r="EC33" i="27" s="1"/>
  <c r="EB32" i="27" a="1"/>
  <c r="EB32" i="27" s="1"/>
  <c r="EC70" i="27" a="1"/>
  <c r="EC70" i="27" s="1"/>
  <c r="DW70" i="27" a="1"/>
  <c r="DW70" i="27" s="1"/>
  <c r="EC68" i="27" a="1"/>
  <c r="EC68" i="27" s="1"/>
  <c r="DY64" i="27" a="1"/>
  <c r="DY64" i="27" s="1"/>
  <c r="EB59" i="27" a="1"/>
  <c r="EB59" i="27" s="1"/>
  <c r="DY56" i="27" a="1"/>
  <c r="DY56" i="27" s="1"/>
  <c r="EC52" i="27" a="1"/>
  <c r="EC52" i="27" s="1"/>
  <c r="DZ70" i="27" a="1"/>
  <c r="DZ70" i="27" s="1"/>
  <c r="DZ69" i="27" a="1"/>
  <c r="DZ69" i="27" s="1"/>
  <c r="DY68" i="27" a="1"/>
  <c r="DY68" i="27" s="1"/>
  <c r="DX67" i="27" a="1"/>
  <c r="DX67" i="27" s="1"/>
  <c r="DW66" i="27" a="1"/>
  <c r="DW66" i="27" s="1"/>
  <c r="EC64" i="27" a="1"/>
  <c r="EC64" i="27" s="1"/>
  <c r="EB63" i="27" a="1"/>
  <c r="EB63" i="27" s="1"/>
  <c r="EA62" i="27" a="1"/>
  <c r="EA62" i="27" s="1"/>
  <c r="DZ61" i="27" a="1"/>
  <c r="DZ61" i="27" s="1"/>
  <c r="DY60" i="27" a="1"/>
  <c r="DY60" i="27" s="1"/>
  <c r="DX59" i="27" a="1"/>
  <c r="DX59" i="27" s="1"/>
  <c r="DW58" i="27" a="1"/>
  <c r="DW58" i="27" s="1"/>
  <c r="EC56" i="27" a="1"/>
  <c r="EC56" i="27" s="1"/>
  <c r="EB55" i="27" a="1"/>
  <c r="EB55" i="27" s="1"/>
  <c r="EA54" i="27" a="1"/>
  <c r="EA54" i="27" s="1"/>
  <c r="DZ53" i="27" a="1"/>
  <c r="DZ53" i="27" s="1"/>
  <c r="DY52" i="27" a="1"/>
  <c r="DY52" i="27" s="1"/>
  <c r="DX51" i="27" a="1"/>
  <c r="DX51" i="27" s="1"/>
  <c r="DW50" i="27" a="1"/>
  <c r="DW50" i="27" s="1"/>
  <c r="DW49" i="27" a="1"/>
  <c r="DW49" i="27" s="1"/>
  <c r="EC47" i="27" a="1"/>
  <c r="EC47" i="27" s="1"/>
  <c r="EB46" i="27" a="1"/>
  <c r="EB46" i="27" s="1"/>
  <c r="EC45" i="27" a="1"/>
  <c r="EC45" i="27" s="1"/>
  <c r="EB43" i="27" a="1"/>
  <c r="EB43" i="27" s="1"/>
  <c r="EA42" i="27" a="1"/>
  <c r="EA42" i="27" s="1"/>
  <c r="EA41" i="27" a="1"/>
  <c r="EA41" i="27" s="1"/>
  <c r="EA40" i="27" a="1"/>
  <c r="EA40" i="27" s="1"/>
  <c r="EA39" i="27" a="1"/>
  <c r="EA39" i="27" s="1"/>
  <c r="DZ38" i="27" a="1"/>
  <c r="DZ38" i="27" s="1"/>
  <c r="DZ36" i="27" a="1"/>
  <c r="DZ36" i="27" s="1"/>
  <c r="DZ35" i="27" a="1"/>
  <c r="DZ35" i="27" s="1"/>
  <c r="DY34" i="27" a="1"/>
  <c r="DY34" i="27" s="1"/>
  <c r="DX33" i="27" a="1"/>
  <c r="DX33" i="27" s="1"/>
  <c r="DW32" i="27" a="1"/>
  <c r="DW32" i="27" s="1"/>
  <c r="EB67" i="27" a="1"/>
  <c r="EB67" i="27" s="1"/>
  <c r="DX63" i="27" a="1"/>
  <c r="DX63" i="27" s="1"/>
  <c r="EA58" i="27" a="1"/>
  <c r="EA58" i="27" s="1"/>
  <c r="DW54" i="27" a="1"/>
  <c r="DW54" i="27" s="1"/>
  <c r="DZ49" i="27" a="1"/>
  <c r="DZ49" i="27" s="1"/>
  <c r="DY70" i="27" a="1"/>
  <c r="DY70" i="27" s="1"/>
  <c r="DY69" i="27" a="1"/>
  <c r="DY69" i="27" s="1"/>
  <c r="DX68" i="27" a="1"/>
  <c r="DX68" i="27" s="1"/>
  <c r="DW67" i="27" a="1"/>
  <c r="DW67" i="27" s="1"/>
  <c r="EC65" i="27" a="1"/>
  <c r="EC65" i="27" s="1"/>
  <c r="EB64" i="27" a="1"/>
  <c r="EB64" i="27" s="1"/>
  <c r="EA63" i="27" a="1"/>
  <c r="EA63" i="27" s="1"/>
  <c r="DZ62" i="27" a="1"/>
  <c r="DZ62" i="27" s="1"/>
  <c r="DY61" i="27" a="1"/>
  <c r="DY61" i="27" s="1"/>
  <c r="DX60" i="27" a="1"/>
  <c r="DX60" i="27" s="1"/>
  <c r="DW59" i="27" a="1"/>
  <c r="DW59" i="27" s="1"/>
  <c r="EC57" i="27" a="1"/>
  <c r="EC57" i="27" s="1"/>
  <c r="EB56" i="27" a="1"/>
  <c r="EB56" i="27" s="1"/>
  <c r="EA55" i="27" a="1"/>
  <c r="EA55" i="27" s="1"/>
  <c r="DZ54" i="27" a="1"/>
  <c r="DZ54" i="27" s="1"/>
  <c r="DY53" i="27" a="1"/>
  <c r="DY53" i="27" s="1"/>
  <c r="DX52" i="27" a="1"/>
  <c r="DX52" i="27" s="1"/>
  <c r="DW51" i="27" a="1"/>
  <c r="DW51" i="27" s="1"/>
  <c r="EC49" i="27" a="1"/>
  <c r="EC49" i="27" s="1"/>
  <c r="EC48" i="27" a="1"/>
  <c r="EC48" i="27" s="1"/>
  <c r="EB47" i="27" a="1"/>
  <c r="EB47" i="27" s="1"/>
  <c r="EA46" i="27" a="1"/>
  <c r="EA46" i="27" s="1"/>
  <c r="EB45" i="27" a="1"/>
  <c r="EB45" i="27" s="1"/>
  <c r="EB44" i="27" a="1"/>
  <c r="EB44" i="27" s="1"/>
  <c r="EA43" i="27" a="1"/>
  <c r="EA43" i="27" s="1"/>
  <c r="DZ42" i="27" a="1"/>
  <c r="DZ42" i="27" s="1"/>
  <c r="DZ41" i="27" a="1"/>
  <c r="DZ41" i="27" s="1"/>
  <c r="DZ40" i="27" a="1"/>
  <c r="DZ40" i="27" s="1"/>
  <c r="DZ39" i="27" a="1"/>
  <c r="DZ39" i="27" s="1"/>
  <c r="DY38" i="27" a="1"/>
  <c r="DY38" i="27" s="1"/>
  <c r="DY37" i="27" a="1"/>
  <c r="DY37" i="27" s="1"/>
  <c r="DY36" i="27" a="1"/>
  <c r="DY36" i="27" s="1"/>
  <c r="DY35" i="27" a="1"/>
  <c r="DY35" i="27" s="1"/>
  <c r="DX34" i="27" a="1"/>
  <c r="DX34" i="27" s="1"/>
  <c r="DW33" i="27" a="1"/>
  <c r="DW33" i="27" s="1"/>
  <c r="EA66" i="27" a="1"/>
  <c r="EA66" i="27" s="1"/>
  <c r="DW62" i="27" a="1"/>
  <c r="DW62" i="27" s="1"/>
  <c r="DZ57" i="27" a="1"/>
  <c r="DZ57" i="27" s="1"/>
  <c r="EB51" i="27" a="1"/>
  <c r="EB51" i="27" s="1"/>
  <c r="DX69" i="27" a="1"/>
  <c r="DX69" i="27" s="1"/>
  <c r="DW68" i="27" a="1"/>
  <c r="DW68" i="27" s="1"/>
  <c r="EC66" i="27" a="1"/>
  <c r="EC66" i="27" s="1"/>
  <c r="EB65" i="27" a="1"/>
  <c r="EB65" i="27" s="1"/>
  <c r="EA64" i="27" a="1"/>
  <c r="EA64" i="27" s="1"/>
  <c r="DZ63" i="27" a="1"/>
  <c r="DZ63" i="27" s="1"/>
  <c r="DY62" i="27" a="1"/>
  <c r="DY62" i="27" s="1"/>
  <c r="DX61" i="27" a="1"/>
  <c r="DX61" i="27" s="1"/>
  <c r="DW60" i="27" a="1"/>
  <c r="DW60" i="27" s="1"/>
  <c r="EC58" i="27" a="1"/>
  <c r="EC58" i="27" s="1"/>
  <c r="EB57" i="27" a="1"/>
  <c r="EB57" i="27" s="1"/>
  <c r="EA56" i="27" a="1"/>
  <c r="EA56" i="27" s="1"/>
  <c r="DZ55" i="27" a="1"/>
  <c r="DZ55" i="27" s="1"/>
  <c r="DY54" i="27" a="1"/>
  <c r="DY54" i="27" s="1"/>
  <c r="DX53" i="27" a="1"/>
  <c r="DX53" i="27" s="1"/>
  <c r="DW52" i="27" a="1"/>
  <c r="DW52" i="27" s="1"/>
  <c r="EC50" i="27" a="1"/>
  <c r="EC50" i="27" s="1"/>
  <c r="EB49" i="27" a="1"/>
  <c r="EB49" i="27" s="1"/>
  <c r="EB48" i="27" a="1"/>
  <c r="EB48" i="27" s="1"/>
  <c r="EA47" i="27" a="1"/>
  <c r="EA47" i="27" s="1"/>
  <c r="EA45" i="27" a="1"/>
  <c r="EA45" i="27" s="1"/>
  <c r="EA44" i="27" a="1"/>
  <c r="EA44" i="27" s="1"/>
  <c r="DZ43" i="27" a="1"/>
  <c r="DZ43" i="27" s="1"/>
  <c r="DY42" i="27" a="1"/>
  <c r="DY42" i="27" s="1"/>
  <c r="DY40" i="27" a="1"/>
  <c r="DY40" i="27" s="1"/>
  <c r="DY39" i="27" a="1"/>
  <c r="DY39" i="27" s="1"/>
  <c r="DX38" i="27" a="1"/>
  <c r="DX38" i="27" s="1"/>
  <c r="DX37" i="27" a="1"/>
  <c r="DX37" i="27" s="1"/>
  <c r="DX36" i="27" a="1"/>
  <c r="DX36" i="27" s="1"/>
  <c r="DX35" i="27" a="1"/>
  <c r="DX35" i="27" s="1"/>
  <c r="DW34" i="27" a="1"/>
  <c r="DW34" i="27" s="1"/>
  <c r="EC32" i="27" a="1"/>
  <c r="EC32" i="27" s="1"/>
  <c r="DZ65" i="27" a="1"/>
  <c r="DZ65" i="27" s="1"/>
  <c r="EC60" i="27" a="1"/>
  <c r="EC60" i="27" s="1"/>
  <c r="DX55" i="27" a="1"/>
  <c r="DX55" i="27" s="1"/>
  <c r="EA50" i="27" a="1"/>
  <c r="EA50" i="27" s="1"/>
  <c r="DZ68" i="27" a="1"/>
  <c r="DZ68" i="27" s="1"/>
  <c r="DX65" i="27" a="1"/>
  <c r="DX65" i="27" s="1"/>
  <c r="EC61" i="27" a="1"/>
  <c r="EC61" i="27" s="1"/>
  <c r="DY59" i="27" a="1"/>
  <c r="DY59" i="27" s="1"/>
  <c r="DW56" i="27" a="1"/>
  <c r="DW56" i="27" s="1"/>
  <c r="EB52" i="27" a="1"/>
  <c r="EB52" i="27" s="1"/>
  <c r="DX50" i="27" a="1"/>
  <c r="DX50" i="27" s="1"/>
  <c r="DY47" i="27" a="1"/>
  <c r="DY47" i="27" s="1"/>
  <c r="DY45" i="27" a="1"/>
  <c r="DY45" i="27" s="1"/>
  <c r="DX43" i="27" a="1"/>
  <c r="DX43" i="27" s="1"/>
  <c r="DX41" i="27" a="1"/>
  <c r="DX41" i="27" s="1"/>
  <c r="DW39" i="27" a="1"/>
  <c r="DW39" i="27" s="1"/>
  <c r="EC36" i="27" a="1"/>
  <c r="EC36" i="27" s="1"/>
  <c r="EC34" i="27" a="1"/>
  <c r="EC34" i="27" s="1"/>
  <c r="EA32" i="27" a="1"/>
  <c r="EA32" i="27" s="1"/>
  <c r="EC69" i="27" a="1"/>
  <c r="EC69" i="27" s="1"/>
  <c r="DX58" i="27" a="1"/>
  <c r="DX58" i="27" s="1"/>
  <c r="DX49" i="27" a="1"/>
  <c r="DX49" i="27" s="1"/>
  <c r="EB42" i="27" a="1"/>
  <c r="EB42" i="27" s="1"/>
  <c r="EA36" i="27" a="1"/>
  <c r="EA36" i="27" s="1"/>
  <c r="DW46" i="27" a="1"/>
  <c r="DW46" i="27" s="1"/>
  <c r="EA37" i="27" a="1"/>
  <c r="EA37" i="27" s="1"/>
  <c r="EB62" i="27" a="1"/>
  <c r="EB62" i="27" s="1"/>
  <c r="DY50" i="27" a="1"/>
  <c r="DY50" i="27" s="1"/>
  <c r="EB39" i="27" a="1"/>
  <c r="EB39" i="27" s="1"/>
  <c r="EB70" i="27" a="1"/>
  <c r="EB70" i="27" s="1"/>
  <c r="EA67" i="27" a="1"/>
  <c r="EA67" i="27" s="1"/>
  <c r="DW65" i="27" a="1"/>
  <c r="DW65" i="27" s="1"/>
  <c r="EB61" i="27" a="1"/>
  <c r="EB61" i="27" s="1"/>
  <c r="DZ58" i="27" a="1"/>
  <c r="DZ58" i="27" s="1"/>
  <c r="EC55" i="27" a="1"/>
  <c r="EC55" i="27" s="1"/>
  <c r="EA52" i="27" a="1"/>
  <c r="EA52" i="27" s="1"/>
  <c r="DX47" i="27" a="1"/>
  <c r="DX47" i="27" s="1"/>
  <c r="DX45" i="27" a="1"/>
  <c r="DX45" i="27" s="1"/>
  <c r="DW43" i="27" a="1"/>
  <c r="DW43" i="27" s="1"/>
  <c r="DW41" i="27" a="1"/>
  <c r="DW41" i="27" s="1"/>
  <c r="EC38" i="27" a="1"/>
  <c r="EC38" i="27" s="1"/>
  <c r="EB34" i="27" a="1"/>
  <c r="EB34" i="27" s="1"/>
  <c r="DZ32" i="27" a="1"/>
  <c r="DZ32" i="27" s="1"/>
  <c r="DW64" i="27" a="1"/>
  <c r="DW64" i="27" s="1"/>
  <c r="EC54" i="27" a="1"/>
  <c r="EC54" i="27" s="1"/>
  <c r="EC46" i="27" a="1"/>
  <c r="EC46" i="27" s="1"/>
  <c r="EB40" i="27" a="1"/>
  <c r="EB40" i="27" s="1"/>
  <c r="DZ34" i="27" a="1"/>
  <c r="DZ34" i="27" s="1"/>
  <c r="DX48" i="27" a="1"/>
  <c r="DX48" i="27" s="1"/>
  <c r="DZ33" i="27" a="1"/>
  <c r="DZ33" i="27" s="1"/>
  <c r="DZ59" i="27" a="1"/>
  <c r="DZ59" i="27" s="1"/>
  <c r="DW48" i="27" a="1"/>
  <c r="DW48" i="27" s="1"/>
  <c r="DZ37" i="27" a="1"/>
  <c r="DZ37" i="27" s="1"/>
  <c r="EA70" i="27" a="1"/>
  <c r="EA70" i="27" s="1"/>
  <c r="DZ67" i="27" a="1"/>
  <c r="DZ67" i="27" s="1"/>
  <c r="DX64" i="27" a="1"/>
  <c r="DX64" i="27" s="1"/>
  <c r="EA61" i="27" a="1"/>
  <c r="EA61" i="27" s="1"/>
  <c r="DY58" i="27" a="1"/>
  <c r="DY58" i="27" s="1"/>
  <c r="DW55" i="27" a="1"/>
  <c r="DW55" i="27" s="1"/>
  <c r="DZ52" i="27" a="1"/>
  <c r="DZ52" i="27" s="1"/>
  <c r="DY49" i="27" a="1"/>
  <c r="DY49" i="27" s="1"/>
  <c r="DW47" i="27" a="1"/>
  <c r="DW47" i="27" s="1"/>
  <c r="DW45" i="27" a="1"/>
  <c r="DW45" i="27" s="1"/>
  <c r="EC42" i="27" a="1"/>
  <c r="EC42" i="27" s="1"/>
  <c r="EC40" i="27" a="1"/>
  <c r="EC40" i="27" s="1"/>
  <c r="EB38" i="27" a="1"/>
  <c r="EB38" i="27" s="1"/>
  <c r="EB36" i="27" a="1"/>
  <c r="EB36" i="27" s="1"/>
  <c r="EA34" i="27" a="1"/>
  <c r="EA34" i="27" s="1"/>
  <c r="DY32" i="27" a="1"/>
  <c r="DY32" i="27" s="1"/>
  <c r="DY67" i="27" a="1"/>
  <c r="DY67" i="27" s="1"/>
  <c r="EB60" i="27" a="1"/>
  <c r="EB60" i="27" s="1"/>
  <c r="EA51" i="27" a="1"/>
  <c r="EA51" i="27" s="1"/>
  <c r="EC44" i="27" a="1"/>
  <c r="EC44" i="27" s="1"/>
  <c r="EA38" i="27" a="1"/>
  <c r="EA38" i="27" s="1"/>
  <c r="DX32" i="27" a="1"/>
  <c r="DX32" i="27" s="1"/>
  <c r="DZ50" i="27" a="1"/>
  <c r="DZ50" i="27" s="1"/>
  <c r="EC39" i="27" a="1"/>
  <c r="EC39" i="27" s="1"/>
  <c r="DY65" i="27" a="1"/>
  <c r="DY65" i="27" s="1"/>
  <c r="EA53" i="27" a="1"/>
  <c r="EA53" i="27" s="1"/>
  <c r="EB41" i="27" a="1"/>
  <c r="EB41" i="27" s="1"/>
  <c r="DY33" i="27" a="1"/>
  <c r="DY33" i="27" s="1"/>
  <c r="EB69" i="27" a="1"/>
  <c r="EB69" i="27" s="1"/>
  <c r="DZ66" i="27" a="1"/>
  <c r="DZ66" i="27" s="1"/>
  <c r="EC63" i="27" a="1"/>
  <c r="EC63" i="27" s="1"/>
  <c r="EA60" i="27" a="1"/>
  <c r="EA60" i="27" s="1"/>
  <c r="DY57" i="27" a="1"/>
  <c r="DY57" i="27" s="1"/>
  <c r="EB54" i="27" a="1"/>
  <c r="EB54" i="27" s="1"/>
  <c r="DZ51" i="27" a="1"/>
  <c r="DZ51" i="27" s="1"/>
  <c r="DZ48" i="27" a="1"/>
  <c r="DZ48" i="27" s="1"/>
  <c r="DY46" i="27" a="1"/>
  <c r="DY46" i="27" s="1"/>
  <c r="DY44" i="27" a="1"/>
  <c r="DY44" i="27" s="1"/>
  <c r="DW42" i="27" a="1"/>
  <c r="DW42" i="27" s="1"/>
  <c r="DX40" i="27" a="1"/>
  <c r="DX40" i="27" s="1"/>
  <c r="EC37" i="27" a="1"/>
  <c r="EC37" i="27" s="1"/>
  <c r="EC35" i="27" a="1"/>
  <c r="EC35" i="27" s="1"/>
  <c r="EB33" i="27" a="1"/>
  <c r="EB33" i="27" s="1"/>
  <c r="EA69" i="27" a="1"/>
  <c r="EA69" i="27" s="1"/>
  <c r="DY66" i="27" a="1"/>
  <c r="DY66" i="27" s="1"/>
  <c r="DW63" i="27" a="1"/>
  <c r="DW63" i="27" s="1"/>
  <c r="DZ60" i="27" a="1"/>
  <c r="DZ60" i="27" s="1"/>
  <c r="DX57" i="27" a="1"/>
  <c r="DX57" i="27" s="1"/>
  <c r="EC53" i="27" a="1"/>
  <c r="EC53" i="27" s="1"/>
  <c r="DY51" i="27" a="1"/>
  <c r="DY51" i="27" s="1"/>
  <c r="DY48" i="27" a="1"/>
  <c r="DY48" i="27" s="1"/>
  <c r="DX46" i="27" a="1"/>
  <c r="DX46" i="27" s="1"/>
  <c r="DX44" i="27" a="1"/>
  <c r="DX44" i="27" s="1"/>
  <c r="DW40" i="27" a="1"/>
  <c r="DW40" i="27" s="1"/>
  <c r="EB37" i="27" a="1"/>
  <c r="EB37" i="27" s="1"/>
  <c r="EB35" i="27" a="1"/>
  <c r="EB35" i="27" s="1"/>
  <c r="EA33" i="27" a="1"/>
  <c r="EA33" i="27" s="1"/>
  <c r="EB68" i="27" a="1"/>
  <c r="EB68" i="27" s="1"/>
  <c r="DX66" i="27" a="1"/>
  <c r="DX66" i="27" s="1"/>
  <c r="EC62" i="27" a="1"/>
  <c r="EC62" i="27" s="1"/>
  <c r="EA59" i="27" a="1"/>
  <c r="EA59" i="27" s="1"/>
  <c r="DW57" i="27" a="1"/>
  <c r="DW57" i="27" s="1"/>
  <c r="EB53" i="27" a="1"/>
  <c r="EB53" i="27" s="1"/>
  <c r="DW44" i="27" a="1"/>
  <c r="DW44" i="27" s="1"/>
  <c r="EC41" i="27" a="1"/>
  <c r="EC41" i="27" s="1"/>
  <c r="EA68" i="27" a="1"/>
  <c r="EA68" i="27" s="1"/>
  <c r="DX56" i="27" a="1"/>
  <c r="DX56" i="27" s="1"/>
  <c r="EC43" i="27" a="1"/>
  <c r="EC43" i="27" s="1"/>
  <c r="EA35" i="27" a="1"/>
  <c r="EA35" i="27" s="1"/>
  <c r="DH137" i="27"/>
  <c r="DH132" i="27" a="1"/>
  <c r="DH132" i="27" s="1"/>
  <c r="DH138" i="27"/>
  <c r="DH139" i="27"/>
  <c r="DI132" i="27" a="1"/>
  <c r="DI132" i="27" s="1"/>
  <c r="DJ132" i="27" a="1"/>
  <c r="DJ132" i="27" s="1"/>
  <c r="BP110" i="27" a="1"/>
  <c r="BP110" i="27" s="1"/>
  <c r="BS110" i="27" a="1"/>
  <c r="BS110" i="27" s="1"/>
  <c r="BR110" i="27" a="1"/>
  <c r="BR110" i="27" s="1"/>
  <c r="BO110" i="27" a="1"/>
  <c r="BO110" i="27" s="1"/>
  <c r="BN110" i="27" a="1"/>
  <c r="BN110" i="27" s="1"/>
  <c r="BQ110" i="27" a="1"/>
  <c r="BQ110" i="27" s="1"/>
  <c r="BT110" i="27" a="1"/>
  <c r="BT110" i="27" s="1"/>
  <c r="EV194" i="27"/>
  <c r="EV198" i="27"/>
  <c r="EV196" i="27"/>
  <c r="FE189" i="27"/>
  <c r="FE193" i="27"/>
  <c r="FE191" i="27"/>
  <c r="FO192" i="27"/>
  <c r="FO190" i="27"/>
  <c r="FO188" i="27"/>
  <c r="EH145" i="27"/>
  <c r="DC141" i="27" a="1"/>
  <c r="DC141" i="27" s="1"/>
  <c r="EO136" i="27" a="1"/>
  <c r="EO136" i="27" s="1"/>
  <c r="CK132" i="27"/>
  <c r="CO126" i="27" a="1"/>
  <c r="CO126" i="27" s="1"/>
  <c r="CT150" i="27"/>
  <c r="DA145" i="27"/>
  <c r="DB141" i="27" a="1"/>
  <c r="DB141" i="27" s="1"/>
  <c r="CN134" i="27"/>
  <c r="CN126" i="27" a="1"/>
  <c r="CN126" i="27" s="1"/>
  <c r="DA149" i="27"/>
  <c r="EO144" i="27"/>
  <c r="DA141" i="27" a="1"/>
  <c r="DA141" i="27" s="1"/>
  <c r="CK134" i="27"/>
  <c r="CM126" i="27" a="1"/>
  <c r="CM126" i="27" s="1"/>
  <c r="CT148" i="27"/>
  <c r="EH143" i="27"/>
  <c r="CV141" i="27" a="1"/>
  <c r="CV141" i="27" s="1"/>
  <c r="EJ137" i="27" a="1"/>
  <c r="EJ137" i="27" s="1"/>
  <c r="CN131" i="27"/>
  <c r="CL126" i="27" a="1"/>
  <c r="CL126" i="27" s="1"/>
  <c r="DA147" i="27"/>
  <c r="EO142" i="27"/>
  <c r="CU141" i="27" a="1"/>
  <c r="CU141" i="27" s="1"/>
  <c r="EI137" i="27" a="1"/>
  <c r="EI137" i="27" s="1"/>
  <c r="CK131" i="27"/>
  <c r="CN130" i="27"/>
  <c r="CK126" i="27" a="1"/>
  <c r="CK126" i="27" s="1"/>
  <c r="CT147" i="27"/>
  <c r="EH142" i="27"/>
  <c r="CT141" i="27" a="1"/>
  <c r="CT141" i="27" s="1"/>
  <c r="CK130" i="27"/>
  <c r="DA146" i="27"/>
  <c r="EO141" i="27"/>
  <c r="EO140" i="27"/>
  <c r="EH137" i="27" a="1"/>
  <c r="EH137" i="27" s="1"/>
  <c r="EQ136" i="27" a="1"/>
  <c r="EQ136" i="27" s="1"/>
  <c r="EP136" i="27" a="1"/>
  <c r="EP136" i="27" s="1"/>
  <c r="CT146" i="27"/>
  <c r="EH141" i="27"/>
  <c r="CN132" i="27"/>
  <c r="DY74" i="27" a="1"/>
  <c r="DY74" i="27" s="1"/>
  <c r="EC74" i="27" a="1"/>
  <c r="EC74" i="27" s="1"/>
  <c r="EA74" i="27" a="1"/>
  <c r="EA74" i="27" s="1"/>
  <c r="DZ74" i="27" a="1"/>
  <c r="DZ74" i="27" s="1"/>
  <c r="EB74" i="27" a="1"/>
  <c r="EB74" i="27" s="1"/>
  <c r="DX74" i="27" a="1"/>
  <c r="DX74" i="27" s="1"/>
  <c r="DW74" i="27" a="1"/>
  <c r="DW74" i="27" s="1"/>
  <c r="AC95" i="27"/>
  <c r="AD97" i="27"/>
  <c r="AA94" i="27"/>
  <c r="AC96" i="27"/>
  <c r="AD98" i="27"/>
  <c r="AA95" i="27"/>
  <c r="AC97" i="27"/>
  <c r="AD99" i="27"/>
  <c r="AA96" i="27"/>
  <c r="AC98" i="27"/>
  <c r="AC99" i="27"/>
  <c r="DY81" i="27" l="1" a="1"/>
  <c r="DY81" i="27" s="1"/>
  <c r="DX81" i="27" a="1"/>
  <c r="DX81" i="27" s="1"/>
  <c r="DW81" i="27" a="1"/>
  <c r="DW81" i="27" s="1"/>
  <c r="DY102" i="27" a="1"/>
  <c r="DY102" i="27" s="1"/>
  <c r="DW102" i="27" a="1"/>
  <c r="DW102" i="27" s="1"/>
  <c r="DX102" i="27" a="1"/>
  <c r="DX102" i="27" s="1"/>
  <c r="CK144" i="27" a="1"/>
  <c r="CK144" i="27" s="1"/>
  <c r="CM144" i="27" a="1"/>
  <c r="CM144" i="27" s="1"/>
  <c r="CL144" i="27" a="1"/>
  <c r="CL144" i="27" s="1"/>
  <c r="CM149" i="27" a="1"/>
  <c r="CM149" i="27" s="1"/>
  <c r="CL149" i="27" a="1"/>
  <c r="CL149" i="27" s="1"/>
  <c r="CK149" i="27" a="1"/>
  <c r="CK149" i="27" s="1"/>
  <c r="CM168" i="27" a="1"/>
  <c r="CM168" i="27" s="1"/>
  <c r="CL168" i="27" a="1"/>
  <c r="CL168" i="27" s="1"/>
  <c r="CK168" i="27" a="1"/>
  <c r="CK168" i="27" s="1"/>
  <c r="EJ155" i="27" a="1"/>
  <c r="EJ155" i="27" s="1"/>
  <c r="EI155" i="27" a="1"/>
  <c r="EI155" i="27" s="1"/>
  <c r="EH155" i="27" a="1"/>
  <c r="EH155" i="27" s="1"/>
  <c r="EI171" i="27" a="1"/>
  <c r="EI171" i="27" s="1"/>
  <c r="EH171" i="27" a="1"/>
  <c r="EH171" i="27" s="1"/>
  <c r="DA175" i="27" a="1"/>
  <c r="DA175" i="27" s="1"/>
  <c r="DB175" i="27" a="1"/>
  <c r="DB175" i="27" s="1"/>
  <c r="EI172" i="27" a="1"/>
  <c r="EI172" i="27" s="1"/>
  <c r="EH172" i="27" a="1"/>
  <c r="EH172" i="27" s="1"/>
  <c r="EJ172" i="27" a="1"/>
  <c r="EJ172" i="27" s="1"/>
  <c r="EO152" i="27" a="1"/>
  <c r="EO152" i="27" s="1"/>
  <c r="EQ152" i="27" a="1"/>
  <c r="EQ152" i="27" s="1"/>
  <c r="EP152" i="27" a="1"/>
  <c r="EP152" i="27" s="1"/>
  <c r="EI162" i="27" a="1"/>
  <c r="EI162" i="27" s="1"/>
  <c r="EJ162" i="27" a="1"/>
  <c r="EJ162" i="27" s="1"/>
  <c r="EH162" i="27" a="1"/>
  <c r="EH162" i="27" s="1"/>
  <c r="DO306" i="27" a="1"/>
  <c r="DO306" i="27" s="1"/>
  <c r="DP306" i="27" a="1"/>
  <c r="DP306" i="27" s="1"/>
  <c r="DQ306" i="27" a="1"/>
  <c r="DQ306" i="27" s="1"/>
  <c r="DP322" i="27" a="1"/>
  <c r="DP322" i="27" s="1"/>
  <c r="DO322" i="27" a="1"/>
  <c r="DO322" i="27" s="1"/>
  <c r="DQ322" i="27" a="1"/>
  <c r="DQ322" i="27" s="1"/>
  <c r="DP303" i="27" a="1"/>
  <c r="DP303" i="27" s="1"/>
  <c r="DO303" i="27" a="1"/>
  <c r="DO303" i="27" s="1"/>
  <c r="DQ303" i="27" a="1"/>
  <c r="DQ303" i="27" s="1"/>
  <c r="DW83" i="27" a="1"/>
  <c r="DW83" i="27" s="1"/>
  <c r="DY83" i="27" a="1"/>
  <c r="DY83" i="27" s="1"/>
  <c r="DX83" i="27" a="1"/>
  <c r="DX83" i="27" s="1"/>
  <c r="CL171" i="27" a="1"/>
  <c r="CL171" i="27" s="1"/>
  <c r="CK171" i="27" a="1"/>
  <c r="CK171" i="27" s="1"/>
  <c r="CM171" i="27" a="1"/>
  <c r="CM171" i="27" s="1"/>
  <c r="DC178" i="27" a="1"/>
  <c r="DC178" i="27" s="1"/>
  <c r="DB178" i="27" a="1"/>
  <c r="DB178" i="27" s="1"/>
  <c r="DA178" i="27" a="1"/>
  <c r="DA178" i="27" s="1"/>
  <c r="DH160" i="27" a="1"/>
  <c r="DH160" i="27" s="1"/>
  <c r="DJ160" i="27" a="1"/>
  <c r="DJ160" i="27" s="1"/>
  <c r="DI160" i="27" a="1"/>
  <c r="DI160" i="27" s="1"/>
  <c r="DJ161" i="27" a="1"/>
  <c r="DJ161" i="27" s="1"/>
  <c r="DI161" i="27" a="1"/>
  <c r="DI161" i="27" s="1"/>
  <c r="DH161" i="27" a="1"/>
  <c r="DH161" i="27" s="1"/>
  <c r="DY85" i="27" a="1"/>
  <c r="DY85" i="27" s="1"/>
  <c r="DX85" i="27" a="1"/>
  <c r="DX85" i="27" s="1"/>
  <c r="DW85" i="27" a="1"/>
  <c r="DW85" i="27" s="1"/>
  <c r="DY100" i="27" a="1"/>
  <c r="DY100" i="27" s="1"/>
  <c r="DX100" i="27" a="1"/>
  <c r="DX100" i="27" s="1"/>
  <c r="DW100" i="27" a="1"/>
  <c r="DW100" i="27" s="1"/>
  <c r="DY94" i="27" a="1"/>
  <c r="DY94" i="27" s="1"/>
  <c r="DX94" i="27" a="1"/>
  <c r="DX94" i="27" s="1"/>
  <c r="DW94" i="27" a="1"/>
  <c r="DW94" i="27" s="1"/>
  <c r="DX103" i="27" a="1"/>
  <c r="DX103" i="27" s="1"/>
  <c r="DW103" i="27" a="1"/>
  <c r="DW103" i="27" s="1"/>
  <c r="DY103" i="27" a="1"/>
  <c r="DY103" i="27" s="1"/>
  <c r="CM142" i="27" a="1"/>
  <c r="CM142" i="27" s="1"/>
  <c r="CL142" i="27" a="1"/>
  <c r="CL142" i="27" s="1"/>
  <c r="CK142" i="27" a="1"/>
  <c r="CK142" i="27" s="1"/>
  <c r="CL147" i="27" a="1"/>
  <c r="CL147" i="27" s="1"/>
  <c r="CK147" i="27"/>
  <c r="CM147" i="27" a="1"/>
  <c r="CM147" i="27" s="1"/>
  <c r="CK154" i="27" a="1"/>
  <c r="CK154" i="27" s="1"/>
  <c r="CM154" i="27" a="1"/>
  <c r="CM154" i="27" s="1"/>
  <c r="CL154" i="27" a="1"/>
  <c r="CL154" i="27" s="1"/>
  <c r="DI148" i="27" a="1"/>
  <c r="DI148" i="27" s="1"/>
  <c r="DH148" i="27" a="1"/>
  <c r="DH148" i="27" s="1"/>
  <c r="DJ148" i="27" a="1"/>
  <c r="DJ148" i="27" s="1"/>
  <c r="DJ173" i="27" a="1"/>
  <c r="DJ173" i="27" s="1"/>
  <c r="DH173" i="27" a="1"/>
  <c r="DH173" i="27" s="1"/>
  <c r="DI173" i="27" a="1"/>
  <c r="DI173" i="27" s="1"/>
  <c r="CT168" i="27" a="1"/>
  <c r="CT168" i="27" s="1"/>
  <c r="CV168" i="27" a="1"/>
  <c r="CV168" i="27" s="1"/>
  <c r="CU168" i="27" a="1"/>
  <c r="CU168" i="27" s="1"/>
  <c r="CV164" i="27" a="1"/>
  <c r="CV164" i="27" s="1"/>
  <c r="CT164" i="27" a="1"/>
  <c r="CT164" i="27" s="1"/>
  <c r="CU164" i="27" a="1"/>
  <c r="CU164" i="27" s="1"/>
  <c r="CU177" i="27" a="1"/>
  <c r="CU177" i="27" s="1"/>
  <c r="CT177" i="27" a="1"/>
  <c r="CT177" i="27" s="1"/>
  <c r="CV177" i="27" a="1"/>
  <c r="CV177" i="27" s="1"/>
  <c r="EQ159" i="27" a="1"/>
  <c r="EQ159" i="27" s="1"/>
  <c r="EP159" i="27" a="1"/>
  <c r="EP159" i="27" s="1"/>
  <c r="EO159" i="27" a="1"/>
  <c r="EO159" i="27" s="1"/>
  <c r="DC157" i="27" a="1"/>
  <c r="DC157" i="27" s="1"/>
  <c r="DB157" i="27" a="1"/>
  <c r="DB157" i="27" s="1"/>
  <c r="DA157" i="27" a="1"/>
  <c r="DA157" i="27" s="1"/>
  <c r="DA176" i="27" a="1"/>
  <c r="DA176" i="27" s="1"/>
  <c r="DC176" i="27" a="1"/>
  <c r="DC176" i="27" s="1"/>
  <c r="DB176" i="27" a="1"/>
  <c r="DB176" i="27" s="1"/>
  <c r="CT179" i="27" a="1"/>
  <c r="CT179" i="27" s="1"/>
  <c r="CV179" i="27" a="1"/>
  <c r="CV179" i="27" s="1"/>
  <c r="CU179" i="27" a="1"/>
  <c r="CU179" i="27" s="1"/>
  <c r="CV182" i="27" a="1"/>
  <c r="CV182" i="27" s="1"/>
  <c r="CU182" i="27" a="1"/>
  <c r="CU182" i="27" s="1"/>
  <c r="CT182" i="27" a="1"/>
  <c r="CT182" i="27" s="1"/>
  <c r="DC177" i="27" a="1"/>
  <c r="DC177" i="27" s="1"/>
  <c r="DB177" i="27" a="1"/>
  <c r="DB177" i="27" s="1"/>
  <c r="DA177" i="27" a="1"/>
  <c r="DA177" i="27" s="1"/>
  <c r="DB158" i="27" a="1"/>
  <c r="DB158" i="27" s="1"/>
  <c r="DA158" i="27" a="1"/>
  <c r="DA158" i="27" s="1"/>
  <c r="DC158" i="27" a="1"/>
  <c r="DC158" i="27" s="1"/>
  <c r="DB181" i="27" a="1"/>
  <c r="DB181" i="27" s="1"/>
  <c r="DA181" i="27" a="1"/>
  <c r="DA181" i="27" s="1"/>
  <c r="DC181" i="27" a="1"/>
  <c r="DC181" i="27" s="1"/>
  <c r="EJ158" i="27" a="1"/>
  <c r="EJ158" i="27" s="1"/>
  <c r="EI158" i="27" a="1"/>
  <c r="EI158" i="27" s="1"/>
  <c r="EH158" i="27" a="1"/>
  <c r="EH158" i="27" s="1"/>
  <c r="DI165" i="27" a="1"/>
  <c r="DI165" i="27" s="1"/>
  <c r="DH165" i="27" a="1"/>
  <c r="DH165" i="27" s="1"/>
  <c r="DJ165" i="27" a="1"/>
  <c r="DJ165" i="27" s="1"/>
  <c r="DH170" i="27" a="1"/>
  <c r="DH170" i="27" s="1"/>
  <c r="DJ170" i="27" a="1"/>
  <c r="DJ170" i="27" s="1"/>
  <c r="DI170" i="27" a="1"/>
  <c r="DI170" i="27" s="1"/>
  <c r="EQ167" i="27" a="1"/>
  <c r="EQ167" i="27" s="1"/>
  <c r="EP167" i="27" a="1"/>
  <c r="EP167" i="27" s="1"/>
  <c r="EO167" i="27" a="1"/>
  <c r="EO167" i="27" s="1"/>
  <c r="DJ163" i="27" a="1"/>
  <c r="DJ163" i="27" s="1"/>
  <c r="DI163" i="27" a="1"/>
  <c r="DI163" i="27" s="1"/>
  <c r="DH163" i="27" a="1"/>
  <c r="DH163" i="27" s="1"/>
  <c r="EO169" i="27" a="1"/>
  <c r="EO169" i="27" s="1"/>
  <c r="EQ169" i="27" a="1"/>
  <c r="EQ169" i="27" s="1"/>
  <c r="EP169" i="27" a="1"/>
  <c r="EP169" i="27" s="1"/>
  <c r="EJ163" i="27" a="1"/>
  <c r="EJ163" i="27" s="1"/>
  <c r="EI163" i="27" a="1"/>
  <c r="EI163" i="27" s="1"/>
  <c r="EH163" i="27" a="1"/>
  <c r="EH163" i="27" s="1"/>
  <c r="EP170" i="27" a="1"/>
  <c r="EP170" i="27" s="1"/>
  <c r="EO170" i="27" a="1"/>
  <c r="EO170" i="27" s="1"/>
  <c r="EH156" i="27" a="1"/>
  <c r="EH156" i="27" s="1"/>
  <c r="EJ156" i="27" a="1"/>
  <c r="EJ156" i="27" s="1"/>
  <c r="EI156" i="27" a="1"/>
  <c r="EI156" i="27" s="1"/>
  <c r="EJ151" i="27" a="1"/>
  <c r="EJ151" i="27" s="1"/>
  <c r="EI151" i="27" a="1"/>
  <c r="EI151" i="27" s="1"/>
  <c r="EH151" i="27" a="1"/>
  <c r="EH151" i="27" s="1"/>
  <c r="DO318" i="27" a="1"/>
  <c r="DO318" i="27" s="1"/>
  <c r="DQ318" i="27" a="1"/>
  <c r="DQ318" i="27" s="1"/>
  <c r="DP318" i="27" a="1"/>
  <c r="DP318" i="27" s="1"/>
  <c r="DQ300" i="27" a="1"/>
  <c r="DQ300" i="27" s="1"/>
  <c r="DP300" i="27" a="1"/>
  <c r="DP300" i="27" s="1"/>
  <c r="DO300" i="27" a="1"/>
  <c r="DO300" i="27" s="1"/>
  <c r="DQ320" i="27" a="1"/>
  <c r="DQ320" i="27" s="1"/>
  <c r="DP320" i="27" a="1"/>
  <c r="DP320" i="27" s="1"/>
  <c r="DO320" i="27" a="1"/>
  <c r="DO320" i="27" s="1"/>
  <c r="DO307" i="27" a="1"/>
  <c r="DO307" i="27" s="1"/>
  <c r="DQ307" i="27" a="1"/>
  <c r="DQ307" i="27" s="1"/>
  <c r="DP307" i="27" a="1"/>
  <c r="DP307" i="27" s="1"/>
  <c r="DO325" i="27" a="1"/>
  <c r="DO325" i="27" s="1"/>
  <c r="DP325" i="27" a="1"/>
  <c r="DP325" i="27" s="1"/>
  <c r="DQ325" i="27" a="1"/>
  <c r="DQ325" i="27" s="1"/>
  <c r="CU167" i="27" a="1"/>
  <c r="CU167" i="27" s="1"/>
  <c r="CV167" i="27" a="1"/>
  <c r="CV167" i="27" s="1"/>
  <c r="CT167" i="27" a="1"/>
  <c r="CT167" i="27" s="1"/>
  <c r="DI164" i="27" a="1"/>
  <c r="DI164" i="27" s="1"/>
  <c r="DH164" i="27" a="1"/>
  <c r="DH164" i="27" s="1"/>
  <c r="DJ164" i="27" a="1"/>
  <c r="DJ164" i="27" s="1"/>
  <c r="EP158" i="27" a="1"/>
  <c r="EP158" i="27" s="1"/>
  <c r="EQ158" i="27" a="1"/>
  <c r="EQ158" i="27" s="1"/>
  <c r="EO158" i="27" a="1"/>
  <c r="EO158" i="27" s="1"/>
  <c r="EJ152" i="27" a="1"/>
  <c r="EJ152" i="27" s="1"/>
  <c r="EI152" i="27" a="1"/>
  <c r="EI152" i="27" s="1"/>
  <c r="EH152" i="27" a="1"/>
  <c r="EH152" i="27" s="1"/>
  <c r="DY92" i="27" a="1"/>
  <c r="DY92" i="27" s="1"/>
  <c r="DX92" i="27" a="1"/>
  <c r="DX92" i="27" s="1"/>
  <c r="DW92" i="27" a="1"/>
  <c r="DW92" i="27" s="1"/>
  <c r="EQ156" i="27" a="1"/>
  <c r="EQ156" i="27" s="1"/>
  <c r="EP156" i="27" a="1"/>
  <c r="EP156" i="27" s="1"/>
  <c r="EO156" i="27" a="1"/>
  <c r="EO156" i="27" s="1"/>
  <c r="DC174" i="27" a="1"/>
  <c r="DC174" i="27" s="1"/>
  <c r="DB174" i="27" a="1"/>
  <c r="DB174" i="27" s="1"/>
  <c r="DA174" i="27" a="1"/>
  <c r="DA174" i="27" s="1"/>
  <c r="CV159" i="27" a="1"/>
  <c r="CV159" i="27" s="1"/>
  <c r="CU159" i="27" a="1"/>
  <c r="CU159" i="27" s="1"/>
  <c r="CT159" i="27" a="1"/>
  <c r="CT159" i="27" s="1"/>
  <c r="EQ164" i="27" a="1"/>
  <c r="EQ164" i="27" s="1"/>
  <c r="EP164" i="27" a="1"/>
  <c r="EP164" i="27" s="1"/>
  <c r="EO164" i="27" a="1"/>
  <c r="EO164" i="27" s="1"/>
  <c r="EO171" i="27" a="1"/>
  <c r="EO171" i="27" s="1"/>
  <c r="EP171" i="27" a="1"/>
  <c r="EP171" i="27" s="1"/>
  <c r="EQ171" i="27" a="1"/>
  <c r="EQ171" i="27" s="1"/>
  <c r="DX95" i="27" a="1"/>
  <c r="DX95" i="27" s="1"/>
  <c r="DW95" i="27" a="1"/>
  <c r="DW95" i="27" s="1"/>
  <c r="DY95" i="27" a="1"/>
  <c r="DY95" i="27" s="1"/>
  <c r="CT160" i="27" a="1"/>
  <c r="CT160" i="27" s="1"/>
  <c r="CU160" i="27" a="1"/>
  <c r="CU160" i="27" s="1"/>
  <c r="CV160" i="27" a="1"/>
  <c r="CV160" i="27" s="1"/>
  <c r="DJ154" i="27" a="1"/>
  <c r="DJ154" i="27" s="1"/>
  <c r="DI154" i="27" a="1"/>
  <c r="DI154" i="27" s="1"/>
  <c r="DH154" i="27" a="1"/>
  <c r="DH154" i="27" s="1"/>
  <c r="EQ174" i="27" a="1"/>
  <c r="EQ174" i="27" s="1"/>
  <c r="EP174" i="27" a="1"/>
  <c r="EP174" i="27" s="1"/>
  <c r="EO174" i="27" a="1"/>
  <c r="EO174" i="27" s="1"/>
  <c r="EP165" i="27" a="1"/>
  <c r="EP165" i="27" s="1"/>
  <c r="EO165" i="27" a="1"/>
  <c r="EO165" i="27" s="1"/>
  <c r="EQ165" i="27" a="1"/>
  <c r="EQ165" i="27" s="1"/>
  <c r="DQ309" i="27" a="1"/>
  <c r="DQ309" i="27" s="1"/>
  <c r="DP309" i="27" a="1"/>
  <c r="DP309" i="27" s="1"/>
  <c r="DO309" i="27" a="1"/>
  <c r="DO309" i="27" s="1"/>
  <c r="DY101" i="27" a="1"/>
  <c r="DY101" i="27" s="1"/>
  <c r="DX101" i="27" a="1"/>
  <c r="DX101" i="27" s="1"/>
  <c r="DW101" i="27" a="1"/>
  <c r="DW101" i="27" s="1"/>
  <c r="CL163" i="27" a="1"/>
  <c r="CL163" i="27" s="1"/>
  <c r="CM163" i="27" a="1"/>
  <c r="CM163" i="27" s="1"/>
  <c r="CK163" i="27" a="1"/>
  <c r="CK163" i="27" s="1"/>
  <c r="CM167" i="27" a="1"/>
  <c r="CM167" i="27" s="1"/>
  <c r="CM170" i="27" a="1"/>
  <c r="CM170" i="27" s="1"/>
  <c r="CL169" i="27" a="1"/>
  <c r="CL169" i="27" s="1"/>
  <c r="CK169" i="27" a="1"/>
  <c r="CK169" i="27" s="1"/>
  <c r="CL167" i="27" a="1"/>
  <c r="CL167" i="27" s="1"/>
  <c r="CL170" i="27" a="1"/>
  <c r="CL170" i="27" s="1"/>
  <c r="CK170" i="27" a="1"/>
  <c r="CK170" i="27" s="1"/>
  <c r="CK167" i="27" a="1"/>
  <c r="CK167" i="27" s="1"/>
  <c r="CM169" i="27" a="1"/>
  <c r="CM169" i="27" s="1"/>
  <c r="DC163" i="27" a="1"/>
  <c r="DC163" i="27" s="1"/>
  <c r="DB163" i="27" a="1"/>
  <c r="DB163" i="27" s="1"/>
  <c r="DA163" i="27" a="1"/>
  <c r="DA163" i="27" s="1"/>
  <c r="DJ146" i="27" a="1"/>
  <c r="DJ146" i="27" s="1"/>
  <c r="DH146" i="27" a="1"/>
  <c r="DH146" i="27" s="1"/>
  <c r="DI146" i="27" a="1"/>
  <c r="DI146" i="27" s="1"/>
  <c r="DB171" i="27" a="1"/>
  <c r="DB171" i="27" s="1"/>
  <c r="DC171" i="27" a="1"/>
  <c r="DC171" i="27" s="1"/>
  <c r="DA171" i="27" a="1"/>
  <c r="DA171" i="27" s="1"/>
  <c r="EI173" i="27" a="1"/>
  <c r="EI173" i="27" s="1"/>
  <c r="EJ173" i="27" a="1"/>
  <c r="EJ173" i="27" s="1"/>
  <c r="EH173" i="27" a="1"/>
  <c r="EH173" i="27" s="1"/>
  <c r="DJ169" i="27" a="1"/>
  <c r="DJ169" i="27" s="1"/>
  <c r="DI169" i="27" a="1"/>
  <c r="DI169" i="27" s="1"/>
  <c r="DH169" i="27" a="1"/>
  <c r="DH169" i="27" s="1"/>
  <c r="EQ154" i="27" a="1"/>
  <c r="EQ154" i="27" s="1"/>
  <c r="EP154" i="27" a="1"/>
  <c r="EP154" i="27" s="1"/>
  <c r="EO154" i="27" a="1"/>
  <c r="EO154" i="27" s="1"/>
  <c r="DQ302" i="27" a="1"/>
  <c r="DQ302" i="27" s="1"/>
  <c r="DP302" i="27" a="1"/>
  <c r="DP302" i="27" s="1"/>
  <c r="DO302" i="27" a="1"/>
  <c r="DO302" i="27" s="1"/>
  <c r="DO314" i="27" a="1"/>
  <c r="DO314" i="27" s="1"/>
  <c r="DP314" i="27" a="1"/>
  <c r="DP314" i="27" s="1"/>
  <c r="DX104" i="27" a="1"/>
  <c r="DX104" i="27" s="1"/>
  <c r="DW104" i="27" a="1"/>
  <c r="DW104" i="27" s="1"/>
  <c r="DY104" i="27" a="1"/>
  <c r="DY104" i="27" s="1"/>
  <c r="DW98" i="27" a="1"/>
  <c r="DW98" i="27" s="1"/>
  <c r="DY98" i="27" a="1"/>
  <c r="DY98" i="27" s="1"/>
  <c r="DX98" i="27" a="1"/>
  <c r="DX98" i="27" s="1"/>
  <c r="DY97" i="27" a="1"/>
  <c r="DY97" i="27" s="1"/>
  <c r="DX97" i="27" a="1"/>
  <c r="DX97" i="27" s="1"/>
  <c r="DW97" i="27" a="1"/>
  <c r="DW97" i="27" s="1"/>
  <c r="CV172" i="27" a="1"/>
  <c r="CV172" i="27" s="1"/>
  <c r="CU172" i="27" a="1"/>
  <c r="CU172" i="27" s="1"/>
  <c r="CT172" i="27" a="1"/>
  <c r="CT172" i="27" s="1"/>
  <c r="CU184" i="27" a="1"/>
  <c r="CU184" i="27" s="1"/>
  <c r="CT184" i="27" a="1"/>
  <c r="CT184" i="27" s="1"/>
  <c r="CV184" i="27" a="1"/>
  <c r="CV184" i="27" s="1"/>
  <c r="DJ162" i="27" a="1"/>
  <c r="DJ162" i="27" s="1"/>
  <c r="DH162" i="27" a="1"/>
  <c r="DH162" i="27" s="1"/>
  <c r="DI162" i="27" a="1"/>
  <c r="DI162" i="27" s="1"/>
  <c r="CT180" i="27" a="1"/>
  <c r="CT180" i="27" s="1"/>
  <c r="CU180" i="27" a="1"/>
  <c r="CU180" i="27" s="1"/>
  <c r="CV180" i="27" a="1"/>
  <c r="CV180" i="27" s="1"/>
  <c r="DI156" i="27" a="1"/>
  <c r="DI156" i="27" s="1"/>
  <c r="DH156" i="27" a="1"/>
  <c r="DH156" i="27" s="1"/>
  <c r="DJ156" i="27" a="1"/>
  <c r="DJ156" i="27" s="1"/>
  <c r="CV155" i="27" a="1"/>
  <c r="CV155" i="27" s="1"/>
  <c r="CU155" i="27" a="1"/>
  <c r="CU155" i="27" s="1"/>
  <c r="CT155" i="27" a="1"/>
  <c r="CT155" i="27" s="1"/>
  <c r="DA167" i="27" a="1"/>
  <c r="DA167" i="27" s="1"/>
  <c r="DB167" i="27" a="1"/>
  <c r="DB167" i="27" s="1"/>
  <c r="DC167" i="27" a="1"/>
  <c r="DC167" i="27" s="1"/>
  <c r="CT187" i="27" a="1"/>
  <c r="CT187" i="27" s="1"/>
  <c r="CV187" i="27" a="1"/>
  <c r="CV187" i="27" s="1"/>
  <c r="CU187" i="27" a="1"/>
  <c r="CU187" i="27" s="1"/>
  <c r="DC155" i="27" a="1"/>
  <c r="DC155" i="27" s="1"/>
  <c r="DB155" i="27" a="1"/>
  <c r="DB155" i="27" s="1"/>
  <c r="DA155" i="27" a="1"/>
  <c r="DA155" i="27" s="1"/>
  <c r="DC186" i="27" a="1"/>
  <c r="DC186" i="27" s="1"/>
  <c r="DB186" i="27" a="1"/>
  <c r="DB186" i="27" s="1"/>
  <c r="DA186" i="27" a="1"/>
  <c r="DA186" i="27" s="1"/>
  <c r="CU166" i="27" a="1"/>
  <c r="CU166" i="27" s="1"/>
  <c r="CT166" i="27" a="1"/>
  <c r="CT166" i="27" s="1"/>
  <c r="CV166" i="27" a="1"/>
  <c r="CV166" i="27" s="1"/>
  <c r="EH165" i="27" a="1"/>
  <c r="EH165" i="27" s="1"/>
  <c r="EI165" i="27" a="1"/>
  <c r="EI165" i="27" s="1"/>
  <c r="EJ165" i="27" a="1"/>
  <c r="EJ165" i="27" s="1"/>
  <c r="DC166" i="27" a="1"/>
  <c r="DC166" i="27" s="1"/>
  <c r="DB166" i="27" a="1"/>
  <c r="DB166" i="27" s="1"/>
  <c r="DA166" i="27" a="1"/>
  <c r="DA166" i="27" s="1"/>
  <c r="DH151" i="27" a="1"/>
  <c r="DH151" i="27" s="1"/>
  <c r="DI151" i="27" a="1"/>
  <c r="DI151" i="27" s="1"/>
  <c r="DJ151" i="27" a="1"/>
  <c r="DJ151" i="27" s="1"/>
  <c r="EP166" i="27" a="1"/>
  <c r="EP166" i="27" s="1"/>
  <c r="EO166" i="27" a="1"/>
  <c r="EO166" i="27" s="1"/>
  <c r="EQ166" i="27" a="1"/>
  <c r="EQ166" i="27" s="1"/>
  <c r="DI149" i="27" a="1"/>
  <c r="DI149" i="27" s="1"/>
  <c r="DJ149" i="27" a="1"/>
  <c r="DJ149" i="27" s="1"/>
  <c r="DH149" i="27" a="1"/>
  <c r="DH149" i="27" s="1"/>
  <c r="EJ160" i="27" a="1"/>
  <c r="EJ160" i="27" s="1"/>
  <c r="EH160" i="27" a="1"/>
  <c r="EH160" i="27" s="1"/>
  <c r="EI160" i="27" a="1"/>
  <c r="EI160" i="27" s="1"/>
  <c r="DH171" i="27" a="1"/>
  <c r="DH171" i="27" s="1"/>
  <c r="DJ171" i="27" a="1"/>
  <c r="DJ171" i="27" s="1"/>
  <c r="DI171" i="27" a="1"/>
  <c r="DI171" i="27" s="1"/>
  <c r="EJ179" i="27" a="1"/>
  <c r="EJ179" i="27" s="1"/>
  <c r="EH179" i="27" a="1"/>
  <c r="EH179" i="27" s="1"/>
  <c r="EI179" i="27" a="1"/>
  <c r="EI179" i="27" s="1"/>
  <c r="EQ178" i="27" a="1"/>
  <c r="EQ178" i="27" s="1"/>
  <c r="EP178" i="27" a="1"/>
  <c r="EP178" i="27" s="1"/>
  <c r="EO178" i="27" a="1"/>
  <c r="EO178" i="27" s="1"/>
  <c r="EH164" i="27" a="1"/>
  <c r="EH164" i="27" s="1"/>
  <c r="EJ164" i="27" a="1"/>
  <c r="EJ164" i="27" s="1"/>
  <c r="EI164" i="27" a="1"/>
  <c r="EI164" i="27" s="1"/>
  <c r="EP149" i="27" a="1"/>
  <c r="EP149" i="27" s="1"/>
  <c r="EO149" i="27" a="1"/>
  <c r="EO149" i="27" s="1"/>
  <c r="EQ149" i="27" a="1"/>
  <c r="EQ149" i="27" s="1"/>
  <c r="EJ159" i="27" a="1"/>
  <c r="EJ159" i="27" s="1"/>
  <c r="EI159" i="27" a="1"/>
  <c r="EI159" i="27" s="1"/>
  <c r="EH159" i="27" a="1"/>
  <c r="EH159" i="27" s="1"/>
  <c r="EI154" i="27" a="1"/>
  <c r="EI154" i="27" s="1"/>
  <c r="EJ154" i="27" a="1"/>
  <c r="EJ154" i="27" s="1"/>
  <c r="EH154" i="27" a="1"/>
  <c r="EH154" i="27" s="1"/>
  <c r="DQ297" i="27" a="1"/>
  <c r="DQ297" i="27" s="1"/>
  <c r="DP297" i="27" a="1"/>
  <c r="DP297" i="27" s="1"/>
  <c r="DO297" i="27" a="1"/>
  <c r="DO297" i="27" s="1"/>
  <c r="DQ313" i="27" a="1"/>
  <c r="DQ313" i="27" s="1"/>
  <c r="DP313" i="27" a="1"/>
  <c r="DP313" i="27" s="1"/>
  <c r="DO313" i="27" a="1"/>
  <c r="DO313" i="27" s="1"/>
  <c r="DW107" i="27" a="1"/>
  <c r="DW107" i="27" s="1"/>
  <c r="DX107" i="27" a="1"/>
  <c r="DX107" i="27" s="1"/>
  <c r="DY107" i="27" a="1"/>
  <c r="DY107" i="27" s="1"/>
  <c r="DY93" i="27" a="1"/>
  <c r="DY93" i="27" s="1"/>
  <c r="DX93" i="27" a="1"/>
  <c r="DX93" i="27" s="1"/>
  <c r="DW93" i="27" a="1"/>
  <c r="DW93" i="27" s="1"/>
  <c r="CL166" i="27" a="1"/>
  <c r="CL166" i="27" s="1"/>
  <c r="CK166" i="27" a="1"/>
  <c r="CK166" i="27" s="1"/>
  <c r="CM166" i="27" a="1"/>
  <c r="CM166" i="27" s="1"/>
  <c r="CL164" i="27" a="1"/>
  <c r="CL164" i="27" s="1"/>
  <c r="CK164" i="27" a="1"/>
  <c r="CK164" i="27" s="1"/>
  <c r="CM164" i="27" a="1"/>
  <c r="CM164" i="27" s="1"/>
  <c r="CU165" i="27" a="1"/>
  <c r="CU165" i="27" s="1"/>
  <c r="CT165" i="27" a="1"/>
  <c r="CT165" i="27" s="1"/>
  <c r="CV165" i="27" a="1"/>
  <c r="CV165" i="27" s="1"/>
  <c r="DA183" i="27" a="1"/>
  <c r="DA183" i="27" s="1"/>
  <c r="DC183" i="27" a="1"/>
  <c r="DC183" i="27" s="1"/>
  <c r="DB183" i="27" a="1"/>
  <c r="DB183" i="27" s="1"/>
  <c r="CV162" i="27" a="1"/>
  <c r="CV162" i="27" s="1"/>
  <c r="CU162" i="27" a="1"/>
  <c r="CU162" i="27" s="1"/>
  <c r="CT162" i="27" a="1"/>
  <c r="CT162" i="27" s="1"/>
  <c r="EP150" i="27" a="1"/>
  <c r="EP150" i="27" s="1"/>
  <c r="EQ150" i="27" a="1"/>
  <c r="EQ150" i="27" s="1"/>
  <c r="EO150" i="27" a="1"/>
  <c r="EO150" i="27" s="1"/>
  <c r="DX87" i="27" a="1"/>
  <c r="DX87" i="27" s="1"/>
  <c r="DW87" i="27" a="1"/>
  <c r="DW87" i="27" s="1"/>
  <c r="DY87" i="27" a="1"/>
  <c r="DY87" i="27" s="1"/>
  <c r="CM159" i="27" a="1"/>
  <c r="CM159" i="27" s="1"/>
  <c r="CL159" i="27" a="1"/>
  <c r="CL159" i="27" s="1"/>
  <c r="CK159" i="27" a="1"/>
  <c r="CK159" i="27" s="1"/>
  <c r="CK140" i="27" a="1"/>
  <c r="CK140" i="27" s="1"/>
  <c r="CM140" i="27" a="1"/>
  <c r="CM140" i="27" s="1"/>
  <c r="CL140" i="27" a="1"/>
  <c r="CL140" i="27" s="1"/>
  <c r="DA168" i="27" a="1"/>
  <c r="DA168" i="27" s="1"/>
  <c r="DC168" i="27" a="1"/>
  <c r="DC168" i="27" s="1"/>
  <c r="DB168" i="27" a="1"/>
  <c r="DB168" i="27" s="1"/>
  <c r="DJ166" i="27" a="1"/>
  <c r="DJ166" i="27" s="1"/>
  <c r="DI166" i="27" a="1"/>
  <c r="DI166" i="27" s="1"/>
  <c r="DH166" i="27" a="1"/>
  <c r="DH166" i="27" s="1"/>
  <c r="EH157" i="27" a="1"/>
  <c r="EH157" i="27" s="1"/>
  <c r="EJ157" i="27" a="1"/>
  <c r="EJ157" i="27" s="1"/>
  <c r="EI157" i="27" a="1"/>
  <c r="EI157" i="27" s="1"/>
  <c r="EI161" i="27" a="1"/>
  <c r="EI161" i="27" s="1"/>
  <c r="EH161" i="27" a="1"/>
  <c r="EH161" i="27" s="1"/>
  <c r="EJ161" i="27" a="1"/>
  <c r="EJ161" i="27" s="1"/>
  <c r="EQ181" i="27" a="1"/>
  <c r="EQ181" i="27" s="1"/>
  <c r="EP181" i="27" a="1"/>
  <c r="EP181" i="27" s="1"/>
  <c r="EO181" i="27" a="1"/>
  <c r="EO181" i="27" s="1"/>
  <c r="DQ305" i="27" a="1"/>
  <c r="DQ305" i="27" s="1"/>
  <c r="DP305" i="27" a="1"/>
  <c r="DP305" i="27" s="1"/>
  <c r="DO305" i="27" a="1"/>
  <c r="DO305" i="27" s="1"/>
  <c r="CM165" i="27" a="1"/>
  <c r="CM165" i="27" s="1"/>
  <c r="CL165" i="27" a="1"/>
  <c r="CL165" i="27" s="1"/>
  <c r="CK165" i="27" a="1"/>
  <c r="CK165" i="27" s="1"/>
  <c r="CM152" i="27" a="1"/>
  <c r="CM152" i="27" s="1"/>
  <c r="CL152" i="27" a="1"/>
  <c r="CL152" i="27" s="1"/>
  <c r="CK152" i="27" a="1"/>
  <c r="CK152" i="27" s="1"/>
  <c r="CK156" i="27" a="1"/>
  <c r="CK156" i="27" s="1"/>
  <c r="CM156" i="27" a="1"/>
  <c r="CM156" i="27" s="1"/>
  <c r="CL156" i="27" a="1"/>
  <c r="CL156" i="27" s="1"/>
  <c r="DA161" i="27" a="1"/>
  <c r="DA161" i="27" s="1"/>
  <c r="DC161" i="27" a="1"/>
  <c r="DC161" i="27" s="1"/>
  <c r="DB161" i="27" a="1"/>
  <c r="DB161" i="27" s="1"/>
  <c r="CU157" i="27" a="1"/>
  <c r="CU157" i="27" s="1"/>
  <c r="CT157" i="27" a="1"/>
  <c r="CT157" i="27" s="1"/>
  <c r="CV157" i="27" a="1"/>
  <c r="CV157" i="27" s="1"/>
  <c r="CV170" i="27" a="1"/>
  <c r="CV170" i="27" s="1"/>
  <c r="CU170" i="27" a="1"/>
  <c r="CU170" i="27" s="1"/>
  <c r="CT170" i="27" a="1"/>
  <c r="CT170" i="27" s="1"/>
  <c r="DC160" i="27" a="1"/>
  <c r="DC160" i="27" s="1"/>
  <c r="DB160" i="27" a="1"/>
  <c r="DB160" i="27" s="1"/>
  <c r="DA160" i="27" a="1"/>
  <c r="DA160" i="27" s="1"/>
  <c r="DA164" i="27" a="1"/>
  <c r="DA164" i="27" s="1"/>
  <c r="DC164" i="27" a="1"/>
  <c r="DC164" i="27" s="1"/>
  <c r="DB164" i="27" a="1"/>
  <c r="DB164" i="27" s="1"/>
  <c r="EJ166" i="27" a="1"/>
  <c r="EJ166" i="27" s="1"/>
  <c r="EI166" i="27" a="1"/>
  <c r="EI166" i="27" s="1"/>
  <c r="EH166" i="27" a="1"/>
  <c r="EH166" i="27" s="1"/>
  <c r="DQ308" i="27" a="1"/>
  <c r="DQ308" i="27" s="1"/>
  <c r="DP308" i="27" a="1"/>
  <c r="DP308" i="27" s="1"/>
  <c r="DO308" i="27" a="1"/>
  <c r="DO308" i="27" s="1"/>
  <c r="DY105" i="27" a="1"/>
  <c r="DY105" i="27" s="1"/>
  <c r="DX105" i="27" a="1"/>
  <c r="DX105" i="27" s="1"/>
  <c r="DW105" i="27" a="1"/>
  <c r="DW105" i="27" s="1"/>
  <c r="CV175" i="27" a="1"/>
  <c r="CV175" i="27" s="1"/>
  <c r="CU175" i="27" a="1"/>
  <c r="CU175" i="27" s="1"/>
  <c r="CT175" i="27" a="1"/>
  <c r="CT175" i="27" s="1"/>
  <c r="EO161" i="27" a="1"/>
  <c r="EO161" i="27" s="1"/>
  <c r="EQ161" i="27" a="1"/>
  <c r="EQ161" i="27" s="1"/>
  <c r="EP161" i="27" a="1"/>
  <c r="EP161" i="27" s="1"/>
  <c r="EI169" i="27" a="1"/>
  <c r="EI169" i="27" s="1"/>
  <c r="EH169" i="27" a="1"/>
  <c r="EH169" i="27" s="1"/>
  <c r="EJ169" i="27" a="1"/>
  <c r="EJ169" i="27" s="1"/>
  <c r="DY108" i="27" a="1"/>
  <c r="DY108" i="27" s="1"/>
  <c r="DX108" i="27" a="1"/>
  <c r="DX108" i="27" s="1"/>
  <c r="DW108" i="27" a="1"/>
  <c r="DW108" i="27" s="1"/>
  <c r="DY86" i="27" a="1"/>
  <c r="DY86" i="27" s="1"/>
  <c r="DW86" i="27" a="1"/>
  <c r="DW86" i="27" s="1"/>
  <c r="DX86" i="27" a="1"/>
  <c r="DX86" i="27" s="1"/>
  <c r="DX96" i="27" a="1"/>
  <c r="DX96" i="27" s="1"/>
  <c r="DY96" i="27" a="1"/>
  <c r="DY96" i="27" s="1"/>
  <c r="DW96" i="27" a="1"/>
  <c r="DW96" i="27" s="1"/>
  <c r="DJ158" i="27" a="1"/>
  <c r="DJ158" i="27" s="1"/>
  <c r="DI158" i="27" a="1"/>
  <c r="DI158" i="27" s="1"/>
  <c r="DH158" i="27" a="1"/>
  <c r="DH158" i="27" s="1"/>
  <c r="CV163" i="27" a="1"/>
  <c r="CV163" i="27" s="1"/>
  <c r="CU163" i="27" a="1"/>
  <c r="CU163" i="27" s="1"/>
  <c r="CT163" i="27" a="1"/>
  <c r="CT163" i="27" s="1"/>
  <c r="DC156" i="27" a="1"/>
  <c r="DC156" i="27" s="1"/>
  <c r="DB156" i="27" a="1"/>
  <c r="DB156" i="27" s="1"/>
  <c r="DA156" i="27" a="1"/>
  <c r="DA156" i="27" s="1"/>
  <c r="DJ145" i="27" a="1"/>
  <c r="DJ145" i="27" s="1"/>
  <c r="DI145" i="27" a="1"/>
  <c r="DI145" i="27" s="1"/>
  <c r="DH145" i="27" a="1"/>
  <c r="DH145" i="27" s="1"/>
  <c r="CU178" i="27" a="1"/>
  <c r="CU178" i="27" s="1"/>
  <c r="CV178" i="27" a="1"/>
  <c r="CV178" i="27" s="1"/>
  <c r="CT178" i="27" a="1"/>
  <c r="CT178" i="27" s="1"/>
  <c r="DJ150" i="27" a="1"/>
  <c r="DJ150" i="27" s="1"/>
  <c r="DI150" i="27" a="1"/>
  <c r="DI150" i="27" s="1"/>
  <c r="DH150" i="27" a="1"/>
  <c r="DH150" i="27" s="1"/>
  <c r="DH159" i="27" a="1"/>
  <c r="DH159" i="27" s="1"/>
  <c r="DJ159" i="27" a="1"/>
  <c r="DJ159" i="27" s="1"/>
  <c r="DI159" i="27" a="1"/>
  <c r="DI159" i="27" s="1"/>
  <c r="DB169" i="27" a="1"/>
  <c r="DB169" i="27" s="1"/>
  <c r="DC169" i="27" a="1"/>
  <c r="DC169" i="27" s="1"/>
  <c r="DA169" i="27" a="1"/>
  <c r="DA169" i="27" s="1"/>
  <c r="EH176" i="27" a="1"/>
  <c r="EH176" i="27" s="1"/>
  <c r="EI176" i="27" a="1"/>
  <c r="EI176" i="27" s="1"/>
  <c r="EJ176" i="27" a="1"/>
  <c r="EJ176" i="27" s="1"/>
  <c r="DH152" i="27" a="1"/>
  <c r="DH152" i="27" s="1"/>
  <c r="DJ152" i="27" a="1"/>
  <c r="DJ152" i="27" s="1"/>
  <c r="DI152" i="27" a="1"/>
  <c r="DI152" i="27" s="1"/>
  <c r="EJ182" i="27" a="1"/>
  <c r="EJ182" i="27" s="1"/>
  <c r="EI182" i="27" a="1"/>
  <c r="EI182" i="27" s="1"/>
  <c r="EH182" i="27" a="1"/>
  <c r="EH182" i="27" s="1"/>
  <c r="DJ153" i="27" a="1"/>
  <c r="DJ153" i="27" s="1"/>
  <c r="DI153" i="27" a="1"/>
  <c r="DI153" i="27" s="1"/>
  <c r="DH153" i="27" a="1"/>
  <c r="DH153" i="27" s="1"/>
  <c r="EI153" i="27" a="1"/>
  <c r="EI153" i="27" s="1"/>
  <c r="EH153" i="27" a="1"/>
  <c r="EH153" i="27" s="1"/>
  <c r="EJ153" i="27" a="1"/>
  <c r="EJ153" i="27" s="1"/>
  <c r="EQ173" i="27" a="1"/>
  <c r="EQ173" i="27" s="1"/>
  <c r="EP173" i="27" a="1"/>
  <c r="EP173" i="27" s="1"/>
  <c r="EO173" i="27" a="1"/>
  <c r="EO173" i="27" s="1"/>
  <c r="EO168" i="27" a="1"/>
  <c r="EO168" i="27" s="1"/>
  <c r="EQ168" i="27" a="1"/>
  <c r="EQ168" i="27" s="1"/>
  <c r="EP168" i="27" a="1"/>
  <c r="EP168" i="27" s="1"/>
  <c r="EQ163" i="27" a="1"/>
  <c r="EQ163" i="27" s="1"/>
  <c r="EO163" i="27" a="1"/>
  <c r="EO163" i="27" s="1"/>
  <c r="EP163" i="27" a="1"/>
  <c r="EP163" i="27" s="1"/>
  <c r="DQ294" i="27" a="1"/>
  <c r="DQ294" i="27" s="1"/>
  <c r="DP294" i="27" a="1"/>
  <c r="DP294" i="27" s="1"/>
  <c r="DO294" i="27" a="1"/>
  <c r="DO294" i="27" s="1"/>
  <c r="DO299" i="27" a="1"/>
  <c r="DO299" i="27" s="1"/>
  <c r="DQ299" i="27" a="1"/>
  <c r="DQ299" i="27" s="1"/>
  <c r="DP299" i="27" a="1"/>
  <c r="DP299" i="27" s="1"/>
  <c r="DP315" i="27" a="1"/>
  <c r="DP315" i="27" s="1"/>
  <c r="DQ315" i="27" a="1"/>
  <c r="DQ315" i="27" s="1"/>
  <c r="DO315" i="27" a="1"/>
  <c r="DO315" i="27" s="1"/>
  <c r="CL160" i="27" a="1"/>
  <c r="CL160" i="27" s="1"/>
  <c r="CK160" i="27" a="1"/>
  <c r="CK160" i="27" s="1"/>
  <c r="DA162" i="27" a="1"/>
  <c r="DA162" i="27" s="1"/>
  <c r="DC162" i="27" a="1"/>
  <c r="DC162" i="27" s="1"/>
  <c r="DB162" i="27" a="1"/>
  <c r="DB162" i="27" s="1"/>
  <c r="DI167" i="27" a="1"/>
  <c r="DI167" i="27" s="1"/>
  <c r="DH167" i="27" a="1"/>
  <c r="DH167" i="27" s="1"/>
  <c r="DJ167" i="27" a="1"/>
  <c r="DJ167" i="27" s="1"/>
  <c r="EJ150" i="27" a="1"/>
  <c r="EJ150" i="27" s="1"/>
  <c r="EI150" i="27" a="1"/>
  <c r="EI150" i="27" s="1"/>
  <c r="EH150" i="27" a="1"/>
  <c r="EH150" i="27" s="1"/>
  <c r="EP157" i="27" a="1"/>
  <c r="EP157" i="27" s="1"/>
  <c r="EO157" i="27" a="1"/>
  <c r="EO157" i="27" s="1"/>
  <c r="EQ157" i="27" a="1"/>
  <c r="EQ157" i="27" s="1"/>
  <c r="EJ167" i="27" a="1"/>
  <c r="EJ167" i="27" s="1"/>
  <c r="EI167" i="27" a="1"/>
  <c r="EI167" i="27" s="1"/>
  <c r="EH167" i="27" a="1"/>
  <c r="EH167" i="27" s="1"/>
  <c r="DQ310" i="27" a="1"/>
  <c r="DQ310" i="27" s="1"/>
  <c r="DP310" i="27" a="1"/>
  <c r="DP310" i="27" s="1"/>
  <c r="DO310" i="27" a="1"/>
  <c r="DO310" i="27" s="1"/>
  <c r="DW99" i="27" a="1"/>
  <c r="DW99" i="27" s="1"/>
  <c r="DY99" i="27" a="1"/>
  <c r="DY99" i="27" s="1"/>
  <c r="DX99" i="27" a="1"/>
  <c r="DX99" i="27" s="1"/>
  <c r="DA154" i="27" a="1"/>
  <c r="DA154" i="27" s="1"/>
  <c r="DB154" i="27" a="1"/>
  <c r="DB154" i="27" s="1"/>
  <c r="DC154" i="27" a="1"/>
  <c r="DC154" i="27" s="1"/>
  <c r="DA173" i="27" a="1"/>
  <c r="DA173" i="27" s="1"/>
  <c r="DC173" i="27" a="1"/>
  <c r="DC173" i="27" s="1"/>
  <c r="DB173" i="27" a="1"/>
  <c r="DB173" i="27" s="1"/>
  <c r="EP176" i="27" a="1"/>
  <c r="EP176" i="27" s="1"/>
  <c r="EO176" i="27" a="1"/>
  <c r="EO176" i="27" s="1"/>
  <c r="EQ176" i="27" a="1"/>
  <c r="EQ176" i="27" s="1"/>
  <c r="DP312" i="27" a="1"/>
  <c r="DP312" i="27" s="1"/>
  <c r="DQ312" i="27" a="1"/>
  <c r="DQ312" i="27" s="1"/>
  <c r="DO312" i="27" a="1"/>
  <c r="DO312" i="27" s="1"/>
  <c r="DY109" i="27" a="1"/>
  <c r="DY109" i="27" s="1"/>
  <c r="DX109" i="27" a="1"/>
  <c r="DX109" i="27" s="1"/>
  <c r="DW109" i="27" a="1"/>
  <c r="DW109" i="27" s="1"/>
  <c r="CM150" i="27" a="1"/>
  <c r="CM150" i="27" s="1"/>
  <c r="CL150" i="27" a="1"/>
  <c r="CL150" i="27" s="1"/>
  <c r="CK150" i="27" a="1"/>
  <c r="CK150" i="27" s="1"/>
  <c r="CV181" i="27" a="1"/>
  <c r="CV181" i="27" s="1"/>
  <c r="CU181" i="27" a="1"/>
  <c r="CU181" i="27" s="1"/>
  <c r="CT181" i="27" a="1"/>
  <c r="CT181" i="27" s="1"/>
  <c r="EO172" i="27" a="1"/>
  <c r="EO172" i="27" s="1"/>
  <c r="EQ172" i="27" a="1"/>
  <c r="EQ172" i="27" s="1"/>
  <c r="EP172" i="27" a="1"/>
  <c r="EP172" i="27" s="1"/>
  <c r="EQ175" i="27" a="1"/>
  <c r="EQ175" i="27" s="1"/>
  <c r="EP175" i="27" a="1"/>
  <c r="EP175" i="27" s="1"/>
  <c r="EO175" i="27" a="1"/>
  <c r="EO175" i="27" s="1"/>
  <c r="DH144" i="27" a="1"/>
  <c r="DH144" i="27" s="1"/>
  <c r="DJ144" i="27" a="1"/>
  <c r="DJ144" i="27" s="1"/>
  <c r="DI144" i="27" a="1"/>
  <c r="DI144" i="27" s="1"/>
  <c r="EJ168" i="27" a="1"/>
  <c r="EJ168" i="27" s="1"/>
  <c r="EI168" i="27" a="1"/>
  <c r="EI168" i="27" s="1"/>
  <c r="EH168" i="27" a="1"/>
  <c r="EH168" i="27" s="1"/>
  <c r="EH175" i="27" a="1"/>
  <c r="EH175" i="27" s="1"/>
  <c r="EI175" i="27" a="1"/>
  <c r="EI175" i="27" s="1"/>
  <c r="EJ175" i="27" a="1"/>
  <c r="EJ175" i="27" s="1"/>
  <c r="EO160" i="27" a="1"/>
  <c r="EO160" i="27" s="1"/>
  <c r="EP160" i="27" a="1"/>
  <c r="EP160" i="27" s="1"/>
  <c r="EQ160" i="27" a="1"/>
  <c r="EQ160" i="27" s="1"/>
  <c r="EI170" i="27" a="1"/>
  <c r="EI170" i="27" s="1"/>
  <c r="EJ170" i="27" a="1"/>
  <c r="EJ170" i="27" s="1"/>
  <c r="EH170" i="27" a="1"/>
  <c r="EH170" i="27" s="1"/>
  <c r="EQ155" i="27" a="1"/>
  <c r="EQ155" i="27" s="1"/>
  <c r="EO155" i="27" a="1"/>
  <c r="EO155" i="27" s="1"/>
  <c r="EP155" i="27" a="1"/>
  <c r="EP155" i="27" s="1"/>
  <c r="DO298" i="27" a="1"/>
  <c r="DO298" i="27" s="1"/>
  <c r="DQ298" i="27" a="1"/>
  <c r="DQ298" i="27" s="1"/>
  <c r="DP298" i="27" a="1"/>
  <c r="DP298" i="27" s="1"/>
  <c r="DQ293" i="27" a="1"/>
  <c r="DQ293" i="27" s="1"/>
  <c r="DO293" i="27" a="1"/>
  <c r="DO293" i="27" s="1"/>
  <c r="DP293" i="27" a="1"/>
  <c r="DP293" i="27" s="1"/>
  <c r="CL161" i="27" a="1"/>
  <c r="CL161" i="27" s="1"/>
  <c r="CK161" i="27" a="1"/>
  <c r="CK161" i="27" s="1"/>
  <c r="CM161" i="27" a="1"/>
  <c r="CM161" i="27" s="1"/>
  <c r="CM157" i="27" a="1"/>
  <c r="CM157" i="27" s="1"/>
  <c r="CL157" i="27" a="1"/>
  <c r="CL157" i="27" s="1"/>
  <c r="CK157" i="27" a="1"/>
  <c r="CK157" i="27" s="1"/>
  <c r="CM151" i="27" a="1"/>
  <c r="CM151" i="27" s="1"/>
  <c r="CL151" i="27" a="1"/>
  <c r="CL151" i="27" s="1"/>
  <c r="CK151" i="27" a="1"/>
  <c r="CK151" i="27" s="1"/>
  <c r="CT176" i="27" a="1"/>
  <c r="CT176" i="27" s="1"/>
  <c r="CU176" i="27" a="1"/>
  <c r="CU176" i="27" s="1"/>
  <c r="DB170" i="27" a="1"/>
  <c r="DB170" i="27" s="1"/>
  <c r="DA170" i="27" a="1"/>
  <c r="DA170" i="27" s="1"/>
  <c r="DC170" i="27" a="1"/>
  <c r="DC170" i="27" s="1"/>
  <c r="CV156" i="27" a="1"/>
  <c r="CV156" i="27" s="1"/>
  <c r="CU156" i="27" a="1"/>
  <c r="CU156" i="27" s="1"/>
  <c r="CT156" i="27" a="1"/>
  <c r="CT156" i="27" s="1"/>
  <c r="CU173" i="27" a="1"/>
  <c r="CU173" i="27" s="1"/>
  <c r="CT173" i="27" a="1"/>
  <c r="CT173" i="27" s="1"/>
  <c r="CV173" i="27" a="1"/>
  <c r="CV173" i="27" s="1"/>
  <c r="CT161" i="27" a="1"/>
  <c r="CT161" i="27" s="1"/>
  <c r="CV161" i="27" a="1"/>
  <c r="CV161" i="27" s="1"/>
  <c r="CU161" i="27" a="1"/>
  <c r="CU161" i="27" s="1"/>
  <c r="DI168" i="27" a="1"/>
  <c r="DI168" i="27" s="1"/>
  <c r="DJ168" i="27" a="1"/>
  <c r="DJ168" i="27" s="1"/>
  <c r="DH168" i="27" a="1"/>
  <c r="DH168" i="27" s="1"/>
  <c r="DQ316" i="27" a="1"/>
  <c r="DQ316" i="27" s="1"/>
  <c r="DP316" i="27" a="1"/>
  <c r="DP316" i="27" s="1"/>
  <c r="DO316" i="27" a="1"/>
  <c r="DO316" i="27" s="1"/>
  <c r="DP295" i="27" a="1"/>
  <c r="DP295" i="27" s="1"/>
  <c r="DO295" i="27" a="1"/>
  <c r="DO295" i="27" s="1"/>
  <c r="DQ295" i="27" a="1"/>
  <c r="DQ295" i="27" s="1"/>
  <c r="DP311" i="27" a="1"/>
  <c r="DP311" i="27" s="1"/>
  <c r="DO311" i="27" a="1"/>
  <c r="DO311" i="27" s="1"/>
  <c r="DQ311" i="27" a="1"/>
  <c r="DQ311" i="27" s="1"/>
  <c r="DX80" i="27" a="1"/>
  <c r="DX80" i="27" s="1"/>
  <c r="DY80" i="27" a="1"/>
  <c r="DY80" i="27" s="1"/>
  <c r="DW80" i="27" a="1"/>
  <c r="DW80" i="27" s="1"/>
  <c r="DW106" i="27" a="1"/>
  <c r="DW106" i="27" s="1"/>
  <c r="DY106" i="27" a="1"/>
  <c r="DY106" i="27" s="1"/>
  <c r="DX106" i="27" a="1"/>
  <c r="DX106" i="27" s="1"/>
  <c r="DX79" i="27" a="1"/>
  <c r="DX79" i="27" s="1"/>
  <c r="DW79" i="27" a="1"/>
  <c r="DW79" i="27" s="1"/>
  <c r="DY79" i="27" a="1"/>
  <c r="DY79" i="27" s="1"/>
  <c r="CM139" i="27" a="1"/>
  <c r="CM139" i="27" s="1"/>
  <c r="CK139" i="27" a="1"/>
  <c r="CK139" i="27" s="1"/>
  <c r="CL139" i="27" a="1"/>
  <c r="CL139" i="27" s="1"/>
  <c r="CK146" i="27" a="1"/>
  <c r="CK146" i="27" s="1"/>
  <c r="CM146" i="27" a="1"/>
  <c r="CM146" i="27" s="1"/>
  <c r="CL146" i="27" a="1"/>
  <c r="CL146" i="27" s="1"/>
  <c r="DY89" i="27" a="1"/>
  <c r="DY89" i="27" s="1"/>
  <c r="DX89" i="27" a="1"/>
  <c r="DX89" i="27" s="1"/>
  <c r="DW89" i="27" a="1"/>
  <c r="DW89" i="27" s="1"/>
  <c r="DW90" i="27" a="1"/>
  <c r="DW90" i="27" s="1"/>
  <c r="DY90" i="27" a="1"/>
  <c r="DY90" i="27" s="1"/>
  <c r="DX90" i="27" a="1"/>
  <c r="DX90" i="27" s="1"/>
  <c r="DY84" i="27" a="1"/>
  <c r="DY84" i="27" s="1"/>
  <c r="DX84" i="27" a="1"/>
  <c r="DX84" i="27" s="1"/>
  <c r="DW84" i="27" a="1"/>
  <c r="DW84" i="27" s="1"/>
  <c r="DW82" i="27" a="1"/>
  <c r="DW82" i="27" s="1"/>
  <c r="DY82" i="27" a="1"/>
  <c r="DY82" i="27" s="1"/>
  <c r="DX82" i="27" a="1"/>
  <c r="DX82" i="27" s="1"/>
  <c r="DW91" i="27" a="1"/>
  <c r="DW91" i="27" s="1"/>
  <c r="DX91" i="27" a="1"/>
  <c r="DX91" i="27" s="1"/>
  <c r="DY91" i="27" a="1"/>
  <c r="DY91" i="27" s="1"/>
  <c r="CM153" i="27" a="1"/>
  <c r="CM153" i="27" s="1"/>
  <c r="CL153" i="27" a="1"/>
  <c r="CL153" i="27" s="1"/>
  <c r="CK153" i="27" a="1"/>
  <c r="CK153" i="27" s="1"/>
  <c r="CL148" i="27" a="1"/>
  <c r="CL148" i="27" s="1"/>
  <c r="CK148" i="27" a="1"/>
  <c r="CK148" i="27" s="1"/>
  <c r="CM148" i="27" a="1"/>
  <c r="CM148" i="27" s="1"/>
  <c r="DX88" i="27" a="1"/>
  <c r="DX88" i="27" s="1"/>
  <c r="DW88" i="27" a="1"/>
  <c r="DW88" i="27" s="1"/>
  <c r="DY88" i="27" a="1"/>
  <c r="DY88" i="27" s="1"/>
  <c r="DY78" i="27" a="1"/>
  <c r="DY78" i="27" s="1"/>
  <c r="DW78" i="27" a="1"/>
  <c r="DW78" i="27" s="1"/>
  <c r="DX78" i="27" a="1"/>
  <c r="DX78" i="27" s="1"/>
  <c r="DY110" i="27" a="1"/>
  <c r="DY110" i="27" s="1"/>
  <c r="DW110" i="27" a="1"/>
  <c r="DW110" i="27" s="1"/>
  <c r="DX110" i="27" a="1"/>
  <c r="DX110" i="27" s="1"/>
  <c r="CM145" i="27" a="1"/>
  <c r="CM145" i="27" s="1"/>
  <c r="CL145" i="27" a="1"/>
  <c r="CL145" i="27" s="1"/>
  <c r="CK145" i="27"/>
  <c r="CM158" i="27" a="1"/>
  <c r="CM158" i="27" s="1"/>
  <c r="CL158" i="27" a="1"/>
  <c r="CL158" i="27" s="1"/>
  <c r="CK158" i="27" a="1"/>
  <c r="CK158" i="27" s="1"/>
  <c r="CK141" i="27" a="1"/>
  <c r="CK141" i="27" s="1"/>
  <c r="CM141" i="27" a="1"/>
  <c r="CM141" i="27" s="1"/>
  <c r="CL141" i="27" a="1"/>
  <c r="CL141" i="27" s="1"/>
  <c r="CL155" i="27" a="1"/>
  <c r="CL155" i="27" s="1"/>
  <c r="CK155" i="27" a="1"/>
  <c r="CK155" i="27" s="1"/>
  <c r="CM155" i="27" a="1"/>
  <c r="CM155" i="27" s="1"/>
  <c r="CM162" i="27" a="1"/>
  <c r="CM162" i="27" s="1"/>
  <c r="CK162" i="27" a="1"/>
  <c r="CK162" i="27" s="1"/>
  <c r="CL162" i="27" a="1"/>
  <c r="CL162" i="27" s="1"/>
  <c r="CK143" i="27" a="1"/>
  <c r="CK143" i="27" s="1"/>
  <c r="CM143" i="27" a="1"/>
  <c r="CM143" i="27" s="1"/>
  <c r="CL143" i="27" a="1"/>
  <c r="CL143" i="27" s="1"/>
  <c r="DB180" i="27" a="1"/>
  <c r="DB180" i="27" s="1"/>
  <c r="DC180" i="27" a="1"/>
  <c r="DC180" i="27" s="1"/>
  <c r="DA180" i="27" a="1"/>
  <c r="DA180" i="27" s="1"/>
  <c r="DJ147" i="27" a="1"/>
  <c r="DJ147" i="27" s="1"/>
  <c r="DI147" i="27" a="1"/>
  <c r="DI147" i="27" s="1"/>
  <c r="DH147" i="27" a="1"/>
  <c r="DH147" i="27" s="1"/>
  <c r="CU158" i="27" a="1"/>
  <c r="CU158" i="27" s="1"/>
  <c r="CV158" i="27" a="1"/>
  <c r="CV158" i="27" s="1"/>
  <c r="CT158" i="27" a="1"/>
  <c r="CT158" i="27" s="1"/>
  <c r="CT169" i="27" a="1"/>
  <c r="CT169" i="27" s="1"/>
  <c r="CU169" i="27" a="1"/>
  <c r="CU169" i="27" s="1"/>
  <c r="CV169" i="27" a="1"/>
  <c r="CV169" i="27" s="1"/>
  <c r="DB159" i="27" a="1"/>
  <c r="DB159" i="27" s="1"/>
  <c r="DC159" i="27" a="1"/>
  <c r="DC159" i="27" s="1"/>
  <c r="DA159" i="27" a="1"/>
  <c r="DA159" i="27" s="1"/>
  <c r="EJ174" i="27" a="1"/>
  <c r="EJ174" i="27" s="1"/>
  <c r="EI174" i="27" a="1"/>
  <c r="EI174" i="27" s="1"/>
  <c r="EH174" i="27" a="1"/>
  <c r="EH174" i="27" s="1"/>
  <c r="CV171" i="27" a="1"/>
  <c r="CV171" i="27" s="1"/>
  <c r="CT171" i="27" a="1"/>
  <c r="CT171" i="27" s="1"/>
  <c r="CU171" i="27" a="1"/>
  <c r="CU171" i="27" s="1"/>
  <c r="CU174" i="27" a="1"/>
  <c r="CU174" i="27" s="1"/>
  <c r="CV174" i="27" a="1"/>
  <c r="CV174" i="27" s="1"/>
  <c r="CT174" i="27" a="1"/>
  <c r="CT174" i="27" s="1"/>
  <c r="DA165" i="27" a="1"/>
  <c r="DA165" i="27" s="1"/>
  <c r="DB165" i="27" a="1"/>
  <c r="DB165" i="27" s="1"/>
  <c r="DC165" i="27" a="1"/>
  <c r="DC165" i="27" s="1"/>
  <c r="DA172" i="27" a="1"/>
  <c r="DA172" i="27" s="1"/>
  <c r="DC172" i="27" a="1"/>
  <c r="DC172" i="27" s="1"/>
  <c r="DB172" i="27" a="1"/>
  <c r="DB172" i="27" s="1"/>
  <c r="DI157" i="27" a="1"/>
  <c r="DI157" i="27" s="1"/>
  <c r="DJ157" i="27" a="1"/>
  <c r="DJ157" i="27" s="1"/>
  <c r="DH157" i="27" a="1"/>
  <c r="DH157" i="27" s="1"/>
  <c r="DA179" i="27" a="1"/>
  <c r="DA179" i="27" s="1"/>
  <c r="DB179" i="27" a="1"/>
  <c r="DB179" i="27" s="1"/>
  <c r="DC179" i="27" a="1"/>
  <c r="DC179" i="27" s="1"/>
  <c r="DI176" i="27" a="1"/>
  <c r="DI176" i="27" s="1"/>
  <c r="DH176" i="27" a="1"/>
  <c r="DH176" i="27" s="1"/>
  <c r="DJ176" i="27" a="1"/>
  <c r="DJ176" i="27" s="1"/>
  <c r="EQ151" i="27" a="1"/>
  <c r="EQ151" i="27" s="1"/>
  <c r="EP151" i="27" a="1"/>
  <c r="EP151" i="27" s="1"/>
  <c r="EO151" i="27" a="1"/>
  <c r="EO151" i="27" s="1"/>
  <c r="DJ155" i="27" a="1"/>
  <c r="DJ155" i="27" s="1"/>
  <c r="DI155" i="27" a="1"/>
  <c r="DI155" i="27" s="1"/>
  <c r="DH155" i="27" a="1"/>
  <c r="DH155" i="27" s="1"/>
  <c r="EO153" i="27" a="1"/>
  <c r="EO153" i="27" s="1"/>
  <c r="EQ153" i="27" a="1"/>
  <c r="EQ153" i="27" s="1"/>
  <c r="EP153" i="27" a="1"/>
  <c r="EP153" i="27" s="1"/>
  <c r="EJ177" i="27" a="1"/>
  <c r="EJ177" i="27" s="1"/>
  <c r="EI177" i="27" a="1"/>
  <c r="EI177" i="27" s="1"/>
  <c r="EH177" i="27" a="1"/>
  <c r="EH177" i="27" s="1"/>
  <c r="EQ162" i="27" a="1"/>
  <c r="EQ162" i="27" s="1"/>
  <c r="EP162" i="27" a="1"/>
  <c r="EP162" i="27" s="1"/>
  <c r="EO162" i="27" a="1"/>
  <c r="EO162" i="27" s="1"/>
  <c r="DP304" i="27" a="1"/>
  <c r="DP304" i="27" s="1"/>
  <c r="DQ304" i="27" a="1"/>
  <c r="DQ304" i="27" s="1"/>
  <c r="DO304" i="27" a="1"/>
  <c r="DO304" i="27" s="1"/>
  <c r="DQ301" i="27" a="1"/>
  <c r="DQ301" i="27" s="1"/>
  <c r="DO301" i="27" a="1"/>
  <c r="DO301" i="27" s="1"/>
  <c r="DP301" i="27" a="1"/>
  <c r="DP301" i="27" s="1"/>
  <c r="DO317" i="27" a="1"/>
  <c r="DO317" i="27" s="1"/>
  <c r="DP317" i="27" a="1"/>
  <c r="DP317" i="27" s="1"/>
  <c r="DQ317" i="27" a="1"/>
  <c r="DQ317" i="27" s="1"/>
  <c r="DQ319" i="27" a="1"/>
  <c r="DQ319" i="27" s="1"/>
  <c r="DP319" i="27" a="1"/>
  <c r="DP319" i="27" s="1"/>
  <c r="DO319" i="27" a="1"/>
  <c r="DO319" i="27" s="1"/>
  <c r="BY217" i="27" a="1"/>
  <c r="BY217" i="27" s="1"/>
  <c r="BY204" i="27" a="1"/>
  <c r="BY204" i="27" s="1"/>
  <c r="BY224" i="27" a="1"/>
  <c r="BY224" i="27" s="1"/>
  <c r="BY221" i="27" a="1"/>
  <c r="BY221" i="27" s="1"/>
  <c r="BY207" i="27" a="1"/>
  <c r="BY207" i="27" s="1"/>
  <c r="BY210" i="27" a="1"/>
  <c r="BY210" i="27" s="1"/>
  <c r="BY220" i="27" a="1"/>
  <c r="BY220" i="27" s="1"/>
  <c r="BY201" i="27" a="1"/>
  <c r="BY201" i="27" s="1"/>
  <c r="BY206" i="27" a="1"/>
  <c r="BY206" i="27" s="1"/>
  <c r="BY222" i="27" a="1"/>
  <c r="BY222" i="27" s="1"/>
  <c r="BY203" i="27" a="1"/>
  <c r="BY203" i="27" s="1"/>
  <c r="BY219" i="27" a="1"/>
  <c r="BY219" i="27" s="1"/>
  <c r="BY208" i="27" a="1"/>
  <c r="BY208" i="27" s="1"/>
  <c r="BY205" i="27" a="1"/>
  <c r="BY205" i="27" s="1"/>
  <c r="BY226" i="27" a="1"/>
  <c r="BY226" i="27" s="1"/>
  <c r="BY196" i="27" a="1"/>
  <c r="BY196" i="27" s="1"/>
  <c r="BY209" i="27" a="1"/>
  <c r="BY209" i="27" s="1"/>
  <c r="BY198" i="27" a="1"/>
  <c r="BY198" i="27" s="1"/>
  <c r="BY214" i="27" a="1"/>
  <c r="BY214" i="27" s="1"/>
  <c r="BY211" i="27" a="1"/>
  <c r="BY211" i="27" s="1"/>
  <c r="BY227" i="27" a="1"/>
  <c r="BY227" i="27" s="1"/>
  <c r="BY228" i="27" a="1"/>
  <c r="BY228" i="27" s="1"/>
  <c r="BY225" i="27" a="1"/>
  <c r="BY225" i="27" s="1"/>
  <c r="BY200" i="27" a="1"/>
  <c r="BY200" i="27" s="1"/>
  <c r="BY216" i="27" a="1"/>
  <c r="BY216" i="27" s="1"/>
  <c r="BY197" i="27" a="1"/>
  <c r="BY197" i="27" s="1"/>
  <c r="BY213" i="27" a="1"/>
  <c r="BY213" i="27" s="1"/>
  <c r="BY223" i="27" a="1"/>
  <c r="BY223" i="27" s="1"/>
  <c r="BY212" i="27" a="1"/>
  <c r="BY212" i="27" s="1"/>
  <c r="BY202" i="27" a="1"/>
  <c r="BY202" i="27" s="1"/>
  <c r="BY218" i="27" a="1"/>
  <c r="BY218" i="27" s="1"/>
  <c r="BY199" i="27" a="1"/>
  <c r="BY199" i="27" s="1"/>
  <c r="BY215" i="27" a="1"/>
  <c r="BY215" i="27" s="1"/>
  <c r="ER132" i="27"/>
  <c r="DS197" i="27"/>
  <c r="DS229" i="27"/>
  <c r="EK118" i="27"/>
  <c r="EK115" i="27"/>
  <c r="DK118" i="27"/>
  <c r="DS200" i="27"/>
  <c r="DS216" i="27"/>
  <c r="DS192" i="27"/>
  <c r="CW111" i="27"/>
  <c r="DK107" i="27"/>
  <c r="DK127" i="27"/>
  <c r="EK96" i="27"/>
  <c r="EK130" i="27"/>
  <c r="DS201" i="27"/>
  <c r="CC159" i="27"/>
  <c r="CC144" i="27"/>
  <c r="CC165" i="27"/>
  <c r="CP119" i="27"/>
  <c r="CP100" i="27"/>
  <c r="CP91" i="27"/>
  <c r="CP102" i="27"/>
  <c r="CP88" i="27"/>
  <c r="CP114" i="27"/>
  <c r="DD102" i="27"/>
  <c r="CW105" i="27"/>
  <c r="CW122" i="27"/>
  <c r="CW132" i="27"/>
  <c r="DD100" i="27"/>
  <c r="DD128" i="27"/>
  <c r="DK109" i="27"/>
  <c r="ER95" i="27"/>
  <c r="DK103" i="27"/>
  <c r="ER97" i="27"/>
  <c r="ER130" i="27"/>
  <c r="EK116" i="27"/>
  <c r="ER101" i="27"/>
  <c r="EK111" i="27"/>
  <c r="EK106" i="27"/>
  <c r="DS215" i="27"/>
  <c r="DS194" i="27"/>
  <c r="DS210" i="27"/>
  <c r="DS226" i="27"/>
  <c r="CC151" i="27"/>
  <c r="CC161" i="27"/>
  <c r="CC152" i="27"/>
  <c r="CC169" i="27"/>
  <c r="CC154" i="27"/>
  <c r="CC170" i="27"/>
  <c r="CW109" i="27"/>
  <c r="DD107" i="27"/>
  <c r="EK105" i="27"/>
  <c r="DS204" i="27"/>
  <c r="DS220" i="27"/>
  <c r="CW115" i="27"/>
  <c r="DD116" i="27"/>
  <c r="ER128" i="27"/>
  <c r="ER123" i="27"/>
  <c r="DS202" i="27"/>
  <c r="DS218" i="27"/>
  <c r="DK94" i="27"/>
  <c r="DK106" i="27"/>
  <c r="DS195" i="27"/>
  <c r="DS193" i="27"/>
  <c r="DS205" i="27"/>
  <c r="CW126" i="27"/>
  <c r="CP111" i="27"/>
  <c r="CP109" i="27"/>
  <c r="DD114" i="27"/>
  <c r="CW101" i="27"/>
  <c r="CW125" i="27"/>
  <c r="ER94" i="27"/>
  <c r="ER125" i="27"/>
  <c r="ER120" i="27"/>
  <c r="ER115" i="27"/>
  <c r="DS196" i="27"/>
  <c r="DS212" i="27"/>
  <c r="DS228" i="27"/>
  <c r="CC157" i="27"/>
  <c r="CC171" i="27"/>
  <c r="CP97" i="27"/>
  <c r="CP104" i="27"/>
  <c r="CW106" i="27"/>
  <c r="DD105" i="27"/>
  <c r="DK112" i="27"/>
  <c r="ER110" i="27"/>
  <c r="EK104" i="27"/>
  <c r="DD110" i="27"/>
  <c r="DD101" i="27"/>
  <c r="DD126" i="27"/>
  <c r="ER105" i="27"/>
  <c r="EK129" i="27"/>
  <c r="ER114" i="27"/>
  <c r="EK100" i="27"/>
  <c r="CC145" i="27"/>
  <c r="DD121" i="27"/>
  <c r="EK110" i="27"/>
  <c r="CC160" i="27"/>
  <c r="DK110" i="27"/>
  <c r="CW107" i="27"/>
  <c r="CW114" i="27"/>
  <c r="DD117" i="27"/>
  <c r="DD112" i="27"/>
  <c r="DD133" i="27"/>
  <c r="DK117" i="27"/>
  <c r="DS221" i="27"/>
  <c r="CC149" i="27"/>
  <c r="DK99" i="27"/>
  <c r="CC155" i="27"/>
  <c r="EK102" i="27"/>
  <c r="ER108" i="27"/>
  <c r="EK95" i="27"/>
  <c r="DS203" i="27"/>
  <c r="DS198" i="27"/>
  <c r="DS214" i="27"/>
  <c r="DS230" i="27"/>
  <c r="CC163" i="27"/>
  <c r="CC156" i="27"/>
  <c r="CC172" i="27"/>
  <c r="CC173" i="27"/>
  <c r="CP99" i="27"/>
  <c r="CP103" i="27"/>
  <c r="CP106" i="27"/>
  <c r="CW135" i="27"/>
  <c r="CW123" i="27"/>
  <c r="CW112" i="27"/>
  <c r="EK99" i="27"/>
  <c r="CW136" i="27"/>
  <c r="DD111" i="27"/>
  <c r="DD137" i="27"/>
  <c r="DK126" i="27"/>
  <c r="CW131" i="27"/>
  <c r="DK96" i="27"/>
  <c r="DD109" i="27"/>
  <c r="ER121" i="27"/>
  <c r="DD113" i="27"/>
  <c r="DK125" i="27"/>
  <c r="DD104" i="27"/>
  <c r="EK109" i="27"/>
  <c r="DD129" i="27"/>
  <c r="DK115" i="27"/>
  <c r="ER111" i="27"/>
  <c r="DK111" i="27"/>
  <c r="ER113" i="27"/>
  <c r="DK90" i="27"/>
  <c r="EK107" i="27"/>
  <c r="EK124" i="27"/>
  <c r="ER109" i="27"/>
  <c r="EK119" i="27"/>
  <c r="ER104" i="27"/>
  <c r="EK114" i="27"/>
  <c r="ER99" i="27"/>
  <c r="DS211" i="27"/>
  <c r="DS209" i="27"/>
  <c r="CC146" i="27"/>
  <c r="CC147" i="27"/>
  <c r="CC158" i="27"/>
  <c r="CC174" i="27"/>
  <c r="CC175" i="27"/>
  <c r="ER96" i="27"/>
  <c r="CC168" i="27"/>
  <c r="CP90" i="27"/>
  <c r="DK101" i="27"/>
  <c r="DD103" i="27"/>
  <c r="CW117" i="27"/>
  <c r="CW102" i="27"/>
  <c r="CW128" i="27"/>
  <c r="CP95" i="27"/>
  <c r="CP108" i="27"/>
  <c r="CW129" i="27"/>
  <c r="ER126" i="27"/>
  <c r="DD132" i="27"/>
  <c r="EK113" i="27"/>
  <c r="ER98" i="27"/>
  <c r="DS219" i="27"/>
  <c r="CC176" i="27"/>
  <c r="CC177" i="27"/>
  <c r="CP116" i="27"/>
  <c r="CP107" i="27"/>
  <c r="CP118" i="27"/>
  <c r="CP89" i="27"/>
  <c r="CP96" i="27"/>
  <c r="CP122" i="27"/>
  <c r="CW133" i="27"/>
  <c r="DD120" i="27"/>
  <c r="CW99" i="27"/>
  <c r="DD118" i="27"/>
  <c r="CW120" i="27"/>
  <c r="DD108" i="27"/>
  <c r="EK131" i="27"/>
  <c r="ER116" i="27"/>
  <c r="DD127" i="27"/>
  <c r="CW137" i="27"/>
  <c r="DD134" i="27"/>
  <c r="CW124" i="27"/>
  <c r="DD119" i="27"/>
  <c r="DK93" i="27"/>
  <c r="DK120" i="27"/>
  <c r="DD135" i="27"/>
  <c r="DK95" i="27"/>
  <c r="ER124" i="27"/>
  <c r="ER122" i="27"/>
  <c r="EK108" i="27"/>
  <c r="EK103" i="27"/>
  <c r="EK98" i="27"/>
  <c r="DS227" i="27"/>
  <c r="DS217" i="27"/>
  <c r="CC153" i="27"/>
  <c r="CC162" i="27"/>
  <c r="CC178" i="27"/>
  <c r="CP121" i="27"/>
  <c r="DS223" i="27"/>
  <c r="CW116" i="27"/>
  <c r="DD131" i="27"/>
  <c r="CP113" i="27"/>
  <c r="CP120" i="27"/>
  <c r="CW104" i="27"/>
  <c r="EK112" i="27"/>
  <c r="CP110" i="27"/>
  <c r="CP115" i="27"/>
  <c r="CP117" i="27"/>
  <c r="CP98" i="27"/>
  <c r="CW130" i="27"/>
  <c r="DD136" i="27"/>
  <c r="CW127" i="27"/>
  <c r="CW121" i="27"/>
  <c r="DD124" i="27"/>
  <c r="CW110" i="27"/>
  <c r="ER100" i="27"/>
  <c r="ER119" i="27"/>
  <c r="DK128" i="27"/>
  <c r="DK91" i="27"/>
  <c r="DD122" i="27"/>
  <c r="DD99" i="27"/>
  <c r="ER127" i="27"/>
  <c r="DK119" i="27"/>
  <c r="ER129" i="27"/>
  <c r="DK98" i="27"/>
  <c r="EK123" i="27"/>
  <c r="EK97" i="27"/>
  <c r="EK132" i="27"/>
  <c r="ER117" i="27"/>
  <c r="EK127" i="27"/>
  <c r="ER112" i="27"/>
  <c r="EK122" i="27"/>
  <c r="ER107" i="27"/>
  <c r="DS199" i="27"/>
  <c r="DS206" i="27"/>
  <c r="DS222" i="27"/>
  <c r="CC148" i="27"/>
  <c r="CC164" i="27"/>
  <c r="DK102" i="27"/>
  <c r="DD106" i="27"/>
  <c r="DK104" i="27"/>
  <c r="CP101" i="27"/>
  <c r="CW118" i="27"/>
  <c r="CW134" i="27"/>
  <c r="DK123" i="27"/>
  <c r="EK120" i="27"/>
  <c r="DD115" i="27"/>
  <c r="DK114" i="27"/>
  <c r="DS213" i="27"/>
  <c r="CP94" i="27"/>
  <c r="CP92" i="27"/>
  <c r="CP105" i="27"/>
  <c r="CP112" i="27"/>
  <c r="CP93" i="27"/>
  <c r="CW103" i="27"/>
  <c r="CW100" i="27"/>
  <c r="CW113" i="27"/>
  <c r="EK125" i="27"/>
  <c r="CW119" i="27"/>
  <c r="CW108" i="27"/>
  <c r="DD125" i="27"/>
  <c r="ER103" i="27"/>
  <c r="DD123" i="27"/>
  <c r="EK126" i="27"/>
  <c r="EK128" i="27"/>
  <c r="DK122" i="27"/>
  <c r="EK121" i="27"/>
  <c r="ER106" i="27"/>
  <c r="ER131" i="27"/>
  <c r="DS207" i="27"/>
  <c r="DS225" i="27"/>
  <c r="DS208" i="27"/>
  <c r="DS224" i="27"/>
  <c r="CC150" i="27"/>
  <c r="CC166" i="27"/>
  <c r="CC167" i="27"/>
  <c r="BI278" i="27" a="1"/>
  <c r="BI278" i="27" s="1"/>
  <c r="BD278" i="27" a="1"/>
  <c r="BD278" i="27" s="1"/>
  <c r="BH278" i="27" a="1"/>
  <c r="BH278" i="27" s="1"/>
  <c r="BG278" i="27" a="1"/>
  <c r="BG278" i="27" s="1"/>
  <c r="BC278" i="27" a="1"/>
  <c r="BC278" i="27" s="1"/>
  <c r="BF278" i="27" a="1"/>
  <c r="BF278" i="27" s="1"/>
  <c r="BE278" i="27" a="1"/>
  <c r="BE278" i="27" s="1"/>
  <c r="DK132" i="27"/>
  <c r="CB182" i="27" a="1"/>
  <c r="CB182" i="27" s="1"/>
  <c r="BY189" i="27"/>
  <c r="BZ182" i="27" a="1"/>
  <c r="BZ182" i="27" s="1"/>
  <c r="CE182" i="27" a="1"/>
  <c r="CE182" i="27" s="1"/>
  <c r="CC182" i="27" a="1"/>
  <c r="CC182" i="27" s="1"/>
  <c r="CA182" i="27" a="1"/>
  <c r="CA182" i="27" s="1"/>
  <c r="BY182" i="27" a="1"/>
  <c r="BY182" i="27" s="1"/>
  <c r="BY188" i="27"/>
  <c r="BY191" i="27"/>
  <c r="BY187" i="27"/>
  <c r="CF182" i="27" a="1"/>
  <c r="CF182" i="27" s="1"/>
  <c r="CD182" i="27" a="1"/>
  <c r="CD182" i="27" s="1"/>
  <c r="BH334" i="27"/>
  <c r="BC333" i="27"/>
  <c r="DO286" i="27"/>
  <c r="BH336" i="27"/>
  <c r="CC131" i="27"/>
  <c r="BD333" i="27"/>
  <c r="DQ234" i="27" a="1"/>
  <c r="DQ234" i="27" s="1"/>
  <c r="CC132" i="27"/>
  <c r="BH333" i="27"/>
  <c r="DO284" i="27"/>
  <c r="DO288" i="27"/>
  <c r="CC108" i="27"/>
  <c r="HR99" i="27" s="1"/>
  <c r="CC116" i="27"/>
  <c r="HR103" i="27" s="1"/>
  <c r="CC140" i="27"/>
  <c r="BC334" i="27"/>
  <c r="DP234" i="27" a="1"/>
  <c r="DP234" i="27" s="1"/>
  <c r="CC106" i="27"/>
  <c r="BD332" i="27"/>
  <c r="BD334" i="27"/>
  <c r="DP285" i="27"/>
  <c r="DP286" i="27"/>
  <c r="CC138" i="27"/>
  <c r="HR100" i="27" s="1"/>
  <c r="BC336" i="27"/>
  <c r="BC332" i="27"/>
  <c r="DR234" i="27" a="1"/>
  <c r="DR234" i="27" s="1"/>
  <c r="BD336" i="27"/>
  <c r="DP284" i="27"/>
  <c r="DP288" i="27"/>
  <c r="DO285" i="27"/>
  <c r="DO234" i="27" a="1"/>
  <c r="DO234" i="27" s="1"/>
  <c r="CC121" i="27"/>
  <c r="CC126" i="27"/>
  <c r="HR97" i="27" s="1"/>
  <c r="CC134" i="27"/>
  <c r="CC115" i="27" l="1"/>
  <c r="CC135" i="27"/>
  <c r="CC107" i="27"/>
  <c r="HR108" i="27" s="1"/>
  <c r="CC110" i="27"/>
  <c r="CC118" i="27"/>
  <c r="CC122" i="27"/>
  <c r="CC123" i="27"/>
  <c r="HR104" i="27" s="1"/>
  <c r="CC114" i="27"/>
  <c r="CC130" i="27"/>
  <c r="CC129" i="27"/>
  <c r="CC125" i="27"/>
  <c r="CC112" i="27"/>
  <c r="CC124" i="27"/>
  <c r="CC119" i="27"/>
  <c r="CC120" i="27"/>
  <c r="HR102" i="27" s="1"/>
  <c r="CC109" i="27"/>
  <c r="CC137" i="27"/>
  <c r="CC113" i="27"/>
  <c r="CC128" i="27"/>
  <c r="CC133" i="27"/>
  <c r="CC127" i="27"/>
  <c r="CC136" i="27"/>
  <c r="CC111" i="27"/>
  <c r="CC139" i="27"/>
  <c r="CG182" i="27"/>
  <c r="BY192" i="27"/>
  <c r="CA217" i="27" s="1" a="1"/>
  <c r="CA217" i="27" s="1"/>
  <c r="HR109" i="27" l="1"/>
  <c r="CL6" i="27"/>
  <c r="BG15" i="27"/>
  <c r="M26" i="51"/>
  <c r="GA132" i="27" l="1" a="1"/>
  <c r="GA132" i="27" s="1"/>
  <c r="FZ132" i="27" a="1"/>
  <c r="FZ132" i="27" s="1"/>
  <c r="FY132" i="27" a="1"/>
  <c r="FY132" i="27" s="1"/>
  <c r="J32" i="48" l="1"/>
  <c r="M12" i="48"/>
  <c r="DR280" i="27" l="1" a="1"/>
  <c r="DR280" i="27" s="1"/>
  <c r="DQ280" i="27" a="1"/>
  <c r="DQ280" i="27" s="1"/>
  <c r="DP280" i="27" a="1"/>
  <c r="DP280" i="27" s="1"/>
  <c r="DO280" i="27" a="1"/>
  <c r="DO280" i="27" s="1"/>
  <c r="W103" i="27"/>
  <c r="E269" i="48" s="1"/>
  <c r="V103" i="27"/>
  <c r="E255" i="48" s="1"/>
  <c r="U103" i="27"/>
  <c r="E241" i="48" s="1"/>
  <c r="T103" i="27"/>
  <c r="E227" i="48" s="1"/>
  <c r="S103" i="27"/>
  <c r="E40" i="48" s="1"/>
  <c r="R103" i="27"/>
  <c r="Q103" i="27"/>
  <c r="W101" i="27"/>
  <c r="E267" i="48" s="1"/>
  <c r="V101" i="27"/>
  <c r="E253" i="48" s="1"/>
  <c r="U101" i="27"/>
  <c r="E239" i="48" s="1"/>
  <c r="T101" i="27"/>
  <c r="E225" i="48" s="1"/>
  <c r="S101" i="27"/>
  <c r="E38" i="48" s="1"/>
  <c r="R101" i="27"/>
  <c r="Q101" i="27"/>
  <c r="P101" i="27"/>
  <c r="G18" i="48" s="1"/>
  <c r="W99" i="27"/>
  <c r="V99" i="27"/>
  <c r="U99" i="27"/>
  <c r="T99" i="27"/>
  <c r="E223" i="48" s="1"/>
  <c r="S99" i="27"/>
  <c r="E36" i="48" s="1"/>
  <c r="R99" i="27"/>
  <c r="Q99" i="27"/>
  <c r="P99" i="27"/>
  <c r="G16" i="48" s="1"/>
  <c r="W97" i="27"/>
  <c r="V97" i="27"/>
  <c r="U97" i="27"/>
  <c r="T97" i="27"/>
  <c r="E221" i="48" s="1"/>
  <c r="S97" i="27"/>
  <c r="E34" i="48" s="1"/>
  <c r="R97" i="27"/>
  <c r="Q97" i="27"/>
  <c r="P97" i="27"/>
  <c r="G14" i="48" s="1"/>
  <c r="W95" i="27"/>
  <c r="V95" i="27"/>
  <c r="U95" i="27"/>
  <c r="T95" i="27"/>
  <c r="E219" i="48" s="1"/>
  <c r="S95" i="27"/>
  <c r="E32" i="48" s="1"/>
  <c r="R95" i="27"/>
  <c r="E49" i="48" s="1"/>
  <c r="Q95" i="27"/>
  <c r="G203" i="48" s="1"/>
  <c r="P95" i="27"/>
  <c r="G12" i="48" s="1"/>
  <c r="W93" i="27"/>
  <c r="V93" i="27"/>
  <c r="U93" i="27"/>
  <c r="T93" i="27"/>
  <c r="E217" i="48" s="1"/>
  <c r="S93" i="27"/>
  <c r="E30" i="48" s="1"/>
  <c r="R93" i="27"/>
  <c r="E47" i="48" s="1"/>
  <c r="Q93" i="27"/>
  <c r="G201" i="48" s="1"/>
  <c r="P93" i="27"/>
  <c r="G10" i="48" s="1"/>
  <c r="P92" i="27"/>
  <c r="G9" i="48" s="1"/>
  <c r="Q92" i="27"/>
  <c r="G200" i="48" s="1"/>
  <c r="R92" i="27"/>
  <c r="E46" i="48" s="1"/>
  <c r="S92" i="27"/>
  <c r="E29" i="48" s="1"/>
  <c r="T92" i="27"/>
  <c r="E216" i="48" s="1"/>
  <c r="U92" i="27"/>
  <c r="V92" i="27"/>
  <c r="W92" i="27"/>
  <c r="P103" i="27"/>
  <c r="G20" i="48" s="1"/>
  <c r="W104" i="27"/>
  <c r="E270" i="48" s="1"/>
  <c r="V104" i="27"/>
  <c r="E256" i="48" s="1"/>
  <c r="U104" i="27"/>
  <c r="E242" i="48" s="1"/>
  <c r="T104" i="27"/>
  <c r="E228" i="48" s="1"/>
  <c r="S104" i="27"/>
  <c r="E41" i="48" s="1"/>
  <c r="R104" i="27"/>
  <c r="Q104" i="27"/>
  <c r="P104" i="27"/>
  <c r="G21" i="48" s="1"/>
  <c r="W102" i="27"/>
  <c r="E268" i="48" s="1"/>
  <c r="V102" i="27"/>
  <c r="E254" i="48" s="1"/>
  <c r="U102" i="27"/>
  <c r="E240" i="48" s="1"/>
  <c r="T102" i="27"/>
  <c r="E226" i="48" s="1"/>
  <c r="S102" i="27"/>
  <c r="E39" i="48" s="1"/>
  <c r="R102" i="27"/>
  <c r="Q102" i="27"/>
  <c r="P102" i="27"/>
  <c r="G19" i="48" s="1"/>
  <c r="W100" i="27"/>
  <c r="V100" i="27"/>
  <c r="U100" i="27"/>
  <c r="T100" i="27"/>
  <c r="E224" i="48" s="1"/>
  <c r="S100" i="27"/>
  <c r="E37" i="48" s="1"/>
  <c r="R100" i="27"/>
  <c r="Q100" i="27"/>
  <c r="P100" i="27"/>
  <c r="G17" i="48" s="1"/>
  <c r="W98" i="27"/>
  <c r="V98" i="27"/>
  <c r="U98" i="27"/>
  <c r="T98" i="27"/>
  <c r="E222" i="48" s="1"/>
  <c r="S98" i="27"/>
  <c r="E35" i="48" s="1"/>
  <c r="R98" i="27"/>
  <c r="Q98" i="27"/>
  <c r="P98" i="27"/>
  <c r="G15" i="48" s="1"/>
  <c r="W96" i="27"/>
  <c r="V96" i="27"/>
  <c r="U96" i="27"/>
  <c r="T96" i="27"/>
  <c r="E220" i="48" s="1"/>
  <c r="S96" i="27"/>
  <c r="E33" i="48" s="1"/>
  <c r="R96" i="27"/>
  <c r="E50" i="48" s="1"/>
  <c r="Q96" i="27"/>
  <c r="G204" i="48" s="1"/>
  <c r="P96" i="27"/>
  <c r="G13" i="48" s="1"/>
  <c r="W94" i="27"/>
  <c r="V94" i="27"/>
  <c r="U94" i="27"/>
  <c r="T94" i="27"/>
  <c r="E218" i="48" s="1"/>
  <c r="S94" i="27"/>
  <c r="E31" i="48" s="1"/>
  <c r="R94" i="27"/>
  <c r="E48" i="48" s="1"/>
  <c r="Q94" i="27"/>
  <c r="G202" i="48" s="1"/>
  <c r="P94" i="27"/>
  <c r="G11" i="48" s="1"/>
  <c r="P91" i="27"/>
  <c r="Q91" i="27"/>
  <c r="G199" i="48" s="1"/>
  <c r="R91" i="27"/>
  <c r="S91" i="27"/>
  <c r="E28" i="48" s="1"/>
  <c r="T91" i="27"/>
  <c r="E215" i="48" s="1"/>
  <c r="U91" i="27"/>
  <c r="V91" i="27"/>
  <c r="W91" i="27"/>
  <c r="BI327" i="27" a="1"/>
  <c r="BI327" i="27" s="1"/>
  <c r="BH327" i="27" a="1"/>
  <c r="BH327" i="27" s="1"/>
  <c r="BG327" i="27" a="1"/>
  <c r="BG327" i="27" s="1"/>
  <c r="BF327" i="27" a="1"/>
  <c r="BF327" i="27" s="1"/>
  <c r="BE327" i="27" a="1"/>
  <c r="BE327" i="27" s="1"/>
  <c r="E36" i="51" s="1"/>
  <c r="BD327" i="27" a="1"/>
  <c r="BD327" i="27" s="1"/>
  <c r="D36" i="51" s="1"/>
  <c r="BC327" i="27" a="1"/>
  <c r="BC327" i="27" s="1"/>
  <c r="C36" i="51" s="1"/>
  <c r="G8" i="48" l="1"/>
  <c r="E249" i="48"/>
  <c r="E235" i="48"/>
  <c r="E265" i="48"/>
  <c r="E52" i="48"/>
  <c r="E238" i="48"/>
  <c r="E252" i="48"/>
  <c r="G206" i="48"/>
  <c r="E266" i="48"/>
  <c r="E237" i="48"/>
  <c r="E264" i="48"/>
  <c r="E251" i="48"/>
  <c r="E236" i="48"/>
  <c r="E263" i="48"/>
  <c r="E51" i="48"/>
  <c r="E45" i="48"/>
  <c r="E250" i="48"/>
  <c r="G205" i="48"/>
  <c r="FX132" i="27" a="1"/>
  <c r="FX132" i="27" s="1"/>
  <c r="EY186" i="27" a="1"/>
  <c r="EY186" i="27" s="1"/>
  <c r="EX186" i="27" a="1"/>
  <c r="EX186" i="27" s="1"/>
  <c r="EW186" i="27" a="1"/>
  <c r="EW186" i="27" s="1"/>
  <c r="EV186" i="27" a="1"/>
  <c r="EV186" i="27" s="1"/>
  <c r="EY185" i="27" a="1"/>
  <c r="EY185" i="27" s="1"/>
  <c r="EX185" i="27" a="1"/>
  <c r="EX185" i="27" s="1"/>
  <c r="EW185" i="27" a="1"/>
  <c r="EW185" i="27" s="1"/>
  <c r="EV185" i="27" a="1"/>
  <c r="EV185" i="27" s="1"/>
  <c r="EY184" i="27" a="1"/>
  <c r="EY184" i="27" s="1"/>
  <c r="EX184" i="27" a="1"/>
  <c r="EX184" i="27" s="1"/>
  <c r="EW184" i="27" a="1"/>
  <c r="EW184" i="27" s="1"/>
  <c r="EV184" i="27" a="1"/>
  <c r="EV184" i="27" s="1"/>
  <c r="EY183" i="27" a="1"/>
  <c r="EY183" i="27" s="1"/>
  <c r="EX183" i="27" a="1"/>
  <c r="EX183" i="27" s="1"/>
  <c r="EW183" i="27" a="1"/>
  <c r="EW183" i="27" s="1"/>
  <c r="EV183" i="27" a="1"/>
  <c r="EV183" i="27" s="1"/>
  <c r="EY182" i="27" a="1"/>
  <c r="EY182" i="27" s="1"/>
  <c r="EX182" i="27" a="1"/>
  <c r="EX182" i="27" s="1"/>
  <c r="EW182" i="27" a="1"/>
  <c r="EW182" i="27" s="1"/>
  <c r="EV182" i="27" a="1"/>
  <c r="EV182" i="27" s="1"/>
  <c r="EY181" i="27" a="1"/>
  <c r="EY181" i="27" s="1"/>
  <c r="EX181" i="27" a="1"/>
  <c r="EX181" i="27" s="1"/>
  <c r="EW181" i="27" a="1"/>
  <c r="EW181" i="27" s="1"/>
  <c r="EV181" i="27" a="1"/>
  <c r="EV181" i="27" s="1"/>
  <c r="EY180" i="27" a="1"/>
  <c r="EY180" i="27" s="1"/>
  <c r="EX180" i="27" a="1"/>
  <c r="EX180" i="27" s="1"/>
  <c r="EW180" i="27" a="1"/>
  <c r="EW180" i="27" s="1"/>
  <c r="EV180" i="27" a="1"/>
  <c r="EV180" i="27" s="1"/>
  <c r="EY179" i="27" a="1"/>
  <c r="EY179" i="27" s="1"/>
  <c r="EX179" i="27" a="1"/>
  <c r="EX179" i="27" s="1"/>
  <c r="EW179" i="27" a="1"/>
  <c r="EW179" i="27" s="1"/>
  <c r="EV179" i="27" a="1"/>
  <c r="EV179" i="27" s="1"/>
  <c r="EY178" i="27" a="1"/>
  <c r="EY178" i="27" s="1"/>
  <c r="EX178" i="27" a="1"/>
  <c r="EX178" i="27" s="1"/>
  <c r="EW178" i="27" a="1"/>
  <c r="EW178" i="27" s="1"/>
  <c r="EV178" i="27" a="1"/>
  <c r="EV178" i="27" s="1"/>
  <c r="EY177" i="27" a="1"/>
  <c r="EY177" i="27" s="1"/>
  <c r="EX177" i="27" a="1"/>
  <c r="EX177" i="27" s="1"/>
  <c r="EW177" i="27" a="1"/>
  <c r="EW177" i="27" s="1"/>
  <c r="EV177" i="27" a="1"/>
  <c r="EV177" i="27" s="1"/>
  <c r="EY176" i="27" a="1"/>
  <c r="EY176" i="27" s="1"/>
  <c r="EX176" i="27" a="1"/>
  <c r="EX176" i="27" s="1"/>
  <c r="EW176" i="27" a="1"/>
  <c r="EW176" i="27" s="1"/>
  <c r="EV176" i="27" a="1"/>
  <c r="EV176" i="27" s="1"/>
  <c r="EY175" i="27" a="1"/>
  <c r="EY175" i="27" s="1"/>
  <c r="EX175" i="27" a="1"/>
  <c r="EX175" i="27" s="1"/>
  <c r="EW175" i="27" a="1"/>
  <c r="EW175" i="27" s="1"/>
  <c r="EV175" i="27" a="1"/>
  <c r="EV175" i="27" s="1"/>
  <c r="EY174" i="27" a="1"/>
  <c r="EY174" i="27" s="1"/>
  <c r="EX174" i="27" a="1"/>
  <c r="EX174" i="27" s="1"/>
  <c r="EW174" i="27" a="1"/>
  <c r="EW174" i="27" s="1"/>
  <c r="EV174" i="27" a="1"/>
  <c r="EV174" i="27" s="1"/>
  <c r="EY173" i="27" a="1"/>
  <c r="EY173" i="27" s="1"/>
  <c r="EX173" i="27" a="1"/>
  <c r="EX173" i="27" s="1"/>
  <c r="EW173" i="27" a="1"/>
  <c r="EW173" i="27" s="1"/>
  <c r="EV173" i="27" a="1"/>
  <c r="EV173" i="27" s="1"/>
  <c r="EY172" i="27" a="1"/>
  <c r="EY172" i="27" s="1"/>
  <c r="EX172" i="27" a="1"/>
  <c r="EX172" i="27" s="1"/>
  <c r="EW172" i="27" a="1"/>
  <c r="EW172" i="27" s="1"/>
  <c r="EV172" i="27" a="1"/>
  <c r="EV172" i="27" s="1"/>
  <c r="EY171" i="27" a="1"/>
  <c r="EY171" i="27" s="1"/>
  <c r="EX171" i="27" a="1"/>
  <c r="EX171" i="27" s="1"/>
  <c r="EW171" i="27" a="1"/>
  <c r="EW171" i="27" s="1"/>
  <c r="EV171" i="27" a="1"/>
  <c r="EV171" i="27" s="1"/>
  <c r="EY170" i="27" a="1"/>
  <c r="EY170" i="27" s="1"/>
  <c r="EX170" i="27" a="1"/>
  <c r="EX170" i="27" s="1"/>
  <c r="EW170" i="27" a="1"/>
  <c r="EW170" i="27" s="1"/>
  <c r="EV170" i="27" a="1"/>
  <c r="EV170" i="27" s="1"/>
  <c r="EY169" i="27" a="1"/>
  <c r="EY169" i="27" s="1"/>
  <c r="EX169" i="27" a="1"/>
  <c r="EX169" i="27" s="1"/>
  <c r="EW169" i="27" a="1"/>
  <c r="EW169" i="27" s="1"/>
  <c r="EV169" i="27" a="1"/>
  <c r="EV169" i="27" s="1"/>
  <c r="EY168" i="27" a="1"/>
  <c r="EY168" i="27" s="1"/>
  <c r="EX168" i="27" a="1"/>
  <c r="EX168" i="27" s="1"/>
  <c r="EW168" i="27" a="1"/>
  <c r="EW168" i="27" s="1"/>
  <c r="EV168" i="27" a="1"/>
  <c r="EV168" i="27" s="1"/>
  <c r="EY167" i="27" a="1"/>
  <c r="EY167" i="27" s="1"/>
  <c r="EX167" i="27" a="1"/>
  <c r="EX167" i="27" s="1"/>
  <c r="EW167" i="27" a="1"/>
  <c r="EW167" i="27" s="1"/>
  <c r="EV167" i="27" a="1"/>
  <c r="EV167" i="27" s="1"/>
  <c r="EY166" i="27" a="1"/>
  <c r="EY166" i="27" s="1"/>
  <c r="EX166" i="27" a="1"/>
  <c r="EX166" i="27" s="1"/>
  <c r="EW166" i="27" a="1"/>
  <c r="EW166" i="27" s="1"/>
  <c r="EV166" i="27" a="1"/>
  <c r="EV166" i="27" s="1"/>
  <c r="EY165" i="27" a="1"/>
  <c r="EY165" i="27" s="1"/>
  <c r="EX165" i="27" a="1"/>
  <c r="EX165" i="27" s="1"/>
  <c r="EW165" i="27" a="1"/>
  <c r="EW165" i="27" s="1"/>
  <c r="EV165" i="27" a="1"/>
  <c r="EV165" i="27" s="1"/>
  <c r="EY164" i="27" a="1"/>
  <c r="EY164" i="27" s="1"/>
  <c r="EX164" i="27" a="1"/>
  <c r="EX164" i="27" s="1"/>
  <c r="EW164" i="27" a="1"/>
  <c r="EW164" i="27" s="1"/>
  <c r="EV164" i="27" a="1"/>
  <c r="EV164" i="27" s="1"/>
  <c r="EY163" i="27" a="1"/>
  <c r="EY163" i="27" s="1"/>
  <c r="EX163" i="27" a="1"/>
  <c r="EX163" i="27" s="1"/>
  <c r="EW163" i="27" a="1"/>
  <c r="EW163" i="27" s="1"/>
  <c r="EV163" i="27" a="1"/>
  <c r="EV163" i="27" s="1"/>
  <c r="EY162" i="27" a="1"/>
  <c r="EY162" i="27" s="1"/>
  <c r="EX162" i="27" a="1"/>
  <c r="EX162" i="27" s="1"/>
  <c r="EW162" i="27" a="1"/>
  <c r="EW162" i="27" s="1"/>
  <c r="EV162" i="27" a="1"/>
  <c r="EV162" i="27" s="1"/>
  <c r="EY161" i="27" a="1"/>
  <c r="EY161" i="27" s="1"/>
  <c r="EX161" i="27" a="1"/>
  <c r="EX161" i="27" s="1"/>
  <c r="EW161" i="27" a="1"/>
  <c r="EW161" i="27" s="1"/>
  <c r="EV161" i="27" a="1"/>
  <c r="EV161" i="27" s="1"/>
  <c r="EY160" i="27" a="1"/>
  <c r="EY160" i="27" s="1"/>
  <c r="EX160" i="27" a="1"/>
  <c r="EX160" i="27" s="1"/>
  <c r="EW160" i="27" a="1"/>
  <c r="EW160" i="27" s="1"/>
  <c r="EV160" i="27" a="1"/>
  <c r="EV160" i="27" s="1"/>
  <c r="EY159" i="27" a="1"/>
  <c r="EY159" i="27" s="1"/>
  <c r="EX159" i="27" a="1"/>
  <c r="EX159" i="27" s="1"/>
  <c r="EW159" i="27" a="1"/>
  <c r="EW159" i="27" s="1"/>
  <c r="EV159" i="27" a="1"/>
  <c r="EV159" i="27" s="1"/>
  <c r="EY158" i="27" a="1"/>
  <c r="EY158" i="27" s="1"/>
  <c r="EX158" i="27" a="1"/>
  <c r="EX158" i="27" s="1"/>
  <c r="EW158" i="27" a="1"/>
  <c r="EW158" i="27" s="1"/>
  <c r="EV158" i="27" a="1"/>
  <c r="EV158" i="27" s="1"/>
  <c r="EY157" i="27" a="1"/>
  <c r="EY157" i="27" s="1"/>
  <c r="EX157" i="27" a="1"/>
  <c r="EX157" i="27" s="1"/>
  <c r="EW157" i="27" a="1"/>
  <c r="EW157" i="27" s="1"/>
  <c r="EV157" i="27" a="1"/>
  <c r="EV157" i="27" s="1"/>
  <c r="EY156" i="27" a="1"/>
  <c r="EY156" i="27" s="1"/>
  <c r="EX156" i="27" a="1"/>
  <c r="EX156" i="27" s="1"/>
  <c r="EW156" i="27" a="1"/>
  <c r="EW156" i="27" s="1"/>
  <c r="EV156" i="27" a="1"/>
  <c r="EV156" i="27" s="1"/>
  <c r="EY155" i="27" a="1"/>
  <c r="EY155" i="27" s="1"/>
  <c r="EX155" i="27" a="1"/>
  <c r="EX155" i="27" s="1"/>
  <c r="EW155" i="27" a="1"/>
  <c r="EW155" i="27" s="1"/>
  <c r="EV155" i="27" a="1"/>
  <c r="EV155" i="27" s="1"/>
  <c r="EY154" i="27" a="1"/>
  <c r="EY154" i="27" s="1"/>
  <c r="EX154" i="27" a="1"/>
  <c r="EX154" i="27" s="1"/>
  <c r="EW154" i="27" a="1"/>
  <c r="EW154" i="27" s="1"/>
  <c r="EV154" i="27" a="1"/>
  <c r="EV154" i="27" s="1"/>
  <c r="EY153" i="27" a="1"/>
  <c r="EY153" i="27" s="1"/>
  <c r="EX153" i="27" a="1"/>
  <c r="EX153" i="27" s="1"/>
  <c r="EW153" i="27" a="1"/>
  <c r="EW153" i="27" s="1"/>
  <c r="EV153" i="27" a="1"/>
  <c r="EV153" i="27" s="1"/>
  <c r="EY152" i="27" a="1"/>
  <c r="EY152" i="27" s="1"/>
  <c r="EX152" i="27" a="1"/>
  <c r="EX152" i="27" s="1"/>
  <c r="EW152" i="27" a="1"/>
  <c r="EW152" i="27" s="1"/>
  <c r="EV152" i="27" a="1"/>
  <c r="EV152" i="27" s="1"/>
  <c r="EY151" i="27" a="1"/>
  <c r="EY151" i="27" s="1"/>
  <c r="EX151" i="27" a="1"/>
  <c r="EX151" i="27" s="1"/>
  <c r="EW151" i="27" a="1"/>
  <c r="EW151" i="27" s="1"/>
  <c r="EV151" i="27" a="1"/>
  <c r="EV151" i="27" s="1"/>
  <c r="EY150" i="27" a="1"/>
  <c r="EY150" i="27" s="1"/>
  <c r="EX150" i="27" a="1"/>
  <c r="EX150" i="27" s="1"/>
  <c r="EW150" i="27" a="1"/>
  <c r="EW150" i="27" s="1"/>
  <c r="EV150" i="27" a="1"/>
  <c r="EV150" i="27" s="1"/>
  <c r="EY149" i="27" a="1"/>
  <c r="EY149" i="27" s="1"/>
  <c r="EX149" i="27" a="1"/>
  <c r="EX149" i="27" s="1"/>
  <c r="EW149" i="27" a="1"/>
  <c r="EW149" i="27" s="1"/>
  <c r="EV149" i="27" a="1"/>
  <c r="EV149" i="27" s="1"/>
  <c r="EY148" i="27" a="1"/>
  <c r="EY148" i="27" s="1"/>
  <c r="EX148" i="27" a="1"/>
  <c r="EX148" i="27" s="1"/>
  <c r="EW148" i="27" a="1"/>
  <c r="EW148" i="27" s="1"/>
  <c r="EV148" i="27" a="1"/>
  <c r="EV148" i="27" s="1"/>
  <c r="FR179" i="27" a="1"/>
  <c r="FR179" i="27" s="1"/>
  <c r="FQ179" i="27" a="1"/>
  <c r="FQ179" i="27" s="1"/>
  <c r="FP179" i="27" a="1"/>
  <c r="FP179" i="27" s="1"/>
  <c r="FO179" i="27" a="1"/>
  <c r="FO179" i="27" s="1"/>
  <c r="FR178" i="27" a="1"/>
  <c r="FR178" i="27" s="1"/>
  <c r="FQ178" i="27" a="1"/>
  <c r="FQ178" i="27" s="1"/>
  <c r="FP178" i="27" a="1"/>
  <c r="FP178" i="27" s="1"/>
  <c r="FO178" i="27" a="1"/>
  <c r="FO178" i="27" s="1"/>
  <c r="FR177" i="27" a="1"/>
  <c r="FR177" i="27" s="1"/>
  <c r="FQ177" i="27" a="1"/>
  <c r="FQ177" i="27" s="1"/>
  <c r="FP177" i="27" a="1"/>
  <c r="FP177" i="27" s="1"/>
  <c r="FO177" i="27" a="1"/>
  <c r="FO177" i="27" s="1"/>
  <c r="FR176" i="27" a="1"/>
  <c r="FR176" i="27" s="1"/>
  <c r="FQ176" i="27" a="1"/>
  <c r="FQ176" i="27" s="1"/>
  <c r="FP176" i="27" a="1"/>
  <c r="FP176" i="27" s="1"/>
  <c r="FO176" i="27" a="1"/>
  <c r="FO176" i="27" s="1"/>
  <c r="FR175" i="27" a="1"/>
  <c r="FR175" i="27" s="1"/>
  <c r="FQ175" i="27" a="1"/>
  <c r="FQ175" i="27" s="1"/>
  <c r="FP175" i="27" a="1"/>
  <c r="FP175" i="27" s="1"/>
  <c r="FO175" i="27" a="1"/>
  <c r="FO175" i="27" s="1"/>
  <c r="FR174" i="27" a="1"/>
  <c r="FR174" i="27" s="1"/>
  <c r="FQ174" i="27" a="1"/>
  <c r="FQ174" i="27" s="1"/>
  <c r="FP174" i="27" a="1"/>
  <c r="FP174" i="27" s="1"/>
  <c r="FO174" i="27" a="1"/>
  <c r="FO174" i="27" s="1"/>
  <c r="FR173" i="27" a="1"/>
  <c r="FR173" i="27" s="1"/>
  <c r="FQ173" i="27" a="1"/>
  <c r="FQ173" i="27" s="1"/>
  <c r="FP173" i="27" a="1"/>
  <c r="FP173" i="27" s="1"/>
  <c r="FO173" i="27" a="1"/>
  <c r="FO173" i="27" s="1"/>
  <c r="FR172" i="27" a="1"/>
  <c r="FR172" i="27" s="1"/>
  <c r="FQ172" i="27" a="1"/>
  <c r="FQ172" i="27" s="1"/>
  <c r="FP172" i="27" a="1"/>
  <c r="FP172" i="27" s="1"/>
  <c r="FO172" i="27" a="1"/>
  <c r="FO172" i="27" s="1"/>
  <c r="FR171" i="27" a="1"/>
  <c r="FR171" i="27" s="1"/>
  <c r="FQ171" i="27" a="1"/>
  <c r="FQ171" i="27" s="1"/>
  <c r="FP171" i="27" a="1"/>
  <c r="FP171" i="27" s="1"/>
  <c r="FO171" i="27" a="1"/>
  <c r="FO171" i="27" s="1"/>
  <c r="FR170" i="27" a="1"/>
  <c r="FR170" i="27" s="1"/>
  <c r="FQ170" i="27" a="1"/>
  <c r="FQ170" i="27" s="1"/>
  <c r="FP170" i="27" a="1"/>
  <c r="FP170" i="27" s="1"/>
  <c r="FO170" i="27" a="1"/>
  <c r="FO170" i="27" s="1"/>
  <c r="FR169" i="27" a="1"/>
  <c r="FR169" i="27" s="1"/>
  <c r="FQ169" i="27" a="1"/>
  <c r="FQ169" i="27" s="1"/>
  <c r="FP169" i="27" a="1"/>
  <c r="FP169" i="27" s="1"/>
  <c r="FO169" i="27" a="1"/>
  <c r="FO169" i="27" s="1"/>
  <c r="FR168" i="27" a="1"/>
  <c r="FR168" i="27" s="1"/>
  <c r="FQ168" i="27" a="1"/>
  <c r="FQ168" i="27" s="1"/>
  <c r="FP168" i="27" a="1"/>
  <c r="FP168" i="27" s="1"/>
  <c r="FO168" i="27" a="1"/>
  <c r="FO168" i="27" s="1"/>
  <c r="FR167" i="27" a="1"/>
  <c r="FR167" i="27" s="1"/>
  <c r="FQ167" i="27" a="1"/>
  <c r="FQ167" i="27" s="1"/>
  <c r="FP167" i="27" a="1"/>
  <c r="FP167" i="27" s="1"/>
  <c r="FO167" i="27" a="1"/>
  <c r="FO167" i="27" s="1"/>
  <c r="FR166" i="27" a="1"/>
  <c r="FR166" i="27" s="1"/>
  <c r="FQ166" i="27" a="1"/>
  <c r="FQ166" i="27" s="1"/>
  <c r="FP166" i="27" a="1"/>
  <c r="FP166" i="27" s="1"/>
  <c r="FO166" i="27" a="1"/>
  <c r="FO166" i="27" s="1"/>
  <c r="FR165" i="27" a="1"/>
  <c r="FR165" i="27" s="1"/>
  <c r="FQ165" i="27" a="1"/>
  <c r="FQ165" i="27" s="1"/>
  <c r="FP165" i="27" a="1"/>
  <c r="FP165" i="27" s="1"/>
  <c r="FO165" i="27" a="1"/>
  <c r="FO165" i="27" s="1"/>
  <c r="FR164" i="27" a="1"/>
  <c r="FR164" i="27" s="1"/>
  <c r="FQ164" i="27" a="1"/>
  <c r="FQ164" i="27" s="1"/>
  <c r="FP164" i="27" a="1"/>
  <c r="FP164" i="27" s="1"/>
  <c r="FO164" i="27" a="1"/>
  <c r="FO164" i="27" s="1"/>
  <c r="FR163" i="27" a="1"/>
  <c r="FR163" i="27" s="1"/>
  <c r="FQ163" i="27" a="1"/>
  <c r="FQ163" i="27" s="1"/>
  <c r="FP163" i="27" a="1"/>
  <c r="FP163" i="27" s="1"/>
  <c r="FO163" i="27" a="1"/>
  <c r="FO163" i="27" s="1"/>
  <c r="FR162" i="27" a="1"/>
  <c r="FR162" i="27" s="1"/>
  <c r="FQ162" i="27" a="1"/>
  <c r="FQ162" i="27" s="1"/>
  <c r="FP162" i="27" a="1"/>
  <c r="FP162" i="27" s="1"/>
  <c r="FO162" i="27" a="1"/>
  <c r="FO162" i="27" s="1"/>
  <c r="FR161" i="27" a="1"/>
  <c r="FR161" i="27" s="1"/>
  <c r="FQ161" i="27" a="1"/>
  <c r="FQ161" i="27" s="1"/>
  <c r="FP161" i="27" a="1"/>
  <c r="FP161" i="27" s="1"/>
  <c r="FO161" i="27" a="1"/>
  <c r="FO161" i="27" s="1"/>
  <c r="FR160" i="27" a="1"/>
  <c r="FR160" i="27" s="1"/>
  <c r="FQ160" i="27" a="1"/>
  <c r="FQ160" i="27" s="1"/>
  <c r="FP160" i="27" a="1"/>
  <c r="FP160" i="27" s="1"/>
  <c r="FO160" i="27" a="1"/>
  <c r="FO160" i="27" s="1"/>
  <c r="FR159" i="27" a="1"/>
  <c r="FR159" i="27" s="1"/>
  <c r="FQ159" i="27" a="1"/>
  <c r="FQ159" i="27" s="1"/>
  <c r="FP159" i="27" a="1"/>
  <c r="FP159" i="27" s="1"/>
  <c r="FO159" i="27" a="1"/>
  <c r="FO159" i="27" s="1"/>
  <c r="FR158" i="27" a="1"/>
  <c r="FR158" i="27" s="1"/>
  <c r="FQ158" i="27" a="1"/>
  <c r="FQ158" i="27" s="1"/>
  <c r="FP158" i="27" a="1"/>
  <c r="FP158" i="27" s="1"/>
  <c r="FO158" i="27" a="1"/>
  <c r="FO158" i="27" s="1"/>
  <c r="FR157" i="27" a="1"/>
  <c r="FR157" i="27" s="1"/>
  <c r="FQ157" i="27" a="1"/>
  <c r="FQ157" i="27" s="1"/>
  <c r="FP157" i="27" a="1"/>
  <c r="FP157" i="27" s="1"/>
  <c r="FO157" i="27" a="1"/>
  <c r="FO157" i="27" s="1"/>
  <c r="FR156" i="27" a="1"/>
  <c r="FR156" i="27" s="1"/>
  <c r="FQ156" i="27" a="1"/>
  <c r="FQ156" i="27" s="1"/>
  <c r="FP156" i="27" a="1"/>
  <c r="FP156" i="27" s="1"/>
  <c r="FO156" i="27" a="1"/>
  <c r="FO156" i="27" s="1"/>
  <c r="FR155" i="27" a="1"/>
  <c r="FR155" i="27" s="1"/>
  <c r="FQ155" i="27" a="1"/>
  <c r="FQ155" i="27" s="1"/>
  <c r="FP155" i="27" a="1"/>
  <c r="FP155" i="27" s="1"/>
  <c r="FO155" i="27" a="1"/>
  <c r="FO155" i="27" s="1"/>
  <c r="FR154" i="27" a="1"/>
  <c r="FR154" i="27" s="1"/>
  <c r="FQ154" i="27" a="1"/>
  <c r="FQ154" i="27" s="1"/>
  <c r="FP154" i="27" a="1"/>
  <c r="FP154" i="27" s="1"/>
  <c r="FO154" i="27" a="1"/>
  <c r="FO154" i="27" s="1"/>
  <c r="FR153" i="27" a="1"/>
  <c r="FR153" i="27" s="1"/>
  <c r="FQ153" i="27" a="1"/>
  <c r="FQ153" i="27" s="1"/>
  <c r="FP153" i="27" a="1"/>
  <c r="FP153" i="27" s="1"/>
  <c r="FO153" i="27" a="1"/>
  <c r="FO153" i="27" s="1"/>
  <c r="FR152" i="27" a="1"/>
  <c r="FR152" i="27" s="1"/>
  <c r="FQ152" i="27" a="1"/>
  <c r="FQ152" i="27" s="1"/>
  <c r="FP152" i="27" a="1"/>
  <c r="FP152" i="27" s="1"/>
  <c r="FO152" i="27" a="1"/>
  <c r="FO152" i="27" s="1"/>
  <c r="FR151" i="27" a="1"/>
  <c r="FR151" i="27" s="1"/>
  <c r="FQ151" i="27" a="1"/>
  <c r="FQ151" i="27" s="1"/>
  <c r="FP151" i="27" a="1"/>
  <c r="FP151" i="27" s="1"/>
  <c r="FO151" i="27" a="1"/>
  <c r="FO151" i="27" s="1"/>
  <c r="FR150" i="27" a="1"/>
  <c r="FR150" i="27" s="1"/>
  <c r="FQ150" i="27" a="1"/>
  <c r="FQ150" i="27" s="1"/>
  <c r="FP150" i="27" a="1"/>
  <c r="FP150" i="27" s="1"/>
  <c r="FO150" i="27" a="1"/>
  <c r="FO150" i="27" s="1"/>
  <c r="FR149" i="27" a="1"/>
  <c r="FR149" i="27" s="1"/>
  <c r="FQ149" i="27" a="1"/>
  <c r="FQ149" i="27" s="1"/>
  <c r="FP149" i="27" a="1"/>
  <c r="FP149" i="27" s="1"/>
  <c r="FO149" i="27" a="1"/>
  <c r="FO149" i="27" s="1"/>
  <c r="FR148" i="27" a="1"/>
  <c r="FR148" i="27" s="1"/>
  <c r="FQ148" i="27" a="1"/>
  <c r="FQ148" i="27" s="1"/>
  <c r="FP148" i="27" a="1"/>
  <c r="FP148" i="27" s="1"/>
  <c r="FO148" i="27" a="1"/>
  <c r="FO148" i="27" s="1"/>
  <c r="FR147" i="27" a="1"/>
  <c r="FR147" i="27" s="1"/>
  <c r="FQ147" i="27" a="1"/>
  <c r="FQ147" i="27" s="1"/>
  <c r="FP147" i="27" a="1"/>
  <c r="FP147" i="27" s="1"/>
  <c r="FO147" i="27" a="1"/>
  <c r="FO147" i="27" s="1"/>
  <c r="FR146" i="27" a="1"/>
  <c r="FR146" i="27" s="1"/>
  <c r="FQ146" i="27" a="1"/>
  <c r="FQ146" i="27" s="1"/>
  <c r="FP146" i="27" a="1"/>
  <c r="FP146" i="27" s="1"/>
  <c r="FO146" i="27" a="1"/>
  <c r="FO146" i="27" s="1"/>
  <c r="FR145" i="27" a="1"/>
  <c r="FR145" i="27" s="1"/>
  <c r="FQ145" i="27" a="1"/>
  <c r="FQ145" i="27" s="1"/>
  <c r="FP145" i="27" a="1"/>
  <c r="FP145" i="27" s="1"/>
  <c r="FO145" i="27" a="1"/>
  <c r="FO145" i="27" s="1"/>
  <c r="FR144" i="27" a="1"/>
  <c r="FR144" i="27" s="1"/>
  <c r="FQ144" i="27" a="1"/>
  <c r="FQ144" i="27" s="1"/>
  <c r="FP144" i="27" a="1"/>
  <c r="FP144" i="27" s="1"/>
  <c r="FO144" i="27" a="1"/>
  <c r="FO144" i="27" s="1"/>
  <c r="FR143" i="27" a="1"/>
  <c r="FR143" i="27" s="1"/>
  <c r="FQ143" i="27" a="1"/>
  <c r="FQ143" i="27" s="1"/>
  <c r="FP143" i="27" a="1"/>
  <c r="FP143" i="27" s="1"/>
  <c r="FO143" i="27" a="1"/>
  <c r="FO143" i="27" s="1"/>
  <c r="FR142" i="27" a="1"/>
  <c r="FR142" i="27" s="1"/>
  <c r="FQ142" i="27" a="1"/>
  <c r="FQ142" i="27" s="1"/>
  <c r="FP142" i="27" a="1"/>
  <c r="FP142" i="27" s="1"/>
  <c r="FO142" i="27" a="1"/>
  <c r="FO142" i="27" s="1"/>
  <c r="FR141" i="27" a="1"/>
  <c r="FR141" i="27" s="1"/>
  <c r="FQ141" i="27" a="1"/>
  <c r="FQ141" i="27" s="1"/>
  <c r="FP141" i="27" a="1"/>
  <c r="FP141" i="27" s="1"/>
  <c r="FO141" i="27" a="1"/>
  <c r="FO141" i="27" s="1"/>
  <c r="GA128" i="27" a="1"/>
  <c r="GA128" i="27" s="1"/>
  <c r="GA127" i="27" a="1"/>
  <c r="GA127" i="27" s="1"/>
  <c r="GA126" i="27" a="1"/>
  <c r="GA126" i="27" s="1"/>
  <c r="GA125" i="27" a="1"/>
  <c r="GA125" i="27" s="1"/>
  <c r="FZ128" i="27" a="1"/>
  <c r="FZ128" i="27" s="1"/>
  <c r="FZ127" i="27" a="1"/>
  <c r="FZ127" i="27" s="1"/>
  <c r="FZ126" i="27" a="1"/>
  <c r="FZ126" i="27" s="1"/>
  <c r="FZ125" i="27" a="1"/>
  <c r="FZ125" i="27" s="1"/>
  <c r="FY128" i="27" a="1"/>
  <c r="FY128" i="27" s="1"/>
  <c r="FY127" i="27" a="1"/>
  <c r="FY127" i="27" s="1"/>
  <c r="FY126" i="27" a="1"/>
  <c r="FY126" i="27" s="1"/>
  <c r="FY125" i="27" a="1"/>
  <c r="FY125" i="27" s="1"/>
  <c r="FX128" i="27" a="1"/>
  <c r="FX128" i="27" s="1"/>
  <c r="FX127" i="27" a="1"/>
  <c r="FX127" i="27" s="1"/>
  <c r="FX126" i="27" a="1"/>
  <c r="FX126" i="27" s="1"/>
  <c r="FX125" i="27" a="1"/>
  <c r="FX125" i="27" s="1"/>
  <c r="EZ186" i="27" l="1"/>
  <c r="FS175" i="27"/>
  <c r="FS160" i="27"/>
  <c r="FS148" i="27"/>
  <c r="FS83" i="27"/>
  <c r="FS80" i="27"/>
  <c r="FS78" i="27"/>
  <c r="EZ78" i="27"/>
  <c r="FS75" i="27"/>
  <c r="FS72" i="27"/>
  <c r="EZ68" i="27"/>
  <c r="FS60" i="27"/>
  <c r="FS58" i="27"/>
  <c r="GA81" i="27" a="1"/>
  <c r="GA81" i="27" s="1"/>
  <c r="GA80" i="27" a="1"/>
  <c r="GA80" i="27" s="1"/>
  <c r="GA79" i="27" a="1"/>
  <c r="GA79" i="27" s="1"/>
  <c r="GA78" i="27" a="1"/>
  <c r="GA78" i="27" s="1"/>
  <c r="GA77" i="27" a="1"/>
  <c r="GA77" i="27" s="1"/>
  <c r="GA76" i="27" a="1"/>
  <c r="GA76" i="27" s="1"/>
  <c r="GA75" i="27" a="1"/>
  <c r="GA75" i="27" s="1"/>
  <c r="GA74" i="27" a="1"/>
  <c r="GA74" i="27" s="1"/>
  <c r="GA73" i="27" a="1"/>
  <c r="GA73" i="27" s="1"/>
  <c r="GA72" i="27" a="1"/>
  <c r="GA72" i="27" s="1"/>
  <c r="GA71" i="27" a="1"/>
  <c r="GA71" i="27" s="1"/>
  <c r="GA70" i="27" a="1"/>
  <c r="GA70" i="27" s="1"/>
  <c r="GA69" i="27" a="1"/>
  <c r="GA69" i="27" s="1"/>
  <c r="GA68" i="27" a="1"/>
  <c r="GA68" i="27" s="1"/>
  <c r="GA67" i="27" a="1"/>
  <c r="GA67" i="27" s="1"/>
  <c r="GA66" i="27" a="1"/>
  <c r="GA66" i="27" s="1"/>
  <c r="GA65" i="27" a="1"/>
  <c r="GA65" i="27" s="1"/>
  <c r="GA64" i="27" a="1"/>
  <c r="GA64" i="27" s="1"/>
  <c r="GA63" i="27" a="1"/>
  <c r="GA63" i="27" s="1"/>
  <c r="GA62" i="27" a="1"/>
  <c r="GA62" i="27" s="1"/>
  <c r="GA61" i="27" a="1"/>
  <c r="GA61" i="27" s="1"/>
  <c r="GA60" i="27" a="1"/>
  <c r="GA60" i="27" s="1"/>
  <c r="GA59" i="27" a="1"/>
  <c r="GA59" i="27" s="1"/>
  <c r="GA58" i="27" a="1"/>
  <c r="GA58" i="27" s="1"/>
  <c r="GA57" i="27" a="1"/>
  <c r="GA57" i="27" s="1"/>
  <c r="GA56" i="27" a="1"/>
  <c r="GA56" i="27" s="1"/>
  <c r="GA55" i="27" a="1"/>
  <c r="GA55" i="27" s="1"/>
  <c r="GA54" i="27" a="1"/>
  <c r="GA54" i="27" s="1"/>
  <c r="GA53" i="27" a="1"/>
  <c r="GA53" i="27" s="1"/>
  <c r="GA52" i="27" a="1"/>
  <c r="GA52" i="27" s="1"/>
  <c r="GA51" i="27" a="1"/>
  <c r="GA51" i="27" s="1"/>
  <c r="GA50" i="27" a="1"/>
  <c r="GA50" i="27" s="1"/>
  <c r="GA49" i="27" a="1"/>
  <c r="GA49" i="27" s="1"/>
  <c r="GA48" i="27" a="1"/>
  <c r="GA48" i="27" s="1"/>
  <c r="GA47" i="27" a="1"/>
  <c r="GA47" i="27" s="1"/>
  <c r="GA46" i="27" a="1"/>
  <c r="GA46" i="27" s="1"/>
  <c r="GA45" i="27" a="1"/>
  <c r="GA45" i="27" s="1"/>
  <c r="GA44" i="27" a="1"/>
  <c r="GA44" i="27" s="1"/>
  <c r="GA43" i="27" a="1"/>
  <c r="GA43" i="27" s="1"/>
  <c r="FZ81" i="27" a="1"/>
  <c r="FZ81" i="27" s="1"/>
  <c r="FZ80" i="27" a="1"/>
  <c r="FZ80" i="27" s="1"/>
  <c r="FZ79" i="27" a="1"/>
  <c r="FZ79" i="27" s="1"/>
  <c r="FZ78" i="27" a="1"/>
  <c r="FZ78" i="27" s="1"/>
  <c r="FZ77" i="27" a="1"/>
  <c r="FZ77" i="27" s="1"/>
  <c r="FZ76" i="27" a="1"/>
  <c r="FZ76" i="27" s="1"/>
  <c r="FZ75" i="27" a="1"/>
  <c r="FZ75" i="27" s="1"/>
  <c r="FZ74" i="27" a="1"/>
  <c r="FZ74" i="27" s="1"/>
  <c r="FZ73" i="27" a="1"/>
  <c r="FZ73" i="27" s="1"/>
  <c r="FZ72" i="27" a="1"/>
  <c r="FZ72" i="27" s="1"/>
  <c r="FZ71" i="27" a="1"/>
  <c r="FZ71" i="27" s="1"/>
  <c r="FZ70" i="27" a="1"/>
  <c r="FZ70" i="27" s="1"/>
  <c r="FZ69" i="27" a="1"/>
  <c r="FZ69" i="27" s="1"/>
  <c r="FZ68" i="27" a="1"/>
  <c r="FZ68" i="27" s="1"/>
  <c r="FZ67" i="27" a="1"/>
  <c r="FZ67" i="27" s="1"/>
  <c r="FZ66" i="27" a="1"/>
  <c r="FZ66" i="27" s="1"/>
  <c r="FZ65" i="27" a="1"/>
  <c r="FZ65" i="27" s="1"/>
  <c r="FZ64" i="27" a="1"/>
  <c r="FZ64" i="27" s="1"/>
  <c r="FZ63" i="27" a="1"/>
  <c r="FZ63" i="27" s="1"/>
  <c r="FZ62" i="27" a="1"/>
  <c r="FZ62" i="27" s="1"/>
  <c r="FZ61" i="27" a="1"/>
  <c r="FZ61" i="27" s="1"/>
  <c r="FZ60" i="27" a="1"/>
  <c r="FZ60" i="27" s="1"/>
  <c r="FZ59" i="27" a="1"/>
  <c r="FZ59" i="27" s="1"/>
  <c r="FZ58" i="27" a="1"/>
  <c r="FZ58" i="27" s="1"/>
  <c r="FZ57" i="27" a="1"/>
  <c r="FZ57" i="27" s="1"/>
  <c r="FZ56" i="27" a="1"/>
  <c r="FZ56" i="27" s="1"/>
  <c r="FZ55" i="27" a="1"/>
  <c r="FZ55" i="27" s="1"/>
  <c r="FZ54" i="27" a="1"/>
  <c r="FZ54" i="27" s="1"/>
  <c r="FZ53" i="27" a="1"/>
  <c r="FZ53" i="27" s="1"/>
  <c r="FZ52" i="27" a="1"/>
  <c r="FZ52" i="27" s="1"/>
  <c r="FZ51" i="27" a="1"/>
  <c r="FZ51" i="27" s="1"/>
  <c r="FZ50" i="27" a="1"/>
  <c r="FZ50" i="27" s="1"/>
  <c r="FZ49" i="27" a="1"/>
  <c r="FZ49" i="27" s="1"/>
  <c r="FZ48" i="27" a="1"/>
  <c r="FZ48" i="27" s="1"/>
  <c r="FZ47" i="27" a="1"/>
  <c r="FZ47" i="27" s="1"/>
  <c r="FZ46" i="27" a="1"/>
  <c r="FZ46" i="27" s="1"/>
  <c r="FZ45" i="27" a="1"/>
  <c r="FZ45" i="27" s="1"/>
  <c r="FZ44" i="27" a="1"/>
  <c r="FZ44" i="27" s="1"/>
  <c r="FZ43" i="27" a="1"/>
  <c r="FZ43" i="27" s="1"/>
  <c r="FY81" i="27" a="1"/>
  <c r="FY81" i="27" s="1"/>
  <c r="FY80" i="27" a="1"/>
  <c r="FY80" i="27" s="1"/>
  <c r="FY79" i="27" a="1"/>
  <c r="FY79" i="27" s="1"/>
  <c r="FY78" i="27" a="1"/>
  <c r="FY78" i="27" s="1"/>
  <c r="FY77" i="27" a="1"/>
  <c r="FY77" i="27" s="1"/>
  <c r="FY76" i="27" a="1"/>
  <c r="FY76" i="27" s="1"/>
  <c r="FY75" i="27" a="1"/>
  <c r="FY75" i="27" s="1"/>
  <c r="FY74" i="27" a="1"/>
  <c r="FY74" i="27" s="1"/>
  <c r="FY73" i="27" a="1"/>
  <c r="FY73" i="27" s="1"/>
  <c r="FY72" i="27" a="1"/>
  <c r="FY72" i="27" s="1"/>
  <c r="FY71" i="27" a="1"/>
  <c r="FY71" i="27" s="1"/>
  <c r="FY70" i="27" a="1"/>
  <c r="FY70" i="27" s="1"/>
  <c r="FY69" i="27" a="1"/>
  <c r="FY69" i="27" s="1"/>
  <c r="FY68" i="27" a="1"/>
  <c r="FY68" i="27" s="1"/>
  <c r="FY67" i="27" a="1"/>
  <c r="FY67" i="27" s="1"/>
  <c r="FY66" i="27" a="1"/>
  <c r="FY66" i="27" s="1"/>
  <c r="FY65" i="27" a="1"/>
  <c r="FY65" i="27" s="1"/>
  <c r="FY64" i="27" a="1"/>
  <c r="FY64" i="27" s="1"/>
  <c r="FY63" i="27" a="1"/>
  <c r="FY63" i="27" s="1"/>
  <c r="FY62" i="27" a="1"/>
  <c r="FY62" i="27" s="1"/>
  <c r="FY61" i="27" a="1"/>
  <c r="FY61" i="27" s="1"/>
  <c r="FY60" i="27" a="1"/>
  <c r="FY60" i="27" s="1"/>
  <c r="FY59" i="27" a="1"/>
  <c r="FY59" i="27" s="1"/>
  <c r="FY58" i="27" a="1"/>
  <c r="FY58" i="27" s="1"/>
  <c r="FY57" i="27" a="1"/>
  <c r="FY57" i="27" s="1"/>
  <c r="FY56" i="27" a="1"/>
  <c r="FY56" i="27" s="1"/>
  <c r="FY55" i="27" a="1"/>
  <c r="FY55" i="27" s="1"/>
  <c r="FY54" i="27" a="1"/>
  <c r="FY54" i="27" s="1"/>
  <c r="FY53" i="27" a="1"/>
  <c r="FY53" i="27" s="1"/>
  <c r="FY52" i="27" a="1"/>
  <c r="FY52" i="27" s="1"/>
  <c r="FY51" i="27" a="1"/>
  <c r="FY51" i="27" s="1"/>
  <c r="FY50" i="27" a="1"/>
  <c r="FY50" i="27" s="1"/>
  <c r="FY49" i="27" a="1"/>
  <c r="FY49" i="27" s="1"/>
  <c r="FY48" i="27" a="1"/>
  <c r="FY48" i="27" s="1"/>
  <c r="FY47" i="27" a="1"/>
  <c r="FY47" i="27" s="1"/>
  <c r="FY46" i="27" a="1"/>
  <c r="FY46" i="27" s="1"/>
  <c r="FY45" i="27" a="1"/>
  <c r="FY45" i="27" s="1"/>
  <c r="FY44" i="27" a="1"/>
  <c r="FY44" i="27" s="1"/>
  <c r="FY43" i="27" a="1"/>
  <c r="FY43" i="27" s="1"/>
  <c r="FX81" i="27" a="1"/>
  <c r="FX81" i="27" s="1"/>
  <c r="FX80" i="27" a="1"/>
  <c r="FX80" i="27" s="1"/>
  <c r="FX79" i="27" a="1"/>
  <c r="FX79" i="27" s="1"/>
  <c r="FX78" i="27" a="1"/>
  <c r="FX78" i="27" s="1"/>
  <c r="FX77" i="27" a="1"/>
  <c r="FX77" i="27" s="1"/>
  <c r="FX76" i="27" a="1"/>
  <c r="FX76" i="27" s="1"/>
  <c r="FX75" i="27" a="1"/>
  <c r="FX75" i="27" s="1"/>
  <c r="FX74" i="27" a="1"/>
  <c r="FX74" i="27" s="1"/>
  <c r="FX73" i="27" a="1"/>
  <c r="FX73" i="27" s="1"/>
  <c r="FX72" i="27" a="1"/>
  <c r="FX72" i="27" s="1"/>
  <c r="FX71" i="27" a="1"/>
  <c r="FX71" i="27" s="1"/>
  <c r="FX70" i="27" a="1"/>
  <c r="FX70" i="27" s="1"/>
  <c r="FX69" i="27" a="1"/>
  <c r="FX69" i="27" s="1"/>
  <c r="FX68" i="27" a="1"/>
  <c r="FX68" i="27" s="1"/>
  <c r="FX67" i="27" a="1"/>
  <c r="FX67" i="27" s="1"/>
  <c r="FX66" i="27" a="1"/>
  <c r="FX66" i="27" s="1"/>
  <c r="FX65" i="27" a="1"/>
  <c r="FX65" i="27" s="1"/>
  <c r="FX64" i="27" a="1"/>
  <c r="FX64" i="27" s="1"/>
  <c r="FX63" i="27" a="1"/>
  <c r="FX63" i="27" s="1"/>
  <c r="FX62" i="27" a="1"/>
  <c r="FX62" i="27" s="1"/>
  <c r="FX61" i="27" a="1"/>
  <c r="FX61" i="27" s="1"/>
  <c r="FX60" i="27" a="1"/>
  <c r="FX60" i="27" s="1"/>
  <c r="FX59" i="27" a="1"/>
  <c r="FX59" i="27" s="1"/>
  <c r="FX58" i="27" a="1"/>
  <c r="FX58" i="27" s="1"/>
  <c r="FX57" i="27" a="1"/>
  <c r="FX57" i="27" s="1"/>
  <c r="FX56" i="27" a="1"/>
  <c r="FX56" i="27" s="1"/>
  <c r="FX55" i="27" a="1"/>
  <c r="FX55" i="27" s="1"/>
  <c r="FX54" i="27" a="1"/>
  <c r="FX54" i="27" s="1"/>
  <c r="FX53" i="27" a="1"/>
  <c r="FX53" i="27" s="1"/>
  <c r="FX52" i="27" a="1"/>
  <c r="FX52" i="27" s="1"/>
  <c r="FX51" i="27" a="1"/>
  <c r="FX51" i="27" s="1"/>
  <c r="FX50" i="27" a="1"/>
  <c r="FX50" i="27" s="1"/>
  <c r="FX49" i="27" a="1"/>
  <c r="FX49" i="27" s="1"/>
  <c r="FX48" i="27" a="1"/>
  <c r="FX48" i="27" s="1"/>
  <c r="FX47" i="27" a="1"/>
  <c r="FX47" i="27" s="1"/>
  <c r="FX46" i="27" a="1"/>
  <c r="FX46" i="27" s="1"/>
  <c r="FX45" i="27" a="1"/>
  <c r="FX45" i="27" s="1"/>
  <c r="FX44" i="27" a="1"/>
  <c r="FX44" i="27" s="1"/>
  <c r="FX43" i="27" a="1"/>
  <c r="FX43" i="27" s="1"/>
  <c r="EZ169" i="27" l="1"/>
  <c r="EZ148" i="27"/>
  <c r="EZ150" i="27"/>
  <c r="EZ180" i="27"/>
  <c r="FS54" i="27"/>
  <c r="FS76" i="27"/>
  <c r="FS85" i="27"/>
  <c r="FS164" i="27"/>
  <c r="FS176" i="27"/>
  <c r="FS67" i="27"/>
  <c r="FS70" i="27"/>
  <c r="FS71" i="27"/>
  <c r="IA110" i="27" s="1"/>
  <c r="FS73" i="27"/>
  <c r="FS147" i="27"/>
  <c r="FS151" i="27"/>
  <c r="FS171" i="27"/>
  <c r="FS173" i="27"/>
  <c r="EZ64" i="27"/>
  <c r="EZ87" i="27"/>
  <c r="EZ160" i="27"/>
  <c r="EZ71" i="27"/>
  <c r="EZ97" i="27"/>
  <c r="EZ152" i="27"/>
  <c r="EZ173" i="27"/>
  <c r="EZ62" i="27"/>
  <c r="EZ167" i="27"/>
  <c r="EZ63" i="27"/>
  <c r="EZ79" i="27"/>
  <c r="FS84" i="27"/>
  <c r="EZ91" i="27"/>
  <c r="FS65" i="27"/>
  <c r="EZ151" i="27"/>
  <c r="EZ70" i="27"/>
  <c r="FS77" i="27"/>
  <c r="EZ92" i="27"/>
  <c r="FS146" i="27"/>
  <c r="FS64" i="27"/>
  <c r="FS141" i="27"/>
  <c r="FS59" i="27"/>
  <c r="EZ72" i="27"/>
  <c r="EZ75" i="27"/>
  <c r="EZ80" i="27"/>
  <c r="HY97" i="27" s="1"/>
  <c r="EZ82" i="27"/>
  <c r="EZ84" i="27"/>
  <c r="FS91" i="27"/>
  <c r="FS62" i="27"/>
  <c r="FS153" i="27"/>
  <c r="EZ89" i="27"/>
  <c r="EZ153" i="27"/>
  <c r="FS158" i="27"/>
  <c r="EZ183" i="27"/>
  <c r="FS69" i="27"/>
  <c r="FS150" i="27"/>
  <c r="EZ156" i="27"/>
  <c r="FS157" i="27"/>
  <c r="FS154" i="27"/>
  <c r="FS156" i="27"/>
  <c r="CC117" i="27"/>
  <c r="FS159" i="27"/>
  <c r="FS161" i="27"/>
  <c r="FS165" i="27"/>
  <c r="FS55" i="27"/>
  <c r="EZ67" i="27"/>
  <c r="FS90" i="27"/>
  <c r="FS152" i="27"/>
  <c r="FS167" i="27"/>
  <c r="EZ182" i="27"/>
  <c r="EZ166" i="27"/>
  <c r="HY110" i="27" s="1"/>
  <c r="FS166" i="27"/>
  <c r="EZ184" i="27"/>
  <c r="FS169" i="27"/>
  <c r="FS168" i="27"/>
  <c r="EZ175" i="27"/>
  <c r="EZ177" i="27"/>
  <c r="EZ176" i="27"/>
  <c r="FS178" i="27"/>
  <c r="DS161" i="27"/>
  <c r="FS177" i="27"/>
  <c r="EZ88" i="27"/>
  <c r="EZ172" i="27"/>
  <c r="EZ60" i="27"/>
  <c r="HY105" i="27" s="1"/>
  <c r="EZ66" i="27"/>
  <c r="EZ73" i="27"/>
  <c r="EZ74" i="27"/>
  <c r="HY102" i="27" s="1"/>
  <c r="EZ76" i="27"/>
  <c r="FS81" i="27"/>
  <c r="EZ86" i="27"/>
  <c r="FS89" i="27"/>
  <c r="FS143" i="27"/>
  <c r="FS149" i="27"/>
  <c r="EZ154" i="27"/>
  <c r="FS155" i="27"/>
  <c r="EZ159" i="27"/>
  <c r="EZ95" i="27"/>
  <c r="EZ164" i="27"/>
  <c r="FS57" i="27"/>
  <c r="FS61" i="27"/>
  <c r="EZ83" i="27"/>
  <c r="EZ93" i="27"/>
  <c r="EZ98" i="27"/>
  <c r="FS142" i="27"/>
  <c r="FS145" i="27"/>
  <c r="EZ149" i="27"/>
  <c r="FS162" i="27"/>
  <c r="EZ96" i="27"/>
  <c r="EZ65" i="27"/>
  <c r="FS82" i="27"/>
  <c r="EZ158" i="27"/>
  <c r="FS53" i="27"/>
  <c r="FS88" i="27"/>
  <c r="FS56" i="27"/>
  <c r="FS66" i="27"/>
  <c r="FS68" i="27"/>
  <c r="EZ69" i="27"/>
  <c r="FS74" i="27"/>
  <c r="EZ77" i="27"/>
  <c r="EZ81" i="27"/>
  <c r="FS86" i="27"/>
  <c r="EZ90" i="27"/>
  <c r="FS144" i="27"/>
  <c r="EZ162" i="27"/>
  <c r="FS163" i="27"/>
  <c r="EZ155" i="27"/>
  <c r="FS87" i="27"/>
  <c r="FS170" i="27"/>
  <c r="EZ181" i="27"/>
  <c r="EZ163" i="27"/>
  <c r="EZ157" i="27"/>
  <c r="EZ168" i="27"/>
  <c r="FS172" i="27"/>
  <c r="FS179" i="27"/>
  <c r="EZ94" i="27"/>
  <c r="EZ165" i="27"/>
  <c r="FS79" i="27"/>
  <c r="EZ171" i="27"/>
  <c r="EZ61" i="27"/>
  <c r="EZ170" i="27"/>
  <c r="EZ179" i="27"/>
  <c r="FS63" i="27"/>
  <c r="EZ85" i="27"/>
  <c r="EZ161" i="27"/>
  <c r="EZ178" i="27"/>
  <c r="FS174" i="27"/>
  <c r="EZ174" i="27"/>
  <c r="EZ185" i="27"/>
  <c r="J264" i="48"/>
  <c r="J250" i="48"/>
  <c r="J236" i="48"/>
  <c r="DG5" i="27"/>
  <c r="CZ5" i="27"/>
  <c r="M264" i="48"/>
  <c r="M250" i="48"/>
  <c r="M236" i="48"/>
  <c r="DG4" i="27"/>
  <c r="CZ4" i="27"/>
  <c r="IA105" i="27" l="1"/>
  <c r="IA97" i="27"/>
  <c r="IA102" i="27"/>
  <c r="FH138" i="27" a="1"/>
  <c r="FH138" i="27" s="1"/>
  <c r="FG138" i="27" a="1"/>
  <c r="FG138" i="27" s="1"/>
  <c r="FF138" i="27" a="1"/>
  <c r="FF138" i="27" s="1"/>
  <c r="FE138" i="27" a="1"/>
  <c r="FE138" i="27" s="1"/>
  <c r="EX144" i="27" a="1"/>
  <c r="EX144" i="27" s="1"/>
  <c r="EW144" i="27" a="1"/>
  <c r="EW144" i="27" s="1"/>
  <c r="EV144" i="27" a="1"/>
  <c r="EV144" i="27" s="1"/>
  <c r="EY144" i="27" a="1"/>
  <c r="EY144" i="27" s="1"/>
  <c r="FP137" i="27" a="1"/>
  <c r="FP137" i="27" s="1"/>
  <c r="FO137" i="27" a="1"/>
  <c r="FO137" i="27" s="1"/>
  <c r="FR183" i="27" a="1"/>
  <c r="FR183" i="27" s="1"/>
  <c r="FQ183" i="27" a="1"/>
  <c r="FQ183" i="27" s="1"/>
  <c r="FP183" i="27" a="1"/>
  <c r="FP183" i="27" s="1"/>
  <c r="FR137" i="27" a="1"/>
  <c r="FR137" i="27" s="1"/>
  <c r="FQ137" i="27" a="1"/>
  <c r="FQ137" i="27" s="1"/>
  <c r="FG184" i="27" a="1"/>
  <c r="FG184" i="27" s="1"/>
  <c r="FF184" i="27" a="1"/>
  <c r="FF184" i="27" s="1"/>
  <c r="FE184" i="27" a="1"/>
  <c r="FE184" i="27" s="1"/>
  <c r="FH184" i="27" a="1"/>
  <c r="FH184" i="27" s="1"/>
  <c r="ED34" i="27"/>
  <c r="ED48" i="27"/>
  <c r="ED42" i="27"/>
  <c r="ED56" i="27"/>
  <c r="ED38" i="27"/>
  <c r="ED44" i="27"/>
  <c r="ED52" i="27"/>
  <c r="ED60" i="27"/>
  <c r="ED68" i="27"/>
  <c r="ED51" i="27"/>
  <c r="ED59" i="27"/>
  <c r="ED67" i="27"/>
  <c r="ED36" i="27"/>
  <c r="ED43" i="27"/>
  <c r="ED49" i="27"/>
  <c r="ED33" i="27"/>
  <c r="ED41" i="27"/>
  <c r="ED66" i="27"/>
  <c r="ED61" i="27"/>
  <c r="ED69" i="27"/>
  <c r="ED32" i="27"/>
  <c r="ED37" i="27"/>
  <c r="ED46" i="27"/>
  <c r="ED54" i="27"/>
  <c r="ED62" i="27"/>
  <c r="ED70" i="27"/>
  <c r="ED64" i="27"/>
  <c r="ED55" i="27"/>
  <c r="ED39" i="27"/>
  <c r="ED57" i="27"/>
  <c r="ED58" i="27"/>
  <c r="ED53" i="27"/>
  <c r="ED63" i="27"/>
  <c r="ED47" i="27"/>
  <c r="ED40" i="27"/>
  <c r="ED65" i="27"/>
  <c r="ED50" i="27"/>
  <c r="ED35" i="27"/>
  <c r="ED45" i="27"/>
  <c r="FI184" i="27" l="1"/>
  <c r="FI67" i="27" l="1"/>
  <c r="FI62" i="27"/>
  <c r="FI63" i="27"/>
  <c r="FI82" i="27"/>
  <c r="FI73" i="27"/>
  <c r="FI92" i="27"/>
  <c r="FI91" i="27"/>
  <c r="FI65" i="27"/>
  <c r="FI81" i="27"/>
  <c r="FI79" i="27"/>
  <c r="FI84" i="27"/>
  <c r="FI74" i="27"/>
  <c r="FI78" i="27"/>
  <c r="FI70" i="27"/>
  <c r="FI71" i="27"/>
  <c r="FI61" i="27"/>
  <c r="FI76" i="27"/>
  <c r="FI77" i="27"/>
  <c r="FI80" i="27"/>
  <c r="FI58" i="27"/>
  <c r="FI87" i="27"/>
  <c r="FI72" i="27"/>
  <c r="FI86" i="27"/>
  <c r="FI64" i="27"/>
  <c r="FI68" i="27"/>
  <c r="FI69" i="27"/>
  <c r="FI60" i="27"/>
  <c r="FI75" i="27"/>
  <c r="FI83" i="27"/>
  <c r="FI88" i="27"/>
  <c r="FI66" i="27"/>
  <c r="FI56" i="27"/>
  <c r="FI54" i="27"/>
  <c r="FI85" i="27"/>
  <c r="FI57" i="27"/>
  <c r="FI59" i="27"/>
  <c r="FI55" i="27"/>
  <c r="FI90" i="27"/>
  <c r="FI89" i="27"/>
  <c r="DS160" i="27" l="1"/>
  <c r="DS186" i="27"/>
  <c r="DS177" i="27"/>
  <c r="DS173" i="27"/>
  <c r="DS156" i="27"/>
  <c r="DS162" i="27"/>
  <c r="DS172" i="27"/>
  <c r="DS187" i="27"/>
  <c r="DS185" i="27"/>
  <c r="DS179" i="27"/>
  <c r="DS155" i="27"/>
  <c r="DS167" i="27"/>
  <c r="DS178" i="27"/>
  <c r="DS158" i="27"/>
  <c r="DS184" i="27"/>
  <c r="DS182" i="27"/>
  <c r="DS165" i="27"/>
  <c r="DS152" i="27"/>
  <c r="DS159" i="27"/>
  <c r="DS176" i="27"/>
  <c r="DS153" i="27"/>
  <c r="DS188" i="27"/>
  <c r="DS169" i="27"/>
  <c r="DS163" i="27"/>
  <c r="DS154" i="27"/>
  <c r="DS171" i="27"/>
  <c r="DS181" i="27"/>
  <c r="DS166" i="27"/>
  <c r="DS183" i="27"/>
  <c r="DS151" i="27"/>
  <c r="DS174" i="27"/>
  <c r="DS157" i="27"/>
  <c r="DS168" i="27"/>
  <c r="DS150" i="27"/>
  <c r="DS175" i="27"/>
  <c r="DS170" i="27"/>
  <c r="DS164" i="27"/>
  <c r="DS180" i="27"/>
  <c r="A262" i="48" l="1"/>
  <c r="A248" i="48"/>
  <c r="A234" i="48"/>
  <c r="A214" i="48"/>
  <c r="A198" i="48"/>
  <c r="A185" i="48"/>
  <c r="A169" i="48"/>
  <c r="A153" i="48"/>
  <c r="A137" i="48"/>
  <c r="A117" i="48"/>
  <c r="A98" i="48"/>
  <c r="A79" i="48"/>
  <c r="A60" i="48"/>
  <c r="A44" i="48"/>
  <c r="A27" i="48"/>
  <c r="A7" i="48"/>
  <c r="EV199" i="27" l="1"/>
  <c r="FE194" i="27" l="1"/>
  <c r="DO289" i="27"/>
  <c r="F21" i="48" l="1"/>
  <c r="F20" i="48"/>
  <c r="F19" i="48"/>
  <c r="F18" i="48"/>
  <c r="F17" i="48"/>
  <c r="F16" i="48"/>
  <c r="F15" i="48"/>
  <c r="F14" i="48"/>
  <c r="F13" i="48"/>
  <c r="F12" i="48"/>
  <c r="F11" i="48"/>
  <c r="F10" i="48"/>
  <c r="F9" i="48"/>
  <c r="F8" i="48"/>
  <c r="L271" i="48" l="1"/>
  <c r="N50" i="51" s="1"/>
  <c r="L257" i="48"/>
  <c r="N49" i="51" s="1"/>
  <c r="L243" i="48"/>
  <c r="N48" i="51" s="1"/>
  <c r="ER61" i="27" l="1"/>
  <c r="FP193" i="27"/>
  <c r="FF194" i="27"/>
  <c r="FG219" i="27" s="1" a="1"/>
  <c r="FG219" i="27" s="1"/>
  <c r="EW199" i="27"/>
  <c r="HY109" i="27" s="1"/>
  <c r="EX224" i="27" l="1" a="1"/>
  <c r="EX224" i="27" s="1"/>
  <c r="FO193" i="27"/>
  <c r="IA109" i="27" s="1"/>
  <c r="FQ218" i="27" l="1" a="1"/>
  <c r="FQ218" i="27" s="1"/>
  <c r="DP289" i="27"/>
  <c r="DQ314" i="27" s="1" a="1"/>
  <c r="DQ314" i="27" s="1"/>
  <c r="EO145" i="27"/>
  <c r="EQ170" i="27" s="1" a="1"/>
  <c r="EQ170" i="27" s="1"/>
  <c r="EH146" i="27"/>
  <c r="EJ171" i="27" s="1" a="1"/>
  <c r="EJ171" i="27" s="1"/>
  <c r="DA150" i="27" l="1"/>
  <c r="DC175" i="27" s="1" a="1"/>
  <c r="DC175" i="27" s="1"/>
  <c r="CT151" i="27"/>
  <c r="CV176" i="27" s="1" a="1"/>
  <c r="CV176" i="27" s="1"/>
  <c r="CK135" i="27"/>
  <c r="CM160" i="27" s="1" a="1"/>
  <c r="CM160" i="27" s="1"/>
  <c r="BD337" i="27"/>
  <c r="CN135" i="27" l="1"/>
  <c r="L272" i="48"/>
  <c r="L258" i="48"/>
  <c r="L244" i="48"/>
  <c r="L227" i="48" l="1"/>
  <c r="L166" i="48" l="1"/>
  <c r="L165" i="48"/>
  <c r="N46" i="51" s="1"/>
  <c r="L150" i="48"/>
  <c r="L149" i="48"/>
  <c r="N45" i="51" s="1"/>
  <c r="L134" i="48"/>
  <c r="L133" i="48"/>
  <c r="N43" i="51" s="1"/>
  <c r="L114" i="48"/>
  <c r="L113" i="48"/>
  <c r="N42" i="51" s="1"/>
  <c r="L95" i="48"/>
  <c r="L94" i="48"/>
  <c r="N41" i="51" s="1"/>
  <c r="L76" i="48"/>
  <c r="L75" i="48"/>
  <c r="N39" i="51" s="1"/>
  <c r="L57" i="48"/>
  <c r="L36" i="48"/>
  <c r="L56" i="48"/>
  <c r="N40" i="51" s="1"/>
  <c r="L26" i="51" l="1"/>
  <c r="GB132" i="27" l="1"/>
  <c r="EK137" i="27" l="1"/>
  <c r="ED74" i="27"/>
  <c r="BI317" i="27" l="1" a="1"/>
  <c r="BI317" i="27" s="1"/>
  <c r="BI311" i="27" a="1"/>
  <c r="BI311" i="27" s="1"/>
  <c r="BI306" i="27" a="1"/>
  <c r="BI306" i="27" s="1"/>
  <c r="BI300" i="27" a="1"/>
  <c r="BI300" i="27" s="1"/>
  <c r="BI289" i="27" a="1"/>
  <c r="BI289" i="27" s="1"/>
  <c r="BI319" i="27" a="1"/>
  <c r="BI319" i="27" s="1"/>
  <c r="BI310" i="27" a="1"/>
  <c r="BI310" i="27" s="1"/>
  <c r="BI323" i="27" a="1"/>
  <c r="BI323" i="27" s="1"/>
  <c r="BI303" i="27" a="1"/>
  <c r="BI303" i="27" s="1"/>
  <c r="BI293" i="27" a="1"/>
  <c r="BI293" i="27" s="1"/>
  <c r="BI316" i="27" a="1"/>
  <c r="BI316" i="27" s="1"/>
  <c r="BI305" i="27" a="1"/>
  <c r="BI305" i="27" s="1"/>
  <c r="BI299" i="27" a="1"/>
  <c r="BI299" i="27" s="1"/>
  <c r="BI294" i="27" a="1"/>
  <c r="BI294" i="27" s="1"/>
  <c r="BI288" i="27" a="1"/>
  <c r="BI288" i="27" s="1"/>
  <c r="BI318" i="27" a="1"/>
  <c r="BI318" i="27" s="1"/>
  <c r="BI304" i="27" a="1"/>
  <c r="BI304" i="27" s="1"/>
  <c r="BI298" i="27" a="1"/>
  <c r="BI298" i="27" s="1"/>
  <c r="BI313" i="27" a="1"/>
  <c r="BI313" i="27" s="1"/>
  <c r="BI307" i="27" a="1"/>
  <c r="BI307" i="27" s="1"/>
  <c r="BI296" i="27" a="1"/>
  <c r="BI296" i="27" s="1"/>
  <c r="BI284" i="27" a="1"/>
  <c r="BI284" i="27" s="1"/>
  <c r="BI322" i="27" a="1"/>
  <c r="BI322" i="27" s="1"/>
  <c r="BI309" i="27" a="1"/>
  <c r="BI309" i="27" s="1"/>
  <c r="BI286" i="27" a="1"/>
  <c r="BI286" i="27" s="1"/>
  <c r="BI308" i="27" a="1"/>
  <c r="BI308" i="27" s="1"/>
  <c r="BI302" i="27" a="1"/>
  <c r="BI302" i="27" s="1"/>
  <c r="BI297" i="27" a="1"/>
  <c r="BI297" i="27" s="1"/>
  <c r="BI291" i="27" a="1"/>
  <c r="BI291" i="27" s="1"/>
  <c r="BI285" i="27" a="1"/>
  <c r="BI285" i="27" s="1"/>
  <c r="BI321" i="27" a="1"/>
  <c r="BI321" i="27" s="1"/>
  <c r="BI312" i="27" a="1"/>
  <c r="BI312" i="27" s="1"/>
  <c r="BI301" i="27" a="1"/>
  <c r="BI301" i="27" s="1"/>
  <c r="BI295" i="27" a="1"/>
  <c r="BI295" i="27" s="1"/>
  <c r="BI290" i="27" a="1"/>
  <c r="BI290" i="27" s="1"/>
  <c r="BI320" i="27" a="1"/>
  <c r="BI320" i="27" s="1"/>
  <c r="BI315" i="27" a="1"/>
  <c r="BI315" i="27" s="1"/>
  <c r="BI287" i="27" a="1"/>
  <c r="BI287" i="27" s="1"/>
  <c r="BI314" i="27" a="1"/>
  <c r="BI314" i="27" s="1"/>
  <c r="BI292" i="27" a="1"/>
  <c r="BI292" i="27" s="1"/>
  <c r="BH323" i="27" a="1"/>
  <c r="BH323" i="27" s="1"/>
  <c r="BH315" i="27" a="1"/>
  <c r="BH315" i="27" s="1"/>
  <c r="BH307" i="27" a="1"/>
  <c r="BH307" i="27" s="1"/>
  <c r="BH299" i="27" a="1"/>
  <c r="BH299" i="27" s="1"/>
  <c r="BH291" i="27" a="1"/>
  <c r="BH291" i="27" s="1"/>
  <c r="BG323" i="27" a="1"/>
  <c r="BG323" i="27" s="1"/>
  <c r="BG315" i="27" a="1"/>
  <c r="BG315" i="27" s="1"/>
  <c r="BG307" i="27" a="1"/>
  <c r="BG307" i="27" s="1"/>
  <c r="BG299" i="27" a="1"/>
  <c r="BG299" i="27" s="1"/>
  <c r="BG291" i="27" a="1"/>
  <c r="BG291" i="27" s="1"/>
  <c r="BF323" i="27" a="1"/>
  <c r="BF323" i="27" s="1"/>
  <c r="BF317" i="27" a="1"/>
  <c r="BF317" i="27" s="1"/>
  <c r="BF304" i="27" a="1"/>
  <c r="BF304" i="27" s="1"/>
  <c r="BF297" i="27" a="1"/>
  <c r="BF297" i="27" s="1"/>
  <c r="BF289" i="27" a="1"/>
  <c r="BF289" i="27" s="1"/>
  <c r="BE321" i="27" a="1"/>
  <c r="BE321" i="27" s="1"/>
  <c r="BE313" i="27" a="1"/>
  <c r="BE313" i="27" s="1"/>
  <c r="BE305" i="27" a="1"/>
  <c r="BE305" i="27" s="1"/>
  <c r="BE297" i="27" a="1"/>
  <c r="BE297" i="27" s="1"/>
  <c r="BE289" i="27" a="1"/>
  <c r="BE289" i="27" s="1"/>
  <c r="BD322" i="27" a="1"/>
  <c r="BD322" i="27" s="1"/>
  <c r="BD315" i="27" a="1"/>
  <c r="BD315" i="27" s="1"/>
  <c r="BD309" i="27" a="1"/>
  <c r="BD309" i="27" s="1"/>
  <c r="BD295" i="27" a="1"/>
  <c r="BD295" i="27" s="1"/>
  <c r="BD287" i="27" a="1"/>
  <c r="BD287" i="27" s="1"/>
  <c r="BC319" i="27" a="1"/>
  <c r="BC319" i="27" s="1"/>
  <c r="BC311" i="27" a="1"/>
  <c r="BC311" i="27" s="1"/>
  <c r="BC303" i="27" a="1"/>
  <c r="BC303" i="27" s="1"/>
  <c r="BC295" i="27" a="1"/>
  <c r="BC295" i="27" s="1"/>
  <c r="BC287" i="27" a="1"/>
  <c r="BC287" i="27" s="1"/>
  <c r="BH322" i="27" a="1"/>
  <c r="BH322" i="27" s="1"/>
  <c r="BH314" i="27" a="1"/>
  <c r="BH314" i="27" s="1"/>
  <c r="BH306" i="27" a="1"/>
  <c r="BH306" i="27" s="1"/>
  <c r="BH298" i="27" a="1"/>
  <c r="BH298" i="27" s="1"/>
  <c r="BH290" i="27" a="1"/>
  <c r="BH290" i="27" s="1"/>
  <c r="BG322" i="27" a="1"/>
  <c r="BG322" i="27" s="1"/>
  <c r="BG314" i="27" a="1"/>
  <c r="BG314" i="27" s="1"/>
  <c r="BG306" i="27" a="1"/>
  <c r="BG306" i="27" s="1"/>
  <c r="BG298" i="27" a="1"/>
  <c r="BG298" i="27" s="1"/>
  <c r="BG290" i="27" a="1"/>
  <c r="BG290" i="27" s="1"/>
  <c r="BF316" i="27" a="1"/>
  <c r="BF316" i="27" s="1"/>
  <c r="BF310" i="27" a="1"/>
  <c r="BF310" i="27" s="1"/>
  <c r="BF303" i="27" a="1"/>
  <c r="BF303" i="27" s="1"/>
  <c r="BF296" i="27" a="1"/>
  <c r="BF296" i="27" s="1"/>
  <c r="BF288" i="27" a="1"/>
  <c r="BF288" i="27" s="1"/>
  <c r="BE320" i="27" a="1"/>
  <c r="BE320" i="27" s="1"/>
  <c r="BE312" i="27" a="1"/>
  <c r="BE312" i="27" s="1"/>
  <c r="BE304" i="27" a="1"/>
  <c r="BE304" i="27" s="1"/>
  <c r="BE296" i="27" a="1"/>
  <c r="BE296" i="27" s="1"/>
  <c r="BE288" i="27" a="1"/>
  <c r="BE288" i="27" s="1"/>
  <c r="BD321" i="27" a="1"/>
  <c r="BD321" i="27" s="1"/>
  <c r="BH321" i="27" a="1"/>
  <c r="BH321" i="27" s="1"/>
  <c r="BH313" i="27" a="1"/>
  <c r="BH313" i="27" s="1"/>
  <c r="BH305" i="27" a="1"/>
  <c r="BH305" i="27" s="1"/>
  <c r="BH297" i="27" a="1"/>
  <c r="BH297" i="27" s="1"/>
  <c r="BH289" i="27" a="1"/>
  <c r="BH289" i="27" s="1"/>
  <c r="BG321" i="27" a="1"/>
  <c r="BG321" i="27" s="1"/>
  <c r="BG313" i="27" a="1"/>
  <c r="BG313" i="27" s="1"/>
  <c r="BG305" i="27" a="1"/>
  <c r="BG305" i="27" s="1"/>
  <c r="BG297" i="27" a="1"/>
  <c r="BG297" i="27" s="1"/>
  <c r="BG289" i="27" a="1"/>
  <c r="BG289" i="27" s="1"/>
  <c r="BF322" i="27" a="1"/>
  <c r="BF322" i="27" s="1"/>
  <c r="BF315" i="27" a="1"/>
  <c r="BF315" i="27" s="1"/>
  <c r="BF309" i="27" a="1"/>
  <c r="BF309" i="27" s="1"/>
  <c r="BF295" i="27" a="1"/>
  <c r="BF295" i="27" s="1"/>
  <c r="BF287" i="27" a="1"/>
  <c r="BF287" i="27" s="1"/>
  <c r="BE319" i="27" a="1"/>
  <c r="BE319" i="27" s="1"/>
  <c r="BE311" i="27" a="1"/>
  <c r="BE311" i="27" s="1"/>
  <c r="BE303" i="27" a="1"/>
  <c r="BE303" i="27" s="1"/>
  <c r="BE295" i="27" a="1"/>
  <c r="BE295" i="27" s="1"/>
  <c r="BE287" i="27" a="1"/>
  <c r="BE287" i="27" s="1"/>
  <c r="BD320" i="27" a="1"/>
  <c r="BD320" i="27" s="1"/>
  <c r="BD314" i="27" a="1"/>
  <c r="BD314" i="27" s="1"/>
  <c r="BD307" i="27" a="1"/>
  <c r="BD307" i="27" s="1"/>
  <c r="BD301" i="27" a="1"/>
  <c r="BD301" i="27" s="1"/>
  <c r="BD293" i="27" a="1"/>
  <c r="BD293" i="27" s="1"/>
  <c r="BD285" i="27" a="1"/>
  <c r="BD285" i="27" s="1"/>
  <c r="BC317" i="27" a="1"/>
  <c r="BC317" i="27" s="1"/>
  <c r="BC309" i="27" a="1"/>
  <c r="BC309" i="27" s="1"/>
  <c r="BC301" i="27" a="1"/>
  <c r="BC301" i="27" s="1"/>
  <c r="BC293" i="27" a="1"/>
  <c r="BC293" i="27" s="1"/>
  <c r="BC285" i="27" a="1"/>
  <c r="BC285" i="27" s="1"/>
  <c r="BH319" i="27" a="1"/>
  <c r="BH319" i="27" s="1"/>
  <c r="BH311" i="27" a="1"/>
  <c r="BH311" i="27" s="1"/>
  <c r="BH303" i="27" a="1"/>
  <c r="BH303" i="27" s="1"/>
  <c r="BH295" i="27" a="1"/>
  <c r="BH295" i="27" s="1"/>
  <c r="BH287" i="27" a="1"/>
  <c r="BH287" i="27" s="1"/>
  <c r="BG319" i="27" a="1"/>
  <c r="BG319" i="27" s="1"/>
  <c r="BG311" i="27" a="1"/>
  <c r="BG311" i="27" s="1"/>
  <c r="BG303" i="27" a="1"/>
  <c r="BG303" i="27" s="1"/>
  <c r="BG295" i="27" a="1"/>
  <c r="BG295" i="27" s="1"/>
  <c r="BG287" i="27" a="1"/>
  <c r="BG287" i="27" s="1"/>
  <c r="BF320" i="27" a="1"/>
  <c r="BF320" i="27" s="1"/>
  <c r="BF314" i="27" a="1"/>
  <c r="BF314" i="27" s="1"/>
  <c r="BF307" i="27" a="1"/>
  <c r="BF307" i="27" s="1"/>
  <c r="BF301" i="27" a="1"/>
  <c r="BF301" i="27" s="1"/>
  <c r="BF293" i="27" a="1"/>
  <c r="BF293" i="27" s="1"/>
  <c r="BF285" i="27" a="1"/>
  <c r="BF285" i="27" s="1"/>
  <c r="BE317" i="27" a="1"/>
  <c r="BE317" i="27" s="1"/>
  <c r="BE309" i="27" a="1"/>
  <c r="BE309" i="27" s="1"/>
  <c r="BE301" i="27" a="1"/>
  <c r="BE301" i="27" s="1"/>
  <c r="BE293" i="27" a="1"/>
  <c r="BE293" i="27" s="1"/>
  <c r="BE285" i="27" a="1"/>
  <c r="BE285" i="27" s="1"/>
  <c r="BD312" i="27" a="1"/>
  <c r="BD312" i="27" s="1"/>
  <c r="BD306" i="27" a="1"/>
  <c r="BD306" i="27" s="1"/>
  <c r="BD299" i="27" a="1"/>
  <c r="BD299" i="27" s="1"/>
  <c r="BD291" i="27" a="1"/>
  <c r="BD291" i="27" s="1"/>
  <c r="BC323" i="27" a="1"/>
  <c r="BC323" i="27" s="1"/>
  <c r="BC315" i="27" a="1"/>
  <c r="BC315" i="27" s="1"/>
  <c r="BC307" i="27" a="1"/>
  <c r="BC307" i="27" s="1"/>
  <c r="BC299" i="27" a="1"/>
  <c r="BC299" i="27" s="1"/>
  <c r="BC291" i="27" a="1"/>
  <c r="BC291" i="27" s="1"/>
  <c r="BG317" i="27" a="1"/>
  <c r="BG317" i="27" s="1"/>
  <c r="BG285" i="27" a="1"/>
  <c r="BG285" i="27" s="1"/>
  <c r="BF306" i="27" a="1"/>
  <c r="BF306" i="27" s="1"/>
  <c r="BF291" i="27" a="1"/>
  <c r="BF291" i="27" s="1"/>
  <c r="BE315" i="27" a="1"/>
  <c r="BE315" i="27" s="1"/>
  <c r="BE299" i="27" a="1"/>
  <c r="BE299" i="27" s="1"/>
  <c r="BD323" i="27" a="1"/>
  <c r="BD323" i="27" s="1"/>
  <c r="BH318" i="27" a="1"/>
  <c r="BH318" i="27" s="1"/>
  <c r="BH310" i="27" a="1"/>
  <c r="BH310" i="27" s="1"/>
  <c r="BH302" i="27" a="1"/>
  <c r="BH302" i="27" s="1"/>
  <c r="BH294" i="27" a="1"/>
  <c r="BH294" i="27" s="1"/>
  <c r="BH286" i="27" a="1"/>
  <c r="BH286" i="27" s="1"/>
  <c r="BG318" i="27" a="1"/>
  <c r="BG318" i="27" s="1"/>
  <c r="BG310" i="27" a="1"/>
  <c r="BG310" i="27" s="1"/>
  <c r="BG302" i="27" a="1"/>
  <c r="BG302" i="27" s="1"/>
  <c r="BG294" i="27" a="1"/>
  <c r="BG294" i="27" s="1"/>
  <c r="BG286" i="27" a="1"/>
  <c r="BG286" i="27" s="1"/>
  <c r="BF319" i="27" a="1"/>
  <c r="BF319" i="27" s="1"/>
  <c r="BF313" i="27" a="1"/>
  <c r="BF313" i="27" s="1"/>
  <c r="BF300" i="27" a="1"/>
  <c r="BF300" i="27" s="1"/>
  <c r="BF292" i="27" a="1"/>
  <c r="BF292" i="27" s="1"/>
  <c r="BF284" i="27" a="1"/>
  <c r="BF284" i="27" s="1"/>
  <c r="BE316" i="27" a="1"/>
  <c r="BE316" i="27" s="1"/>
  <c r="BE308" i="27" a="1"/>
  <c r="BE308" i="27" s="1"/>
  <c r="BE300" i="27" a="1"/>
  <c r="BE300" i="27" s="1"/>
  <c r="BE292" i="27" a="1"/>
  <c r="BE292" i="27" s="1"/>
  <c r="BE284" i="27" a="1"/>
  <c r="BE284" i="27" s="1"/>
  <c r="BD318" i="27" a="1"/>
  <c r="BD318" i="27" s="1"/>
  <c r="BD311" i="27" a="1"/>
  <c r="BD311" i="27" s="1"/>
  <c r="BD305" i="27" a="1"/>
  <c r="BD305" i="27" s="1"/>
  <c r="BD298" i="27" a="1"/>
  <c r="BD298" i="27" s="1"/>
  <c r="BD290" i="27" a="1"/>
  <c r="BD290" i="27" s="1"/>
  <c r="BC322" i="27" a="1"/>
  <c r="BC322" i="27" s="1"/>
  <c r="BC314" i="27" a="1"/>
  <c r="BC314" i="27" s="1"/>
  <c r="BC306" i="27" a="1"/>
  <c r="BC306" i="27" s="1"/>
  <c r="BC298" i="27" a="1"/>
  <c r="BC298" i="27" s="1"/>
  <c r="BC290" i="27" a="1"/>
  <c r="BC290" i="27" s="1"/>
  <c r="BH317" i="27" a="1"/>
  <c r="BH317" i="27" s="1"/>
  <c r="BH309" i="27" a="1"/>
  <c r="BH309" i="27" s="1"/>
  <c r="BH301" i="27" a="1"/>
  <c r="BH301" i="27" s="1"/>
  <c r="BH293" i="27" a="1"/>
  <c r="BH293" i="27" s="1"/>
  <c r="BH285" i="27" a="1"/>
  <c r="BH285" i="27" s="1"/>
  <c r="BG309" i="27" a="1"/>
  <c r="BG309" i="27" s="1"/>
  <c r="BG301" i="27" a="1"/>
  <c r="BG301" i="27" s="1"/>
  <c r="BG293" i="27" a="1"/>
  <c r="BG293" i="27" s="1"/>
  <c r="BF312" i="27" a="1"/>
  <c r="BF312" i="27" s="1"/>
  <c r="BF299" i="27" a="1"/>
  <c r="BF299" i="27" s="1"/>
  <c r="BE323" i="27" a="1"/>
  <c r="BE323" i="27" s="1"/>
  <c r="BE307" i="27" a="1"/>
  <c r="BE307" i="27" s="1"/>
  <c r="BE291" i="27" a="1"/>
  <c r="BE291" i="27" s="1"/>
  <c r="BD317" i="27" a="1"/>
  <c r="BD317" i="27" s="1"/>
  <c r="BH296" i="27" a="1"/>
  <c r="BH296" i="27" s="1"/>
  <c r="BG304" i="27" a="1"/>
  <c r="BG304" i="27" s="1"/>
  <c r="BF286" i="27" a="1"/>
  <c r="BF286" i="27" s="1"/>
  <c r="BE294" i="27" a="1"/>
  <c r="BE294" i="27" s="1"/>
  <c r="BD297" i="27" a="1"/>
  <c r="BD297" i="27" s="1"/>
  <c r="BC321" i="27" a="1"/>
  <c r="BC321" i="27" s="1"/>
  <c r="BC305" i="27" a="1"/>
  <c r="BC305" i="27" s="1"/>
  <c r="BC289" i="27" a="1"/>
  <c r="BC289" i="27" s="1"/>
  <c r="BH292" i="27" a="1"/>
  <c r="BH292" i="27" s="1"/>
  <c r="BG300" i="27" a="1"/>
  <c r="BG300" i="27" s="1"/>
  <c r="BF311" i="27" a="1"/>
  <c r="BF311" i="27" s="1"/>
  <c r="BE322" i="27" a="1"/>
  <c r="BE322" i="27" s="1"/>
  <c r="BE290" i="27" a="1"/>
  <c r="BE290" i="27" s="1"/>
  <c r="BD310" i="27" a="1"/>
  <c r="BD310" i="27" s="1"/>
  <c r="BD296" i="27" a="1"/>
  <c r="BD296" i="27" s="1"/>
  <c r="BC320" i="27" a="1"/>
  <c r="BC320" i="27" s="1"/>
  <c r="BC304" i="27" a="1"/>
  <c r="BC304" i="27" s="1"/>
  <c r="BC288" i="27" a="1"/>
  <c r="BC288" i="27" s="1"/>
  <c r="BH288" i="27" a="1"/>
  <c r="BH288" i="27" s="1"/>
  <c r="BG296" i="27" a="1"/>
  <c r="BG296" i="27" s="1"/>
  <c r="BF308" i="27" a="1"/>
  <c r="BF308" i="27" s="1"/>
  <c r="BE318" i="27" a="1"/>
  <c r="BE318" i="27" s="1"/>
  <c r="BE286" i="27" a="1"/>
  <c r="BE286" i="27" s="1"/>
  <c r="BD308" i="27" a="1"/>
  <c r="BD308" i="27" s="1"/>
  <c r="BC318" i="27" a="1"/>
  <c r="BC318" i="27" s="1"/>
  <c r="BC302" i="27" a="1"/>
  <c r="BC302" i="27" s="1"/>
  <c r="BC286" i="27" a="1"/>
  <c r="BC286" i="27" s="1"/>
  <c r="BG292" i="27" a="1"/>
  <c r="BG292" i="27" s="1"/>
  <c r="BE314" i="27" a="1"/>
  <c r="BE314" i="27" s="1"/>
  <c r="BC316" i="27" a="1"/>
  <c r="BC316" i="27" s="1"/>
  <c r="BH300" i="27" a="1"/>
  <c r="BH300" i="27" s="1"/>
  <c r="BE298" i="27" a="1"/>
  <c r="BE298" i="27" s="1"/>
  <c r="BD300" i="27" a="1"/>
  <c r="BD300" i="27" s="1"/>
  <c r="BD294" i="27" a="1"/>
  <c r="BD294" i="27" s="1"/>
  <c r="BH316" i="27" a="1"/>
  <c r="BH316" i="27" s="1"/>
  <c r="BD292" i="27" a="1"/>
  <c r="BD292" i="27" s="1"/>
  <c r="BC284" i="27" a="1"/>
  <c r="BC284" i="27" s="1"/>
  <c r="BG308" i="27" a="1"/>
  <c r="BG308" i="27" s="1"/>
  <c r="BD313" i="27" a="1"/>
  <c r="BD313" i="27" s="1"/>
  <c r="BC292" i="27" a="1"/>
  <c r="BC292" i="27" s="1"/>
  <c r="BH320" i="27" a="1"/>
  <c r="BH320" i="27" s="1"/>
  <c r="BH284" i="27" a="1"/>
  <c r="BH284" i="27" s="1"/>
  <c r="BF305" i="27" a="1"/>
  <c r="BF305" i="27" s="1"/>
  <c r="BC300" i="27" a="1"/>
  <c r="BC300" i="27" s="1"/>
  <c r="BF318" i="27" a="1"/>
  <c r="BF318" i="27" s="1"/>
  <c r="BC308" i="27" a="1"/>
  <c r="BC308" i="27" s="1"/>
  <c r="BH312" i="27" a="1"/>
  <c r="BH312" i="27" s="1"/>
  <c r="BG320" i="27" a="1"/>
  <c r="BG320" i="27" s="1"/>
  <c r="BG288" i="27" a="1"/>
  <c r="BG288" i="27" s="1"/>
  <c r="BF302" i="27" a="1"/>
  <c r="BF302" i="27" s="1"/>
  <c r="BE310" i="27" a="1"/>
  <c r="BE310" i="27" s="1"/>
  <c r="BD319" i="27" a="1"/>
  <c r="BD319" i="27" s="1"/>
  <c r="BD304" i="27" a="1"/>
  <c r="BD304" i="27" s="1"/>
  <c r="BD289" i="27" a="1"/>
  <c r="BD289" i="27" s="1"/>
  <c r="BC313" i="27" a="1"/>
  <c r="BC313" i="27" s="1"/>
  <c r="BC297" i="27" a="1"/>
  <c r="BC297" i="27" s="1"/>
  <c r="BH308" i="27" a="1"/>
  <c r="BH308" i="27" s="1"/>
  <c r="BG316" i="27" a="1"/>
  <c r="BG316" i="27" s="1"/>
  <c r="BG284" i="27" a="1"/>
  <c r="BG284" i="27" s="1"/>
  <c r="BF298" i="27" a="1"/>
  <c r="BF298" i="27" s="1"/>
  <c r="BE306" i="27" a="1"/>
  <c r="BE306" i="27" s="1"/>
  <c r="BD316" i="27" a="1"/>
  <c r="BD316" i="27" s="1"/>
  <c r="BD303" i="27" a="1"/>
  <c r="BD303" i="27" s="1"/>
  <c r="BD288" i="27" a="1"/>
  <c r="BD288" i="27" s="1"/>
  <c r="BC312" i="27" a="1"/>
  <c r="BC312" i="27" s="1"/>
  <c r="BC296" i="27" a="1"/>
  <c r="BC296" i="27" s="1"/>
  <c r="BH304" i="27" a="1"/>
  <c r="BH304" i="27" s="1"/>
  <c r="BG312" i="27" a="1"/>
  <c r="BG312" i="27" s="1"/>
  <c r="BF321" i="27" a="1"/>
  <c r="BF321" i="27" s="1"/>
  <c r="BF294" i="27" a="1"/>
  <c r="BF294" i="27" s="1"/>
  <c r="BE302" i="27" a="1"/>
  <c r="BE302" i="27" s="1"/>
  <c r="BD302" i="27" a="1"/>
  <c r="BD302" i="27" s="1"/>
  <c r="BD286" i="27" a="1"/>
  <c r="BD286" i="27" s="1"/>
  <c r="BC310" i="27" a="1"/>
  <c r="BC310" i="27" s="1"/>
  <c r="BC294" i="27" a="1"/>
  <c r="BC294" i="27" s="1"/>
  <c r="BF290" i="27" a="1"/>
  <c r="BF290" i="27" s="1"/>
  <c r="BD284" i="27" a="1"/>
  <c r="BD284" i="27" s="1"/>
  <c r="BJ291" i="27" l="1"/>
  <c r="BJ284" i="27"/>
  <c r="BJ321" i="27"/>
  <c r="BJ286" i="27"/>
  <c r="BJ300" i="27"/>
  <c r="BJ313" i="27"/>
  <c r="BJ317" i="27"/>
  <c r="BJ302" i="27"/>
  <c r="BJ311" i="27"/>
  <c r="BJ303" i="27"/>
  <c r="BJ289" i="27"/>
  <c r="BJ316" i="27"/>
  <c r="BJ310" i="27"/>
  <c r="BJ288" i="27"/>
  <c r="BJ299" i="27"/>
  <c r="BJ290" i="27"/>
  <c r="BJ307" i="27"/>
  <c r="BJ322" i="27"/>
  <c r="BJ285" i="27"/>
  <c r="BJ323" i="27"/>
  <c r="BJ301" i="27"/>
  <c r="BJ305" i="27"/>
  <c r="BJ296" i="27"/>
  <c r="BJ315" i="27"/>
  <c r="BJ293" i="27"/>
  <c r="BJ294" i="27"/>
  <c r="BJ312" i="27"/>
  <c r="BJ297" i="27"/>
  <c r="BJ292" i="27"/>
  <c r="BJ304" i="27"/>
  <c r="BJ314" i="27"/>
  <c r="BJ320" i="27"/>
  <c r="BJ306" i="27"/>
  <c r="BJ318" i="27"/>
  <c r="BJ309" i="27"/>
  <c r="BJ308" i="27"/>
  <c r="BJ287" i="27"/>
  <c r="BJ319" i="27"/>
  <c r="BJ298" i="27"/>
  <c r="BJ295" i="27"/>
  <c r="L24" i="48" l="1"/>
  <c r="BC337" i="27" l="1"/>
  <c r="EX190" i="27" l="1" a="1"/>
  <c r="EX190" i="27" s="1"/>
  <c r="EY190" i="27" a="1"/>
  <c r="EY190" i="27" s="1"/>
  <c r="EW190" i="27" a="1"/>
  <c r="EW190" i="27" s="1"/>
  <c r="EV190" i="27" a="1"/>
  <c r="EV190" i="27" s="1"/>
  <c r="FF179" i="27" a="1"/>
  <c r="FF179" i="27" s="1"/>
  <c r="FF177" i="27" a="1"/>
  <c r="FF177" i="27" s="1"/>
  <c r="FF175" i="27" a="1"/>
  <c r="FF175" i="27" s="1"/>
  <c r="FF173" i="27" a="1"/>
  <c r="FF173" i="27" s="1"/>
  <c r="FF171" i="27" a="1"/>
  <c r="FF171" i="27" s="1"/>
  <c r="FF169" i="27" a="1"/>
  <c r="FF169" i="27" s="1"/>
  <c r="FF167" i="27" a="1"/>
  <c r="FF167" i="27" s="1"/>
  <c r="FF165" i="27" a="1"/>
  <c r="FF165" i="27" s="1"/>
  <c r="FF163" i="27" a="1"/>
  <c r="FF163" i="27" s="1"/>
  <c r="FF161" i="27" a="1"/>
  <c r="FF161" i="27" s="1"/>
  <c r="FF159" i="27" a="1"/>
  <c r="FF159" i="27" s="1"/>
  <c r="FF157" i="27" a="1"/>
  <c r="FF157" i="27" s="1"/>
  <c r="FF155" i="27" a="1"/>
  <c r="FF155" i="27" s="1"/>
  <c r="FF153" i="27" a="1"/>
  <c r="FF153" i="27" s="1"/>
  <c r="FF151" i="27" a="1"/>
  <c r="FF151" i="27" s="1"/>
  <c r="FF149" i="27" a="1"/>
  <c r="FF149" i="27" s="1"/>
  <c r="FF147" i="27" a="1"/>
  <c r="FF147" i="27" s="1"/>
  <c r="FF145" i="27" a="1"/>
  <c r="FF145" i="27" s="1"/>
  <c r="FF143" i="27" a="1"/>
  <c r="FF143" i="27" s="1"/>
  <c r="FE179" i="27" a="1"/>
  <c r="FE179" i="27" s="1"/>
  <c r="FE177" i="27" a="1"/>
  <c r="FE177" i="27" s="1"/>
  <c r="FE175" i="27" a="1"/>
  <c r="FE175" i="27" s="1"/>
  <c r="FE173" i="27" a="1"/>
  <c r="FE173" i="27" s="1"/>
  <c r="FE171" i="27" a="1"/>
  <c r="FE171" i="27" s="1"/>
  <c r="FE169" i="27" a="1"/>
  <c r="FE169" i="27" s="1"/>
  <c r="FE167" i="27" a="1"/>
  <c r="FE167" i="27" s="1"/>
  <c r="FE165" i="27" a="1"/>
  <c r="FE165" i="27" s="1"/>
  <c r="FE163" i="27" a="1"/>
  <c r="FE163" i="27" s="1"/>
  <c r="FE161" i="27" a="1"/>
  <c r="FE161" i="27" s="1"/>
  <c r="FE159" i="27" a="1"/>
  <c r="FE159" i="27" s="1"/>
  <c r="FE157" i="27" a="1"/>
  <c r="FE157" i="27" s="1"/>
  <c r="FE155" i="27" a="1"/>
  <c r="FE155" i="27" s="1"/>
  <c r="FE153" i="27" a="1"/>
  <c r="FE153" i="27" s="1"/>
  <c r="FE151" i="27" a="1"/>
  <c r="FE151" i="27" s="1"/>
  <c r="FE149" i="27" a="1"/>
  <c r="FE149" i="27" s="1"/>
  <c r="FE147" i="27" a="1"/>
  <c r="FE147" i="27" s="1"/>
  <c r="FE145" i="27" a="1"/>
  <c r="FE145" i="27" s="1"/>
  <c r="FE143" i="27" a="1"/>
  <c r="FE143" i="27" s="1"/>
  <c r="FH180" i="27" a="1"/>
  <c r="FH180" i="27" s="1"/>
  <c r="FH178" i="27" a="1"/>
  <c r="FH178" i="27" s="1"/>
  <c r="FH176" i="27" a="1"/>
  <c r="FH176" i="27" s="1"/>
  <c r="FH174" i="27" a="1"/>
  <c r="FH174" i="27" s="1"/>
  <c r="FH172" i="27" a="1"/>
  <c r="FH172" i="27" s="1"/>
  <c r="FH170" i="27" a="1"/>
  <c r="FH170" i="27" s="1"/>
  <c r="FH168" i="27" a="1"/>
  <c r="FH168" i="27" s="1"/>
  <c r="FH166" i="27" a="1"/>
  <c r="FH166" i="27" s="1"/>
  <c r="FH164" i="27" a="1"/>
  <c r="FH164" i="27" s="1"/>
  <c r="FH162" i="27" a="1"/>
  <c r="FH162" i="27" s="1"/>
  <c r="FH160" i="27" a="1"/>
  <c r="FH160" i="27" s="1"/>
  <c r="FH158" i="27" a="1"/>
  <c r="FH158" i="27" s="1"/>
  <c r="FH156" i="27" a="1"/>
  <c r="FH156" i="27" s="1"/>
  <c r="FH154" i="27" a="1"/>
  <c r="FH154" i="27" s="1"/>
  <c r="FH152" i="27" a="1"/>
  <c r="FH152" i="27" s="1"/>
  <c r="FH150" i="27" a="1"/>
  <c r="FH150" i="27" s="1"/>
  <c r="FH148" i="27" a="1"/>
  <c r="FH148" i="27" s="1"/>
  <c r="FH146" i="27" a="1"/>
  <c r="FH146" i="27" s="1"/>
  <c r="FH144" i="27" a="1"/>
  <c r="FH144" i="27" s="1"/>
  <c r="FH142" i="27" a="1"/>
  <c r="FH142" i="27" s="1"/>
  <c r="FF180" i="27" a="1"/>
  <c r="FF180" i="27" s="1"/>
  <c r="FF178" i="27" a="1"/>
  <c r="FF178" i="27" s="1"/>
  <c r="FF176" i="27" a="1"/>
  <c r="FF176" i="27" s="1"/>
  <c r="FF174" i="27" a="1"/>
  <c r="FF174" i="27" s="1"/>
  <c r="FF172" i="27" a="1"/>
  <c r="FF172" i="27" s="1"/>
  <c r="FF170" i="27" a="1"/>
  <c r="FF170" i="27" s="1"/>
  <c r="FF168" i="27" a="1"/>
  <c r="FF168" i="27" s="1"/>
  <c r="FF166" i="27" a="1"/>
  <c r="FF166" i="27" s="1"/>
  <c r="FF164" i="27" a="1"/>
  <c r="FF164" i="27" s="1"/>
  <c r="FF162" i="27" a="1"/>
  <c r="FF162" i="27" s="1"/>
  <c r="FF160" i="27" a="1"/>
  <c r="FF160" i="27" s="1"/>
  <c r="FF158" i="27" a="1"/>
  <c r="FF158" i="27" s="1"/>
  <c r="FF156" i="27" a="1"/>
  <c r="FF156" i="27" s="1"/>
  <c r="FF154" i="27" a="1"/>
  <c r="FF154" i="27" s="1"/>
  <c r="FF152" i="27" a="1"/>
  <c r="FF152" i="27" s="1"/>
  <c r="FF150" i="27" a="1"/>
  <c r="FF150" i="27" s="1"/>
  <c r="FF148" i="27" a="1"/>
  <c r="FF148" i="27" s="1"/>
  <c r="FF146" i="27" a="1"/>
  <c r="FF146" i="27" s="1"/>
  <c r="FF144" i="27" a="1"/>
  <c r="FF144" i="27" s="1"/>
  <c r="FF142" i="27" a="1"/>
  <c r="FF142" i="27" s="1"/>
  <c r="FG177" i="27" a="1"/>
  <c r="FG177" i="27" s="1"/>
  <c r="FG173" i="27" a="1"/>
  <c r="FG173" i="27" s="1"/>
  <c r="FG169" i="27" a="1"/>
  <c r="FG169" i="27" s="1"/>
  <c r="FG165" i="27" a="1"/>
  <c r="FG165" i="27" s="1"/>
  <c r="FG161" i="27" a="1"/>
  <c r="FG161" i="27" s="1"/>
  <c r="FG157" i="27" a="1"/>
  <c r="FG157" i="27" s="1"/>
  <c r="FG153" i="27" a="1"/>
  <c r="FG153" i="27" s="1"/>
  <c r="FG149" i="27" a="1"/>
  <c r="FG149" i="27" s="1"/>
  <c r="FG145" i="27" a="1"/>
  <c r="FG145" i="27" s="1"/>
  <c r="FH179" i="27" a="1"/>
  <c r="FH179" i="27" s="1"/>
  <c r="FH171" i="27" a="1"/>
  <c r="FH171" i="27" s="1"/>
  <c r="FH159" i="27" a="1"/>
  <c r="FH159" i="27" s="1"/>
  <c r="FH151" i="27" a="1"/>
  <c r="FH151" i="27" s="1"/>
  <c r="FG174" i="27" a="1"/>
  <c r="FG174" i="27" s="1"/>
  <c r="FG150" i="27" a="1"/>
  <c r="FG150" i="27" s="1"/>
  <c r="FE162" i="27" a="1"/>
  <c r="FE162" i="27" s="1"/>
  <c r="FE146" i="27" a="1"/>
  <c r="FE146" i="27" s="1"/>
  <c r="FG180" i="27" a="1"/>
  <c r="FG180" i="27" s="1"/>
  <c r="FG176" i="27" a="1"/>
  <c r="FG176" i="27" s="1"/>
  <c r="FG172" i="27" a="1"/>
  <c r="FG172" i="27" s="1"/>
  <c r="FG168" i="27" a="1"/>
  <c r="FG168" i="27" s="1"/>
  <c r="FG164" i="27" a="1"/>
  <c r="FG164" i="27" s="1"/>
  <c r="FG160" i="27" a="1"/>
  <c r="FG160" i="27" s="1"/>
  <c r="FG156" i="27" a="1"/>
  <c r="FG156" i="27" s="1"/>
  <c r="FG152" i="27" a="1"/>
  <c r="FG152" i="27" s="1"/>
  <c r="FG148" i="27" a="1"/>
  <c r="FG148" i="27" s="1"/>
  <c r="FG144" i="27" a="1"/>
  <c r="FG144" i="27" s="1"/>
  <c r="FH163" i="27" a="1"/>
  <c r="FH163" i="27" s="1"/>
  <c r="FH147" i="27" a="1"/>
  <c r="FH147" i="27" s="1"/>
  <c r="FE180" i="27" a="1"/>
  <c r="FE180" i="27" s="1"/>
  <c r="FE176" i="27" a="1"/>
  <c r="FE176" i="27" s="1"/>
  <c r="FE172" i="27" a="1"/>
  <c r="FE172" i="27" s="1"/>
  <c r="FE168" i="27" a="1"/>
  <c r="FE168" i="27" s="1"/>
  <c r="FE164" i="27" a="1"/>
  <c r="FE164" i="27" s="1"/>
  <c r="FE160" i="27" a="1"/>
  <c r="FE160" i="27" s="1"/>
  <c r="FE156" i="27" a="1"/>
  <c r="FE156" i="27" s="1"/>
  <c r="FE152" i="27" a="1"/>
  <c r="FE152" i="27" s="1"/>
  <c r="FE148" i="27" a="1"/>
  <c r="FE148" i="27" s="1"/>
  <c r="FE144" i="27" a="1"/>
  <c r="FE144" i="27" s="1"/>
  <c r="FH175" i="27" a="1"/>
  <c r="FH175" i="27" s="1"/>
  <c r="FH167" i="27" a="1"/>
  <c r="FH167" i="27" s="1"/>
  <c r="FH155" i="27" a="1"/>
  <c r="FH155" i="27" s="1"/>
  <c r="FH143" i="27" a="1"/>
  <c r="FH143" i="27" s="1"/>
  <c r="FG170" i="27" a="1"/>
  <c r="FG170" i="27" s="1"/>
  <c r="FG162" i="27" a="1"/>
  <c r="FG162" i="27" s="1"/>
  <c r="FG154" i="27" a="1"/>
  <c r="FG154" i="27" s="1"/>
  <c r="FG142" i="27" a="1"/>
  <c r="FG142" i="27" s="1"/>
  <c r="FG179" i="27" a="1"/>
  <c r="FG179" i="27" s="1"/>
  <c r="FG175" i="27" a="1"/>
  <c r="FG175" i="27" s="1"/>
  <c r="FG171" i="27" a="1"/>
  <c r="FG171" i="27" s="1"/>
  <c r="FG167" i="27" a="1"/>
  <c r="FG167" i="27" s="1"/>
  <c r="FG163" i="27" a="1"/>
  <c r="FG163" i="27" s="1"/>
  <c r="FG159" i="27" a="1"/>
  <c r="FG159" i="27" s="1"/>
  <c r="FG155" i="27" a="1"/>
  <c r="FG155" i="27" s="1"/>
  <c r="FG151" i="27" a="1"/>
  <c r="FG151" i="27" s="1"/>
  <c r="FG147" i="27" a="1"/>
  <c r="FG147" i="27" s="1"/>
  <c r="FG143" i="27" a="1"/>
  <c r="FG143" i="27" s="1"/>
  <c r="FG178" i="27" a="1"/>
  <c r="FG178" i="27" s="1"/>
  <c r="FG166" i="27" a="1"/>
  <c r="FG166" i="27" s="1"/>
  <c r="FG158" i="27" a="1"/>
  <c r="FG158" i="27" s="1"/>
  <c r="FG146" i="27" a="1"/>
  <c r="FG146" i="27" s="1"/>
  <c r="FE178" i="27" a="1"/>
  <c r="FE178" i="27" s="1"/>
  <c r="FE174" i="27" a="1"/>
  <c r="FE174" i="27" s="1"/>
  <c r="FE170" i="27" a="1"/>
  <c r="FE170" i="27" s="1"/>
  <c r="FE166" i="27" a="1"/>
  <c r="FE166" i="27" s="1"/>
  <c r="FE158" i="27" a="1"/>
  <c r="FE158" i="27" s="1"/>
  <c r="FE154" i="27" a="1"/>
  <c r="FE154" i="27" s="1"/>
  <c r="FE150" i="27" a="1"/>
  <c r="FE150" i="27" s="1"/>
  <c r="FE142" i="27" a="1"/>
  <c r="FE142" i="27" s="1"/>
  <c r="FH157" i="27" a="1"/>
  <c r="FH157" i="27" s="1"/>
  <c r="FH153" i="27" a="1"/>
  <c r="FH153" i="27" s="1"/>
  <c r="FH169" i="27" a="1"/>
  <c r="FH169" i="27" s="1"/>
  <c r="FH165" i="27" a="1"/>
  <c r="FH165" i="27" s="1"/>
  <c r="FH149" i="27" a="1"/>
  <c r="FH149" i="27" s="1"/>
  <c r="FH177" i="27" a="1"/>
  <c r="FH177" i="27" s="1"/>
  <c r="FH145" i="27" a="1"/>
  <c r="FH145" i="27" s="1"/>
  <c r="FH173" i="27" a="1"/>
  <c r="FH173" i="27" s="1"/>
  <c r="FH161" i="27" a="1"/>
  <c r="FH161" i="27" s="1"/>
  <c r="FO183" i="27" a="1"/>
  <c r="FO183" i="27" s="1"/>
  <c r="L23" i="48"/>
  <c r="N37" i="51" s="1"/>
  <c r="FI160" i="27" l="1"/>
  <c r="HZ110" i="27" s="1"/>
  <c r="FI178" i="27"/>
  <c r="FI180" i="27"/>
  <c r="FI162" i="27"/>
  <c r="HZ97" i="27" s="1"/>
  <c r="FI147" i="27"/>
  <c r="FI173" i="27"/>
  <c r="FI170" i="27"/>
  <c r="FI171" i="27"/>
  <c r="FI152" i="27"/>
  <c r="FI159" i="27"/>
  <c r="FI161" i="27"/>
  <c r="FI177" i="27"/>
  <c r="FI150" i="27"/>
  <c r="FI158" i="27"/>
  <c r="FI175" i="27"/>
  <c r="FI143" i="27"/>
  <c r="FI174" i="27"/>
  <c r="FI176" i="27"/>
  <c r="FI146" i="27"/>
  <c r="FI144" i="27"/>
  <c r="FI179" i="27"/>
  <c r="FI169" i="27"/>
  <c r="FI154" i="27"/>
  <c r="FI166" i="27"/>
  <c r="FI148" i="27"/>
  <c r="FI172" i="27"/>
  <c r="FI142" i="27"/>
  <c r="HZ105" i="27" s="1"/>
  <c r="FI156" i="27"/>
  <c r="HZ102" i="27" s="1"/>
  <c r="FI157" i="27"/>
  <c r="FI145" i="27"/>
  <c r="FI165" i="27"/>
  <c r="FI167" i="27"/>
  <c r="FI155" i="27"/>
  <c r="FI168" i="27"/>
  <c r="FI153" i="27"/>
  <c r="FI151" i="27"/>
  <c r="FI164" i="27"/>
  <c r="FI149" i="27"/>
  <c r="FI163" i="27"/>
  <c r="HZ109" i="27" s="1"/>
  <c r="FS183" i="27"/>
  <c r="FS137" i="27"/>
  <c r="EZ190" i="27"/>
  <c r="EZ144" i="27"/>
  <c r="FI138" i="27" l="1"/>
  <c r="GB127" i="27" l="1"/>
  <c r="GB128" i="27"/>
  <c r="GB126" i="27"/>
  <c r="GB125" i="27"/>
  <c r="GB77" i="27"/>
  <c r="GB78" i="27"/>
  <c r="GB73" i="27"/>
  <c r="GB71" i="27"/>
  <c r="GB76" i="27"/>
  <c r="GB79" i="27"/>
  <c r="GB75" i="27"/>
  <c r="GB70" i="27"/>
  <c r="GB74" i="27"/>
  <c r="GB66" i="27"/>
  <c r="GB52" i="27"/>
  <c r="GB80" i="27"/>
  <c r="GB57" i="27"/>
  <c r="GB72" i="27"/>
  <c r="GB69" i="27"/>
  <c r="GB81" i="27"/>
  <c r="GB64" i="27"/>
  <c r="GB65" i="27"/>
  <c r="GB48" i="27"/>
  <c r="GB55" i="27"/>
  <c r="GB45" i="27"/>
  <c r="GB43" i="27"/>
  <c r="GB58" i="27"/>
  <c r="GB49" i="27"/>
  <c r="GB50" i="27"/>
  <c r="GB63" i="27"/>
  <c r="GB60" i="27"/>
  <c r="GB68" i="27"/>
  <c r="GB54" i="27"/>
  <c r="GB61" i="27"/>
  <c r="GB67" i="27"/>
  <c r="GB62" i="27"/>
  <c r="GB59" i="27"/>
  <c r="GB44" i="27"/>
  <c r="GB46" i="27"/>
  <c r="GB53" i="27"/>
  <c r="GB51" i="27"/>
  <c r="GB56" i="27"/>
  <c r="GB47" i="27"/>
  <c r="ER80" i="27"/>
  <c r="EK77" i="27"/>
  <c r="ER85" i="27"/>
  <c r="ER77" i="27"/>
  <c r="ER81" i="27"/>
  <c r="ER73" i="27"/>
  <c r="HX109" i="27" s="1"/>
  <c r="EK66" i="27"/>
  <c r="EK83" i="27"/>
  <c r="EK65" i="27"/>
  <c r="EK79" i="27"/>
  <c r="ER136" i="27"/>
  <c r="ER86" i="27"/>
  <c r="ER68" i="27"/>
  <c r="ER53" i="27"/>
  <c r="ER65" i="27"/>
  <c r="ER67" i="27"/>
  <c r="ER52" i="27"/>
  <c r="ER55" i="27"/>
  <c r="ER64" i="27"/>
  <c r="EK71" i="27"/>
  <c r="HW110" i="27" s="1"/>
  <c r="ER88" i="27"/>
  <c r="EK86" i="27"/>
  <c r="ER79" i="27"/>
  <c r="HX101" i="27" s="1"/>
  <c r="ER76" i="27"/>
  <c r="EK73" i="27"/>
  <c r="EK85" i="27"/>
  <c r="HW100" i="27" s="1"/>
  <c r="ER57" i="27"/>
  <c r="ER82" i="27"/>
  <c r="ER60" i="27"/>
  <c r="EK55" i="27"/>
  <c r="HW99" i="27" s="1"/>
  <c r="ER89" i="27"/>
  <c r="ER70" i="27"/>
  <c r="HX110" i="27" s="1"/>
  <c r="ER72" i="27"/>
  <c r="ER87" i="27"/>
  <c r="ER54" i="27"/>
  <c r="HX99" i="27" s="1"/>
  <c r="ER63" i="27"/>
  <c r="ER84" i="27"/>
  <c r="HX100" i="27" s="1"/>
  <c r="ER75" i="27"/>
  <c r="ER66" i="27"/>
  <c r="ER69" i="27"/>
  <c r="ER59" i="27"/>
  <c r="EK63" i="27"/>
  <c r="ER78" i="27"/>
  <c r="ER62" i="27"/>
  <c r="ER71" i="27"/>
  <c r="ER90" i="27"/>
  <c r="ER56" i="27"/>
  <c r="ER58" i="27"/>
  <c r="ER74" i="27"/>
  <c r="ER83" i="27"/>
  <c r="EK58" i="27"/>
  <c r="EK60" i="27"/>
  <c r="EK57" i="27"/>
  <c r="EK70" i="27"/>
  <c r="EK69" i="27"/>
  <c r="EK74" i="27"/>
  <c r="HW109" i="27" s="1"/>
  <c r="EK91" i="27"/>
  <c r="EK76" i="27"/>
  <c r="EK64" i="27"/>
  <c r="EK88" i="27"/>
  <c r="EK90" i="27"/>
  <c r="EK81" i="27"/>
  <c r="EK87" i="27"/>
  <c r="EK62" i="27"/>
  <c r="EK89" i="27"/>
  <c r="EK54" i="27"/>
  <c r="EK75" i="27"/>
  <c r="EK68" i="27"/>
  <c r="EK67" i="27"/>
  <c r="EK53" i="27"/>
  <c r="HW105" i="27" s="1"/>
  <c r="EK82" i="27"/>
  <c r="EK61" i="27"/>
  <c r="EK59" i="27"/>
  <c r="EK56" i="27"/>
  <c r="EK72" i="27"/>
  <c r="EK78" i="27"/>
  <c r="EK84" i="27"/>
  <c r="EK80" i="27"/>
  <c r="DK69" i="27"/>
  <c r="HT109" i="27" s="1"/>
  <c r="DK65" i="27"/>
  <c r="DK76" i="27"/>
  <c r="DK74" i="27"/>
  <c r="DK83" i="27"/>
  <c r="DK59" i="27"/>
  <c r="DK64" i="27"/>
  <c r="DK61" i="27"/>
  <c r="DK51" i="27"/>
  <c r="DK71" i="27"/>
  <c r="DK84" i="27"/>
  <c r="DK81" i="27"/>
  <c r="DK68" i="27"/>
  <c r="DK48" i="27"/>
  <c r="HT105" i="27" s="1"/>
  <c r="DK52" i="27"/>
  <c r="DK77" i="27"/>
  <c r="DK72" i="27"/>
  <c r="DK85" i="27"/>
  <c r="DK50" i="27"/>
  <c r="HT99" i="27" s="1"/>
  <c r="DK60" i="27"/>
  <c r="DK62" i="27"/>
  <c r="DK67" i="27"/>
  <c r="DK63" i="27"/>
  <c r="DK75" i="27"/>
  <c r="DK80" i="27"/>
  <c r="HT100" i="27" s="1"/>
  <c r="DK56" i="27"/>
  <c r="DK86" i="27"/>
  <c r="DK54" i="27"/>
  <c r="DK82" i="27"/>
  <c r="DK57" i="27"/>
  <c r="DK66" i="27"/>
  <c r="HT110" i="27" s="1"/>
  <c r="DK73" i="27"/>
  <c r="DK78" i="27"/>
  <c r="DK79" i="27"/>
  <c r="DK49" i="27"/>
  <c r="DK53" i="27"/>
  <c r="DK58" i="27"/>
  <c r="DK70" i="27"/>
  <c r="DK55" i="27"/>
  <c r="DD62" i="27"/>
  <c r="DD69" i="27"/>
  <c r="DD86" i="27"/>
  <c r="DD80" i="27"/>
  <c r="DD57" i="27"/>
  <c r="HS105" i="27" s="1"/>
  <c r="DD141" i="27"/>
  <c r="DD92" i="27"/>
  <c r="DD72" i="27"/>
  <c r="DD87" i="27"/>
  <c r="DD61" i="27"/>
  <c r="DD88" i="27"/>
  <c r="DD77" i="27"/>
  <c r="DD68" i="27"/>
  <c r="DD79" i="27"/>
  <c r="DD71" i="27"/>
  <c r="DD66" i="27"/>
  <c r="DD76" i="27"/>
  <c r="DD63" i="27"/>
  <c r="DD65" i="27"/>
  <c r="DD93" i="27"/>
  <c r="DD89" i="27"/>
  <c r="HS100" i="27" s="1"/>
  <c r="DD70" i="27"/>
  <c r="DD73" i="27"/>
  <c r="DD83" i="27"/>
  <c r="DD82" i="27"/>
  <c r="DD78" i="27"/>
  <c r="HS109" i="27" s="1"/>
  <c r="DD84" i="27"/>
  <c r="DD75" i="27"/>
  <c r="HS110" i="27" s="1"/>
  <c r="DD85" i="27"/>
  <c r="DD59" i="27"/>
  <c r="HS99" i="27" s="1"/>
  <c r="DD90" i="27"/>
  <c r="DD81" i="27"/>
  <c r="DD58" i="27"/>
  <c r="DD60" i="27"/>
  <c r="DD67" i="27"/>
  <c r="DD91" i="27"/>
  <c r="DD64" i="27"/>
  <c r="DD94" i="27"/>
  <c r="DD95" i="27"/>
  <c r="DD74" i="27"/>
  <c r="CW141" i="27"/>
  <c r="CW63" i="27"/>
  <c r="CW88" i="27"/>
  <c r="CW64" i="27"/>
  <c r="CW90" i="27"/>
  <c r="CW76" i="27"/>
  <c r="CW67" i="27"/>
  <c r="CW87" i="27"/>
  <c r="CW82" i="27"/>
  <c r="CW81" i="27"/>
  <c r="CW85" i="27"/>
  <c r="CW66" i="27"/>
  <c r="CW89" i="27"/>
  <c r="HU100" i="27" s="1"/>
  <c r="CW91" i="27"/>
  <c r="CW95" i="27"/>
  <c r="CW68" i="27"/>
  <c r="CW92" i="27"/>
  <c r="CW84" i="27"/>
  <c r="CW83" i="27"/>
  <c r="CW78" i="27"/>
  <c r="HU109" i="27" s="1"/>
  <c r="CW72" i="27"/>
  <c r="CW74" i="27"/>
  <c r="CW61" i="27"/>
  <c r="CW70" i="27"/>
  <c r="HU113" i="27" s="1"/>
  <c r="IB113" i="27" s="1"/>
  <c r="CW86" i="27"/>
  <c r="CW62" i="27"/>
  <c r="CW79" i="27"/>
  <c r="HU107" i="27" s="1"/>
  <c r="IB107" i="27" s="1"/>
  <c r="CW57" i="27"/>
  <c r="HU105" i="27" s="1"/>
  <c r="CW71" i="27"/>
  <c r="HU102" i="27" s="1"/>
  <c r="CW58" i="27"/>
  <c r="HU108" i="27" s="1"/>
  <c r="CW65" i="27"/>
  <c r="CW80" i="27"/>
  <c r="CW59" i="27"/>
  <c r="HU99" i="27" s="1"/>
  <c r="CW77" i="27"/>
  <c r="HU97" i="27" s="1"/>
  <c r="CW75" i="27"/>
  <c r="CW94" i="27"/>
  <c r="CW60" i="27"/>
  <c r="CW93" i="27"/>
  <c r="CW73" i="27"/>
  <c r="CW69" i="27"/>
  <c r="CP126" i="27"/>
  <c r="CP76" i="27"/>
  <c r="HQ112" i="27" s="1"/>
  <c r="IB112" i="27" s="1"/>
  <c r="CP55" i="27"/>
  <c r="CP53" i="27"/>
  <c r="CP67" i="27"/>
  <c r="CP79" i="27"/>
  <c r="CP82" i="27"/>
  <c r="HQ100" i="27" s="1"/>
  <c r="CP52" i="27"/>
  <c r="HQ99" i="27" s="1"/>
  <c r="CP71" i="27"/>
  <c r="HQ109" i="27" s="1"/>
  <c r="CP57" i="27"/>
  <c r="CP65" i="27"/>
  <c r="CP64" i="27"/>
  <c r="CP63" i="27"/>
  <c r="CP51" i="27"/>
  <c r="CP68" i="27"/>
  <c r="HQ110" i="27" s="1"/>
  <c r="IB110" i="27" s="1"/>
  <c r="CP61" i="27"/>
  <c r="CP72" i="27"/>
  <c r="CP80" i="27"/>
  <c r="CP77" i="27"/>
  <c r="CP59" i="27"/>
  <c r="CP58" i="27"/>
  <c r="CP69" i="27"/>
  <c r="CP70" i="27"/>
  <c r="HQ97" i="27" s="1"/>
  <c r="CP73" i="27"/>
  <c r="CP75" i="27"/>
  <c r="CP50" i="27"/>
  <c r="HQ105" i="27" s="1"/>
  <c r="CP54" i="27"/>
  <c r="CP74" i="27"/>
  <c r="CP78" i="27"/>
  <c r="CP66" i="27"/>
  <c r="CP81" i="27"/>
  <c r="CP60" i="27"/>
  <c r="CP62" i="27"/>
  <c r="CP84" i="27"/>
  <c r="CP56" i="27"/>
  <c r="CP83" i="27"/>
  <c r="DS280" i="27" l="1"/>
  <c r="DS234" i="27"/>
  <c r="BU110" i="27"/>
  <c r="BJ327" i="27"/>
  <c r="BJ278" i="27"/>
  <c r="BP106" i="27" l="1" a="1"/>
  <c r="BP106" i="27" s="1"/>
  <c r="BO105" i="27" a="1"/>
  <c r="BO105" i="27" s="1"/>
  <c r="BN104" i="27" a="1"/>
  <c r="BN104" i="27" s="1"/>
  <c r="BN103" i="27" a="1"/>
  <c r="BN103" i="27" s="1"/>
  <c r="BN102" i="27" a="1"/>
  <c r="BN102" i="27" s="1"/>
  <c r="BT100" i="27" a="1"/>
  <c r="BT100" i="27" s="1"/>
  <c r="BS99" i="27" a="1"/>
  <c r="BS99" i="27" s="1"/>
  <c r="BR98" i="27" a="1"/>
  <c r="BR98" i="27" s="1"/>
  <c r="BS97" i="27" a="1"/>
  <c r="BS97" i="27" s="1"/>
  <c r="BR96" i="27" a="1"/>
  <c r="BR96" i="27" s="1"/>
  <c r="BQ95" i="27" a="1"/>
  <c r="BQ95" i="27" s="1"/>
  <c r="BP94" i="27" a="1"/>
  <c r="BP94" i="27" s="1"/>
  <c r="BP92" i="27" a="1"/>
  <c r="BP92" i="27" s="1"/>
  <c r="BO91" i="27" a="1"/>
  <c r="BO91" i="27" s="1"/>
  <c r="BO90" i="27" a="1"/>
  <c r="BO90" i="27" s="1"/>
  <c r="BO89" i="27" a="1"/>
  <c r="BO89" i="27" s="1"/>
  <c r="BO88" i="27" a="1"/>
  <c r="BO88" i="27" s="1"/>
  <c r="BO87" i="27" a="1"/>
  <c r="BO87" i="27" s="1"/>
  <c r="BS105" i="27" a="1"/>
  <c r="BS105" i="27" s="1"/>
  <c r="BR104" i="27" a="1"/>
  <c r="BR104" i="27" s="1"/>
  <c r="BQ103" i="27" a="1"/>
  <c r="BQ103" i="27" s="1"/>
  <c r="BQ101" i="27" a="1"/>
  <c r="BQ101" i="27" s="1"/>
  <c r="BP100" i="27" a="1"/>
  <c r="BP100" i="27" s="1"/>
  <c r="BO99" i="27" a="1"/>
  <c r="BO99" i="27" s="1"/>
  <c r="BO98" i="27" a="1"/>
  <c r="BO98" i="27" s="1"/>
  <c r="BO97" i="27" a="1"/>
  <c r="BO97" i="27" s="1"/>
  <c r="BN96" i="27" a="1"/>
  <c r="BN96" i="27" s="1"/>
  <c r="BT94" i="27" a="1"/>
  <c r="BT94" i="27" s="1"/>
  <c r="BT93" i="27" a="1"/>
  <c r="BT93" i="27" s="1"/>
  <c r="BT92" i="27" a="1"/>
  <c r="BT92" i="27" s="1"/>
  <c r="BS91" i="27" a="1"/>
  <c r="BS91" i="27" s="1"/>
  <c r="BS89" i="27" a="1"/>
  <c r="BS89" i="27" s="1"/>
  <c r="BR88" i="27" a="1"/>
  <c r="BR88" i="27" s="1"/>
  <c r="BR86" i="27" a="1"/>
  <c r="BR86" i="27" s="1"/>
  <c r="BR85" i="27" a="1"/>
  <c r="BR85" i="27" s="1"/>
  <c r="BR84" i="27" a="1"/>
  <c r="BR84" i="27" s="1"/>
  <c r="BR83" i="27" a="1"/>
  <c r="BR83" i="27" s="1"/>
  <c r="BR82" i="27" a="1"/>
  <c r="BR82" i="27" s="1"/>
  <c r="BR80" i="27" a="1"/>
  <c r="BR80" i="27" s="1"/>
  <c r="BQ79" i="27" a="1"/>
  <c r="BQ79" i="27" s="1"/>
  <c r="BQ77" i="27" a="1"/>
  <c r="BQ77" i="27" s="1"/>
  <c r="BQ76" i="27" a="1"/>
  <c r="BQ76" i="27" s="1"/>
  <c r="BQ75" i="27" a="1"/>
  <c r="BQ75" i="27" s="1"/>
  <c r="BQ74" i="27" a="1"/>
  <c r="BQ74" i="27" s="1"/>
  <c r="BP73" i="27" a="1"/>
  <c r="BP73" i="27" s="1"/>
  <c r="BP69" i="27" a="1"/>
  <c r="BP69" i="27" s="1"/>
  <c r="BQ68" i="27" a="1"/>
  <c r="BQ68" i="27" s="1"/>
  <c r="BQ67" i="27" a="1"/>
  <c r="BQ67" i="27" s="1"/>
  <c r="BR66" i="27" a="1"/>
  <c r="BR66" i="27" s="1"/>
  <c r="BS64" i="27" a="1"/>
  <c r="BS64" i="27" s="1"/>
  <c r="BT63" i="27" a="1"/>
  <c r="BT63" i="27" s="1"/>
  <c r="BT62" i="27" a="1"/>
  <c r="BT62" i="27" s="1"/>
  <c r="BN62" i="27" a="1"/>
  <c r="BN62" i="27" s="1"/>
  <c r="BO60" i="27" a="1"/>
  <c r="BO60" i="27" s="1"/>
  <c r="BP59" i="27" a="1"/>
  <c r="BP59" i="27" s="1"/>
  <c r="BP58" i="27" a="1"/>
  <c r="BP58" i="27" s="1"/>
  <c r="BQ57" i="27" a="1"/>
  <c r="BQ57" i="27" s="1"/>
  <c r="BR55" i="27" a="1"/>
  <c r="BR55" i="27" s="1"/>
  <c r="BS54" i="27" a="1"/>
  <c r="BS54" i="27" s="1"/>
  <c r="BT53" i="27" a="1"/>
  <c r="BT53" i="27" s="1"/>
  <c r="BP52" i="27" a="1"/>
  <c r="BP52" i="27" s="1"/>
  <c r="BQ51" i="27" a="1"/>
  <c r="BQ51" i="27" s="1"/>
  <c r="BS49" i="27" a="1"/>
  <c r="BS49" i="27" s="1"/>
  <c r="BN49" i="27" a="1"/>
  <c r="BN49" i="27" s="1"/>
  <c r="BO48" i="27" a="1"/>
  <c r="BO48" i="27" s="1"/>
  <c r="BP47" i="27" a="1"/>
  <c r="BP47" i="27" s="1"/>
  <c r="BQ46" i="27" a="1"/>
  <c r="BQ46" i="27" s="1"/>
  <c r="BQ106" i="27" a="1"/>
  <c r="BQ106" i="27" s="1"/>
  <c r="BT104" i="27" a="1"/>
  <c r="BT104" i="27" s="1"/>
  <c r="BP103" i="27" a="1"/>
  <c r="BP103" i="27" s="1"/>
  <c r="BO102" i="27" a="1"/>
  <c r="BO102" i="27" s="1"/>
  <c r="BR100" i="27" a="1"/>
  <c r="BR100" i="27" s="1"/>
  <c r="BN99" i="27" a="1"/>
  <c r="BN99" i="27" s="1"/>
  <c r="BT97" i="27" a="1"/>
  <c r="BT97" i="27" s="1"/>
  <c r="BP96" i="27" a="1"/>
  <c r="BP96" i="27" s="1"/>
  <c r="BS94" i="27" a="1"/>
  <c r="BS94" i="27" s="1"/>
  <c r="BQ93" i="27" a="1"/>
  <c r="BQ93" i="27" s="1"/>
  <c r="BN92" i="27" a="1"/>
  <c r="BN92" i="27" s="1"/>
  <c r="BR90" i="27" a="1"/>
  <c r="BR90" i="27" s="1"/>
  <c r="BP89" i="27" a="1"/>
  <c r="BP89" i="27" s="1"/>
  <c r="BT87" i="27" a="1"/>
  <c r="BT87" i="27" s="1"/>
  <c r="BQ86" i="27" a="1"/>
  <c r="BQ86" i="27" s="1"/>
  <c r="BO84" i="27" a="1"/>
  <c r="BO84" i="27" s="1"/>
  <c r="BT81" i="27" a="1"/>
  <c r="BT81" i="27" s="1"/>
  <c r="BR79" i="27" a="1"/>
  <c r="BR79" i="27" s="1"/>
  <c r="BQ78" i="27" a="1"/>
  <c r="BQ78" i="27" s="1"/>
  <c r="BO77" i="27" a="1"/>
  <c r="BO77" i="27" s="1"/>
  <c r="BO76" i="27" a="1"/>
  <c r="BO76" i="27" s="1"/>
  <c r="BT74" i="27" a="1"/>
  <c r="BT74" i="27" s="1"/>
  <c r="BS73" i="27" a="1"/>
  <c r="BS73" i="27" s="1"/>
  <c r="BR69" i="27" a="1"/>
  <c r="BR69" i="27" s="1"/>
  <c r="BP66" i="27" a="1"/>
  <c r="BP66" i="27" s="1"/>
  <c r="BP65" i="27" a="1"/>
  <c r="BP65" i="27" s="1"/>
  <c r="BP64" i="27" a="1"/>
  <c r="BP64" i="27" s="1"/>
  <c r="BP63" i="27" a="1"/>
  <c r="BP63" i="27" s="1"/>
  <c r="BO61" i="27" a="1"/>
  <c r="BO61" i="27" s="1"/>
  <c r="BN60" i="27" a="1"/>
  <c r="BN60" i="27" s="1"/>
  <c r="BN59" i="27" a="1"/>
  <c r="BN59" i="27" s="1"/>
  <c r="BN58" i="27" a="1"/>
  <c r="BN58" i="27" s="1"/>
  <c r="BN57" i="27" a="1"/>
  <c r="BN57" i="27" s="1"/>
  <c r="BT54" i="27" a="1"/>
  <c r="BT54" i="27" s="1"/>
  <c r="BN54" i="27" a="1"/>
  <c r="BN54" i="27" s="1"/>
  <c r="BN53" i="27" a="1"/>
  <c r="BN53" i="27" s="1"/>
  <c r="BN52" i="27" a="1"/>
  <c r="BN52" i="27" s="1"/>
  <c r="BO51" i="27" a="1"/>
  <c r="BO51" i="27" s="1"/>
  <c r="BP49" i="27" a="1"/>
  <c r="BP49" i="27" s="1"/>
  <c r="BP46" i="27" a="1"/>
  <c r="BP46" i="27" s="1"/>
  <c r="BR45" i="27" a="1"/>
  <c r="BR45" i="27" s="1"/>
  <c r="BS44" i="27" a="1"/>
  <c r="BS44" i="27" s="1"/>
  <c r="BT43" i="27" a="1"/>
  <c r="BT43" i="27" s="1"/>
  <c r="BN43" i="27" a="1"/>
  <c r="BN43" i="27" s="1"/>
  <c r="BQ41" i="27" a="1"/>
  <c r="BQ41" i="27" s="1"/>
  <c r="BS39" i="27" a="1"/>
  <c r="BS39" i="27" s="1"/>
  <c r="BT38" i="27" a="1"/>
  <c r="BT38" i="27" s="1"/>
  <c r="BS37" i="27" a="1"/>
  <c r="BS37" i="27" s="1"/>
  <c r="BR36" i="27" a="1"/>
  <c r="BR36" i="27" s="1"/>
  <c r="BO106" i="27" a="1"/>
  <c r="BO106" i="27" s="1"/>
  <c r="BS104" i="27" a="1"/>
  <c r="BS104" i="27" s="1"/>
  <c r="BO103" i="27" a="1"/>
  <c r="BO103" i="27" s="1"/>
  <c r="BT101" i="27" a="1"/>
  <c r="BT101" i="27" s="1"/>
  <c r="BQ100" i="27" a="1"/>
  <c r="BQ100" i="27" s="1"/>
  <c r="BT98" i="27" a="1"/>
  <c r="BT98" i="27" s="1"/>
  <c r="BR97" i="27" a="1"/>
  <c r="BR97" i="27" s="1"/>
  <c r="BO96" i="27" a="1"/>
  <c r="BO96" i="27" s="1"/>
  <c r="BR94" i="27" a="1"/>
  <c r="BR94" i="27" s="1"/>
  <c r="BP93" i="27" a="1"/>
  <c r="BP93" i="27" s="1"/>
  <c r="BT91" i="27" a="1"/>
  <c r="BT91" i="27" s="1"/>
  <c r="BQ90" i="27" a="1"/>
  <c r="BQ90" i="27" s="1"/>
  <c r="BN89" i="27" a="1"/>
  <c r="BN89" i="27" s="1"/>
  <c r="BS87" i="27" a="1"/>
  <c r="BS87" i="27" s="1"/>
  <c r="BP86" i="27" a="1"/>
  <c r="BP86" i="27" s="1"/>
  <c r="BP85" i="27" a="1"/>
  <c r="BP85" i="27" s="1"/>
  <c r="BN84" i="27" a="1"/>
  <c r="BN84" i="27" s="1"/>
  <c r="BN83" i="27" a="1"/>
  <c r="BN83" i="27" s="1"/>
  <c r="BS81" i="27" a="1"/>
  <c r="BS81" i="27" s="1"/>
  <c r="BS80" i="27" a="1"/>
  <c r="BS80" i="27" s="1"/>
  <c r="BP79" i="27" a="1"/>
  <c r="BP79" i="27" s="1"/>
  <c r="BP78" i="27" a="1"/>
  <c r="BP78" i="27" s="1"/>
  <c r="BN77" i="27" a="1"/>
  <c r="BN77" i="27" s="1"/>
  <c r="BN76" i="27" a="1"/>
  <c r="BN76" i="27" s="1"/>
  <c r="BS74" i="27" a="1"/>
  <c r="BS74" i="27" s="1"/>
  <c r="BR73" i="27" a="1"/>
  <c r="BR73" i="27" s="1"/>
  <c r="BQ69" i="27" a="1"/>
  <c r="BQ69" i="27" s="1"/>
  <c r="BP68" i="27" a="1"/>
  <c r="BP68" i="27" s="1"/>
  <c r="BP67" i="27" a="1"/>
  <c r="BP67" i="27" s="1"/>
  <c r="BO65" i="27" a="1"/>
  <c r="BO65" i="27" s="1"/>
  <c r="BO64" i="27" a="1"/>
  <c r="BO64" i="27" s="1"/>
  <c r="BO63" i="27" a="1"/>
  <c r="BO63" i="27" s="1"/>
  <c r="BO62" i="27" a="1"/>
  <c r="BO62" i="27" s="1"/>
  <c r="BN61" i="27" a="1"/>
  <c r="BN61" i="27" s="1"/>
  <c r="BT58" i="27" a="1"/>
  <c r="BT58" i="27" s="1"/>
  <c r="BT57" i="27" a="1"/>
  <c r="BT57" i="27" s="1"/>
  <c r="BT56" i="27" a="1"/>
  <c r="BT56" i="27" s="1"/>
  <c r="BT55" i="27" a="1"/>
  <c r="BT55" i="27" s="1"/>
  <c r="BS53" i="27" a="1"/>
  <c r="BS53" i="27" s="1"/>
  <c r="BN51" i="27" a="1"/>
  <c r="BN51" i="27" s="1"/>
  <c r="BO50" i="27" a="1"/>
  <c r="BO50" i="27" s="1"/>
  <c r="BO49" i="27" a="1"/>
  <c r="BO49" i="27" s="1"/>
  <c r="BP48" i="27" a="1"/>
  <c r="BP48" i="27" s="1"/>
  <c r="BQ45" i="27" a="1"/>
  <c r="BQ45" i="27" s="1"/>
  <c r="BR44" i="27" a="1"/>
  <c r="BR44" i="27" s="1"/>
  <c r="BT42" i="27" a="1"/>
  <c r="BT42" i="27" s="1"/>
  <c r="BO42" i="27" a="1"/>
  <c r="BO42" i="27" s="1"/>
  <c r="BP41" i="27" a="1"/>
  <c r="BP41" i="27" s="1"/>
  <c r="BQ40" i="27" a="1"/>
  <c r="BQ40" i="27" s="1"/>
  <c r="BR39" i="27" a="1"/>
  <c r="BR39" i="27" s="1"/>
  <c r="BS38" i="27" a="1"/>
  <c r="BS38" i="27" s="1"/>
  <c r="BR37" i="27" a="1"/>
  <c r="BR37" i="27" s="1"/>
  <c r="BQ36" i="27" a="1"/>
  <c r="BQ36" i="27" s="1"/>
  <c r="BN106" i="27" a="1"/>
  <c r="BN106" i="27" s="1"/>
  <c r="BQ104" i="27" a="1"/>
  <c r="BQ104" i="27" s="1"/>
  <c r="BS101" i="27" a="1"/>
  <c r="BS101" i="27" s="1"/>
  <c r="BO100" i="27" a="1"/>
  <c r="BO100" i="27" s="1"/>
  <c r="BS98" i="27" a="1"/>
  <c r="BS98" i="27" s="1"/>
  <c r="BQ97" i="27" a="1"/>
  <c r="BQ97" i="27" s="1"/>
  <c r="BT106" i="27" a="1"/>
  <c r="BT106" i="27" s="1"/>
  <c r="BQ105" i="27" a="1"/>
  <c r="BQ105" i="27" s="1"/>
  <c r="BT103" i="27" a="1"/>
  <c r="BT103" i="27" s="1"/>
  <c r="BR102" i="27" a="1"/>
  <c r="BR102" i="27" s="1"/>
  <c r="BO101" i="27" a="1"/>
  <c r="BO101" i="27" s="1"/>
  <c r="BR99" i="27" a="1"/>
  <c r="BR99" i="27" s="1"/>
  <c r="BP98" i="27" a="1"/>
  <c r="BP98" i="27" s="1"/>
  <c r="BT96" i="27" a="1"/>
  <c r="BT96" i="27" s="1"/>
  <c r="BP95" i="27" a="1"/>
  <c r="BP95" i="27" s="1"/>
  <c r="BR92" i="27" a="1"/>
  <c r="BR92" i="27" s="1"/>
  <c r="BN91" i="27" a="1"/>
  <c r="BN91" i="27" s="1"/>
  <c r="BT89" i="27" a="1"/>
  <c r="BT89" i="27" s="1"/>
  <c r="BN87" i="27" a="1"/>
  <c r="BN87" i="27" s="1"/>
  <c r="BT85" i="27" a="1"/>
  <c r="BT85" i="27" s="1"/>
  <c r="BS84" i="27" a="1"/>
  <c r="BS84" i="27" s="1"/>
  <c r="BQ83" i="27" a="1"/>
  <c r="BQ83" i="27" s="1"/>
  <c r="BP82" i="27" a="1"/>
  <c r="BP82" i="27" s="1"/>
  <c r="BO81" i="27" a="1"/>
  <c r="BO81" i="27" s="1"/>
  <c r="BN80" i="27" a="1"/>
  <c r="BN80" i="27" s="1"/>
  <c r="BT78" i="27" a="1"/>
  <c r="BT78" i="27" s="1"/>
  <c r="BS77" i="27" a="1"/>
  <c r="BS77" i="27" s="1"/>
  <c r="BR76" i="27" a="1"/>
  <c r="BR76" i="27" s="1"/>
  <c r="BP75" i="27" a="1"/>
  <c r="BP75" i="27" s="1"/>
  <c r="BO74" i="27" a="1"/>
  <c r="BO74" i="27" s="1"/>
  <c r="BT69" i="27" a="1"/>
  <c r="BT69" i="27" s="1"/>
  <c r="BT68" i="27" a="1"/>
  <c r="BT68" i="27" s="1"/>
  <c r="BT67" i="27" a="1"/>
  <c r="BT67" i="27" s="1"/>
  <c r="BS65" i="27" a="1"/>
  <c r="BS65" i="27" s="1"/>
  <c r="BR64" i="27" a="1"/>
  <c r="BR64" i="27" s="1"/>
  <c r="BR63" i="27" a="1"/>
  <c r="BR63" i="27" s="1"/>
  <c r="BR62" i="27" a="1"/>
  <c r="BR62" i="27" s="1"/>
  <c r="BR61" i="27" a="1"/>
  <c r="BR61" i="27" s="1"/>
  <c r="BQ59" i="27" a="1"/>
  <c r="BQ59" i="27" s="1"/>
  <c r="BQ58" i="27" a="1"/>
  <c r="BQ58" i="27" s="1"/>
  <c r="BP57" i="27" a="1"/>
  <c r="BP57" i="27" s="1"/>
  <c r="BP56" i="27" a="1"/>
  <c r="BP56" i="27" s="1"/>
  <c r="BP55" i="27" a="1"/>
  <c r="BP55" i="27" s="1"/>
  <c r="BQ53" i="27" a="1"/>
  <c r="BQ53" i="27" s="1"/>
  <c r="BR51" i="27" a="1"/>
  <c r="BR51" i="27" s="1"/>
  <c r="BR50" i="27" a="1"/>
  <c r="BR50" i="27" s="1"/>
  <c r="BS106" i="27" a="1"/>
  <c r="BS106" i="27" s="1"/>
  <c r="BS103" i="27" a="1"/>
  <c r="BS103" i="27" s="1"/>
  <c r="BN101" i="27" a="1"/>
  <c r="BN101" i="27" s="1"/>
  <c r="BN98" i="27" a="1"/>
  <c r="BN98" i="27" s="1"/>
  <c r="BR95" i="27" a="1"/>
  <c r="BR95" i="27" s="1"/>
  <c r="BO93" i="27" a="1"/>
  <c r="BO93" i="27" s="1"/>
  <c r="BT90" i="27" a="1"/>
  <c r="BT90" i="27" s="1"/>
  <c r="BS88" i="27" a="1"/>
  <c r="BS88" i="27" s="1"/>
  <c r="BS86" i="27" a="1"/>
  <c r="BS86" i="27" s="1"/>
  <c r="BT84" i="27" a="1"/>
  <c r="BT84" i="27" s="1"/>
  <c r="BT82" i="27" a="1"/>
  <c r="BT82" i="27" s="1"/>
  <c r="BN81" i="27" a="1"/>
  <c r="BN81" i="27" s="1"/>
  <c r="BO79" i="27" a="1"/>
  <c r="BO79" i="27" s="1"/>
  <c r="BP77" i="27" a="1"/>
  <c r="BP77" i="27" s="1"/>
  <c r="BR75" i="27" a="1"/>
  <c r="BR75" i="27" s="1"/>
  <c r="BQ73" i="27" a="1"/>
  <c r="BQ73" i="27" s="1"/>
  <c r="BS68" i="27" a="1"/>
  <c r="BS68" i="27" s="1"/>
  <c r="BN67" i="27" a="1"/>
  <c r="BN67" i="27" s="1"/>
  <c r="BQ65" i="27" a="1"/>
  <c r="BQ65" i="27" s="1"/>
  <c r="BS63" i="27" a="1"/>
  <c r="BS63" i="27" s="1"/>
  <c r="BT61" i="27" a="1"/>
  <c r="BT61" i="27" s="1"/>
  <c r="BQ60" i="27" a="1"/>
  <c r="BQ60" i="27" s="1"/>
  <c r="BS58" i="27" a="1"/>
  <c r="BS58" i="27" s="1"/>
  <c r="BQ52" i="27" a="1"/>
  <c r="BQ52" i="27" s="1"/>
  <c r="BN48" i="27" a="1"/>
  <c r="BN48" i="27" s="1"/>
  <c r="BT46" i="27" a="1"/>
  <c r="BT46" i="27" s="1"/>
  <c r="BS45" i="27" a="1"/>
  <c r="BS45" i="27" s="1"/>
  <c r="BQ43" i="27" a="1"/>
  <c r="BQ43" i="27" s="1"/>
  <c r="BQ42" i="27" a="1"/>
  <c r="BQ42" i="27" s="1"/>
  <c r="BO41" i="27" a="1"/>
  <c r="BO41" i="27" s="1"/>
  <c r="BO40" i="27" a="1"/>
  <c r="BO40" i="27" s="1"/>
  <c r="BO39" i="27" a="1"/>
  <c r="BO39" i="27" s="1"/>
  <c r="BQ37" i="27" a="1"/>
  <c r="BQ37" i="27" s="1"/>
  <c r="BN36" i="27" a="1"/>
  <c r="BN36" i="27" s="1"/>
  <c r="BO86" i="27" a="1"/>
  <c r="BO86" i="27" s="1"/>
  <c r="BT80" i="27" a="1"/>
  <c r="BT80" i="27" s="1"/>
  <c r="BO75" i="27" a="1"/>
  <c r="BO75" i="27" s="1"/>
  <c r="BR68" i="27" a="1"/>
  <c r="BR68" i="27" s="1"/>
  <c r="BT66" i="27" a="1"/>
  <c r="BT66" i="27" s="1"/>
  <c r="BQ63" i="27" a="1"/>
  <c r="BQ63" i="27" s="1"/>
  <c r="BP60" i="27" a="1"/>
  <c r="BP60" i="27" s="1"/>
  <c r="BS56" i="27" a="1"/>
  <c r="BS56" i="27" s="1"/>
  <c r="BR53" i="27" a="1"/>
  <c r="BR53" i="27" s="1"/>
  <c r="BO52" i="27" a="1"/>
  <c r="BO52" i="27" s="1"/>
  <c r="BQ49" i="27" a="1"/>
  <c r="BQ49" i="27" s="1"/>
  <c r="BQ44" i="27" a="1"/>
  <c r="BQ44" i="27" s="1"/>
  <c r="BN40" i="27" a="1"/>
  <c r="BN40" i="27" s="1"/>
  <c r="BP37" i="27" a="1"/>
  <c r="BP37" i="27" s="1"/>
  <c r="BR105" i="27" a="1"/>
  <c r="BR105" i="27" s="1"/>
  <c r="BS102" i="27" a="1"/>
  <c r="BS102" i="27" s="1"/>
  <c r="BT99" i="27" a="1"/>
  <c r="BT99" i="27" s="1"/>
  <c r="BN97" i="27" a="1"/>
  <c r="BN97" i="27" s="1"/>
  <c r="BQ92" i="27" a="1"/>
  <c r="BQ92" i="27" s="1"/>
  <c r="BN90" i="27" a="1"/>
  <c r="BN90" i="27" s="1"/>
  <c r="BN88" i="27" a="1"/>
  <c r="BN88" i="27" s="1"/>
  <c r="BN86" i="27" a="1"/>
  <c r="BN86" i="27" s="1"/>
  <c r="BO82" i="27" a="1"/>
  <c r="BO82" i="27" s="1"/>
  <c r="BR78" i="27" a="1"/>
  <c r="BR78" i="27" s="1"/>
  <c r="BS69" i="27" a="1"/>
  <c r="BS69" i="27" s="1"/>
  <c r="BQ66" i="27" a="1"/>
  <c r="BQ66" i="27" s="1"/>
  <c r="BN63" i="27" a="1"/>
  <c r="BN63" i="27" s="1"/>
  <c r="BS59" i="27" a="1"/>
  <c r="BS59" i="27" s="1"/>
  <c r="BQ56" i="27" a="1"/>
  <c r="BQ56" i="27" s="1"/>
  <c r="BP53" i="27" a="1"/>
  <c r="BP53" i="27" s="1"/>
  <c r="BT48" i="27" a="1"/>
  <c r="BT48" i="27" s="1"/>
  <c r="BR46" i="27" a="1"/>
  <c r="BR46" i="27" s="1"/>
  <c r="BO44" i="27" a="1"/>
  <c r="BO44" i="27" s="1"/>
  <c r="BT41" i="27" a="1"/>
  <c r="BT41" i="27" s="1"/>
  <c r="BT39" i="27" a="1"/>
  <c r="BT39" i="27" s="1"/>
  <c r="BN37" i="27" a="1"/>
  <c r="BN37" i="27" s="1"/>
  <c r="BR106" i="27" a="1"/>
  <c r="BR106" i="27" s="1"/>
  <c r="BR103" i="27" a="1"/>
  <c r="BR103" i="27" s="1"/>
  <c r="BS100" i="27" a="1"/>
  <c r="BS100" i="27" s="1"/>
  <c r="BO95" i="27" a="1"/>
  <c r="BO95" i="27" s="1"/>
  <c r="BN93" i="27" a="1"/>
  <c r="BN93" i="27" s="1"/>
  <c r="BS90" i="27" a="1"/>
  <c r="BS90" i="27" s="1"/>
  <c r="BQ88" i="27" a="1"/>
  <c r="BQ88" i="27" s="1"/>
  <c r="BQ84" i="27" a="1"/>
  <c r="BQ84" i="27" s="1"/>
  <c r="BS82" i="27" a="1"/>
  <c r="BS82" i="27" s="1"/>
  <c r="BN79" i="27" a="1"/>
  <c r="BN79" i="27" s="1"/>
  <c r="BO73" i="27" a="1"/>
  <c r="BO73" i="27" s="1"/>
  <c r="BS61" i="27" a="1"/>
  <c r="BS61" i="27" s="1"/>
  <c r="BR58" i="27" a="1"/>
  <c r="BR58" i="27" s="1"/>
  <c r="BO55" i="27" a="1"/>
  <c r="BO55" i="27" s="1"/>
  <c r="BS50" i="27" a="1"/>
  <c r="BS50" i="27" s="1"/>
  <c r="BP42" i="27" a="1"/>
  <c r="BP42" i="27" s="1"/>
  <c r="BN39" i="27" a="1"/>
  <c r="BN39" i="27" s="1"/>
  <c r="BQ94" i="27" a="1"/>
  <c r="BQ94" i="27" s="1"/>
  <c r="BT83" i="27" a="1"/>
  <c r="BT83" i="27" s="1"/>
  <c r="BP80" i="27" a="1"/>
  <c r="BP80" i="27" s="1"/>
  <c r="BS76" i="27" a="1"/>
  <c r="BS76" i="27" s="1"/>
  <c r="BN68" i="27" a="1"/>
  <c r="BN68" i="27" s="1"/>
  <c r="BT64" i="27" a="1"/>
  <c r="BT64" i="27" s="1"/>
  <c r="BQ61" i="27" a="1"/>
  <c r="BQ61" i="27" s="1"/>
  <c r="BO58" i="27" a="1"/>
  <c r="BO58" i="27" s="1"/>
  <c r="BR54" i="27" a="1"/>
  <c r="BR54" i="27" s="1"/>
  <c r="BP50" i="27" a="1"/>
  <c r="BP50" i="27" s="1"/>
  <c r="BS47" i="27" a="1"/>
  <c r="BS47" i="27" s="1"/>
  <c r="BO45" i="27" a="1"/>
  <c r="BO45" i="27" s="1"/>
  <c r="BO43" i="27" a="1"/>
  <c r="BO43" i="27" s="1"/>
  <c r="BT40" i="27" a="1"/>
  <c r="BT40" i="27" s="1"/>
  <c r="BQ38" i="27" a="1"/>
  <c r="BQ38" i="27" s="1"/>
  <c r="BT105" i="27" a="1"/>
  <c r="BT105" i="27" s="1"/>
  <c r="BT102" i="27" a="1"/>
  <c r="BT102" i="27" s="1"/>
  <c r="BN100" i="27" a="1"/>
  <c r="BN100" i="27" s="1"/>
  <c r="BP97" i="27" a="1"/>
  <c r="BP97" i="27" s="1"/>
  <c r="BN95" i="27" a="1"/>
  <c r="BN95" i="27" s="1"/>
  <c r="BS92" i="27" a="1"/>
  <c r="BS92" i="27" s="1"/>
  <c r="BP90" i="27" a="1"/>
  <c r="BP90" i="27" s="1"/>
  <c r="BP88" i="27" a="1"/>
  <c r="BP88" i="27" s="1"/>
  <c r="BP84" i="27" a="1"/>
  <c r="BP84" i="27" s="1"/>
  <c r="BQ82" i="27" a="1"/>
  <c r="BQ82" i="27" s="1"/>
  <c r="BQ80" i="27" a="1"/>
  <c r="BQ80" i="27" s="1"/>
  <c r="BS78" i="27" a="1"/>
  <c r="BS78" i="27" s="1"/>
  <c r="BT76" i="27" a="1"/>
  <c r="BT76" i="27" s="1"/>
  <c r="BN75" i="27" a="1"/>
  <c r="BN75" i="27" s="1"/>
  <c r="BN73" i="27" a="1"/>
  <c r="BN73" i="27" s="1"/>
  <c r="BO68" i="27" a="1"/>
  <c r="BO68" i="27" s="1"/>
  <c r="BS66" i="27" a="1"/>
  <c r="BS66" i="27" s="1"/>
  <c r="BN65" i="27" a="1"/>
  <c r="BN65" i="27" s="1"/>
  <c r="BT59" i="27" a="1"/>
  <c r="BT59" i="27" s="1"/>
  <c r="BR56" i="27" a="1"/>
  <c r="BR56" i="27" s="1"/>
  <c r="BN55" i="27" a="1"/>
  <c r="BN55" i="27" s="1"/>
  <c r="BT51" i="27" a="1"/>
  <c r="BT51" i="27" s="1"/>
  <c r="BQ50" i="27" a="1"/>
  <c r="BQ50" i="27" s="1"/>
  <c r="BT47" i="27" a="1"/>
  <c r="BT47" i="27" s="1"/>
  <c r="BS46" i="27" a="1"/>
  <c r="BS46" i="27" s="1"/>
  <c r="BP45" i="27" a="1"/>
  <c r="BP45" i="27" s="1"/>
  <c r="BP44" i="27" a="1"/>
  <c r="BP44" i="27" s="1"/>
  <c r="BP43" i="27" a="1"/>
  <c r="BP43" i="27" s="1"/>
  <c r="BN42" i="27" a="1"/>
  <c r="BN42" i="27" s="1"/>
  <c r="BN41" i="27" a="1"/>
  <c r="BN41" i="27" s="1"/>
  <c r="BR38" i="27" a="1"/>
  <c r="BR38" i="27" s="1"/>
  <c r="BO37" i="27" a="1"/>
  <c r="BO37" i="27" s="1"/>
  <c r="BN105" i="27" a="1"/>
  <c r="BN105" i="27" s="1"/>
  <c r="BP102" i="27" a="1"/>
  <c r="BP102" i="27" s="1"/>
  <c r="BP99" i="27" a="1"/>
  <c r="BP99" i="27" s="1"/>
  <c r="BQ96" i="27" a="1"/>
  <c r="BQ96" i="27" s="1"/>
  <c r="BN94" i="27" a="1"/>
  <c r="BN94" i="27" s="1"/>
  <c r="BR91" i="27" a="1"/>
  <c r="BR91" i="27" s="1"/>
  <c r="BR89" i="27" a="1"/>
  <c r="BR89" i="27" s="1"/>
  <c r="BQ87" i="27" a="1"/>
  <c r="BQ87" i="27" s="1"/>
  <c r="BQ85" i="27" a="1"/>
  <c r="BQ85" i="27" s="1"/>
  <c r="BS83" i="27" a="1"/>
  <c r="BS83" i="27" s="1"/>
  <c r="BR81" i="27" a="1"/>
  <c r="BR81" i="27" s="1"/>
  <c r="BT79" i="27" a="1"/>
  <c r="BT79" i="27" s="1"/>
  <c r="BN78" i="27" a="1"/>
  <c r="BN78" i="27" s="1"/>
  <c r="BP74" i="27" a="1"/>
  <c r="BP74" i="27" s="1"/>
  <c r="BO69" i="27" a="1"/>
  <c r="BO69" i="27" s="1"/>
  <c r="BS67" i="27" a="1"/>
  <c r="BS67" i="27" s="1"/>
  <c r="BN66" i="27" a="1"/>
  <c r="BN66" i="27" s="1"/>
  <c r="BQ64" i="27" a="1"/>
  <c r="BQ64" i="27" s="1"/>
  <c r="BS62" i="27" a="1"/>
  <c r="BS62" i="27" s="1"/>
  <c r="BT60" i="27" a="1"/>
  <c r="BT60" i="27" s="1"/>
  <c r="BN56" i="27" a="1"/>
  <c r="BN56" i="27" s="1"/>
  <c r="BP54" i="27" a="1"/>
  <c r="BP54" i="27" s="1"/>
  <c r="BT52" i="27" a="1"/>
  <c r="BT52" i="27" s="1"/>
  <c r="BT49" i="27" a="1"/>
  <c r="BT49" i="27" s="1"/>
  <c r="BR48" i="27" a="1"/>
  <c r="BR48" i="27" s="1"/>
  <c r="BQ47" i="27" a="1"/>
  <c r="BQ47" i="27" s="1"/>
  <c r="BN45" i="27" a="1"/>
  <c r="BN45" i="27" s="1"/>
  <c r="BS42" i="27" a="1"/>
  <c r="BS42" i="27" s="1"/>
  <c r="BR40" i="27" a="1"/>
  <c r="BR40" i="27" s="1"/>
  <c r="BO38" i="27" a="1"/>
  <c r="BO38" i="27" s="1"/>
  <c r="BS36" i="27" a="1"/>
  <c r="BS36" i="27" s="1"/>
  <c r="BO92" i="27" a="1"/>
  <c r="BO92" i="27" s="1"/>
  <c r="BT86" i="27" a="1"/>
  <c r="BT86" i="27" s="1"/>
  <c r="BQ81" i="27" a="1"/>
  <c r="BQ81" i="27" s="1"/>
  <c r="BP76" i="27" a="1"/>
  <c r="BP76" i="27" s="1"/>
  <c r="BN69" i="27" a="1"/>
  <c r="BN69" i="27" s="1"/>
  <c r="BN64" i="27" a="1"/>
  <c r="BN64" i="27" s="1"/>
  <c r="BR59" i="27" a="1"/>
  <c r="BR59" i="27" s="1"/>
  <c r="BQ55" i="27" a="1"/>
  <c r="BQ55" i="27" s="1"/>
  <c r="BP51" i="27" a="1"/>
  <c r="BP51" i="27" s="1"/>
  <c r="BR47" i="27" a="1"/>
  <c r="BR47" i="27" s="1"/>
  <c r="BT44" i="27" a="1"/>
  <c r="BT44" i="27" s="1"/>
  <c r="BR41" i="27" a="1"/>
  <c r="BR41" i="27" s="1"/>
  <c r="BP38" i="27" a="1"/>
  <c r="BP38" i="27" s="1"/>
  <c r="BR93" i="27" a="1"/>
  <c r="BR93" i="27" s="1"/>
  <c r="BN82" i="27" a="1"/>
  <c r="BN82" i="27" s="1"/>
  <c r="BS55" i="27" a="1"/>
  <c r="BS55" i="27" s="1"/>
  <c r="BQ48" i="27" a="1"/>
  <c r="BQ48" i="27" s="1"/>
  <c r="BP105" i="27" a="1"/>
  <c r="BP105" i="27" s="1"/>
  <c r="BQ98" i="27" a="1"/>
  <c r="BQ98" i="27" s="1"/>
  <c r="BQ91" i="27" a="1"/>
  <c r="BQ91" i="27" s="1"/>
  <c r="BS85" i="27" a="1"/>
  <c r="BS85" i="27" s="1"/>
  <c r="BP81" i="27" a="1"/>
  <c r="BP81" i="27" s="1"/>
  <c r="BT75" i="27" a="1"/>
  <c r="BT75" i="27" s="1"/>
  <c r="BO59" i="27" a="1"/>
  <c r="BO59" i="27" s="1"/>
  <c r="BQ54" i="27" a="1"/>
  <c r="BQ54" i="27" s="1"/>
  <c r="BT50" i="27" a="1"/>
  <c r="BT50" i="27" s="1"/>
  <c r="BO47" i="27" a="1"/>
  <c r="BO47" i="27" s="1"/>
  <c r="BN44" i="27" a="1"/>
  <c r="BN44" i="27" s="1"/>
  <c r="BN38" i="27" a="1"/>
  <c r="BN38" i="27" s="1"/>
  <c r="BT95" i="27" a="1"/>
  <c r="BT95" i="27" s="1"/>
  <c r="BQ62" i="27" a="1"/>
  <c r="BQ62" i="27" s="1"/>
  <c r="BO46" i="27" a="1"/>
  <c r="BO46" i="27" s="1"/>
  <c r="BT36" i="27" a="1"/>
  <c r="BT36" i="27" s="1"/>
  <c r="BQ102" i="27" a="1"/>
  <c r="BQ102" i="27" s="1"/>
  <c r="BS95" i="27" a="1"/>
  <c r="BS95" i="27" s="1"/>
  <c r="BN74" i="27" a="1"/>
  <c r="BN74" i="27" s="1"/>
  <c r="BP62" i="27" a="1"/>
  <c r="BP62" i="27" s="1"/>
  <c r="BR57" i="27" a="1"/>
  <c r="BR57" i="27" s="1"/>
  <c r="BR49" i="27" a="1"/>
  <c r="BR49" i="27" s="1"/>
  <c r="BP40" i="27" a="1"/>
  <c r="BP40" i="27" s="1"/>
  <c r="BR101" i="27" a="1"/>
  <c r="BR101" i="27" s="1"/>
  <c r="BT88" i="27" a="1"/>
  <c r="BT88" i="27" s="1"/>
  <c r="BO78" i="27" a="1"/>
  <c r="BO78" i="27" s="1"/>
  <c r="BT65" i="27" a="1"/>
  <c r="BT65" i="27" s="1"/>
  <c r="BO57" i="27" a="1"/>
  <c r="BO57" i="27" s="1"/>
  <c r="BS48" i="27" a="1"/>
  <c r="BS48" i="27" s="1"/>
  <c r="BQ39" i="27" a="1"/>
  <c r="BQ39" i="27" s="1"/>
  <c r="BS93" i="27" a="1"/>
  <c r="BS93" i="27" s="1"/>
  <c r="BT77" i="27" a="1"/>
  <c r="BT77" i="27" s="1"/>
  <c r="BR65" i="27" a="1"/>
  <c r="BR65" i="27" s="1"/>
  <c r="BO56" i="27" a="1"/>
  <c r="BO56" i="27" s="1"/>
  <c r="BR42" i="27" a="1"/>
  <c r="BR42" i="27" s="1"/>
  <c r="BQ99" i="27" a="1"/>
  <c r="BQ99" i="27" s="1"/>
  <c r="BP87" i="27" a="1"/>
  <c r="BP87" i="27" s="1"/>
  <c r="BR77" i="27" a="1"/>
  <c r="BR77" i="27" s="1"/>
  <c r="BS51" i="27" a="1"/>
  <c r="BS51" i="27" s="1"/>
  <c r="BS41" i="27" a="1"/>
  <c r="BS41" i="27" s="1"/>
  <c r="BP104" i="27" a="1"/>
  <c r="BP104" i="27" s="1"/>
  <c r="BS96" i="27" a="1"/>
  <c r="BS96" i="27" s="1"/>
  <c r="BP91" i="27" a="1"/>
  <c r="BP91" i="27" s="1"/>
  <c r="BO85" i="27" a="1"/>
  <c r="BO85" i="27" s="1"/>
  <c r="BO80" i="27" a="1"/>
  <c r="BO80" i="27" s="1"/>
  <c r="BS75" i="27" a="1"/>
  <c r="BS75" i="27" s="1"/>
  <c r="BR67" i="27" a="1"/>
  <c r="BR67" i="27" s="1"/>
  <c r="BO54" i="27" a="1"/>
  <c r="BO54" i="27" s="1"/>
  <c r="BN50" i="27" a="1"/>
  <c r="BN50" i="27" s="1"/>
  <c r="BN47" i="27" a="1"/>
  <c r="BN47" i="27" s="1"/>
  <c r="BS43" i="27" a="1"/>
  <c r="BS43" i="27" s="1"/>
  <c r="BS40" i="27" a="1"/>
  <c r="BS40" i="27" s="1"/>
  <c r="BT37" i="27" a="1"/>
  <c r="BT37" i="27" s="1"/>
  <c r="BO104" i="27" a="1"/>
  <c r="BO104" i="27" s="1"/>
  <c r="BN85" i="27" a="1"/>
  <c r="BN85" i="27" s="1"/>
  <c r="BS79" i="27" a="1"/>
  <c r="BS79" i="27" s="1"/>
  <c r="BR74" i="27" a="1"/>
  <c r="BR74" i="27" s="1"/>
  <c r="BO67" i="27" a="1"/>
  <c r="BO67" i="27" s="1"/>
  <c r="BS57" i="27" a="1"/>
  <c r="BS57" i="27" s="1"/>
  <c r="BR43" i="27" a="1"/>
  <c r="BR43" i="27" s="1"/>
  <c r="BQ89" i="27" a="1"/>
  <c r="BQ89" i="27" s="1"/>
  <c r="BO66" i="27" a="1"/>
  <c r="BO66" i="27" s="1"/>
  <c r="BO53" i="27" a="1"/>
  <c r="BO53" i="27" s="1"/>
  <c r="BN46" i="27" a="1"/>
  <c r="BN46" i="27" s="1"/>
  <c r="BP36" i="27" a="1"/>
  <c r="BP36" i="27" s="1"/>
  <c r="BO94" i="27" a="1"/>
  <c r="BO94" i="27" s="1"/>
  <c r="BP83" i="27" a="1"/>
  <c r="BP83" i="27" s="1"/>
  <c r="BT73" i="27" a="1"/>
  <c r="BT73" i="27" s="1"/>
  <c r="BP61" i="27" a="1"/>
  <c r="BP61" i="27" s="1"/>
  <c r="BS52" i="27" a="1"/>
  <c r="BS52" i="27" s="1"/>
  <c r="BT45" i="27" a="1"/>
  <c r="BT45" i="27" s="1"/>
  <c r="BO36" i="27" a="1"/>
  <c r="BO36" i="27" s="1"/>
  <c r="BP101" i="27" a="1"/>
  <c r="BP101" i="27" s="1"/>
  <c r="BR87" i="27" a="1"/>
  <c r="BR87" i="27" s="1"/>
  <c r="BO83" i="27" a="1"/>
  <c r="BO83" i="27" s="1"/>
  <c r="BS60" i="27" a="1"/>
  <c r="BS60" i="27" s="1"/>
  <c r="BR52" i="27" a="1"/>
  <c r="BR52" i="27" s="1"/>
  <c r="BP39" i="27" a="1"/>
  <c r="BP39" i="27" s="1"/>
  <c r="BR60" i="27" a="1"/>
  <c r="BR60" i="27" s="1"/>
  <c r="BC237" i="27" a="1"/>
  <c r="BC237" i="27" s="1"/>
  <c r="BF238" i="27" a="1"/>
  <c r="BF238" i="27" s="1"/>
  <c r="BH239" i="27" a="1"/>
  <c r="BH239" i="27" s="1"/>
  <c r="BF240" i="27" a="1"/>
  <c r="BF240" i="27" s="1"/>
  <c r="BD241" i="27" a="1"/>
  <c r="BD241" i="27" s="1"/>
  <c r="BI241" i="27" a="1"/>
  <c r="BI241" i="27" s="1"/>
  <c r="BD243" i="27" a="1"/>
  <c r="BD243" i="27" s="1"/>
  <c r="BG244" i="27" a="1"/>
  <c r="BG244" i="27" s="1"/>
  <c r="BI245" i="27" a="1"/>
  <c r="BI245" i="27" s="1"/>
  <c r="BG246" i="27" a="1"/>
  <c r="BG246" i="27" s="1"/>
  <c r="BI247" i="27" a="1"/>
  <c r="BI247" i="27" s="1"/>
  <c r="BG248" i="27" a="1"/>
  <c r="BG248" i="27" s="1"/>
  <c r="BG250" i="27" a="1"/>
  <c r="BG250" i="27" s="1"/>
  <c r="BI251" i="27" a="1"/>
  <c r="BI251" i="27" s="1"/>
  <c r="BE253" i="27" a="1"/>
  <c r="BE253" i="27" s="1"/>
  <c r="BC254" i="27" a="1"/>
  <c r="BC254" i="27" s="1"/>
  <c r="BH254" i="27" a="1"/>
  <c r="BH254" i="27" s="1"/>
  <c r="BF255" i="27" a="1"/>
  <c r="BF255" i="27" s="1"/>
  <c r="BF257" i="27" a="1"/>
  <c r="BF257" i="27" s="1"/>
  <c r="BI258" i="27" a="1"/>
  <c r="BI258" i="27" s="1"/>
  <c r="BD260" i="27" a="1"/>
  <c r="BD260" i="27" s="1"/>
  <c r="BI260" i="27" a="1"/>
  <c r="BI260" i="27" s="1"/>
  <c r="BG261" i="27" a="1"/>
  <c r="BG261" i="27" s="1"/>
  <c r="BE262" i="27" a="1"/>
  <c r="BE262" i="27" s="1"/>
  <c r="BC263" i="27" a="1"/>
  <c r="BC263" i="27" s="1"/>
  <c r="BE264" i="27" a="1"/>
  <c r="BE264" i="27" s="1"/>
  <c r="BH265" i="27" a="1"/>
  <c r="BH265" i="27" s="1"/>
  <c r="BC267" i="27" a="1"/>
  <c r="BC267" i="27" s="1"/>
  <c r="BE268" i="27" a="1"/>
  <c r="BE268" i="27" s="1"/>
  <c r="BC269" i="27" a="1"/>
  <c r="BC269" i="27" s="1"/>
  <c r="BF270" i="27" a="1"/>
  <c r="BF270" i="27" s="1"/>
  <c r="BH271" i="27" a="1"/>
  <c r="BH271" i="27" s="1"/>
  <c r="BF272" i="27" a="1"/>
  <c r="BF272" i="27" s="1"/>
  <c r="BD273" i="27" a="1"/>
  <c r="BD273" i="27" s="1"/>
  <c r="BC274" i="27" a="1"/>
  <c r="BC274" i="27" s="1"/>
  <c r="BH236" i="27" a="1"/>
  <c r="BH236" i="27" s="1"/>
  <c r="BD195" i="27" a="1"/>
  <c r="BD195" i="27" s="1"/>
  <c r="BF197" i="27" a="1"/>
  <c r="BF197" i="27" s="1"/>
  <c r="BH199" i="27" a="1"/>
  <c r="BH199" i="27" s="1"/>
  <c r="BC202" i="27" a="1"/>
  <c r="BC202" i="27" s="1"/>
  <c r="BD237" i="27" a="1"/>
  <c r="BD237" i="27" s="1"/>
  <c r="BI237" i="27" a="1"/>
  <c r="BI237" i="27" s="1"/>
  <c r="BD239" i="27" a="1"/>
  <c r="BD239" i="27" s="1"/>
  <c r="BG240" i="27" a="1"/>
  <c r="BG240" i="27" s="1"/>
  <c r="BG242" i="27" a="1"/>
  <c r="BG242" i="27" s="1"/>
  <c r="BI243" i="27" a="1"/>
  <c r="BI243" i="27" s="1"/>
  <c r="BE245" i="27" a="1"/>
  <c r="BE245" i="27" s="1"/>
  <c r="BE247" i="27" a="1"/>
  <c r="BE247" i="27" s="1"/>
  <c r="BC248" i="27" a="1"/>
  <c r="BC248" i="27" s="1"/>
  <c r="BE249" i="27" a="1"/>
  <c r="BE249" i="27" s="1"/>
  <c r="BC250" i="27" a="1"/>
  <c r="BC250" i="27" s="1"/>
  <c r="BE251" i="27" a="1"/>
  <c r="BE251" i="27" s="1"/>
  <c r="BC252" i="27" a="1"/>
  <c r="BC252" i="27" s="1"/>
  <c r="BH252" i="27" a="1"/>
  <c r="BH252" i="27" s="1"/>
  <c r="BF253" i="27" a="1"/>
  <c r="BF253" i="27" s="1"/>
  <c r="BI254" i="27" a="1"/>
  <c r="BI254" i="27" s="1"/>
  <c r="BD256" i="27" a="1"/>
  <c r="BD256" i="27" s="1"/>
  <c r="BI256" i="27" a="1"/>
  <c r="BI256" i="27" s="1"/>
  <c r="BD258" i="27" a="1"/>
  <c r="BD258" i="27" s="1"/>
  <c r="BG259" i="27" a="1"/>
  <c r="BG259" i="27" s="1"/>
  <c r="BH261" i="27" a="1"/>
  <c r="BH261" i="27" s="1"/>
  <c r="BF262" i="27" a="1"/>
  <c r="BF262" i="27" s="1"/>
  <c r="BH263" i="27" a="1"/>
  <c r="BH263" i="27" s="1"/>
  <c r="BC265" i="27" a="1"/>
  <c r="BC265" i="27" s="1"/>
  <c r="BF266" i="27" a="1"/>
  <c r="BF266" i="27" s="1"/>
  <c r="BH267" i="27" a="1"/>
  <c r="BH267" i="27" s="1"/>
  <c r="BF268" i="27" a="1"/>
  <c r="BF268" i="27" s="1"/>
  <c r="BD269" i="27" a="1"/>
  <c r="BD269" i="27" s="1"/>
  <c r="BI269" i="27" a="1"/>
  <c r="BI269" i="27" s="1"/>
  <c r="BD271" i="27" a="1"/>
  <c r="BD271" i="27" s="1"/>
  <c r="BG272" i="27" a="1"/>
  <c r="BG272" i="27" s="1"/>
  <c r="BD274" i="27" a="1"/>
  <c r="BD274" i="27" s="1"/>
  <c r="BG236" i="27" a="1"/>
  <c r="BG236" i="27" s="1"/>
  <c r="BF237" i="27" a="1"/>
  <c r="BF237" i="27" s="1"/>
  <c r="BH238" i="27" a="1"/>
  <c r="BH238" i="27" s="1"/>
  <c r="BF239" i="27" a="1"/>
  <c r="BF239" i="27" s="1"/>
  <c r="BD242" i="27" a="1"/>
  <c r="BD242" i="27" s="1"/>
  <c r="BI242" i="27" a="1"/>
  <c r="BI242" i="27" s="1"/>
  <c r="BD244" i="27" a="1"/>
  <c r="BD244" i="27" s="1"/>
  <c r="BI244" i="27" a="1"/>
  <c r="BI244" i="27" s="1"/>
  <c r="BD246" i="27" a="1"/>
  <c r="BD246" i="27" s="1"/>
  <c r="BG247" i="27" a="1"/>
  <c r="BG247" i="27" s="1"/>
  <c r="BI248" i="27" a="1"/>
  <c r="BI248" i="27" s="1"/>
  <c r="BG249" i="27" a="1"/>
  <c r="BG249" i="27" s="1"/>
  <c r="BE250" i="27" a="1"/>
  <c r="BE250" i="27" s="1"/>
  <c r="BG251" i="27" a="1"/>
  <c r="BG251" i="27" s="1"/>
  <c r="BH253" i="27" a="1"/>
  <c r="BH253" i="27" s="1"/>
  <c r="BF254" i="27" a="1"/>
  <c r="BF254" i="27" s="1"/>
  <c r="BH255" i="27" a="1"/>
  <c r="BH255" i="27" s="1"/>
  <c r="BF256" i="27" a="1"/>
  <c r="BF256" i="27" s="1"/>
  <c r="BD257" i="27" a="1"/>
  <c r="BD257" i="27" s="1"/>
  <c r="BD259" i="27" a="1"/>
  <c r="BD259" i="27" s="1"/>
  <c r="BG260" i="27" a="1"/>
  <c r="BG260" i="27" s="1"/>
  <c r="BE263" i="27" a="1"/>
  <c r="BE263" i="27" s="1"/>
  <c r="BC264" i="27" a="1"/>
  <c r="BC264" i="27" s="1"/>
  <c r="BE265" i="27" a="1"/>
  <c r="BE265" i="27" s="1"/>
  <c r="BC266" i="27" a="1"/>
  <c r="BC266" i="27" s="1"/>
  <c r="BE267" i="27" a="1"/>
  <c r="BE267" i="27" s="1"/>
  <c r="BC268" i="27" a="1"/>
  <c r="BC268" i="27" s="1"/>
  <c r="BH268" i="27" a="1"/>
  <c r="BH268" i="27" s="1"/>
  <c r="BF269" i="27" a="1"/>
  <c r="BF269" i="27" s="1"/>
  <c r="BH270" i="27" a="1"/>
  <c r="BH270" i="27" s="1"/>
  <c r="BF271" i="27" a="1"/>
  <c r="BF271" i="27" s="1"/>
  <c r="BG273" i="27" a="1"/>
  <c r="BG273" i="27" s="1"/>
  <c r="BG274" i="27" a="1"/>
  <c r="BG274" i="27" s="1"/>
  <c r="BD236" i="27" a="1"/>
  <c r="BD236" i="27" s="1"/>
  <c r="BE196" i="27" a="1"/>
  <c r="BE196" i="27" s="1"/>
  <c r="BG198" i="27" a="1"/>
  <c r="BG198" i="27" s="1"/>
  <c r="BI200" i="27" a="1"/>
  <c r="BI200" i="27" s="1"/>
  <c r="BD203" i="27" a="1"/>
  <c r="BD203" i="27" s="1"/>
  <c r="BF205" i="27" a="1"/>
  <c r="BF205" i="27" s="1"/>
  <c r="BH207" i="27" a="1"/>
  <c r="BH207" i="27" s="1"/>
  <c r="BC210" i="27" a="1"/>
  <c r="BC210" i="27" s="1"/>
  <c r="BE212" i="27" a="1"/>
  <c r="BE212" i="27" s="1"/>
  <c r="BG214" i="27" a="1"/>
  <c r="BG214" i="27" s="1"/>
  <c r="BI216" i="27" a="1"/>
  <c r="BI216" i="27" s="1"/>
  <c r="BD238" i="27" a="1"/>
  <c r="BD238" i="27" s="1"/>
  <c r="BI238" i="27" a="1"/>
  <c r="BI238" i="27" s="1"/>
  <c r="BD240" i="27" a="1"/>
  <c r="BD240" i="27" s="1"/>
  <c r="BI240" i="27" a="1"/>
  <c r="BI240" i="27" s="1"/>
  <c r="BG241" i="27" a="1"/>
  <c r="BG241" i="27" s="1"/>
  <c r="BE242" i="27" a="1"/>
  <c r="BE242" i="27" s="1"/>
  <c r="BG243" i="27" a="1"/>
  <c r="BG243" i="27" s="1"/>
  <c r="BG245" i="27" a="1"/>
  <c r="BG245" i="27" s="1"/>
  <c r="BE246" i="27" a="1"/>
  <c r="BE246" i="27" s="1"/>
  <c r="BC247" i="27" a="1"/>
  <c r="BC247" i="27" s="1"/>
  <c r="BE248" i="27" a="1"/>
  <c r="BE248" i="27" s="1"/>
  <c r="BH249" i="27" a="1"/>
  <c r="BH249" i="27" s="1"/>
  <c r="BC251" i="27" a="1"/>
  <c r="BC251" i="27" s="1"/>
  <c r="BE252" i="27" a="1"/>
  <c r="BE252" i="27" s="1"/>
  <c r="BC253" i="27" a="1"/>
  <c r="BC253" i="27" s="1"/>
  <c r="BD255" i="27" a="1"/>
  <c r="BD255" i="27" s="1"/>
  <c r="BG256" i="27" a="1"/>
  <c r="BG256" i="27" s="1"/>
  <c r="BI257" i="27" a="1"/>
  <c r="BI257" i="27" s="1"/>
  <c r="BG258" i="27" a="1"/>
  <c r="BG258" i="27" s="1"/>
  <c r="BI259" i="27" a="1"/>
  <c r="BI259" i="27" s="1"/>
  <c r="BE261" i="27" a="1"/>
  <c r="BE261" i="27" s="1"/>
  <c r="BC262" i="27" a="1"/>
  <c r="BC262" i="27" s="1"/>
  <c r="BH262" i="27" a="1"/>
  <c r="BH262" i="27" s="1"/>
  <c r="BF263" i="27" a="1"/>
  <c r="BF263" i="27" s="1"/>
  <c r="BH264" i="27" a="1"/>
  <c r="BH264" i="27" s="1"/>
  <c r="BF265" i="27" a="1"/>
  <c r="BF265" i="27" s="1"/>
  <c r="BH266" i="27" a="1"/>
  <c r="BH266" i="27" s="1"/>
  <c r="BF267" i="27" a="1"/>
  <c r="BF267" i="27" s="1"/>
  <c r="BD270" i="27" a="1"/>
  <c r="BD270" i="27" s="1"/>
  <c r="BI270" i="27" a="1"/>
  <c r="BI270" i="27" s="1"/>
  <c r="BD272" i="27" a="1"/>
  <c r="BD272" i="27" s="1"/>
  <c r="BI272" i="27" a="1"/>
  <c r="BI272" i="27" s="1"/>
  <c r="BH273" i="27" a="1"/>
  <c r="BH273" i="27" s="1"/>
  <c r="BH274" i="27" a="1"/>
  <c r="BH274" i="27" s="1"/>
  <c r="BC236" i="27" a="1"/>
  <c r="BC236" i="27" s="1"/>
  <c r="BG195" i="27" a="1"/>
  <c r="BG195" i="27" s="1"/>
  <c r="BF196" i="27" a="1"/>
  <c r="BF196" i="27" s="1"/>
  <c r="BD197" i="27" a="1"/>
  <c r="BD197" i="27" s="1"/>
  <c r="BI197" i="27" a="1"/>
  <c r="BI197" i="27" s="1"/>
  <c r="BH198" i="27" a="1"/>
  <c r="BH198" i="27" s="1"/>
  <c r="BF199" i="27" a="1"/>
  <c r="BF199" i="27" s="1"/>
  <c r="BD200" i="27" a="1"/>
  <c r="BD200" i="27" s="1"/>
  <c r="BC201" i="27" a="1"/>
  <c r="BC201" i="27" s="1"/>
  <c r="BH201" i="27" a="1"/>
  <c r="BH201" i="27" s="1"/>
  <c r="BF202" i="27" a="1"/>
  <c r="BF202" i="27" s="1"/>
  <c r="BE203" i="27" a="1"/>
  <c r="BE203" i="27" s="1"/>
  <c r="BG238" i="27" a="1"/>
  <c r="BG238" i="27" s="1"/>
  <c r="BI239" i="27" a="1"/>
  <c r="BI239" i="27" s="1"/>
  <c r="BE241" i="27" a="1"/>
  <c r="BE241" i="27" s="1"/>
  <c r="BC244" i="27" a="1"/>
  <c r="BC244" i="27" s="1"/>
  <c r="BH246" i="27" a="1"/>
  <c r="BH246" i="27" s="1"/>
  <c r="BF249" i="27" a="1"/>
  <c r="BF249" i="27" s="1"/>
  <c r="BH250" i="27" a="1"/>
  <c r="BH250" i="27" s="1"/>
  <c r="BG257" i="27" a="1"/>
  <c r="BG257" i="27" s="1"/>
  <c r="BC259" i="27" a="1"/>
  <c r="BC259" i="27" s="1"/>
  <c r="BE260" i="27" a="1"/>
  <c r="BE260" i="27" s="1"/>
  <c r="BD263" i="27" a="1"/>
  <c r="BD263" i="27" s="1"/>
  <c r="BF264" i="27" a="1"/>
  <c r="BF264" i="27" s="1"/>
  <c r="BI265" i="27" a="1"/>
  <c r="BI265" i="27" s="1"/>
  <c r="BD267" i="27" a="1"/>
  <c r="BD267" i="27" s="1"/>
  <c r="BG268" i="27" a="1"/>
  <c r="BG268" i="27" s="1"/>
  <c r="BE274" i="27" a="1"/>
  <c r="BE274" i="27" s="1"/>
  <c r="BE195" i="27" a="1"/>
  <c r="BE195" i="27" s="1"/>
  <c r="BI198" i="27" a="1"/>
  <c r="BI198" i="27" s="1"/>
  <c r="BC200" i="27" a="1"/>
  <c r="BC200" i="27" s="1"/>
  <c r="BE201" i="27" a="1"/>
  <c r="BE201" i="27" s="1"/>
  <c r="BG202" i="27" a="1"/>
  <c r="BG202" i="27" s="1"/>
  <c r="BH203" i="27" a="1"/>
  <c r="BH203" i="27" s="1"/>
  <c r="BG204" i="27" a="1"/>
  <c r="BG204" i="27" s="1"/>
  <c r="BG205" i="27" a="1"/>
  <c r="BG205" i="27" s="1"/>
  <c r="BE207" i="27" a="1"/>
  <c r="BE207" i="27" s="1"/>
  <c r="BC209" i="27" a="1"/>
  <c r="BC209" i="27" s="1"/>
  <c r="BH210" i="27" a="1"/>
  <c r="BH210" i="27" s="1"/>
  <c r="BG211" i="27" a="1"/>
  <c r="BG211" i="27" s="1"/>
  <c r="BE213" i="27" a="1"/>
  <c r="BE213" i="27" s="1"/>
  <c r="BC215" i="27" a="1"/>
  <c r="BC215" i="27" s="1"/>
  <c r="BH216" i="27" a="1"/>
  <c r="BH216" i="27" s="1"/>
  <c r="BD219" i="27" a="1"/>
  <c r="BD219" i="27" s="1"/>
  <c r="BF221" i="27" a="1"/>
  <c r="BF221" i="27" s="1"/>
  <c r="BH223" i="27" a="1"/>
  <c r="BH223" i="27" s="1"/>
  <c r="BC226" i="27" a="1"/>
  <c r="BC226" i="27" s="1"/>
  <c r="BE228" i="27" a="1"/>
  <c r="BE228" i="27" s="1"/>
  <c r="BG230" i="27" a="1"/>
  <c r="BG230" i="27" s="1"/>
  <c r="BD232" i="27" a="1"/>
  <c r="BD232" i="27" s="1"/>
  <c r="BH194" i="27" a="1"/>
  <c r="BH194" i="27" s="1"/>
  <c r="BE214" i="27" a="1"/>
  <c r="BE214" i="27" s="1"/>
  <c r="BC217" i="27" a="1"/>
  <c r="BC217" i="27" s="1"/>
  <c r="BF218" i="27" a="1"/>
  <c r="BF218" i="27" s="1"/>
  <c r="BC220" i="27" a="1"/>
  <c r="BC220" i="27" s="1"/>
  <c r="BG221" i="27" a="1"/>
  <c r="BG221" i="27" s="1"/>
  <c r="BC223" i="27" a="1"/>
  <c r="BC223" i="27" s="1"/>
  <c r="BG224" i="27" a="1"/>
  <c r="BG224" i="27" s="1"/>
  <c r="BE225" i="27" a="1"/>
  <c r="BE225" i="27" s="1"/>
  <c r="BI226" i="27" a="1"/>
  <c r="BI226" i="27" s="1"/>
  <c r="BF228" i="27" a="1"/>
  <c r="BF228" i="27" s="1"/>
  <c r="BI229" i="27" a="1"/>
  <c r="BI229" i="27" s="1"/>
  <c r="BF231" i="27" a="1"/>
  <c r="BF231" i="27" s="1"/>
  <c r="BE237" i="27" a="1"/>
  <c r="BE237" i="27" s="1"/>
  <c r="BC240" i="27" a="1"/>
  <c r="BC240" i="27" s="1"/>
  <c r="BF241" i="27" a="1"/>
  <c r="BF241" i="27" s="1"/>
  <c r="BH242" i="27" a="1"/>
  <c r="BH242" i="27" s="1"/>
  <c r="BF245" i="27" a="1"/>
  <c r="BF245" i="27" s="1"/>
  <c r="BI246" i="27" a="1"/>
  <c r="BI246" i="27" s="1"/>
  <c r="BD248" i="27" a="1"/>
  <c r="BD248" i="27" s="1"/>
  <c r="BI250" i="27" a="1"/>
  <c r="BI250" i="27" s="1"/>
  <c r="BD252" i="27" a="1"/>
  <c r="BD252" i="27" s="1"/>
  <c r="BG253" i="27" a="1"/>
  <c r="BG253" i="27" s="1"/>
  <c r="BC255" i="27" a="1"/>
  <c r="BC255" i="27" s="1"/>
  <c r="BE256" i="27" a="1"/>
  <c r="BE256" i="27" s="1"/>
  <c r="BH257" i="27" a="1"/>
  <c r="BH257" i="27" s="1"/>
  <c r="BF260" i="27" a="1"/>
  <c r="BF260" i="27" s="1"/>
  <c r="BI261" i="27" a="1"/>
  <c r="BI261" i="27" s="1"/>
  <c r="BG264" i="27" a="1"/>
  <c r="BG264" i="27" s="1"/>
  <c r="BC270" i="27" a="1"/>
  <c r="BC270" i="27" s="1"/>
  <c r="BE271" i="27" a="1"/>
  <c r="BE271" i="27" s="1"/>
  <c r="BH272" i="27" a="1"/>
  <c r="BH272" i="27" s="1"/>
  <c r="BF274" i="27" a="1"/>
  <c r="BF274" i="27" s="1"/>
  <c r="BG196" i="27" a="1"/>
  <c r="BG196" i="27" s="1"/>
  <c r="BH197" i="27" a="1"/>
  <c r="BH197" i="27" s="1"/>
  <c r="BC199" i="27" a="1"/>
  <c r="BC199" i="27" s="1"/>
  <c r="BE200" i="27" a="1"/>
  <c r="BE200" i="27" s="1"/>
  <c r="BF201" i="27" a="1"/>
  <c r="BF201" i="27" s="1"/>
  <c r="BH202" i="27" a="1"/>
  <c r="BH202" i="27" s="1"/>
  <c r="BI203" i="27" a="1"/>
  <c r="BI203" i="27" s="1"/>
  <c r="BH204" i="27" a="1"/>
  <c r="BH204" i="27" s="1"/>
  <c r="BF206" i="27" a="1"/>
  <c r="BF206" i="27" s="1"/>
  <c r="BD208" i="27" a="1"/>
  <c r="BD208" i="27" s="1"/>
  <c r="BI209" i="27" a="1"/>
  <c r="BI209" i="27" s="1"/>
  <c r="BI210" i="27" a="1"/>
  <c r="BI210" i="27" s="1"/>
  <c r="BH211" i="27" a="1"/>
  <c r="BH211" i="27" s="1"/>
  <c r="BG212" i="27" a="1"/>
  <c r="BG212" i="27" s="1"/>
  <c r="BF213" i="27" a="1"/>
  <c r="BF213" i="27" s="1"/>
  <c r="BD215" i="27" a="1"/>
  <c r="BD215" i="27" s="1"/>
  <c r="BC216" i="27" a="1"/>
  <c r="BC216" i="27" s="1"/>
  <c r="BH217" i="27" a="1"/>
  <c r="BH217" i="27" s="1"/>
  <c r="BE219" i="27" a="1"/>
  <c r="BE219" i="27" s="1"/>
  <c r="BH220" i="27" a="1"/>
  <c r="BH220" i="27" s="1"/>
  <c r="BE222" i="27" a="1"/>
  <c r="BE222" i="27" s="1"/>
  <c r="BI223" i="27" a="1"/>
  <c r="BI223" i="27" s="1"/>
  <c r="BD226" i="27" a="1"/>
  <c r="BD226" i="27" s="1"/>
  <c r="BG227" i="27" a="1"/>
  <c r="BG227" i="27" s="1"/>
  <c r="BD229" i="27" a="1"/>
  <c r="BD229" i="27" s="1"/>
  <c r="BH230" i="27" a="1"/>
  <c r="BH230" i="27" s="1"/>
  <c r="BC242" i="27" a="1"/>
  <c r="BC242" i="27" s="1"/>
  <c r="BE243" i="27" a="1"/>
  <c r="BE243" i="27" s="1"/>
  <c r="BH244" i="27" a="1"/>
  <c r="BH244" i="27" s="1"/>
  <c r="BC246" i="27" a="1"/>
  <c r="BC246" i="27" s="1"/>
  <c r="BF247" i="27" a="1"/>
  <c r="BF247" i="27" s="1"/>
  <c r="BH248" i="27" a="1"/>
  <c r="BH248" i="27" s="1"/>
  <c r="BF251" i="27" a="1"/>
  <c r="BF251" i="27" s="1"/>
  <c r="BD254" i="27" a="1"/>
  <c r="BD254" i="27" s="1"/>
  <c r="BG255" i="27" a="1"/>
  <c r="BG255" i="27" s="1"/>
  <c r="BE258" i="27" a="1"/>
  <c r="BE258" i="27" s="1"/>
  <c r="BC261" i="27" a="1"/>
  <c r="BC261" i="27" s="1"/>
  <c r="BD265" i="27" a="1"/>
  <c r="BD265" i="27" s="1"/>
  <c r="BG270" i="27" a="1"/>
  <c r="BG270" i="27" s="1"/>
  <c r="BI271" i="27" a="1"/>
  <c r="BI271" i="27" s="1"/>
  <c r="BE273" i="27" a="1"/>
  <c r="BE273" i="27" s="1"/>
  <c r="BF236" i="27" a="1"/>
  <c r="BF236" i="27" s="1"/>
  <c r="BI195" i="27" a="1"/>
  <c r="BI195" i="27" s="1"/>
  <c r="BC197" i="27" a="1"/>
  <c r="BC197" i="27" s="1"/>
  <c r="BE198" i="27" a="1"/>
  <c r="BE198" i="27" s="1"/>
  <c r="BI201" i="27" a="1"/>
  <c r="BI201" i="27" s="1"/>
  <c r="BC203" i="27" a="1"/>
  <c r="BC203" i="27" s="1"/>
  <c r="BD204" i="27" a="1"/>
  <c r="BD204" i="27" s="1"/>
  <c r="BI205" i="27" a="1"/>
  <c r="BI205" i="27" s="1"/>
  <c r="BG207" i="27" a="1"/>
  <c r="BG207" i="27" s="1"/>
  <c r="BG208" i="27" a="1"/>
  <c r="BG208" i="27" s="1"/>
  <c r="BF209" i="27" a="1"/>
  <c r="BF209" i="27" s="1"/>
  <c r="BE210" i="27" a="1"/>
  <c r="BE210" i="27" s="1"/>
  <c r="BD211" i="27" a="1"/>
  <c r="BD211" i="27" s="1"/>
  <c r="BC212" i="27" a="1"/>
  <c r="BC212" i="27" s="1"/>
  <c r="BI212" i="27" a="1"/>
  <c r="BI212" i="27" s="1"/>
  <c r="BH213" i="27" a="1"/>
  <c r="BH213" i="27" s="1"/>
  <c r="BH214" i="27" a="1"/>
  <c r="BH214" i="27" s="1"/>
  <c r="BF216" i="27" a="1"/>
  <c r="BF216" i="27" s="1"/>
  <c r="BC218" i="27" a="1"/>
  <c r="BC218" i="27" s="1"/>
  <c r="BE220" i="27" a="1"/>
  <c r="BE220" i="27" s="1"/>
  <c r="BG222" i="27" a="1"/>
  <c r="BG222" i="27" s="1"/>
  <c r="BI224" i="27" a="1"/>
  <c r="BI224" i="27" s="1"/>
  <c r="BD227" i="27" a="1"/>
  <c r="BD227" i="27" s="1"/>
  <c r="BF229" i="27" a="1"/>
  <c r="BF229" i="27" s="1"/>
  <c r="BH231" i="27" a="1"/>
  <c r="BH231" i="27" s="1"/>
  <c r="BC194" i="27" a="1"/>
  <c r="BC194" i="27" s="1"/>
  <c r="BD224" i="27" a="1"/>
  <c r="BD224" i="27" s="1"/>
  <c r="BF226" i="27" a="1"/>
  <c r="BF226" i="27" s="1"/>
  <c r="BC228" i="27" a="1"/>
  <c r="BC228" i="27" s="1"/>
  <c r="BH228" i="27" a="1"/>
  <c r="BH228" i="27" s="1"/>
  <c r="BE230" i="27" a="1"/>
  <c r="BE230" i="27" s="1"/>
  <c r="BI231" i="27" a="1"/>
  <c r="BI231" i="27" s="1"/>
  <c r="BE194" i="27" a="1"/>
  <c r="BE194" i="27" s="1"/>
  <c r="BE238" i="27" a="1"/>
  <c r="BE238" i="27" s="1"/>
  <c r="BC245" i="27" a="1"/>
  <c r="BC245" i="27" s="1"/>
  <c r="BF246" i="27" a="1"/>
  <c r="BF246" i="27" s="1"/>
  <c r="BC249" i="27" a="1"/>
  <c r="BC249" i="27" s="1"/>
  <c r="BH251" i="27" a="1"/>
  <c r="BH251" i="27" s="1"/>
  <c r="BG254" i="27" a="1"/>
  <c r="BG254" i="27" s="1"/>
  <c r="BE257" i="27" a="1"/>
  <c r="BE257" i="27" s="1"/>
  <c r="BF261" i="27" a="1"/>
  <c r="BF261" i="27" s="1"/>
  <c r="BD264" i="27" a="1"/>
  <c r="BD264" i="27" s="1"/>
  <c r="BD268" i="27" a="1"/>
  <c r="BD268" i="27" s="1"/>
  <c r="BF204" i="27" a="1"/>
  <c r="BF204" i="27" s="1"/>
  <c r="BC207" i="27" a="1"/>
  <c r="BC207" i="27" s="1"/>
  <c r="BC238" i="27" a="1"/>
  <c r="BC238" i="27" s="1"/>
  <c r="BE239" i="27" a="1"/>
  <c r="BE239" i="27" s="1"/>
  <c r="BH240" i="27" a="1"/>
  <c r="BH240" i="27" s="1"/>
  <c r="BF243" i="27" a="1"/>
  <c r="BF243" i="27" s="1"/>
  <c r="BD250" i="27" a="1"/>
  <c r="BD250" i="27" s="1"/>
  <c r="BI252" i="27" a="1"/>
  <c r="BI252" i="27" s="1"/>
  <c r="BE254" i="27" a="1"/>
  <c r="BE254" i="27" s="1"/>
  <c r="BC257" i="27" a="1"/>
  <c r="BC257" i="27" s="1"/>
  <c r="BF258" i="27" a="1"/>
  <c r="BF258" i="27" s="1"/>
  <c r="BH259" i="27" a="1"/>
  <c r="BH259" i="27" s="1"/>
  <c r="BD261" i="27" a="1"/>
  <c r="BD261" i="27" s="1"/>
  <c r="BG262" i="27" a="1"/>
  <c r="BG262" i="27" s="1"/>
  <c r="BI263" i="27" a="1"/>
  <c r="BI263" i="27" s="1"/>
  <c r="BG266" i="27" a="1"/>
  <c r="BG266" i="27" s="1"/>
  <c r="BI267" i="27" a="1"/>
  <c r="BI267" i="27" s="1"/>
  <c r="BE269" i="27" a="1"/>
  <c r="BE269" i="27" s="1"/>
  <c r="BC272" i="27" a="1"/>
  <c r="BC272" i="27" s="1"/>
  <c r="BF273" i="27" a="1"/>
  <c r="BF273" i="27" s="1"/>
  <c r="BE236" i="27" a="1"/>
  <c r="BE236" i="27" s="1"/>
  <c r="BC196" i="27" a="1"/>
  <c r="BC196" i="27" s="1"/>
  <c r="BG199" i="27" a="1"/>
  <c r="BG199" i="27" s="1"/>
  <c r="BH200" i="27" a="1"/>
  <c r="BH200" i="27" s="1"/>
  <c r="BD202" i="27" a="1"/>
  <c r="BD202" i="27" s="1"/>
  <c r="BE204" i="27" a="1"/>
  <c r="BE204" i="27" s="1"/>
  <c r="BD205" i="27" a="1"/>
  <c r="BD205" i="27" s="1"/>
  <c r="BC206" i="27" a="1"/>
  <c r="BC206" i="27" s="1"/>
  <c r="BI206" i="27" a="1"/>
  <c r="BI206" i="27" s="1"/>
  <c r="BI207" i="27" a="1"/>
  <c r="BI207" i="27" s="1"/>
  <c r="BG209" i="27" a="1"/>
  <c r="BG209" i="27" s="1"/>
  <c r="BE211" i="27" a="1"/>
  <c r="BE211" i="27" s="1"/>
  <c r="BC213" i="27" a="1"/>
  <c r="BC213" i="27" s="1"/>
  <c r="BI213" i="27" a="1"/>
  <c r="BI213" i="27" s="1"/>
  <c r="BG215" i="27" a="1"/>
  <c r="BG215" i="27" s="1"/>
  <c r="BE217" i="27" a="1"/>
  <c r="BE217" i="27" s="1"/>
  <c r="BD218" i="27" a="1"/>
  <c r="BD218" i="27" s="1"/>
  <c r="BI218" i="27" a="1"/>
  <c r="BI218" i="27" s="1"/>
  <c r="BG219" i="27" a="1"/>
  <c r="BG219" i="27" s="1"/>
  <c r="BF220" i="27" a="1"/>
  <c r="BF220" i="27" s="1"/>
  <c r="BD221" i="27" a="1"/>
  <c r="BD221" i="27" s="1"/>
  <c r="BI221" i="27" a="1"/>
  <c r="BI221" i="27" s="1"/>
  <c r="BH222" i="27" a="1"/>
  <c r="BH222" i="27" s="1"/>
  <c r="BF223" i="27" a="1"/>
  <c r="BF223" i="27" s="1"/>
  <c r="BC225" i="27" a="1"/>
  <c r="BC225" i="27" s="1"/>
  <c r="BH225" i="27" a="1"/>
  <c r="BH225" i="27" s="1"/>
  <c r="BE227" i="27" a="1"/>
  <c r="BE227" i="27" s="1"/>
  <c r="BG229" i="27" a="1"/>
  <c r="BG229" i="27" s="1"/>
  <c r="BC231" i="27" a="1"/>
  <c r="BC231" i="27" s="1"/>
  <c r="BH232" i="27" a="1"/>
  <c r="BH232" i="27" s="1"/>
  <c r="BG239" i="27" a="1"/>
  <c r="BG239" i="27" s="1"/>
  <c r="BH247" i="27" a="1"/>
  <c r="BH247" i="27" s="1"/>
  <c r="BF250" i="27" a="1"/>
  <c r="BF250" i="27" s="1"/>
  <c r="BD253" i="27" a="1"/>
  <c r="BD253" i="27" s="1"/>
  <c r="BI255" i="27" a="1"/>
  <c r="BI255" i="27" s="1"/>
  <c r="BC260" i="27" a="1"/>
  <c r="BC260" i="27" s="1"/>
  <c r="BI262" i="27" a="1"/>
  <c r="BI262" i="27" s="1"/>
  <c r="BI266" i="27" a="1"/>
  <c r="BI266" i="27" s="1"/>
  <c r="BG269" i="27" a="1"/>
  <c r="BG269" i="27" s="1"/>
  <c r="BE197" i="27" a="1"/>
  <c r="BE197" i="27" s="1"/>
  <c r="BF198" i="27" a="1"/>
  <c r="BF198" i="27" s="1"/>
  <c r="BI199" i="27" a="1"/>
  <c r="BI199" i="27" s="1"/>
  <c r="BF203" i="27" a="1"/>
  <c r="BF203" i="27" s="1"/>
  <c r="BD206" i="27" a="1"/>
  <c r="BD206" i="27" s="1"/>
  <c r="BG237" i="27" a="1"/>
  <c r="BG237" i="27" s="1"/>
  <c r="BC241" i="27" a="1"/>
  <c r="BC241" i="27" s="1"/>
  <c r="BF244" i="27" a="1"/>
  <c r="BF244" i="27" s="1"/>
  <c r="BE255" i="27" a="1"/>
  <c r="BE255" i="27" s="1"/>
  <c r="BE259" i="27" a="1"/>
  <c r="BE259" i="27" s="1"/>
  <c r="BE266" i="27" a="1"/>
  <c r="BE266" i="27" s="1"/>
  <c r="BE270" i="27" a="1"/>
  <c r="BE270" i="27" s="1"/>
  <c r="BI273" i="27" a="1"/>
  <c r="BI273" i="27" s="1"/>
  <c r="BI196" i="27" a="1"/>
  <c r="BI196" i="27" s="1"/>
  <c r="BF200" i="27" a="1"/>
  <c r="BF200" i="27" s="1"/>
  <c r="BG203" i="27" a="1"/>
  <c r="BG203" i="27" s="1"/>
  <c r="BE208" i="27" a="1"/>
  <c r="BE208" i="27" s="1"/>
  <c r="BD210" i="27" a="1"/>
  <c r="BD210" i="27" s="1"/>
  <c r="BI211" i="27" a="1"/>
  <c r="BI211" i="27" s="1"/>
  <c r="BG213" i="27" a="1"/>
  <c r="BG213" i="27" s="1"/>
  <c r="BE215" i="27" a="1"/>
  <c r="BE215" i="27" s="1"/>
  <c r="BG218" i="27" a="1"/>
  <c r="BG218" i="27" s="1"/>
  <c r="BD223" i="27" a="1"/>
  <c r="BD223" i="27" s="1"/>
  <c r="BH227" i="27" a="1"/>
  <c r="BH227" i="27" s="1"/>
  <c r="BE232" i="27" a="1"/>
  <c r="BE232" i="27" s="1"/>
  <c r="BD217" i="27" a="1"/>
  <c r="BD217" i="27" s="1"/>
  <c r="BD220" i="27" a="1"/>
  <c r="BD220" i="27" s="1"/>
  <c r="BE223" i="27" a="1"/>
  <c r="BE223" i="27" s="1"/>
  <c r="BE226" i="27" a="1"/>
  <c r="BE226" i="27" s="1"/>
  <c r="BI227" i="27" a="1"/>
  <c r="BI227" i="27" s="1"/>
  <c r="BI230" i="27" a="1"/>
  <c r="BI230" i="27" s="1"/>
  <c r="BG263" i="27" a="1"/>
  <c r="BG263" i="27" s="1"/>
  <c r="BC198" i="27" a="1"/>
  <c r="BC198" i="27" s="1"/>
  <c r="BF210" i="27" a="1"/>
  <c r="BF210" i="27" s="1"/>
  <c r="BF217" i="27" a="1"/>
  <c r="BF217" i="27" s="1"/>
  <c r="BD231" i="27" a="1"/>
  <c r="BD231" i="27" s="1"/>
  <c r="BH256" i="27" a="1"/>
  <c r="BH256" i="27" s="1"/>
  <c r="BC195" i="27" a="1"/>
  <c r="BC195" i="27" s="1"/>
  <c r="BH206" i="27" a="1"/>
  <c r="BH206" i="27" s="1"/>
  <c r="BD214" i="27" a="1"/>
  <c r="BD214" i="27" s="1"/>
  <c r="BG220" i="27" a="1"/>
  <c r="BG220" i="27" s="1"/>
  <c r="BH226" i="27" a="1"/>
  <c r="BH226" i="27" s="1"/>
  <c r="BI232" i="27" a="1"/>
  <c r="BI232" i="27" s="1"/>
  <c r="BH237" i="27" a="1"/>
  <c r="BH237" i="27" s="1"/>
  <c r="BH241" i="27" a="1"/>
  <c r="BH241" i="27" s="1"/>
  <c r="BD245" i="27" a="1"/>
  <c r="BD245" i="27" s="1"/>
  <c r="BF248" i="27" a="1"/>
  <c r="BF248" i="27" s="1"/>
  <c r="BF252" i="27" a="1"/>
  <c r="BF252" i="27" s="1"/>
  <c r="BC256" i="27" a="1"/>
  <c r="BC256" i="27" s="1"/>
  <c r="BF259" i="27" a="1"/>
  <c r="BF259" i="27" s="1"/>
  <c r="BI274" i="27" a="1"/>
  <c r="BI274" i="27" s="1"/>
  <c r="BG197" i="27" a="1"/>
  <c r="BG197" i="27" s="1"/>
  <c r="BG200" i="27" a="1"/>
  <c r="BG200" i="27" s="1"/>
  <c r="BC204" i="27" a="1"/>
  <c r="BC204" i="27" s="1"/>
  <c r="BE206" i="27" a="1"/>
  <c r="BE206" i="27" s="1"/>
  <c r="BF208" i="27" a="1"/>
  <c r="BF208" i="27" s="1"/>
  <c r="BF215" i="27" a="1"/>
  <c r="BF215" i="27" s="1"/>
  <c r="BH218" i="27" a="1"/>
  <c r="BH218" i="27" s="1"/>
  <c r="BH221" i="27" a="1"/>
  <c r="BH221" i="27" s="1"/>
  <c r="BH224" i="27" a="1"/>
  <c r="BH224" i="27" s="1"/>
  <c r="BE229" i="27" a="1"/>
  <c r="BE229" i="27" s="1"/>
  <c r="BD249" i="27" a="1"/>
  <c r="BD249" i="27" s="1"/>
  <c r="BD201" i="27" a="1"/>
  <c r="BD201" i="27" s="1"/>
  <c r="BD212" i="27" a="1"/>
  <c r="BD212" i="27" s="1"/>
  <c r="BG226" i="27" a="1"/>
  <c r="BG226" i="27" s="1"/>
  <c r="BF242" i="27" a="1"/>
  <c r="BF242" i="27" s="1"/>
  <c r="BG267" i="27" a="1"/>
  <c r="BG267" i="27" s="1"/>
  <c r="BI208" i="27" a="1"/>
  <c r="BI208" i="27" s="1"/>
  <c r="BI215" i="27" a="1"/>
  <c r="BI215" i="27" s="1"/>
  <c r="BD222" i="27" a="1"/>
  <c r="BD222" i="27" s="1"/>
  <c r="BD228" i="27" a="1"/>
  <c r="BD228" i="27" s="1"/>
  <c r="BC239" i="27" a="1"/>
  <c r="BC239" i="27" s="1"/>
  <c r="BC243" i="27" a="1"/>
  <c r="BC243" i="27" s="1"/>
  <c r="BI249" i="27" a="1"/>
  <c r="BI249" i="27" s="1"/>
  <c r="BI253" i="27" a="1"/>
  <c r="BI253" i="27" s="1"/>
  <c r="BF195" i="27" a="1"/>
  <c r="BF195" i="27" s="1"/>
  <c r="BI204" i="27" a="1"/>
  <c r="BI204" i="27" s="1"/>
  <c r="BD207" i="27" a="1"/>
  <c r="BD207" i="27" s="1"/>
  <c r="BD209" i="27" a="1"/>
  <c r="BD209" i="27" s="1"/>
  <c r="BD216" i="27" a="1"/>
  <c r="BD216" i="27" s="1"/>
  <c r="BI220" i="27" a="1"/>
  <c r="BI220" i="27" s="1"/>
  <c r="BF225" i="27" a="1"/>
  <c r="BF225" i="27" s="1"/>
  <c r="BC230" i="27" a="1"/>
  <c r="BC230" i="27" s="1"/>
  <c r="BI194" i="27" a="1"/>
  <c r="BI194" i="27" s="1"/>
  <c r="BC211" i="27" a="1"/>
  <c r="BC211" i="27" s="1"/>
  <c r="BF214" i="27" a="1"/>
  <c r="BF214" i="27" s="1"/>
  <c r="BI217" i="27" a="1"/>
  <c r="BI217" i="27" s="1"/>
  <c r="BC221" i="27" a="1"/>
  <c r="BC221" i="27" s="1"/>
  <c r="BF222" i="27" a="1"/>
  <c r="BF222" i="27" s="1"/>
  <c r="BG225" i="27" a="1"/>
  <c r="BG225" i="27" s="1"/>
  <c r="BC227" i="27" a="1"/>
  <c r="BC227" i="27" s="1"/>
  <c r="BD230" i="27" a="1"/>
  <c r="BD230" i="27" s="1"/>
  <c r="BG231" i="27" a="1"/>
  <c r="BG231" i="27" s="1"/>
  <c r="BD247" i="27" a="1"/>
  <c r="BD247" i="27" s="1"/>
  <c r="BC258" i="27" a="1"/>
  <c r="BC258" i="27" s="1"/>
  <c r="BG265" i="27" a="1"/>
  <c r="BG265" i="27" s="1"/>
  <c r="BE199" i="27" a="1"/>
  <c r="BE199" i="27" s="1"/>
  <c r="BE205" i="27" a="1"/>
  <c r="BE205" i="27" s="1"/>
  <c r="BI214" i="27" a="1"/>
  <c r="BI214" i="27" s="1"/>
  <c r="BH219" i="27" a="1"/>
  <c r="BH219" i="27" s="1"/>
  <c r="BI228" i="27" a="1"/>
  <c r="BI228" i="27" s="1"/>
  <c r="BE240" i="27" a="1"/>
  <c r="BE240" i="27" s="1"/>
  <c r="BD251" i="27" a="1"/>
  <c r="BD251" i="27" s="1"/>
  <c r="BD262" i="27" a="1"/>
  <c r="BD262" i="27" s="1"/>
  <c r="BH269" i="27" a="1"/>
  <c r="BH269" i="27" s="1"/>
  <c r="BH196" i="27" a="1"/>
  <c r="BH196" i="27" s="1"/>
  <c r="BC208" i="27" a="1"/>
  <c r="BC208" i="27" s="1"/>
  <c r="BF211" i="27" a="1"/>
  <c r="BF211" i="27" s="1"/>
  <c r="BE218" i="27" a="1"/>
  <c r="BE218" i="27" s="1"/>
  <c r="BE221" i="27" a="1"/>
  <c r="BE221" i="27" s="1"/>
  <c r="BF224" i="27" a="1"/>
  <c r="BF224" i="27" s="1"/>
  <c r="BF227" i="27" a="1"/>
  <c r="BF227" i="27" s="1"/>
  <c r="BF230" i="27" a="1"/>
  <c r="BF230" i="27" s="1"/>
  <c r="BD194" i="27" a="1"/>
  <c r="BD194" i="27" s="1"/>
  <c r="BG252" i="27" a="1"/>
  <c r="BG252" i="27" s="1"/>
  <c r="BI236" i="27" a="1"/>
  <c r="BI236" i="27" s="1"/>
  <c r="BG206" i="27" a="1"/>
  <c r="BG206" i="27" s="1"/>
  <c r="BH215" i="27" a="1"/>
  <c r="BH215" i="27" s="1"/>
  <c r="BH260" i="27" a="1"/>
  <c r="BH260" i="27" s="1"/>
  <c r="BD198" i="27" a="1"/>
  <c r="BD198" i="27" s="1"/>
  <c r="BG210" i="27" a="1"/>
  <c r="BG210" i="27" s="1"/>
  <c r="BG217" i="27" a="1"/>
  <c r="BG217" i="27" s="1"/>
  <c r="BG223" i="27" a="1"/>
  <c r="BG223" i="27" s="1"/>
  <c r="BH229" i="27" a="1"/>
  <c r="BH229" i="27" s="1"/>
  <c r="BI264" i="27" a="1"/>
  <c r="BI264" i="27" s="1"/>
  <c r="BI268" i="27" a="1"/>
  <c r="BI268" i="27" s="1"/>
  <c r="BE272" i="27" a="1"/>
  <c r="BE272" i="27" s="1"/>
  <c r="BH195" i="27" a="1"/>
  <c r="BH195" i="27" s="1"/>
  <c r="BD199" i="27" a="1"/>
  <c r="BD199" i="27" s="1"/>
  <c r="BE202" i="27" a="1"/>
  <c r="BE202" i="27" s="1"/>
  <c r="BC205" i="27" a="1"/>
  <c r="BC205" i="27" s="1"/>
  <c r="BF207" i="27" a="1"/>
  <c r="BF207" i="27" s="1"/>
  <c r="BE209" i="27" a="1"/>
  <c r="BE209" i="27" s="1"/>
  <c r="BH212" i="27" a="1"/>
  <c r="BH212" i="27" s="1"/>
  <c r="BE216" i="27" a="1"/>
  <c r="BE216" i="27" s="1"/>
  <c r="BF219" i="27" a="1"/>
  <c r="BF219" i="27" s="1"/>
  <c r="BC224" i="27" a="1"/>
  <c r="BC224" i="27" s="1"/>
  <c r="BG228" i="27" a="1"/>
  <c r="BG228" i="27" s="1"/>
  <c r="BG194" i="27" a="1"/>
  <c r="BG194" i="27" s="1"/>
  <c r="BH243" i="27" a="1"/>
  <c r="BH243" i="27" s="1"/>
  <c r="BD196" i="27" a="1"/>
  <c r="BD196" i="27" s="1"/>
  <c r="BI202" i="27" a="1"/>
  <c r="BI202" i="27" s="1"/>
  <c r="BD213" i="27" a="1"/>
  <c r="BD213" i="27" s="1"/>
  <c r="BG216" i="27" a="1"/>
  <c r="BG216" i="27" s="1"/>
  <c r="BE224" i="27" a="1"/>
  <c r="BE224" i="27" s="1"/>
  <c r="BF194" i="27" a="1"/>
  <c r="BF194" i="27" s="1"/>
  <c r="BE244" i="27" a="1"/>
  <c r="BE244" i="27" s="1"/>
  <c r="BH258" i="27" a="1"/>
  <c r="BH258" i="27" s="1"/>
  <c r="BD266" i="27" a="1"/>
  <c r="BD266" i="27" s="1"/>
  <c r="BC273" i="27" a="1"/>
  <c r="BC273" i="27" s="1"/>
  <c r="BH205" i="27" a="1"/>
  <c r="BH205" i="27" s="1"/>
  <c r="BH209" i="27" a="1"/>
  <c r="BH209" i="27" s="1"/>
  <c r="BI219" i="27" a="1"/>
  <c r="BI219" i="27" s="1"/>
  <c r="BI222" i="27" a="1"/>
  <c r="BI222" i="27" s="1"/>
  <c r="BI225" i="27" a="1"/>
  <c r="BI225" i="27" s="1"/>
  <c r="BC229" i="27" a="1"/>
  <c r="BC229" i="27" s="1"/>
  <c r="BC232" i="27" a="1"/>
  <c r="BC232" i="27" s="1"/>
  <c r="BF232" i="27" a="1"/>
  <c r="BF232" i="27" s="1"/>
  <c r="BH245" i="27" a="1"/>
  <c r="BH245" i="27" s="1"/>
  <c r="BC271" i="27" a="1"/>
  <c r="BC271" i="27" s="1"/>
  <c r="BH208" i="27" a="1"/>
  <c r="BH208" i="27" s="1"/>
  <c r="BC214" i="27" a="1"/>
  <c r="BC214" i="27" s="1"/>
  <c r="BC222" i="27" a="1"/>
  <c r="BC222" i="27" s="1"/>
  <c r="BG232" i="27" a="1"/>
  <c r="BG232" i="27" s="1"/>
  <c r="BG271" i="27" a="1"/>
  <c r="BG271" i="27" s="1"/>
  <c r="BG201" i="27" a="1"/>
  <c r="BG201" i="27" s="1"/>
  <c r="BF212" i="27" a="1"/>
  <c r="BF212" i="27" s="1"/>
  <c r="BC219" i="27" a="1"/>
  <c r="BC219" i="27" s="1"/>
  <c r="BD225" i="27" a="1"/>
  <c r="BD225" i="27" s="1"/>
  <c r="BE231" i="27" a="1"/>
  <c r="BE231" i="27" s="1"/>
  <c r="BE371" i="27" l="1" a="1"/>
  <c r="BE371" i="27" s="1"/>
  <c r="BE357" i="27" a="1"/>
  <c r="BE357" i="27" s="1"/>
  <c r="BE366" i="27" a="1"/>
  <c r="BE366" i="27" s="1"/>
  <c r="BE363" i="27" a="1"/>
  <c r="BE363" i="27" s="1"/>
  <c r="E26" i="51" s="1"/>
  <c r="H26" i="51" s="1"/>
  <c r="BE374" i="27" a="1"/>
  <c r="BE374" i="27" s="1"/>
  <c r="BO138" i="27" a="1"/>
  <c r="BO138" i="27" s="1"/>
  <c r="BN138" i="27" a="1"/>
  <c r="BN138" i="27" s="1"/>
  <c r="BP138" i="27" a="1"/>
  <c r="BP138" i="27" s="1"/>
  <c r="BP124" i="27" a="1"/>
  <c r="BP124" i="27" s="1"/>
  <c r="BO124" i="27" a="1"/>
  <c r="BO124" i="27" s="1"/>
  <c r="BN124" i="27" a="1"/>
  <c r="BN124" i="27" s="1"/>
  <c r="BP143" i="27" a="1"/>
  <c r="BP143" i="27" s="1"/>
  <c r="BO143" i="27" a="1"/>
  <c r="BO143" i="27" s="1"/>
  <c r="BN143" i="27" a="1"/>
  <c r="BN143" i="27" s="1"/>
  <c r="BN126" i="27" a="1"/>
  <c r="BN126" i="27" s="1"/>
  <c r="BP126" i="27" a="1"/>
  <c r="BP126" i="27" s="1"/>
  <c r="BO126" i="27" a="1"/>
  <c r="BO126" i="27" s="1"/>
  <c r="BP135" i="27" a="1"/>
  <c r="BP135" i="27" s="1"/>
  <c r="BO135" i="27" a="1"/>
  <c r="BO135" i="27" s="1"/>
  <c r="BN135" i="27" a="1"/>
  <c r="BN135" i="27" s="1"/>
  <c r="BD367" i="27" a="1"/>
  <c r="BD367" i="27" s="1"/>
  <c r="D35" i="51" s="1"/>
  <c r="BD366" i="27" a="1"/>
  <c r="BD366" i="27" s="1"/>
  <c r="BE343" i="27" a="1"/>
  <c r="BE343" i="27" s="1"/>
  <c r="BD363" i="27" a="1"/>
  <c r="BD363" i="27" s="1"/>
  <c r="BE350" i="27" a="1"/>
  <c r="BE350" i="27" s="1"/>
  <c r="BE353" i="27" a="1"/>
  <c r="BE353" i="27" s="1"/>
  <c r="BD348" i="27" a="1"/>
  <c r="BD348" i="27" s="1"/>
  <c r="BD365" i="27" a="1"/>
  <c r="BD365" i="27" s="1"/>
  <c r="BD356" i="27" a="1"/>
  <c r="BD356" i="27" s="1"/>
  <c r="BD357" i="27" a="1"/>
  <c r="BD357" i="27" s="1"/>
  <c r="BD351" i="27" a="1"/>
  <c r="BD351" i="27" s="1"/>
  <c r="BE362" i="27" a="1"/>
  <c r="BE362" i="27" s="1"/>
  <c r="BE351" i="27" a="1"/>
  <c r="BE351" i="27" s="1"/>
  <c r="BE360" i="27" a="1"/>
  <c r="BE360" i="27" s="1"/>
  <c r="BD362" i="27" a="1"/>
  <c r="BD362" i="27" s="1"/>
  <c r="BD343" i="27" a="1"/>
  <c r="BD343" i="27" s="1"/>
  <c r="BD361" i="27" a="1"/>
  <c r="BD361" i="27" s="1"/>
  <c r="BD344" i="27" a="1"/>
  <c r="BD344" i="27" s="1"/>
  <c r="BP128" i="27" a="1"/>
  <c r="BP128" i="27" s="1"/>
  <c r="BO128" i="27" a="1"/>
  <c r="BO128" i="27" s="1"/>
  <c r="BN128" i="27" a="1"/>
  <c r="BN128" i="27" s="1"/>
  <c r="BP144" i="27" a="1"/>
  <c r="BP144" i="27" s="1"/>
  <c r="BO144" i="27" a="1"/>
  <c r="BO144" i="27" s="1"/>
  <c r="BN144" i="27" a="1"/>
  <c r="BN144" i="27" s="1"/>
  <c r="BP121" i="27" a="1"/>
  <c r="BP121" i="27" s="1"/>
  <c r="BO121" i="27" a="1"/>
  <c r="BO121" i="27" s="1"/>
  <c r="BN121" i="27" a="1"/>
  <c r="BN121" i="27" s="1"/>
  <c r="BE359" i="27" a="1"/>
  <c r="BE359" i="27" s="1"/>
  <c r="BE348" i="27" a="1"/>
  <c r="BE348" i="27" s="1"/>
  <c r="BP146" i="27" a="1"/>
  <c r="BP146" i="27" s="1"/>
  <c r="BO146" i="27" a="1"/>
  <c r="BO146" i="27" s="1"/>
  <c r="BN146" i="27" a="1"/>
  <c r="BN146" i="27" s="1"/>
  <c r="BD346" i="27" a="1"/>
  <c r="BD346" i="27" s="1"/>
  <c r="BP137" i="27" a="1"/>
  <c r="BP137" i="27" s="1"/>
  <c r="BO137" i="27" a="1"/>
  <c r="BO137" i="27" s="1"/>
  <c r="BN137" i="27" a="1"/>
  <c r="BN137" i="27" s="1"/>
  <c r="BD349" i="27" a="1"/>
  <c r="BD349" i="27" s="1"/>
  <c r="BE342" i="27" a="1"/>
  <c r="BE342" i="27" s="1"/>
  <c r="BD342" i="27" a="1"/>
  <c r="BD342" i="27" s="1"/>
  <c r="D43" i="51" s="1"/>
  <c r="BE355" i="27" a="1"/>
  <c r="BE355" i="27" s="1"/>
  <c r="E20" i="51" s="1"/>
  <c r="H20" i="51" s="1"/>
  <c r="BE344" i="27" a="1"/>
  <c r="BE344" i="27" s="1"/>
  <c r="BD374" i="27" a="1"/>
  <c r="BD374" i="27" s="1"/>
  <c r="BO122" i="27" a="1"/>
  <c r="BO122" i="27" s="1"/>
  <c r="BN122" i="27" a="1"/>
  <c r="BN122" i="27" s="1"/>
  <c r="BP122" i="27" a="1"/>
  <c r="BP122" i="27" s="1"/>
  <c r="BP136" i="27" a="1"/>
  <c r="BP136" i="27" s="1"/>
  <c r="BO136" i="27" a="1"/>
  <c r="BO136" i="27" s="1"/>
  <c r="BN136" i="27" a="1"/>
  <c r="BN136" i="27" s="1"/>
  <c r="BE372" i="27" a="1"/>
  <c r="BE372" i="27" s="1"/>
  <c r="BE347" i="27" a="1"/>
  <c r="BE347" i="27" s="1"/>
  <c r="BE356" i="27" a="1"/>
  <c r="BE356" i="27" s="1"/>
  <c r="E21" i="51" s="1"/>
  <c r="H21" i="51" s="1"/>
  <c r="BE345" i="27" a="1"/>
  <c r="BE345" i="27" s="1"/>
  <c r="BE365" i="27" a="1"/>
  <c r="BE365" i="27" s="1"/>
  <c r="BE373" i="27" a="1"/>
  <c r="BE373" i="27" s="1"/>
  <c r="BD372" i="27" a="1"/>
  <c r="BD372" i="27" s="1"/>
  <c r="D32" i="51" s="1"/>
  <c r="BO114" i="27" a="1"/>
  <c r="BO114" i="27" s="1"/>
  <c r="BN114" i="27" a="1"/>
  <c r="BN114" i="27" s="1"/>
  <c r="BP114" i="27" a="1"/>
  <c r="BP114" i="27" s="1"/>
  <c r="BO127" i="27" a="1"/>
  <c r="BO127" i="27" s="1"/>
  <c r="BN127" i="27" a="1"/>
  <c r="BN127" i="27" s="1"/>
  <c r="BP127" i="27" a="1"/>
  <c r="BP127" i="27" s="1"/>
  <c r="BN125" i="27" a="1"/>
  <c r="BN125" i="27" s="1"/>
  <c r="BP125" i="27" a="1"/>
  <c r="BP125" i="27" s="1"/>
  <c r="BO125" i="27" a="1"/>
  <c r="BO125" i="27" s="1"/>
  <c r="BP132" i="27" a="1"/>
  <c r="BP132" i="27" s="1"/>
  <c r="BO132" i="27" a="1"/>
  <c r="BO132" i="27" s="1"/>
  <c r="BN132" i="27" a="1"/>
  <c r="BN132" i="27" s="1"/>
  <c r="E34" i="51"/>
  <c r="BN134" i="27" a="1"/>
  <c r="BN134" i="27" s="1"/>
  <c r="BP134" i="27" a="1"/>
  <c r="BP134" i="27" s="1"/>
  <c r="BO134" i="27" a="1"/>
  <c r="BO134" i="27" s="1"/>
  <c r="BD369" i="27" a="1"/>
  <c r="BD369" i="27" s="1"/>
  <c r="BD345" i="27" a="1"/>
  <c r="BD345" i="27" s="1"/>
  <c r="BD358" i="27" a="1"/>
  <c r="BD358" i="27" s="1"/>
  <c r="BD350" i="27" a="1"/>
  <c r="BD350" i="27" s="1"/>
  <c r="D16" i="51" s="1"/>
  <c r="G16" i="51" s="1"/>
  <c r="BD353" i="27" a="1"/>
  <c r="BD353" i="27" s="1"/>
  <c r="BD347" i="27" a="1"/>
  <c r="BD347" i="27" s="1"/>
  <c r="BD355" i="27" a="1"/>
  <c r="BD355" i="27" s="1"/>
  <c r="BP130" i="27" a="1"/>
  <c r="BP130" i="27" s="1"/>
  <c r="BO130" i="27" a="1"/>
  <c r="BO130" i="27" s="1"/>
  <c r="BN130" i="27" a="1"/>
  <c r="BN130" i="27" s="1"/>
  <c r="BN142" i="27" a="1"/>
  <c r="BN142" i="27" s="1"/>
  <c r="BP142" i="27" a="1"/>
  <c r="BP142" i="27" s="1"/>
  <c r="BO142" i="27" a="1"/>
  <c r="BO142" i="27" s="1"/>
  <c r="BO131" i="27" a="1"/>
  <c r="BO131" i="27" s="1"/>
  <c r="BN131" i="27" a="1"/>
  <c r="BN131" i="27" s="1"/>
  <c r="BP131" i="27" a="1"/>
  <c r="BP131" i="27" s="1"/>
  <c r="BP140" i="27" a="1"/>
  <c r="BP140" i="27" s="1"/>
  <c r="BO140" i="27" a="1"/>
  <c r="BO140" i="27" s="1"/>
  <c r="BN140" i="27" a="1"/>
  <c r="BN140" i="27" s="1"/>
  <c r="BE364" i="27" a="1"/>
  <c r="BE364" i="27" s="1"/>
  <c r="E27" i="51" s="1"/>
  <c r="BE354" i="27" a="1"/>
  <c r="BE354" i="27" s="1"/>
  <c r="BD354" i="27" a="1"/>
  <c r="BD354" i="27" s="1"/>
  <c r="BE352" i="27" a="1"/>
  <c r="BE352" i="27" s="1"/>
  <c r="E18" i="51" s="1"/>
  <c r="BE361" i="27" a="1"/>
  <c r="BE361" i="27" s="1"/>
  <c r="E24" i="51" s="1"/>
  <c r="H24" i="51" s="1"/>
  <c r="BD359" i="27" a="1"/>
  <c r="BD359" i="27" s="1"/>
  <c r="D22" i="51" s="1"/>
  <c r="BP129" i="27" a="1"/>
  <c r="BP129" i="27" s="1"/>
  <c r="BO129" i="27" a="1"/>
  <c r="BO129" i="27" s="1"/>
  <c r="BN129" i="27" a="1"/>
  <c r="BN129" i="27" s="1"/>
  <c r="BO119" i="27" a="1"/>
  <c r="BO119" i="27" s="1"/>
  <c r="BN119" i="27" a="1"/>
  <c r="BN119" i="27" s="1"/>
  <c r="BP119" i="27" a="1"/>
  <c r="BP119" i="27" s="1"/>
  <c r="BP141" i="27" a="1"/>
  <c r="BP141" i="27" s="1"/>
  <c r="BO141" i="27" a="1"/>
  <c r="BO141" i="27" s="1"/>
  <c r="BN141" i="27" a="1"/>
  <c r="BN141" i="27" s="1"/>
  <c r="BE367" i="27" a="1"/>
  <c r="BE367" i="27" s="1"/>
  <c r="E35" i="51" s="1"/>
  <c r="BD364" i="27" a="1"/>
  <c r="BD364" i="27" s="1"/>
  <c r="BD373" i="27" a="1"/>
  <c r="BD373" i="27" s="1"/>
  <c r="BD360" i="27" a="1"/>
  <c r="BD360" i="27" s="1"/>
  <c r="BO123" i="27" a="1"/>
  <c r="BO123" i="27" s="1"/>
  <c r="BN123" i="27" a="1"/>
  <c r="BN123" i="27" s="1"/>
  <c r="BP123" i="27" a="1"/>
  <c r="BP123" i="27" s="1"/>
  <c r="BN118" i="27" a="1"/>
  <c r="BN118" i="27" s="1"/>
  <c r="BP118" i="27" a="1"/>
  <c r="BP118" i="27" s="1"/>
  <c r="BO118" i="27" a="1"/>
  <c r="BO118" i="27" s="1"/>
  <c r="BP117" i="27" a="1"/>
  <c r="BP117" i="27" s="1"/>
  <c r="BO117" i="27" a="1"/>
  <c r="BO117" i="27" s="1"/>
  <c r="BN117" i="27" a="1"/>
  <c r="BN117" i="27" s="1"/>
  <c r="BO139" i="27" a="1"/>
  <c r="BO139" i="27" s="1"/>
  <c r="BN139" i="27" a="1"/>
  <c r="BN139" i="27" s="1"/>
  <c r="BP139" i="27" a="1"/>
  <c r="BP139" i="27" s="1"/>
  <c r="BE369" i="27" a="1"/>
  <c r="BE369" i="27" s="1"/>
  <c r="BD352" i="27" a="1"/>
  <c r="BD352" i="27" s="1"/>
  <c r="D18" i="51" s="1"/>
  <c r="G18" i="51" s="1"/>
  <c r="BE368" i="27" a="1"/>
  <c r="BE368" i="27" s="1"/>
  <c r="BE358" i="27" a="1"/>
  <c r="BE358" i="27" s="1"/>
  <c r="BE346" i="27" a="1"/>
  <c r="BE346" i="27" s="1"/>
  <c r="BE370" i="27" a="1"/>
  <c r="BE370" i="27" s="1"/>
  <c r="BE349" i="27" a="1"/>
  <c r="BE349" i="27" s="1"/>
  <c r="BD370" i="27" a="1"/>
  <c r="BD370" i="27" s="1"/>
  <c r="BD371" i="27" a="1"/>
  <c r="BD371" i="27" s="1"/>
  <c r="BD368" i="27" a="1"/>
  <c r="BD368" i="27" s="1"/>
  <c r="D28" i="51" s="1"/>
  <c r="BP115" i="27" a="1"/>
  <c r="BP115" i="27" s="1"/>
  <c r="BO115" i="27" a="1"/>
  <c r="BO115" i="27" s="1"/>
  <c r="BN115" i="27" a="1"/>
  <c r="BN115" i="27" s="1"/>
  <c r="BP145" i="27" a="1"/>
  <c r="BP145" i="27" s="1"/>
  <c r="BO145" i="27" a="1"/>
  <c r="BO145" i="27" s="1"/>
  <c r="BN145" i="27" a="1"/>
  <c r="BN145" i="27" s="1"/>
  <c r="BP120" i="27" a="1"/>
  <c r="BP120" i="27" s="1"/>
  <c r="BO120" i="27" a="1"/>
  <c r="BO120" i="27" s="1"/>
  <c r="BN120" i="27" a="1"/>
  <c r="BN120" i="27" s="1"/>
  <c r="BP133" i="27" a="1"/>
  <c r="BP133" i="27" s="1"/>
  <c r="BN133" i="27" a="1"/>
  <c r="BN133" i="27" s="1"/>
  <c r="BO133" i="27" a="1"/>
  <c r="BO133" i="27" s="1"/>
  <c r="BO116" i="27" a="1"/>
  <c r="BO116" i="27" s="1"/>
  <c r="BN116" i="27" a="1"/>
  <c r="BN116" i="27" s="1"/>
  <c r="BP116" i="27" a="1"/>
  <c r="BP116" i="27" s="1"/>
  <c r="E46" i="51"/>
  <c r="E38" i="51"/>
  <c r="E37" i="51"/>
  <c r="E50" i="51"/>
  <c r="E42" i="51"/>
  <c r="E43" i="51"/>
  <c r="E48" i="51"/>
  <c r="E40" i="51"/>
  <c r="E45" i="51"/>
  <c r="E47" i="51"/>
  <c r="E39" i="51"/>
  <c r="E44" i="51"/>
  <c r="E49" i="51"/>
  <c r="E41" i="51"/>
  <c r="BC361" i="27" a="1"/>
  <c r="BC361" i="27" s="1"/>
  <c r="BC367" i="27" a="1"/>
  <c r="BC367" i="27" s="1"/>
  <c r="C35" i="51" s="1"/>
  <c r="BC359" i="27" a="1"/>
  <c r="BC359" i="27" s="1"/>
  <c r="C22" i="51" s="1"/>
  <c r="H18" i="51"/>
  <c r="BC352" i="27" a="1"/>
  <c r="BC352" i="27" s="1"/>
  <c r="BC369" i="27" a="1"/>
  <c r="BC369" i="27" s="1"/>
  <c r="BC345" i="27" a="1"/>
  <c r="BC345" i="27" s="1"/>
  <c r="BC354" i="27" a="1"/>
  <c r="BC354" i="27" s="1"/>
  <c r="BC353" i="27" a="1"/>
  <c r="BC353" i="27" s="1"/>
  <c r="BC355" i="27" a="1"/>
  <c r="BC355" i="27" s="1"/>
  <c r="BC362" i="27" a="1"/>
  <c r="BC362" i="27" s="1"/>
  <c r="C25" i="51" s="1"/>
  <c r="BC343" i="27" a="1"/>
  <c r="BC343" i="27" s="1"/>
  <c r="C10" i="51" s="1"/>
  <c r="BC372" i="27" a="1"/>
  <c r="BC372" i="27" s="1"/>
  <c r="BC371" i="27" a="1"/>
  <c r="BC371" i="27" s="1"/>
  <c r="BC351" i="27" a="1"/>
  <c r="BC351" i="27" s="1"/>
  <c r="BC346" i="27" a="1"/>
  <c r="BC346" i="27" s="1"/>
  <c r="BC374" i="27" a="1"/>
  <c r="BC374" i="27" s="1"/>
  <c r="BC368" i="27" a="1"/>
  <c r="BC368" i="27" s="1"/>
  <c r="BC373" i="27" a="1"/>
  <c r="BC373" i="27" s="1"/>
  <c r="C33" i="51" s="1"/>
  <c r="BC363" i="27" a="1"/>
  <c r="BC363" i="27" s="1"/>
  <c r="BC344" i="27" a="1"/>
  <c r="BC344" i="27" s="1"/>
  <c r="BC348" i="27" a="1"/>
  <c r="BC348" i="27" s="1"/>
  <c r="BC349" i="27" a="1"/>
  <c r="BC349" i="27" s="1"/>
  <c r="BC366" i="27" a="1"/>
  <c r="BC366" i="27" s="1"/>
  <c r="BC357" i="27" a="1"/>
  <c r="BC357" i="27" s="1"/>
  <c r="BC347" i="27" a="1"/>
  <c r="BC347" i="27" s="1"/>
  <c r="C13" i="51" s="1"/>
  <c r="BC364" i="27" a="1"/>
  <c r="BC364" i="27" s="1"/>
  <c r="BC365" i="27" a="1"/>
  <c r="BC365" i="27" s="1"/>
  <c r="BC350" i="27" a="1"/>
  <c r="BC350" i="27" s="1"/>
  <c r="BC360" i="27" a="1"/>
  <c r="BC360" i="27" s="1"/>
  <c r="BC370" i="27" a="1"/>
  <c r="BC370" i="27" s="1"/>
  <c r="C30" i="51" s="1"/>
  <c r="BC358" i="27" a="1"/>
  <c r="BC358" i="27" s="1"/>
  <c r="BC356" i="27" a="1"/>
  <c r="BC356" i="27" s="1"/>
  <c r="C21" i="51" s="1"/>
  <c r="BC342" i="27" a="1"/>
  <c r="BC342" i="27" s="1"/>
  <c r="BU91" i="27"/>
  <c r="BU78" i="27"/>
  <c r="BU99" i="27"/>
  <c r="BU47" i="27"/>
  <c r="BU84" i="27"/>
  <c r="BU106" i="27"/>
  <c r="BU77" i="27"/>
  <c r="BU93" i="27"/>
  <c r="BU98" i="27"/>
  <c r="BU85" i="27"/>
  <c r="BU80" i="27"/>
  <c r="BU82" i="27"/>
  <c r="BU83" i="27"/>
  <c r="BU90" i="27"/>
  <c r="BU105" i="27"/>
  <c r="BU101" i="27"/>
  <c r="BU75" i="27"/>
  <c r="BU76" i="27"/>
  <c r="BU94" i="27"/>
  <c r="BU87" i="27"/>
  <c r="BU89" i="27"/>
  <c r="BU96" i="27"/>
  <c r="BU103" i="27"/>
  <c r="BU81" i="27"/>
  <c r="BU88" i="27"/>
  <c r="BU100" i="27"/>
  <c r="BU97" i="27"/>
  <c r="BU104" i="27"/>
  <c r="BU73" i="27"/>
  <c r="BU95" i="27"/>
  <c r="BU102" i="27"/>
  <c r="BU74" i="27"/>
  <c r="BU79" i="27"/>
  <c r="BU92" i="27"/>
  <c r="BU86" i="27"/>
  <c r="BJ239" i="27"/>
  <c r="BJ272" i="27"/>
  <c r="BJ259" i="27"/>
  <c r="BJ253" i="27"/>
  <c r="BJ261" i="27"/>
  <c r="BJ266" i="27"/>
  <c r="BJ205" i="27"/>
  <c r="BJ237" i="27"/>
  <c r="BJ268" i="27"/>
  <c r="BJ260" i="27"/>
  <c r="BJ262" i="27"/>
  <c r="BJ238" i="27"/>
  <c r="BJ269" i="27"/>
  <c r="BJ250" i="27"/>
  <c r="BJ273" i="27"/>
  <c r="BJ256" i="27"/>
  <c r="BJ252" i="27"/>
  <c r="BJ270" i="27"/>
  <c r="BJ247" i="27"/>
  <c r="BJ255" i="27"/>
  <c r="BJ242" i="27"/>
  <c r="BJ265" i="27"/>
  <c r="BJ248" i="27"/>
  <c r="BJ244" i="27"/>
  <c r="BJ249" i="27"/>
  <c r="BJ271" i="27"/>
  <c r="BJ258" i="27"/>
  <c r="BJ257" i="27"/>
  <c r="BJ240" i="27"/>
  <c r="BJ236" i="27"/>
  <c r="BJ245" i="27"/>
  <c r="BJ243" i="27"/>
  <c r="BJ263" i="27"/>
  <c r="BJ241" i="27"/>
  <c r="BJ254" i="27"/>
  <c r="BJ251" i="27"/>
  <c r="BJ264" i="27"/>
  <c r="BJ267" i="27"/>
  <c r="BJ246" i="27"/>
  <c r="BJ274" i="27"/>
  <c r="BU37" i="27"/>
  <c r="BJ201" i="27"/>
  <c r="BJ216" i="27"/>
  <c r="BJ213" i="27"/>
  <c r="BU65" i="27"/>
  <c r="BU56" i="27"/>
  <c r="HP97" i="27" s="1"/>
  <c r="BU60" i="27"/>
  <c r="BU67" i="27"/>
  <c r="BU42" i="27"/>
  <c r="BU38" i="27"/>
  <c r="HP99" i="27" s="1"/>
  <c r="BU49" i="27"/>
  <c r="BU66" i="27"/>
  <c r="BU57" i="27"/>
  <c r="BJ207" i="27"/>
  <c r="BJ209" i="27"/>
  <c r="BJ219" i="27"/>
  <c r="BJ204" i="27"/>
  <c r="HO103" i="27" s="1"/>
  <c r="IB103" i="27" s="1"/>
  <c r="BJ217" i="27"/>
  <c r="BJ224" i="27"/>
  <c r="BJ203" i="27"/>
  <c r="BJ211" i="27"/>
  <c r="HO104" i="27" s="1"/>
  <c r="IB104" i="27" s="1"/>
  <c r="BJ230" i="27"/>
  <c r="BU48" i="27"/>
  <c r="BU36" i="27"/>
  <c r="HP105" i="27" s="1"/>
  <c r="IB105" i="27" s="1"/>
  <c r="BU44" i="27"/>
  <c r="BU54" i="27"/>
  <c r="BU51" i="27"/>
  <c r="BU55" i="27"/>
  <c r="BU59" i="27"/>
  <c r="BU69" i="27"/>
  <c r="BU68" i="27"/>
  <c r="HP100" i="27" s="1"/>
  <c r="BJ202" i="27"/>
  <c r="BJ208" i="27"/>
  <c r="HO102" i="27" s="1"/>
  <c r="IB102" i="27" s="1"/>
  <c r="BJ196" i="27"/>
  <c r="HO99" i="27" s="1"/>
  <c r="IB99" i="27" s="1"/>
  <c r="BJ223" i="27"/>
  <c r="BJ229" i="27"/>
  <c r="BJ221" i="27"/>
  <c r="HO101" i="27" s="1"/>
  <c r="IB101" i="27" s="1"/>
  <c r="BU41" i="27"/>
  <c r="BU45" i="27"/>
  <c r="BU64" i="27"/>
  <c r="BU53" i="27"/>
  <c r="BU39" i="27"/>
  <c r="BU46" i="27"/>
  <c r="BU58" i="27"/>
  <c r="BU63" i="27"/>
  <c r="HP101" i="27" s="1"/>
  <c r="BU62" i="27"/>
  <c r="BU43" i="27"/>
  <c r="BU50" i="27"/>
  <c r="HP102" i="27" s="1"/>
  <c r="BU52" i="27"/>
  <c r="BU61" i="27"/>
  <c r="BJ195" i="27"/>
  <c r="HO108" i="27" s="1"/>
  <c r="IB108" i="27" s="1"/>
  <c r="BJ228" i="27"/>
  <c r="BJ220" i="27"/>
  <c r="BJ197" i="27"/>
  <c r="HO114" i="27" s="1"/>
  <c r="IB114" i="27" s="1"/>
  <c r="BJ200" i="27"/>
  <c r="BJ214" i="27"/>
  <c r="HO97" i="27" s="1"/>
  <c r="IB97" i="27" s="1"/>
  <c r="BJ222" i="27"/>
  <c r="BJ227" i="27"/>
  <c r="BJ226" i="27"/>
  <c r="HO100" i="27" s="1"/>
  <c r="IB100" i="27" s="1"/>
  <c r="BJ225" i="27"/>
  <c r="BJ212" i="27"/>
  <c r="BU40" i="27"/>
  <c r="BJ194" i="27"/>
  <c r="BJ199" i="27"/>
  <c r="BJ206" i="27"/>
  <c r="BJ210" i="27"/>
  <c r="BJ198" i="27"/>
  <c r="BJ215" i="27"/>
  <c r="HO109" i="27" s="1"/>
  <c r="IB109" i="27" s="1"/>
  <c r="BJ232" i="27"/>
  <c r="BJ231" i="27"/>
  <c r="BJ218" i="27"/>
  <c r="E9" i="51" l="1"/>
  <c r="D39" i="51"/>
  <c r="D27" i="51"/>
  <c r="C17" i="51"/>
  <c r="C12" i="51"/>
  <c r="F12" i="51" s="1"/>
  <c r="D37" i="51"/>
  <c r="C26" i="51"/>
  <c r="D17" i="51"/>
  <c r="G17" i="51" s="1"/>
  <c r="D45" i="51"/>
  <c r="D41" i="51"/>
  <c r="C24" i="51"/>
  <c r="D49" i="51"/>
  <c r="E32" i="51"/>
  <c r="D9" i="51"/>
  <c r="D10" i="51"/>
  <c r="G10" i="51" s="1"/>
  <c r="E31" i="51"/>
  <c r="D40" i="51"/>
  <c r="C31" i="51"/>
  <c r="C18" i="51"/>
  <c r="D48" i="51"/>
  <c r="E10" i="51"/>
  <c r="H10" i="51" s="1"/>
  <c r="C20" i="51"/>
  <c r="D31" i="51"/>
  <c r="E29" i="51"/>
  <c r="E13" i="51"/>
  <c r="H13" i="51" s="1"/>
  <c r="D34" i="51"/>
  <c r="E15" i="51"/>
  <c r="H15" i="51" s="1"/>
  <c r="C15" i="51"/>
  <c r="F15" i="51" s="1"/>
  <c r="C14" i="51"/>
  <c r="C29" i="51"/>
  <c r="D30" i="51"/>
  <c r="C16" i="51"/>
  <c r="F16" i="51" s="1"/>
  <c r="C11" i="51"/>
  <c r="D14" i="51"/>
  <c r="G14" i="51" s="1"/>
  <c r="C28" i="51"/>
  <c r="D47" i="51"/>
  <c r="D38" i="51"/>
  <c r="D20" i="51"/>
  <c r="G20" i="51" s="1"/>
  <c r="E33" i="51"/>
  <c r="E23" i="51"/>
  <c r="H23" i="51" s="1"/>
  <c r="C23" i="51"/>
  <c r="F23" i="51" s="1"/>
  <c r="C27" i="51"/>
  <c r="B27" i="51" s="1"/>
  <c r="E30" i="51"/>
  <c r="D25" i="51"/>
  <c r="C34" i="51"/>
  <c r="D42" i="51"/>
  <c r="D46" i="51"/>
  <c r="D23" i="51"/>
  <c r="G23" i="51" s="1"/>
  <c r="D13" i="51"/>
  <c r="G13" i="51" s="1"/>
  <c r="D15" i="51"/>
  <c r="G15" i="51" s="1"/>
  <c r="E14" i="51"/>
  <c r="H14" i="51" s="1"/>
  <c r="E17" i="51"/>
  <c r="H17" i="51" s="1"/>
  <c r="E16" i="51"/>
  <c r="H16" i="51" s="1"/>
  <c r="D29" i="51"/>
  <c r="D50" i="51"/>
  <c r="D44" i="51"/>
  <c r="E28" i="51"/>
  <c r="D33" i="51"/>
  <c r="E12" i="51"/>
  <c r="H12" i="51" s="1"/>
  <c r="E22" i="51"/>
  <c r="B22" i="51" s="1"/>
  <c r="E25" i="51"/>
  <c r="D26" i="51"/>
  <c r="G26" i="51" s="1"/>
  <c r="D11" i="51"/>
  <c r="C32" i="51"/>
  <c r="B32" i="51" s="1"/>
  <c r="D12" i="51"/>
  <c r="G12" i="51" s="1"/>
  <c r="E11" i="51"/>
  <c r="D24" i="51"/>
  <c r="G24" i="51" s="1"/>
  <c r="D21" i="51"/>
  <c r="G21" i="51" s="1"/>
  <c r="C44" i="51"/>
  <c r="C41" i="51"/>
  <c r="C48" i="51"/>
  <c r="C49" i="51"/>
  <c r="C46" i="51"/>
  <c r="C38" i="51"/>
  <c r="C43" i="51"/>
  <c r="C40" i="51"/>
  <c r="C39" i="51"/>
  <c r="C45" i="51"/>
  <c r="C37" i="51"/>
  <c r="C50" i="51"/>
  <c r="C42" i="51"/>
  <c r="C47" i="51"/>
  <c r="C9" i="51"/>
  <c r="B9" i="51" s="1"/>
  <c r="H9" i="51" s="1"/>
  <c r="F20" i="51"/>
  <c r="F26" i="51"/>
  <c r="F24" i="51"/>
  <c r="F17" i="51"/>
  <c r="F13" i="51"/>
  <c r="F18" i="51"/>
  <c r="K18" i="51" s="1"/>
  <c r="G22" i="51"/>
  <c r="G32" i="51"/>
  <c r="K17" i="51" l="1"/>
  <c r="B30" i="51"/>
  <c r="B20" i="51"/>
  <c r="K20" i="51"/>
  <c r="B10" i="51"/>
  <c r="K16" i="51"/>
  <c r="B11" i="51"/>
  <c r="H11" i="51" s="1"/>
  <c r="B33" i="51"/>
  <c r="B14" i="51"/>
  <c r="K15" i="51"/>
  <c r="K26" i="51"/>
  <c r="K23" i="51"/>
  <c r="B21" i="51"/>
  <c r="K12" i="51"/>
  <c r="K13" i="51"/>
  <c r="G30" i="51"/>
  <c r="H30" i="51"/>
  <c r="H33" i="51"/>
  <c r="G33" i="51"/>
  <c r="H27" i="51"/>
  <c r="G27" i="51"/>
  <c r="B15" i="51"/>
  <c r="F14" i="51"/>
  <c r="K14" i="51" s="1"/>
  <c r="B16" i="51"/>
  <c r="B28" i="51"/>
  <c r="B12" i="51"/>
  <c r="B29" i="51"/>
  <c r="F27" i="51"/>
  <c r="B23" i="51"/>
  <c r="B26" i="51"/>
  <c r="F21" i="51"/>
  <c r="K21" i="51" s="1"/>
  <c r="F30" i="51"/>
  <c r="B24" i="51"/>
  <c r="B13" i="51"/>
  <c r="B25" i="51"/>
  <c r="F10" i="51"/>
  <c r="K10" i="51" s="1"/>
  <c r="F33" i="51"/>
  <c r="B31" i="51"/>
  <c r="B34" i="51"/>
  <c r="B50" i="51"/>
  <c r="F50" i="51"/>
  <c r="B40" i="51"/>
  <c r="F40" i="51"/>
  <c r="B45" i="51"/>
  <c r="F45" i="51"/>
  <c r="B49" i="51"/>
  <c r="F49" i="51"/>
  <c r="B47" i="51"/>
  <c r="F47" i="51"/>
  <c r="B36" i="51"/>
  <c r="F36" i="51"/>
  <c r="B44" i="51"/>
  <c r="F44" i="51"/>
  <c r="B46" i="51"/>
  <c r="F46" i="51"/>
  <c r="B38" i="51"/>
  <c r="F38" i="51"/>
  <c r="B42" i="51"/>
  <c r="F42" i="51"/>
  <c r="B35" i="51"/>
  <c r="F35" i="51"/>
  <c r="B39" i="51"/>
  <c r="F39" i="51"/>
  <c r="B17" i="51"/>
  <c r="B18" i="51"/>
  <c r="B37" i="51"/>
  <c r="F37" i="51"/>
  <c r="B41" i="51"/>
  <c r="F41" i="51"/>
  <c r="B48" i="51"/>
  <c r="F48" i="51"/>
  <c r="B43" i="51"/>
  <c r="F43" i="51"/>
  <c r="F9" i="51"/>
  <c r="G9" i="51"/>
  <c r="F32" i="51"/>
  <c r="H32" i="51"/>
  <c r="F22" i="51"/>
  <c r="H22" i="51"/>
  <c r="BG30" i="27"/>
  <c r="BH332" i="27" s="1"/>
  <c r="K33" i="51" l="1"/>
  <c r="G34" i="51"/>
  <c r="H34" i="51"/>
  <c r="F34" i="51"/>
  <c r="G48" i="51"/>
  <c r="H48" i="51"/>
  <c r="G39" i="51"/>
  <c r="H39" i="51"/>
  <c r="H46" i="51"/>
  <c r="G46" i="51"/>
  <c r="H49" i="51"/>
  <c r="G49" i="51"/>
  <c r="H31" i="51"/>
  <c r="G31" i="51"/>
  <c r="F31" i="51"/>
  <c r="H41" i="51"/>
  <c r="G41" i="51"/>
  <c r="H35" i="51"/>
  <c r="G35" i="51"/>
  <c r="H44" i="51"/>
  <c r="G44" i="51"/>
  <c r="H45" i="51"/>
  <c r="G45" i="51"/>
  <c r="G25" i="51"/>
  <c r="H25" i="51"/>
  <c r="F25" i="51"/>
  <c r="H29" i="51"/>
  <c r="G29" i="51"/>
  <c r="F29" i="51"/>
  <c r="H37" i="51"/>
  <c r="G37" i="51"/>
  <c r="G42" i="51"/>
  <c r="H42" i="51"/>
  <c r="H36" i="51"/>
  <c r="G36" i="51"/>
  <c r="H40" i="51"/>
  <c r="G40" i="51"/>
  <c r="G28" i="51"/>
  <c r="H28" i="51"/>
  <c r="F28" i="51"/>
  <c r="K27" i="51"/>
  <c r="G43" i="51"/>
  <c r="H43" i="51"/>
  <c r="G38" i="51"/>
  <c r="H38" i="51"/>
  <c r="H47" i="51"/>
  <c r="G47" i="51"/>
  <c r="H50" i="51"/>
  <c r="G50" i="51"/>
  <c r="K30" i="51"/>
  <c r="K9" i="51"/>
  <c r="K32" i="51"/>
  <c r="K22" i="51"/>
  <c r="BH337" i="27"/>
  <c r="K36" i="51" l="1"/>
  <c r="K40" i="51"/>
  <c r="K44" i="51"/>
  <c r="K50" i="51"/>
  <c r="K42" i="51"/>
  <c r="K46" i="51"/>
  <c r="K37" i="51"/>
  <c r="K35" i="51"/>
  <c r="K45" i="51"/>
  <c r="K49" i="51"/>
  <c r="K38" i="51"/>
  <c r="K29" i="51"/>
  <c r="K31" i="51"/>
  <c r="K39" i="51"/>
  <c r="K48" i="51"/>
  <c r="K43" i="51"/>
  <c r="K47" i="51"/>
  <c r="K41" i="51"/>
  <c r="K34" i="51"/>
  <c r="K28" i="51"/>
  <c r="K25" i="51"/>
  <c r="L211" i="48" l="1"/>
  <c r="F201" i="48"/>
  <c r="F203" i="48"/>
  <c r="F204" i="48"/>
  <c r="F206" i="48"/>
  <c r="F202" i="48"/>
  <c r="F199" i="48"/>
  <c r="F200" i="48"/>
  <c r="F205" i="48"/>
  <c r="DP276" i="27" l="1" a="1"/>
  <c r="DP276" i="27" s="1"/>
  <c r="DP260" i="27" a="1"/>
  <c r="DP260" i="27" s="1"/>
  <c r="DP243" i="27" a="1"/>
  <c r="DP243" i="27" s="1"/>
  <c r="DP273" i="27" a="1"/>
  <c r="DP273" i="27" s="1"/>
  <c r="DP257" i="27" a="1"/>
  <c r="DP257" i="27" s="1"/>
  <c r="DP240" i="27" a="1"/>
  <c r="DP240" i="27" s="1"/>
  <c r="DP274" i="27" a="1"/>
  <c r="DP274" i="27" s="1"/>
  <c r="DP258" i="27" a="1"/>
  <c r="DP258" i="27" s="1"/>
  <c r="DP241" i="27" a="1"/>
  <c r="DP241" i="27" s="1"/>
  <c r="DP271" i="27" a="1"/>
  <c r="DP271" i="27" s="1"/>
  <c r="DP255" i="27" a="1"/>
  <c r="DP255" i="27" s="1"/>
  <c r="DP238" i="27" a="1"/>
  <c r="DP238" i="27" s="1"/>
  <c r="DP272" i="27" a="1"/>
  <c r="DP272" i="27" s="1"/>
  <c r="DP256" i="27" a="1"/>
  <c r="DP256" i="27" s="1"/>
  <c r="DP239" i="27" a="1"/>
  <c r="DP239" i="27" s="1"/>
  <c r="DP269" i="27" a="1"/>
  <c r="DP269" i="27" s="1"/>
  <c r="DP253" i="27" a="1"/>
  <c r="DP253" i="27" s="1"/>
  <c r="DP270" i="27" a="1"/>
  <c r="DP270" i="27" s="1"/>
  <c r="DP254" i="27" a="1"/>
  <c r="DP254" i="27" s="1"/>
  <c r="DP267" i="27" a="1"/>
  <c r="DP267" i="27" s="1"/>
  <c r="DP251" i="27" a="1"/>
  <c r="DP251" i="27" s="1"/>
  <c r="DP242" i="27" a="1"/>
  <c r="DP242" i="27" s="1"/>
  <c r="DP268" i="27" a="1"/>
  <c r="DP268" i="27" s="1"/>
  <c r="DP252" i="27" a="1"/>
  <c r="DP252" i="27" s="1"/>
  <c r="DP265" i="27" a="1"/>
  <c r="DP265" i="27" s="1"/>
  <c r="DP248" i="27" a="1"/>
  <c r="DP248" i="27" s="1"/>
  <c r="DP259" i="27" a="1"/>
  <c r="DP259" i="27" s="1"/>
  <c r="DP266" i="27" a="1"/>
  <c r="DP266" i="27" s="1"/>
  <c r="DP250" i="27" a="1"/>
  <c r="DP250" i="27" s="1"/>
  <c r="DP263" i="27" a="1"/>
  <c r="DP263" i="27" s="1"/>
  <c r="DP246" i="27" a="1"/>
  <c r="DP246" i="27" s="1"/>
  <c r="DP264" i="27" a="1"/>
  <c r="DP264" i="27" s="1"/>
  <c r="DP247" i="27" a="1"/>
  <c r="DP247" i="27" s="1"/>
  <c r="DP261" i="27" a="1"/>
  <c r="DP261" i="27" s="1"/>
  <c r="DP244" i="27" a="1"/>
  <c r="DP244" i="27" s="1"/>
  <c r="DP262" i="27" a="1"/>
  <c r="DP262" i="27" s="1"/>
  <c r="DP245" i="27" a="1"/>
  <c r="DP245" i="27" s="1"/>
  <c r="DP275" i="27" a="1"/>
  <c r="DP275" i="27" s="1"/>
  <c r="DO266" i="27" a="1"/>
  <c r="DO266" i="27" s="1"/>
  <c r="DO250" i="27" a="1"/>
  <c r="DO250" i="27" s="1"/>
  <c r="DO265" i="27" a="1"/>
  <c r="DO265" i="27" s="1"/>
  <c r="DO248" i="27" a="1"/>
  <c r="DO248" i="27" s="1"/>
  <c r="DO264" i="27" a="1"/>
  <c r="DO264" i="27" s="1"/>
  <c r="DO247" i="27" a="1"/>
  <c r="DO247" i="27" s="1"/>
  <c r="DO263" i="27" a="1"/>
  <c r="DO263" i="27" s="1"/>
  <c r="DO246" i="27" a="1"/>
  <c r="DO246" i="27" s="1"/>
  <c r="DO267" i="27" a="1"/>
  <c r="DO267" i="27" s="1"/>
  <c r="DO262" i="27" a="1"/>
  <c r="DO262" i="27" s="1"/>
  <c r="DO245" i="27" a="1"/>
  <c r="DO245" i="27" s="1"/>
  <c r="DO261" i="27" a="1"/>
  <c r="DO261" i="27" s="1"/>
  <c r="DO244" i="27" a="1"/>
  <c r="DO244" i="27" s="1"/>
  <c r="DO276" i="27" a="1"/>
  <c r="DO276" i="27" s="1"/>
  <c r="DO260" i="27" a="1"/>
  <c r="DO260" i="27" s="1"/>
  <c r="DO243" i="27" a="1"/>
  <c r="DO243" i="27" s="1"/>
  <c r="DO275" i="27" a="1"/>
  <c r="DO275" i="27" s="1"/>
  <c r="DO259" i="27" a="1"/>
  <c r="DO259" i="27" s="1"/>
  <c r="DO242" i="27" a="1"/>
  <c r="DO242" i="27" s="1"/>
  <c r="DO274" i="27" a="1"/>
  <c r="DO274" i="27" s="1"/>
  <c r="DO258" i="27" a="1"/>
  <c r="DO258" i="27" s="1"/>
  <c r="DO241" i="27" a="1"/>
  <c r="DO241" i="27" s="1"/>
  <c r="DO273" i="27" a="1"/>
  <c r="DO273" i="27" s="1"/>
  <c r="DO257" i="27" a="1"/>
  <c r="DO257" i="27" s="1"/>
  <c r="DO240" i="27" a="1"/>
  <c r="DO240" i="27" s="1"/>
  <c r="DO272" i="27" a="1"/>
  <c r="DO272" i="27" s="1"/>
  <c r="DO256" i="27" a="1"/>
  <c r="DO256" i="27" s="1"/>
  <c r="DO239" i="27" a="1"/>
  <c r="DO239" i="27" s="1"/>
  <c r="DO271" i="27" a="1"/>
  <c r="DO271" i="27" s="1"/>
  <c r="DO255" i="27" a="1"/>
  <c r="DO255" i="27" s="1"/>
  <c r="DO238" i="27" a="1"/>
  <c r="DO238" i="27" s="1"/>
  <c r="DO270" i="27" a="1"/>
  <c r="DO270" i="27" s="1"/>
  <c r="DO254" i="27" a="1"/>
  <c r="DO254" i="27" s="1"/>
  <c r="DO269" i="27" a="1"/>
  <c r="DO269" i="27" s="1"/>
  <c r="DO253" i="27" a="1"/>
  <c r="DO253" i="27" s="1"/>
  <c r="DO268" i="27" a="1"/>
  <c r="DO268" i="27" s="1"/>
  <c r="DO252" i="27" a="1"/>
  <c r="DO252" i="27" s="1"/>
  <c r="DO251" i="27" a="1"/>
  <c r="DO251" i="27" s="1"/>
  <c r="DQ265" i="27" a="1"/>
  <c r="DQ265" i="27" s="1"/>
  <c r="DQ248" i="27" a="1"/>
  <c r="DQ248" i="27" s="1"/>
  <c r="DQ258" i="27" a="1"/>
  <c r="DQ258" i="27" s="1"/>
  <c r="DQ252" i="27" a="1"/>
  <c r="DQ252" i="27" s="1"/>
  <c r="DQ272" i="27" a="1"/>
  <c r="DQ272" i="27" s="1"/>
  <c r="DQ267" i="27" a="1"/>
  <c r="DQ267" i="27" s="1"/>
  <c r="DQ263" i="27" a="1"/>
  <c r="DQ263" i="27" s="1"/>
  <c r="DQ246" i="27" a="1"/>
  <c r="DQ246" i="27" s="1"/>
  <c r="DQ262" i="27" a="1"/>
  <c r="DQ262" i="27" s="1"/>
  <c r="DQ241" i="27" a="1"/>
  <c r="DQ241" i="27" s="1"/>
  <c r="DQ266" i="27" a="1"/>
  <c r="DQ266" i="27" s="1"/>
  <c r="DQ250" i="27" a="1"/>
  <c r="DQ250" i="27" s="1"/>
  <c r="DQ261" i="27" a="1"/>
  <c r="DQ261" i="27" s="1"/>
  <c r="DQ244" i="27" a="1"/>
  <c r="DQ244" i="27" s="1"/>
  <c r="DQ245" i="27" a="1"/>
  <c r="DQ245" i="27" s="1"/>
  <c r="DQ275" i="27" a="1"/>
  <c r="DQ275" i="27" s="1"/>
  <c r="DQ259" i="27" a="1"/>
  <c r="DQ259" i="27" s="1"/>
  <c r="DQ242" i="27" a="1"/>
  <c r="DQ242" i="27" s="1"/>
  <c r="DQ264" i="27" a="1"/>
  <c r="DQ264" i="27" s="1"/>
  <c r="DQ256" i="27" a="1"/>
  <c r="DQ256" i="27" s="1"/>
  <c r="DQ247" i="27" a="1"/>
  <c r="DQ247" i="27" s="1"/>
  <c r="DQ273" i="27" a="1"/>
  <c r="DQ273" i="27" s="1"/>
  <c r="DQ257" i="27" a="1"/>
  <c r="DQ257" i="27" s="1"/>
  <c r="DQ240" i="27" a="1"/>
  <c r="DQ240" i="27" s="1"/>
  <c r="DQ276" i="27" a="1"/>
  <c r="DQ276" i="27" s="1"/>
  <c r="DQ239" i="27" a="1"/>
  <c r="DQ239" i="27" s="1"/>
  <c r="DQ254" i="27" a="1"/>
  <c r="DQ254" i="27" s="1"/>
  <c r="DQ268" i="27" a="1"/>
  <c r="DQ268" i="27" s="1"/>
  <c r="DQ271" i="27" a="1"/>
  <c r="DQ271" i="27" s="1"/>
  <c r="DQ255" i="27" a="1"/>
  <c r="DQ255" i="27" s="1"/>
  <c r="DQ238" i="27" a="1"/>
  <c r="DQ238" i="27" s="1"/>
  <c r="DQ260" i="27" a="1"/>
  <c r="DQ260" i="27" s="1"/>
  <c r="DQ270" i="27" a="1"/>
  <c r="DQ270" i="27" s="1"/>
  <c r="DQ269" i="27" a="1"/>
  <c r="DQ269" i="27" s="1"/>
  <c r="DQ253" i="27" a="1"/>
  <c r="DQ253" i="27" s="1"/>
  <c r="DQ243" i="27" a="1"/>
  <c r="DQ243" i="27" s="1"/>
  <c r="DQ251" i="27" a="1"/>
  <c r="DQ251" i="27" s="1"/>
  <c r="DQ274" i="27" a="1"/>
  <c r="DQ274" i="27" s="1"/>
  <c r="DR273" i="27" a="1"/>
  <c r="DR273" i="27" s="1"/>
  <c r="DR257" i="27" a="1"/>
  <c r="DR257" i="27" s="1"/>
  <c r="DR240" i="27" a="1"/>
  <c r="DR240" i="27" s="1"/>
  <c r="DR272" i="27" a="1"/>
  <c r="DR272" i="27" s="1"/>
  <c r="DR256" i="27" a="1"/>
  <c r="DR256" i="27" s="1"/>
  <c r="DR239" i="27" a="1"/>
  <c r="DR239" i="27" s="1"/>
  <c r="DR241" i="27" a="1"/>
  <c r="DR241" i="27" s="1"/>
  <c r="DR271" i="27" a="1"/>
  <c r="DR271" i="27" s="1"/>
  <c r="DR255" i="27" a="1"/>
  <c r="DR255" i="27" s="1"/>
  <c r="DR238" i="27" a="1"/>
  <c r="DR238" i="27" s="1"/>
  <c r="DR270" i="27" a="1"/>
  <c r="DR270" i="27" s="1"/>
  <c r="DR254" i="27" a="1"/>
  <c r="DR254" i="27" s="1"/>
  <c r="DR269" i="27" a="1"/>
  <c r="DR269" i="27" s="1"/>
  <c r="DR253" i="27" a="1"/>
  <c r="DR253" i="27" s="1"/>
  <c r="DR268" i="27" a="1"/>
  <c r="DR268" i="27" s="1"/>
  <c r="DR252" i="27" a="1"/>
  <c r="DR252" i="27" s="1"/>
  <c r="DR259" i="27" a="1"/>
  <c r="DR259" i="27" s="1"/>
  <c r="DR274" i="27" a="1"/>
  <c r="DR274" i="27" s="1"/>
  <c r="DR267" i="27" a="1"/>
  <c r="DR267" i="27" s="1"/>
  <c r="DR251" i="27" a="1"/>
  <c r="DR251" i="27" s="1"/>
  <c r="DR266" i="27" a="1"/>
  <c r="DR266" i="27" s="1"/>
  <c r="DR250" i="27" a="1"/>
  <c r="DR250" i="27" s="1"/>
  <c r="DR265" i="27" a="1"/>
  <c r="DR265" i="27" s="1"/>
  <c r="DR248" i="27" a="1"/>
  <c r="DR248" i="27" s="1"/>
  <c r="DR264" i="27" a="1"/>
  <c r="DR264" i="27" s="1"/>
  <c r="DR247" i="27" a="1"/>
  <c r="DR247" i="27" s="1"/>
  <c r="DR263" i="27" a="1"/>
  <c r="DR263" i="27" s="1"/>
  <c r="DR246" i="27" a="1"/>
  <c r="DR246" i="27" s="1"/>
  <c r="DR262" i="27" a="1"/>
  <c r="DR262" i="27" s="1"/>
  <c r="DR245" i="27" a="1"/>
  <c r="DR245" i="27" s="1"/>
  <c r="DR275" i="27" a="1"/>
  <c r="DR275" i="27" s="1"/>
  <c r="DR242" i="27" a="1"/>
  <c r="DR242" i="27" s="1"/>
  <c r="DR258" i="27" a="1"/>
  <c r="DR258" i="27" s="1"/>
  <c r="DR261" i="27" a="1"/>
  <c r="DR261" i="27" s="1"/>
  <c r="DR244" i="27" a="1"/>
  <c r="DR244" i="27" s="1"/>
  <c r="DR276" i="27" a="1"/>
  <c r="DR276" i="27" s="1"/>
  <c r="DR260" i="27" a="1"/>
  <c r="DR260" i="27" s="1"/>
  <c r="DR243" i="27" a="1"/>
  <c r="DR243" i="27" s="1"/>
  <c r="DR249" i="27" a="1"/>
  <c r="DR249" i="27" s="1"/>
  <c r="DQ249" i="27" a="1"/>
  <c r="DQ249" i="27" s="1"/>
  <c r="DP249" i="27" a="1"/>
  <c r="DP249" i="27" s="1"/>
  <c r="DO249" i="27" a="1"/>
  <c r="DO249" i="27" s="1"/>
  <c r="L210" i="48"/>
  <c r="N44" i="51" s="1"/>
  <c r="DS260" i="27" l="1"/>
  <c r="DS245" i="27"/>
  <c r="DS240" i="27"/>
  <c r="HV99" i="27" s="1"/>
  <c r="DS273" i="27"/>
  <c r="DS249" i="27"/>
  <c r="C19" i="51" s="1"/>
  <c r="DS247" i="27"/>
  <c r="DS269" i="27"/>
  <c r="DS267" i="27"/>
  <c r="DS266" i="27"/>
  <c r="DS276" i="27"/>
  <c r="DS268" i="27"/>
  <c r="DS239" i="27"/>
  <c r="HV108" i="27" s="1"/>
  <c r="DS244" i="27"/>
  <c r="DS275" i="27"/>
  <c r="DS238" i="27"/>
  <c r="DS250" i="27"/>
  <c r="DS263" i="27"/>
  <c r="DS243" i="27"/>
  <c r="DS253" i="27"/>
  <c r="DS264" i="27"/>
  <c r="DS259" i="27"/>
  <c r="HV109" i="27" s="1"/>
  <c r="DS272" i="27"/>
  <c r="DS258" i="27"/>
  <c r="HV97" i="27" s="1"/>
  <c r="DS271" i="27"/>
  <c r="DS262" i="27"/>
  <c r="DS257" i="27"/>
  <c r="DS261" i="27"/>
  <c r="DS242" i="27"/>
  <c r="DS255" i="27"/>
  <c r="HV104" i="27" s="1"/>
  <c r="DS251" i="27"/>
  <c r="DS270" i="27"/>
  <c r="HV100" i="27" s="1"/>
  <c r="DS274" i="27"/>
  <c r="DS248" i="27"/>
  <c r="HV103" i="27" s="1"/>
  <c r="DS256" i="27"/>
  <c r="DS241" i="27"/>
  <c r="HV114" i="27" s="1"/>
  <c r="DS265" i="27"/>
  <c r="DS246" i="27"/>
  <c r="DS252" i="27"/>
  <c r="HV102" i="27" s="1"/>
  <c r="DS254" i="27"/>
  <c r="B19" i="51" l="1"/>
  <c r="F19" i="51" s="1"/>
  <c r="J17" i="51"/>
  <c r="J19" i="51" l="1"/>
  <c r="J15" i="51"/>
  <c r="J16" i="51"/>
  <c r="J24" i="51"/>
  <c r="K24" i="51" s="1"/>
  <c r="E59" i="51"/>
  <c r="K19" i="51" l="1"/>
  <c r="F11" i="51" l="1"/>
  <c r="G11" i="51"/>
  <c r="K11" i="51" l="1"/>
  <c r="K53" i="51" s="1"/>
</calcChain>
</file>

<file path=xl/comments1.xml><?xml version="1.0" encoding="utf-8"?>
<comments xmlns="http://schemas.openxmlformats.org/spreadsheetml/2006/main">
  <authors>
    <author>Gigi DOMERCQ</author>
    <author>appart</author>
    <author>DOMERCQ, Ghislain (ALTRAN)</author>
    <author>Administrateur HH</author>
  </authors>
  <commentList>
    <comment ref="D3" authorId="0">
      <text>
        <r>
          <rPr>
            <sz val="9"/>
            <color indexed="81"/>
            <rFont val="Tahoma"/>
            <family val="2"/>
          </rPr>
          <t>Ici tu choisis le pays de ta ferme. C'est indispensable!</t>
        </r>
      </text>
    </comment>
    <comment ref="C7" authorId="1">
      <text>
        <r>
          <rPr>
            <sz val="10"/>
            <color indexed="81"/>
            <rFont val="Times New Roman"/>
            <family val="1"/>
          </rPr>
          <t>Sur cette colonne, remplis le nombre de bovins (toutes races) que tu as, suivant sexe et tranche d'âge.</t>
        </r>
      </text>
    </comment>
    <comment ref="D7" authorId="1">
      <text>
        <r>
          <rPr>
            <sz val="10"/>
            <color indexed="81"/>
            <rFont val="Times New Roman"/>
            <family val="1"/>
          </rPr>
          <t>Sur cette colonne, remplis le nombre de bovins de races laitières que tu as, suivant sexe et tranche d'âge. Si tu ne fais que des laitières, la colonne d'à coté (nombre total) suffit.</t>
        </r>
      </text>
    </comment>
    <comment ref="E7" authorId="1">
      <text>
        <r>
          <rPr>
            <sz val="10"/>
            <color indexed="81"/>
            <rFont val="Times New Roman"/>
            <family val="1"/>
          </rPr>
          <t>Sur cette colonne, indiques la qualité générale des aliments utilisés pour tes animaux, par tranche d'âge.</t>
        </r>
      </text>
    </comment>
    <comment ref="F7" authorId="1">
      <text>
        <r>
          <rPr>
            <b/>
            <u/>
            <sz val="10"/>
            <color indexed="14"/>
            <rFont val="Times New Roman"/>
            <family val="1"/>
          </rPr>
          <t>INFO :</t>
        </r>
        <r>
          <rPr>
            <sz val="10"/>
            <color indexed="10"/>
            <rFont val="Times New Roman"/>
            <family val="1"/>
          </rPr>
          <t xml:space="preserve">
Les bovins re race allaitantes,se renseigneront directement ici dès que tu auras renseigné le nombre total de bovins, et le nombre de bovins de races laitières. Si tu ne fais que des allaitantes, ca se remplira aussi :)</t>
        </r>
      </text>
    </comment>
    <comment ref="G7" authorId="1">
      <text>
        <r>
          <rPr>
            <b/>
            <u/>
            <sz val="10"/>
            <color indexed="14"/>
            <rFont val="Times New Roman"/>
            <family val="1"/>
          </rPr>
          <t>INFO :</t>
        </r>
        <r>
          <rPr>
            <sz val="10"/>
            <color indexed="10"/>
            <rFont val="Times New Roman"/>
            <family val="1"/>
          </rPr>
          <t xml:space="preserve">
Les bovins en pâture,se renseigneront directement ici (si la page concernée a été renseignée - lien plus bas-. Penser à effacer les info relatives aux pâturages (avec le lien "tes animaux doivent aller au pré?" à la fin de la période estivale pour ne pas fausser les résultats du fichier).</t>
        </r>
      </text>
    </comment>
    <comment ref="J7" authorId="1">
      <text>
        <r>
          <rPr>
            <sz val="10"/>
            <color indexed="81"/>
            <rFont val="Times New Roman"/>
            <family val="1"/>
          </rPr>
          <t xml:space="preserve">Ici, tu choisis : 
- litière ou caillebotis.
</t>
        </r>
        <r>
          <rPr>
            <b/>
            <u/>
            <sz val="10"/>
            <color indexed="14"/>
            <rFont val="Times New Roman"/>
            <family val="1"/>
          </rPr>
          <t>INFO :</t>
        </r>
        <r>
          <rPr>
            <sz val="10"/>
            <color indexed="10"/>
            <rFont val="Times New Roman"/>
            <family val="1"/>
          </rPr>
          <t xml:space="preserve">
C'est une liste de choix.
</t>
        </r>
      </text>
    </comment>
    <comment ref="M7" authorId="2">
      <text>
        <r>
          <rPr>
            <sz val="10"/>
            <color indexed="81"/>
            <rFont val="Times New Roman"/>
            <family val="1"/>
          </rPr>
          <t xml:space="preserve">Choisis ici si tes bovins (si tu en as) passent l'été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 Ca consid-ère que TOUT TES BOVINS vont au pré l'été.</t>
        </r>
      </text>
    </comment>
    <comment ref="J10" authorId="1">
      <text>
        <r>
          <rPr>
            <sz val="10"/>
            <color indexed="81"/>
            <rFont val="Times New Roman"/>
            <family val="1"/>
          </rPr>
          <t xml:space="preserve">Choisis la ration utilisée pour nourrir les bovins.
</t>
        </r>
        <r>
          <rPr>
            <b/>
            <u/>
            <sz val="10"/>
            <color indexed="14"/>
            <rFont val="Times New Roman"/>
            <family val="1"/>
          </rPr>
          <t>INFO :</t>
        </r>
        <r>
          <rPr>
            <sz val="10"/>
            <color indexed="10"/>
            <rFont val="Times New Roman"/>
            <family val="1"/>
          </rPr>
          <t xml:space="preserve">
C'est une liste de choix. </t>
        </r>
      </text>
    </comment>
    <comment ref="M10" authorId="2">
      <text>
        <r>
          <rPr>
            <sz val="10"/>
            <color indexed="81"/>
            <rFont val="Times New Roman"/>
            <family val="1"/>
          </rPr>
          <t xml:space="preserve">Choisis ici si tes bovins allaitants (si tu en as) passent l'hiver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13"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M13"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19" authorId="3">
      <text>
        <r>
          <rPr>
            <sz val="10"/>
            <color indexed="81"/>
            <rFont val="Times New Roman"/>
            <family val="1"/>
          </rPr>
          <t xml:space="preserve">Choisis : 
-orge, blé ou triticale
-tourteau de colza, canola ou soja
</t>
        </r>
        <r>
          <rPr>
            <b/>
            <u/>
            <sz val="10"/>
            <color indexed="14"/>
            <rFont val="Times New Roman"/>
            <family val="1"/>
          </rPr>
          <t>INFO :</t>
        </r>
        <r>
          <rPr>
            <sz val="10"/>
            <color indexed="10"/>
            <rFont val="Times New Roman"/>
            <family val="1"/>
          </rPr>
          <t xml:space="preserve">
C'est une liste de choix dans les 2 cas.</t>
        </r>
      </text>
    </comment>
    <comment ref="J23"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27" authorId="1">
      <text>
        <r>
          <rPr>
            <sz val="10"/>
            <color indexed="81"/>
            <rFont val="Times New Roman"/>
            <family val="1"/>
          </rPr>
          <t xml:space="preserve">Sur cette colonne, remplis le nombre de bisons que tu as, suivant sexe et tranche d'âge.
</t>
        </r>
        <r>
          <rPr>
            <b/>
            <u/>
            <sz val="10"/>
            <color indexed="14"/>
            <rFont val="Times New Roman"/>
            <family val="1"/>
          </rPr>
          <t>INFO :</t>
        </r>
        <r>
          <rPr>
            <sz val="10"/>
            <color indexed="10"/>
            <rFont val="Times New Roman"/>
            <family val="1"/>
          </rPr>
          <t xml:space="preserve">
Contrairement aux autres espèces, les bisons restent toute l'année au pré. Ils doivent recevoir des aliments pendant la période hivernale.</t>
        </r>
      </text>
    </comment>
    <comment ref="D27" authorId="1">
      <text>
        <r>
          <rPr>
            <sz val="10"/>
            <color indexed="81"/>
            <rFont val="Times New Roman"/>
            <family val="1"/>
          </rPr>
          <t>Sur cette colonne, indiques la qualité générale des aliments utilisés pour tes animaux, par tranche d'âge.</t>
        </r>
      </text>
    </comment>
    <comment ref="E27" authorId="1">
      <text>
        <r>
          <rPr>
            <b/>
            <u/>
            <sz val="10"/>
            <color indexed="14"/>
            <rFont val="Times New Roman"/>
            <family val="1"/>
          </rPr>
          <t>INFO :</t>
        </r>
        <r>
          <rPr>
            <sz val="10"/>
            <color indexed="10"/>
            <rFont val="Times New Roman"/>
            <family val="1"/>
          </rPr>
          <t xml:space="preserve">
Les bovins en pâture,se renseigneront directement ici (si la page concernée a été renseignée - lien plus bas-. Penser à effacer les info relatives aux pâturages (avec le lien "tes animaux doivent aller au pré?" à la fin de la période estivale pour ne pas fausser les résultats du fichier).</t>
        </r>
      </text>
    </comment>
    <comment ref="J27" authorId="1">
      <text>
        <r>
          <rPr>
            <sz val="10"/>
            <color indexed="81"/>
            <rFont val="Times New Roman"/>
            <family val="1"/>
          </rPr>
          <t xml:space="preserve">Choisis la ration utilisée pour nourrir les bisons.
</t>
        </r>
        <r>
          <rPr>
            <b/>
            <u/>
            <sz val="10"/>
            <color indexed="14"/>
            <rFont val="Times New Roman"/>
            <family val="1"/>
          </rPr>
          <t>INFO :</t>
        </r>
        <r>
          <rPr>
            <sz val="10"/>
            <color indexed="10"/>
            <rFont val="Times New Roman"/>
            <family val="1"/>
          </rPr>
          <t xml:space="preserve">
C'est une liste de choix. </t>
        </r>
      </text>
    </comment>
    <comment ref="J30"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36" authorId="3">
      <text>
        <r>
          <rPr>
            <sz val="10"/>
            <color indexed="81"/>
            <rFont val="Times New Roman"/>
            <family val="1"/>
          </rPr>
          <t xml:space="preserve">Ici, choisis : 
-triticale ou blé
</t>
        </r>
        <r>
          <rPr>
            <b/>
            <u/>
            <sz val="10"/>
            <color indexed="14"/>
            <rFont val="Times New Roman"/>
            <family val="1"/>
          </rPr>
          <t>INFO :</t>
        </r>
        <r>
          <rPr>
            <sz val="10"/>
            <color indexed="10"/>
            <rFont val="Times New Roman"/>
            <family val="1"/>
          </rPr>
          <t xml:space="preserve">
C'est une liste de choix.</t>
        </r>
      </text>
    </comment>
    <comment ref="J39" authorId="1">
      <text>
        <r>
          <rPr>
            <sz val="10"/>
            <color indexed="81"/>
            <rFont val="Times New Roman"/>
            <family val="1"/>
          </rPr>
          <t xml:space="preserve">Choisis si tu vaccines tes animaux.
</t>
        </r>
        <r>
          <rPr>
            <b/>
            <u/>
            <sz val="10"/>
            <color indexed="14"/>
            <rFont val="Times New Roman"/>
            <family val="1"/>
          </rPr>
          <t>INFO :</t>
        </r>
        <r>
          <rPr>
            <sz val="10"/>
            <color indexed="10"/>
            <rFont val="Times New Roman"/>
            <family val="1"/>
          </rPr>
          <t xml:space="preserve">
C'est une liste de choix.
Les vaccins ne sont pas obligatoire mais ils sont très conseillés pour éviter/limiter les maladies!
</t>
        </r>
        <r>
          <rPr>
            <b/>
            <sz val="10"/>
            <color indexed="10"/>
            <rFont val="Times New Roman"/>
            <family val="1"/>
          </rPr>
          <t>ATTENTION : le choix concerne TOUTES les bêtes de l'espèce!!</t>
        </r>
      </text>
    </comment>
    <comment ref="C44" authorId="1">
      <text>
        <r>
          <rPr>
            <sz val="10"/>
            <color indexed="81"/>
            <rFont val="Times New Roman"/>
            <family val="1"/>
          </rPr>
          <t>Sur cette colonne, remplis le nombre de caprins que tu as, suivant sexe et tranche d'âge.</t>
        </r>
      </text>
    </comment>
    <comment ref="D44" authorId="1">
      <text>
        <r>
          <rPr>
            <sz val="10"/>
            <color indexed="81"/>
            <rFont val="Times New Roman"/>
            <family val="1"/>
          </rPr>
          <t>Sur cette colonne, indiques la qualité générale des aliments utilisés pour tes animaux, par tranche d'âge.</t>
        </r>
      </text>
    </comment>
    <comment ref="E44" authorId="1">
      <text>
        <r>
          <rPr>
            <b/>
            <u/>
            <sz val="10"/>
            <color indexed="14"/>
            <rFont val="Times New Roman"/>
            <family val="1"/>
          </rPr>
          <t>INFO :</t>
        </r>
        <r>
          <rPr>
            <sz val="10"/>
            <color indexed="10"/>
            <rFont val="Times New Roman"/>
            <family val="1"/>
          </rPr>
          <t xml:space="preserve">
Si tu as des caprins en pâture, ils se renseigneront directement ici (si tu as renseigné la page concernée en utilisant le lien "tes animaux doivent aller au pré?" que tu trouveras ci-dessous). Attention à bien penser à les effacer (dans la page des pâturages) quand ils n'y sont plus pour ne pas fausser les résultats du fichier).</t>
        </r>
      </text>
    </comment>
    <comment ref="J44" authorId="1">
      <text>
        <r>
          <rPr>
            <sz val="10"/>
            <color indexed="81"/>
            <rFont val="Times New Roman"/>
            <family val="1"/>
          </rPr>
          <t xml:space="preserve">Choisis la ration utilisée pour nourrir les bisons.
</t>
        </r>
        <r>
          <rPr>
            <b/>
            <u/>
            <sz val="10"/>
            <color indexed="14"/>
            <rFont val="Times New Roman"/>
            <family val="1"/>
          </rPr>
          <t>INFO :</t>
        </r>
        <r>
          <rPr>
            <sz val="10"/>
            <color indexed="10"/>
            <rFont val="Times New Roman"/>
            <family val="1"/>
          </rPr>
          <t xml:space="preserve">
C'est une liste de choix. </t>
        </r>
      </text>
    </comment>
    <comment ref="M44" authorId="2">
      <text>
        <r>
          <rPr>
            <sz val="10"/>
            <color indexed="81"/>
            <rFont val="Times New Roman"/>
            <family val="1"/>
          </rPr>
          <t xml:space="preserve">Choisis ici si tes caprins (si tu en as) passent l'été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 Ca consid-ère que TOUT TES CAPRINS vont au pré l'été.</t>
        </r>
      </text>
    </comment>
    <comment ref="J47"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53" authorId="3">
      <text>
        <r>
          <rPr>
            <sz val="10"/>
            <color indexed="81"/>
            <rFont val="Times New Roman"/>
            <family val="1"/>
          </rPr>
          <t>C</t>
        </r>
        <r>
          <rPr>
            <sz val="10"/>
            <rFont val="Times New Roman"/>
            <family val="1"/>
          </rPr>
          <t xml:space="preserve">hoisis : 
-triticale ou blé
</t>
        </r>
        <r>
          <rPr>
            <b/>
            <u/>
            <sz val="10"/>
            <color indexed="14"/>
            <rFont val="Times New Roman"/>
            <family val="1"/>
          </rPr>
          <t>INFO :</t>
        </r>
        <r>
          <rPr>
            <sz val="10"/>
            <color indexed="10"/>
            <rFont val="Times New Roman"/>
            <family val="1"/>
          </rPr>
          <t xml:space="preserve">
C'est une liste de choix.</t>
        </r>
      </text>
    </comment>
    <comment ref="J56"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60" authorId="1">
      <text>
        <r>
          <rPr>
            <sz val="10"/>
            <color indexed="81"/>
            <rFont val="Times New Roman"/>
            <family val="1"/>
          </rPr>
          <t>Sur cette colonne, remplis le nombre de porcins que tu as, suivant sexe et tranche d'âge.</t>
        </r>
      </text>
    </comment>
    <comment ref="D60" authorId="1">
      <text>
        <r>
          <rPr>
            <sz val="10"/>
            <color indexed="81"/>
            <rFont val="Times New Roman"/>
            <family val="1"/>
          </rPr>
          <t>Sur cette colonne, indiques la qualité générale des aliments utilisés pour tes animaux, par tranche d'âge.</t>
        </r>
      </text>
    </comment>
    <comment ref="J60" authorId="1">
      <text>
        <r>
          <rPr>
            <sz val="10"/>
            <color indexed="81"/>
            <rFont val="Times New Roman"/>
            <family val="1"/>
          </rPr>
          <t xml:space="preserve">Choisis la ration utilisée pour nourrir les porcins.
</t>
        </r>
        <r>
          <rPr>
            <b/>
            <u/>
            <sz val="10"/>
            <color indexed="14"/>
            <rFont val="Times New Roman"/>
            <family val="1"/>
          </rPr>
          <t>INFO :</t>
        </r>
        <r>
          <rPr>
            <sz val="10"/>
            <color indexed="10"/>
            <rFont val="Times New Roman"/>
            <family val="1"/>
          </rPr>
          <t xml:space="preserve">
C'est une liste de choix. </t>
        </r>
      </text>
    </comment>
    <comment ref="J63" authorId="1">
      <text>
        <r>
          <rPr>
            <sz val="10"/>
            <color indexed="81"/>
            <rFont val="Times New Roman"/>
            <family val="1"/>
          </rPr>
          <t xml:space="preserve">Ici, tu choisis : 
- litière (sans label), plein air (avec label) ou caillebotis.
</t>
        </r>
        <r>
          <rPr>
            <b/>
            <u/>
            <sz val="10"/>
            <color indexed="14"/>
            <rFont val="Times New Roman"/>
            <family val="1"/>
          </rPr>
          <t>INFO :</t>
        </r>
        <r>
          <rPr>
            <sz val="10"/>
            <color indexed="10"/>
            <rFont val="Times New Roman"/>
            <family val="1"/>
          </rPr>
          <t xml:space="preserve">
C'est une liste de choix.
Pour l'élevage en plein air, tu dois avoir des parcs à porcins.</t>
        </r>
      </text>
    </comment>
    <comment ref="J66"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72" authorId="3">
      <text>
        <r>
          <rPr>
            <sz val="10"/>
            <color indexed="81"/>
            <rFont val="Times New Roman"/>
            <family val="1"/>
          </rPr>
          <t>I</t>
        </r>
        <r>
          <rPr>
            <sz val="10"/>
            <rFont val="Times New Roman"/>
            <family val="1"/>
          </rPr>
          <t xml:space="preserve">ci, tu choisis : 
-triticale, blé ou seigle
</t>
        </r>
        <r>
          <rPr>
            <b/>
            <u/>
            <sz val="10"/>
            <color indexed="14"/>
            <rFont val="Times New Roman"/>
            <family val="1"/>
          </rPr>
          <t>INFO :</t>
        </r>
        <r>
          <rPr>
            <sz val="10"/>
            <color indexed="10"/>
            <rFont val="Times New Roman"/>
            <family val="1"/>
          </rPr>
          <t xml:space="preserve">
C'est une liste de choix.
</t>
        </r>
      </text>
    </comment>
    <comment ref="J75"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79" authorId="1">
      <text>
        <r>
          <rPr>
            <sz val="10"/>
            <color indexed="81"/>
            <rFont val="Times New Roman"/>
            <family val="1"/>
          </rPr>
          <t>Sur cette colonne, remplis le nombre de volailles (poules) que tu as, suivant sexe et tranche d'âge.</t>
        </r>
      </text>
    </comment>
    <comment ref="D79" authorId="1">
      <text>
        <r>
          <rPr>
            <sz val="10"/>
            <color indexed="81"/>
            <rFont val="Times New Roman"/>
            <family val="1"/>
          </rPr>
          <t>Sur cette colonne, indiques la qualité générale des aliments utilisés pour tes animaux, par tranche d'âge.</t>
        </r>
      </text>
    </comment>
    <comment ref="J79" authorId="1">
      <text>
        <r>
          <rPr>
            <sz val="10"/>
            <color indexed="81"/>
            <rFont val="Times New Roman"/>
            <family val="1"/>
          </rPr>
          <t xml:space="preserve">Choisis la ration utilisée pour nourrir les poules.
</t>
        </r>
        <r>
          <rPr>
            <b/>
            <u/>
            <sz val="10"/>
            <color indexed="14"/>
            <rFont val="Times New Roman"/>
            <family val="1"/>
          </rPr>
          <t>INFO :</t>
        </r>
        <r>
          <rPr>
            <sz val="10"/>
            <color indexed="10"/>
            <rFont val="Times New Roman"/>
            <family val="1"/>
          </rPr>
          <t xml:space="preserve">
C'est une liste de choix. </t>
        </r>
      </text>
    </comment>
    <comment ref="J82" authorId="3">
      <text>
        <r>
          <rPr>
            <sz val="10"/>
            <color indexed="81"/>
            <rFont val="Times New Roman"/>
            <family val="1"/>
          </rPr>
          <t>I</t>
        </r>
        <r>
          <rPr>
            <sz val="10"/>
            <rFont val="Times New Roman"/>
            <family val="1"/>
          </rPr>
          <t xml:space="preserve">ci, tu choisis : 
-intensif ou semi-liberté
</t>
        </r>
        <r>
          <rPr>
            <b/>
            <u/>
            <sz val="10"/>
            <color indexed="14"/>
            <rFont val="Times New Roman"/>
            <family val="1"/>
          </rPr>
          <t>INFO :</t>
        </r>
        <r>
          <rPr>
            <sz val="10"/>
            <color indexed="10"/>
            <rFont val="Times New Roman"/>
            <family val="1"/>
          </rPr>
          <t xml:space="preserve">
C'est une liste de choix.
Pour élever en semi-liberté, il te faut des parcs à volailles.</t>
        </r>
      </text>
    </comment>
    <comment ref="J85"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91" authorId="3">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t>
        </r>
      </text>
    </comment>
    <comment ref="J94"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C98" authorId="1">
      <text>
        <r>
          <rPr>
            <sz val="10"/>
            <color indexed="81"/>
            <rFont val="Times New Roman"/>
            <family val="1"/>
          </rPr>
          <t>Sur cette colonne, remplis le nombre de pintades que tu as, suivant sexe et tranche d'âge.</t>
        </r>
      </text>
    </comment>
    <comment ref="D98" authorId="1">
      <text>
        <r>
          <rPr>
            <sz val="10"/>
            <color indexed="81"/>
            <rFont val="Times New Roman"/>
            <family val="1"/>
          </rPr>
          <t>Sur cette colonne, indiques la qualité générale des aliments utilisés pour tes animaux, par tranche d'âge.</t>
        </r>
      </text>
    </comment>
    <comment ref="J98" authorId="1">
      <text>
        <r>
          <rPr>
            <sz val="10"/>
            <color indexed="81"/>
            <rFont val="Times New Roman"/>
            <family val="1"/>
          </rPr>
          <t xml:space="preserve">Choisis la ration utilisée pour nourrir les pintades.
</t>
        </r>
        <r>
          <rPr>
            <b/>
            <u/>
            <sz val="10"/>
            <color indexed="14"/>
            <rFont val="Times New Roman"/>
            <family val="1"/>
          </rPr>
          <t>INFO :</t>
        </r>
        <r>
          <rPr>
            <sz val="10"/>
            <color indexed="10"/>
            <rFont val="Times New Roman"/>
            <family val="1"/>
          </rPr>
          <t xml:space="preserve">
C'est une liste de choix. </t>
        </r>
      </text>
    </comment>
    <comment ref="J101" authorId="3">
      <text>
        <r>
          <rPr>
            <sz val="10"/>
            <color indexed="81"/>
            <rFont val="Times New Roman"/>
            <family val="1"/>
          </rPr>
          <t>I</t>
        </r>
        <r>
          <rPr>
            <sz val="10"/>
            <rFont val="Times New Roman"/>
            <family val="1"/>
          </rPr>
          <t xml:space="preserve">ci, tu choisis : 
-intensif ou semi-liberté
</t>
        </r>
        <r>
          <rPr>
            <b/>
            <u/>
            <sz val="10"/>
            <color indexed="14"/>
            <rFont val="Times New Roman"/>
            <family val="1"/>
          </rPr>
          <t>INFO :</t>
        </r>
        <r>
          <rPr>
            <sz val="10"/>
            <color indexed="10"/>
            <rFont val="Times New Roman"/>
            <family val="1"/>
          </rPr>
          <t xml:space="preserve">
C'est une liste de choix.
Pour élever en semi-liberté, il te faut des parcs à volailles.</t>
        </r>
      </text>
    </comment>
    <comment ref="J104"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110" authorId="3">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t>
        </r>
      </text>
    </comment>
    <comment ref="J113"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C117" authorId="1">
      <text>
        <r>
          <rPr>
            <sz val="10"/>
            <color indexed="81"/>
            <rFont val="Times New Roman"/>
            <family val="1"/>
          </rPr>
          <t>Sur cette colonne, remplis le nombre de lapins que tu as, suivant sexe et tranche d'âge.</t>
        </r>
      </text>
    </comment>
    <comment ref="D117" authorId="1">
      <text>
        <r>
          <rPr>
            <sz val="10"/>
            <color indexed="81"/>
            <rFont val="Times New Roman"/>
            <family val="1"/>
          </rPr>
          <t>Sur cette colonne, indiques la qualité générale des aliments utilisés pour tes animaux, par tranche d'âge.</t>
        </r>
      </text>
    </comment>
    <comment ref="J117" authorId="1">
      <text>
        <r>
          <rPr>
            <sz val="10"/>
            <color indexed="81"/>
            <rFont val="Times New Roman"/>
            <family val="1"/>
          </rPr>
          <t xml:space="preserve">Choisis la ration utilisée pour nourrir les lapins.
</t>
        </r>
        <r>
          <rPr>
            <b/>
            <u/>
            <sz val="10"/>
            <color indexed="14"/>
            <rFont val="Times New Roman"/>
            <family val="1"/>
          </rPr>
          <t>INFO :</t>
        </r>
        <r>
          <rPr>
            <sz val="10"/>
            <color indexed="10"/>
            <rFont val="Times New Roman"/>
            <family val="1"/>
          </rPr>
          <t xml:space="preserve">
C'est une liste de choix. </t>
        </r>
      </text>
    </comment>
    <comment ref="J120" authorId="3">
      <text>
        <r>
          <rPr>
            <sz val="10"/>
            <color indexed="81"/>
            <rFont val="Times New Roman"/>
            <family val="1"/>
          </rPr>
          <t>I</t>
        </r>
        <r>
          <rPr>
            <sz val="10"/>
            <rFont val="Times New Roman"/>
            <family val="1"/>
          </rPr>
          <t xml:space="preserve">ci, tu choisis : 
-conventionnel ou bio
</t>
        </r>
        <r>
          <rPr>
            <b/>
            <u/>
            <sz val="10"/>
            <color indexed="14"/>
            <rFont val="Times New Roman"/>
            <family val="1"/>
          </rPr>
          <t>INFO :</t>
        </r>
        <r>
          <rPr>
            <sz val="10"/>
            <color indexed="10"/>
            <rFont val="Times New Roman"/>
            <family val="1"/>
          </rPr>
          <t xml:space="preserve">
C'est une liste de choix.
Pour élever en bio, il te faut des parcs à lapins.</t>
        </r>
      </text>
    </comment>
    <comment ref="J123"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129" authorId="3">
      <text>
        <r>
          <rPr>
            <sz val="10"/>
            <color indexed="81"/>
            <rFont val="Times New Roman"/>
            <family val="1"/>
          </rPr>
          <t>I</t>
        </r>
        <r>
          <rPr>
            <sz val="10"/>
            <rFont val="Times New Roman"/>
            <family val="1"/>
          </rPr>
          <t xml:space="preserve">ci, tu choisis : 
-triticale ou blé
-pois ou fèverole
</t>
        </r>
        <r>
          <rPr>
            <b/>
            <u/>
            <sz val="10"/>
            <color indexed="14"/>
            <rFont val="Times New Roman"/>
            <family val="1"/>
          </rPr>
          <t>INFO :</t>
        </r>
        <r>
          <rPr>
            <sz val="10"/>
            <color indexed="10"/>
            <rFont val="Times New Roman"/>
            <family val="1"/>
          </rPr>
          <t xml:space="preserve">
C'est une liste de choix.</t>
        </r>
      </text>
    </comment>
    <comment ref="J133"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137" authorId="1">
      <text>
        <r>
          <rPr>
            <sz val="10"/>
            <color indexed="81"/>
            <rFont val="Times New Roman"/>
            <family val="1"/>
          </rPr>
          <t>Sur cette colonne, remplis le nombre d'oies que tu as, suivant sexe et tranche d'âge.</t>
        </r>
      </text>
    </comment>
    <comment ref="D137" authorId="1">
      <text>
        <r>
          <rPr>
            <sz val="10"/>
            <color indexed="81"/>
            <rFont val="Times New Roman"/>
            <family val="1"/>
          </rPr>
          <t>Sur cette colonne, indiques la qualité générale des aliments utilisés pour tes animaux, par tranche d'âge.</t>
        </r>
      </text>
    </comment>
    <comment ref="J137" authorId="1">
      <text>
        <r>
          <rPr>
            <sz val="10"/>
            <color indexed="81"/>
            <rFont val="Times New Roman"/>
            <family val="1"/>
          </rPr>
          <t xml:space="preserve">Choisis la ration utilisée pour nourrir les oies.
</t>
        </r>
        <r>
          <rPr>
            <b/>
            <u/>
            <sz val="10"/>
            <color indexed="14"/>
            <rFont val="Times New Roman"/>
            <family val="1"/>
          </rPr>
          <t>INFO :</t>
        </r>
        <r>
          <rPr>
            <sz val="10"/>
            <color indexed="10"/>
            <rFont val="Times New Roman"/>
            <family val="1"/>
          </rPr>
          <t xml:space="preserve">
C'est une liste de choix. </t>
        </r>
      </text>
    </comment>
    <comment ref="J140"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146" authorId="3">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t>
        </r>
      </text>
    </comment>
    <comment ref="J149"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C153" authorId="1">
      <text>
        <r>
          <rPr>
            <sz val="10"/>
            <color indexed="81"/>
            <rFont val="Times New Roman"/>
            <family val="1"/>
          </rPr>
          <t>Sur cette colonne, remplis le nombre de canards que tu as, suivant sexe et tranche d'âge.</t>
        </r>
      </text>
    </comment>
    <comment ref="D153" authorId="1">
      <text>
        <r>
          <rPr>
            <sz val="10"/>
            <color indexed="81"/>
            <rFont val="Times New Roman"/>
            <family val="1"/>
          </rPr>
          <t>Sur cette colonne, indiques la qualité générale des aliments utilisés pour tes animaux, par tranche d'âge.</t>
        </r>
      </text>
    </comment>
    <comment ref="J153" authorId="1">
      <text>
        <r>
          <rPr>
            <sz val="10"/>
            <color indexed="81"/>
            <rFont val="Times New Roman"/>
            <family val="1"/>
          </rPr>
          <t xml:space="preserve">Choisis la ration utilisée pour nourrir les canards.
</t>
        </r>
        <r>
          <rPr>
            <b/>
            <u/>
            <sz val="10"/>
            <color indexed="14"/>
            <rFont val="Times New Roman"/>
            <family val="1"/>
          </rPr>
          <t>INFO :</t>
        </r>
        <r>
          <rPr>
            <sz val="10"/>
            <color indexed="10"/>
            <rFont val="Times New Roman"/>
            <family val="1"/>
          </rPr>
          <t xml:space="preserve">
C'est une liste de choix. </t>
        </r>
      </text>
    </comment>
    <comment ref="J156"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162" authorId="3">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t>
        </r>
      </text>
    </comment>
    <comment ref="J165"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J169" authorId="1">
      <text>
        <r>
          <rPr>
            <sz val="10"/>
            <color indexed="81"/>
            <rFont val="Times New Roman"/>
            <family val="1"/>
          </rPr>
          <t xml:space="preserve">Choisis la ration utilisée pour gaver tes oies.
</t>
        </r>
        <r>
          <rPr>
            <b/>
            <u/>
            <sz val="10"/>
            <color indexed="14"/>
            <rFont val="Times New Roman"/>
            <family val="1"/>
          </rPr>
          <t>INFO :</t>
        </r>
        <r>
          <rPr>
            <sz val="10"/>
            <color indexed="10"/>
            <rFont val="Times New Roman"/>
            <family val="1"/>
          </rPr>
          <t xml:space="preserve">
C'est une liste de choix.</t>
        </r>
      </text>
    </comment>
    <comment ref="C170" authorId="1">
      <text>
        <r>
          <rPr>
            <sz val="10"/>
            <color indexed="81"/>
            <rFont val="Times New Roman"/>
            <family val="1"/>
          </rPr>
          <t>Sur cette colonne, remplis le nombre d'oisons que tu as, par tranche d'âge entre 0 et 3 mois (pour la phase d'élevage).</t>
        </r>
      </text>
    </comment>
    <comment ref="D170" authorId="1">
      <text>
        <r>
          <rPr>
            <sz val="10"/>
            <color indexed="81"/>
            <rFont val="Times New Roman"/>
            <family val="1"/>
          </rPr>
          <t>Sur cette colonne, indiques la qualité générale des aliments utilisés pour tes animaux, par tranche d'âge.</t>
        </r>
      </text>
    </comment>
    <comment ref="G170" authorId="1">
      <text>
        <r>
          <rPr>
            <sz val="10"/>
            <color indexed="81"/>
            <rFont val="Times New Roman"/>
            <family val="1"/>
          </rPr>
          <t>Sur cette colonne, remplis le nombre de jeunes oies que tu as, de plus de 3 mois (phase de gavage).</t>
        </r>
      </text>
    </comment>
    <comment ref="H170" authorId="1">
      <text>
        <r>
          <rPr>
            <sz val="10"/>
            <color indexed="81"/>
            <rFont val="Times New Roman"/>
            <family val="1"/>
          </rPr>
          <t>Sur cette colonne, indiques la qualité générale des aliments utilisés pour tes animaux, par tranche d'âge.</t>
        </r>
      </text>
    </comment>
    <comment ref="J172"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178" authorId="3">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Le dernier aliment (colza ou canola) dépend du pays où est ta ferme (à définir sur cette page).</t>
        </r>
      </text>
    </comment>
    <comment ref="J185" authorId="1">
      <text>
        <r>
          <rPr>
            <sz val="10"/>
            <color indexed="81"/>
            <rFont val="Times New Roman"/>
            <family val="1"/>
          </rPr>
          <t xml:space="preserve">Choisis la ration utilisée pour gaver tes canards.
</t>
        </r>
        <r>
          <rPr>
            <b/>
            <u/>
            <sz val="10"/>
            <color indexed="14"/>
            <rFont val="Times New Roman"/>
            <family val="1"/>
          </rPr>
          <t>INFO :</t>
        </r>
        <r>
          <rPr>
            <sz val="10"/>
            <color indexed="10"/>
            <rFont val="Times New Roman"/>
            <family val="1"/>
          </rPr>
          <t xml:space="preserve">
C'est une liste de choix. </t>
        </r>
      </text>
    </comment>
    <comment ref="C186" authorId="1">
      <text>
        <r>
          <rPr>
            <sz val="10"/>
            <color indexed="81"/>
            <rFont val="Times New Roman"/>
            <family val="1"/>
          </rPr>
          <t>Sur cette colonne, remplis le nombre de canetons que tu as, par tranche d'âge entre 0 et 3 mois (phase d'élevage).</t>
        </r>
      </text>
    </comment>
    <comment ref="D186" authorId="1">
      <text>
        <r>
          <rPr>
            <sz val="10"/>
            <color indexed="81"/>
            <rFont val="Times New Roman"/>
            <family val="1"/>
          </rPr>
          <t>Sur cette colonne, indiques la qualité générale des aliments utilisés pour tes animaux, par tranche d'âge.</t>
        </r>
      </text>
    </comment>
    <comment ref="G186" authorId="1">
      <text>
        <r>
          <rPr>
            <sz val="10"/>
            <color indexed="81"/>
            <rFont val="Times New Roman"/>
            <family val="1"/>
          </rPr>
          <t>Sur cette colonne, remplis le nombre de jeunes canards que tu as de plus de 3 mois (phase de gavage).</t>
        </r>
      </text>
    </comment>
    <comment ref="H186" authorId="1">
      <text>
        <r>
          <rPr>
            <sz val="10"/>
            <color indexed="81"/>
            <rFont val="Times New Roman"/>
            <family val="1"/>
          </rPr>
          <t>Sur cette colonne, indiques la qualité générale des aliments utilisés pour tes animaux, par tranche d'âge.</t>
        </r>
      </text>
    </comment>
    <comment ref="J188"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194" authorId="3">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t>
        </r>
      </text>
    </comment>
    <comment ref="C198" authorId="1">
      <text>
        <r>
          <rPr>
            <sz val="10"/>
            <color indexed="81"/>
            <rFont val="Times New Roman"/>
            <family val="1"/>
          </rPr>
          <t>Sur cette colonne, remplis le nombre d'ovins que tu as, suivant sexe et tranche d'âge.</t>
        </r>
      </text>
    </comment>
    <comment ref="D198" authorId="1">
      <text>
        <r>
          <rPr>
            <sz val="10"/>
            <color indexed="81"/>
            <rFont val="Times New Roman"/>
            <family val="1"/>
          </rPr>
          <t>Sur cette colonne, remplis le nombre d'ovins de races laitières que tu as, suivant sexe et tranche d'âge. Si tu ne fais que des laitières, la colonne d'à coté (nombre total) suffit.</t>
        </r>
      </text>
    </comment>
    <comment ref="E198" authorId="1">
      <text>
        <r>
          <rPr>
            <sz val="10"/>
            <color indexed="81"/>
            <rFont val="Times New Roman"/>
            <family val="1"/>
          </rPr>
          <t>Sur cette colonne, indiques la qualité générale des aliments utilisés pour tes animaux, par tranche d'âge.</t>
        </r>
      </text>
    </comment>
    <comment ref="F198" authorId="1">
      <text>
        <r>
          <rPr>
            <b/>
            <u/>
            <sz val="10"/>
            <color indexed="14"/>
            <rFont val="Times New Roman"/>
            <family val="1"/>
          </rPr>
          <t>INFO :</t>
        </r>
        <r>
          <rPr>
            <sz val="10"/>
            <color indexed="10"/>
            <rFont val="Times New Roman"/>
            <family val="1"/>
          </rPr>
          <t xml:space="preserve">
Les ovins re race allaitantes,se renseigneront directement ici dès que tu auras renseigné le nombre total de bovins, et le nombre de bovins de races laitières.</t>
        </r>
      </text>
    </comment>
    <comment ref="G198" authorId="1">
      <text>
        <r>
          <rPr>
            <b/>
            <u/>
            <sz val="10"/>
            <color indexed="14"/>
            <rFont val="Times New Roman"/>
            <family val="1"/>
          </rPr>
          <t>INFO :</t>
        </r>
        <r>
          <rPr>
            <sz val="10"/>
            <color indexed="10"/>
            <rFont val="Times New Roman"/>
            <family val="1"/>
          </rPr>
          <t xml:space="preserve">
Si tu as des ovins en pâture, ils se renseigneront directement ici (si tu as renseigné la page concernée en utilisant le lien que tu trouveras plus bas). Attention à bien penser à les effacer (dans la page des pâturages) quand ils n'y sont plus, pour ne pas fausser les résultats de ce fichier).</t>
        </r>
      </text>
    </comment>
    <comment ref="J198" authorId="1">
      <text>
        <r>
          <rPr>
            <sz val="10"/>
            <color indexed="81"/>
            <rFont val="Times New Roman"/>
            <family val="1"/>
          </rPr>
          <t xml:space="preserve">Choisis la ration utilisée pour nourrir les ovins.
</t>
        </r>
        <r>
          <rPr>
            <b/>
            <u/>
            <sz val="10"/>
            <color indexed="14"/>
            <rFont val="Times New Roman"/>
            <family val="1"/>
          </rPr>
          <t>INFO :</t>
        </r>
        <r>
          <rPr>
            <sz val="10"/>
            <color indexed="10"/>
            <rFont val="Times New Roman"/>
            <family val="1"/>
          </rPr>
          <t xml:space="preserve">
C'est une liste de choix. </t>
        </r>
      </text>
    </comment>
    <comment ref="M198" authorId="2">
      <text>
        <r>
          <rPr>
            <sz val="10"/>
            <color indexed="81"/>
            <rFont val="Times New Roman"/>
            <family val="1"/>
          </rPr>
          <t xml:space="preserve">Choisis ici si tes ovins (si tu en as) passent l'été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 Ca consid-ère que TOUT TES OVINS vont au pré l'été.</t>
        </r>
      </text>
    </comment>
    <comment ref="J201"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M201" authorId="2">
      <text>
        <r>
          <rPr>
            <sz val="10"/>
            <color indexed="81"/>
            <rFont val="Times New Roman"/>
            <family val="1"/>
          </rPr>
          <t xml:space="preserve">Choisis ici si tes ovins allaitants (si tu en as) passent l'hiver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M204"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207" authorId="3">
      <text>
        <r>
          <rPr>
            <sz val="10"/>
            <color indexed="81"/>
            <rFont val="Times New Roman"/>
            <family val="1"/>
          </rPr>
          <t xml:space="preserve">Ici, tu choisis : 
-orge, blé ou triticale.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210"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214" authorId="1">
      <text>
        <r>
          <rPr>
            <sz val="10"/>
            <color indexed="81"/>
            <rFont val="Times New Roman"/>
            <family val="1"/>
          </rPr>
          <t xml:space="preserve">Sur cette colonne, remplis le nombre de bisons que tu as, suivant sexe et tranche d'âge.
</t>
        </r>
        <r>
          <rPr>
            <b/>
            <u/>
            <sz val="10"/>
            <color indexed="14"/>
            <rFont val="Times New Roman"/>
            <family val="1"/>
          </rPr>
          <t>INFO :</t>
        </r>
        <r>
          <rPr>
            <sz val="10"/>
            <color indexed="10"/>
            <rFont val="Times New Roman"/>
            <family val="1"/>
          </rPr>
          <t xml:space="preserve">
Contrairement aux autres espèces, les daims restent toute l'année au pré. Ils doivent recevoir des aliments pendant la période hivernale.</t>
        </r>
      </text>
    </comment>
    <comment ref="D214" authorId="1">
      <text>
        <r>
          <rPr>
            <sz val="10"/>
            <color indexed="81"/>
            <rFont val="Times New Roman"/>
            <family val="1"/>
          </rPr>
          <t>Sur cette colonne, indiques la qualité générale des aliments utilisés pour tes animaux, par tranche d'âge.</t>
        </r>
      </text>
    </comment>
    <comment ref="E214" authorId="1">
      <text>
        <r>
          <rPr>
            <b/>
            <u/>
            <sz val="10"/>
            <color indexed="14"/>
            <rFont val="Times New Roman"/>
            <family val="1"/>
          </rPr>
          <t>INFO :</t>
        </r>
        <r>
          <rPr>
            <sz val="10"/>
            <color indexed="10"/>
            <rFont val="Times New Roman"/>
            <family val="1"/>
          </rPr>
          <t xml:space="preserve">
Les bovins en pâture,se renseigneront directement ici (si la page concernée a été renseignée - lien plus bas-. Penser à effacer les info relatives aux pâturages (avec le lien "tes animaux doivent aller au pré?" à la fin de la période estivale pour ne pas fausser les résultats du fichier).</t>
        </r>
      </text>
    </comment>
    <comment ref="J214" authorId="1">
      <text>
        <r>
          <rPr>
            <sz val="10"/>
            <color indexed="81"/>
            <rFont val="Times New Roman"/>
            <family val="1"/>
          </rPr>
          <t xml:space="preserve">Choisis la ration utilisée pour nourrir les daims.
</t>
        </r>
        <r>
          <rPr>
            <b/>
            <u/>
            <sz val="10"/>
            <color indexed="14"/>
            <rFont val="Times New Roman"/>
            <family val="1"/>
          </rPr>
          <t>INFO :</t>
        </r>
        <r>
          <rPr>
            <sz val="10"/>
            <color indexed="10"/>
            <rFont val="Times New Roman"/>
            <family val="1"/>
          </rPr>
          <t xml:space="preserve">
C'est une liste de choix. </t>
        </r>
      </text>
    </comment>
    <comment ref="J217"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227" authorId="1">
      <text>
        <r>
          <rPr>
            <sz val="10"/>
            <color indexed="81"/>
            <rFont val="Times New Roman"/>
            <family val="1"/>
          </rPr>
          <t xml:space="preserve">Choisis si tu vaccines tes animaux.
</t>
        </r>
        <r>
          <rPr>
            <b/>
            <u/>
            <sz val="10"/>
            <color indexed="14"/>
            <rFont val="Times New Roman"/>
            <family val="1"/>
          </rPr>
          <t>INFO :</t>
        </r>
        <r>
          <rPr>
            <sz val="10"/>
            <color indexed="10"/>
            <rFont val="Times New Roman"/>
            <family val="1"/>
          </rPr>
          <t xml:space="preserve">
C'est une liste de choix.
Les vaccins ne sont pas obligatoire mais ils sont très conseillés pour éviter/limiter les maladies!
</t>
        </r>
        <r>
          <rPr>
            <b/>
            <sz val="10"/>
            <color indexed="10"/>
            <rFont val="Times New Roman"/>
            <family val="1"/>
          </rPr>
          <t>ATTENTION : le choix concerne TOUTES les bêtes de l'espèce!!</t>
        </r>
      </text>
    </comment>
    <comment ref="C234" authorId="1">
      <text>
        <r>
          <rPr>
            <sz val="10"/>
            <color indexed="81"/>
            <rFont val="Times New Roman"/>
            <family val="1"/>
          </rPr>
          <t>Sur cette colonne, remplis le nombre de chevaux de selle (toutes races) que tu as, suivant sexe et tranche d'âge.</t>
        </r>
      </text>
    </comment>
    <comment ref="D234" authorId="1">
      <text>
        <r>
          <rPr>
            <sz val="10"/>
            <color indexed="81"/>
            <rFont val="Times New Roman"/>
            <family val="1"/>
          </rPr>
          <t>Sur cette colonne, indiques la qualité générale des aliments utilisés pour tes animaux, par tranche d'âge.</t>
        </r>
      </text>
    </comment>
    <comment ref="E234" authorId="1">
      <text>
        <r>
          <rPr>
            <b/>
            <u/>
            <sz val="10"/>
            <color indexed="14"/>
            <rFont val="Times New Roman"/>
            <family val="1"/>
          </rPr>
          <t>INFO :</t>
        </r>
        <r>
          <rPr>
            <sz val="10"/>
            <color indexed="10"/>
            <rFont val="Times New Roman"/>
            <family val="1"/>
          </rPr>
          <t xml:space="preserve">
Les chevaux en pâture,se renseigneront directement ici (si la page concernée a été renseignée - lien plus bas-. Penser à effacer les info relatives aux pâturages (avec le lien "tes animaux doivent aller au pré?" à la fin de la période estivale, sinon les résultats ici seront faux).</t>
        </r>
      </text>
    </comment>
    <comment ref="J234" authorId="2">
      <text>
        <r>
          <rPr>
            <sz val="10"/>
            <color indexed="81"/>
            <rFont val="Times New Roman"/>
            <family val="1"/>
          </rPr>
          <t xml:space="preserve">Choisis ici si tes chevaux de selle passent l'hiver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M234" authorId="2">
      <text>
        <r>
          <rPr>
            <sz val="10"/>
            <color indexed="81"/>
            <rFont val="Times New Roman"/>
            <family val="1"/>
          </rPr>
          <t xml:space="preserve">Choisis ici si tes chevaux de selle (si tu en as) passent l'été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 Ca consid-ère que TOUT TES CHEVAUX DE SELLE vont au pré l'été.</t>
        </r>
      </text>
    </comment>
    <comment ref="J237"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M237"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243"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248" authorId="1">
      <text>
        <r>
          <rPr>
            <sz val="10"/>
            <color indexed="81"/>
            <rFont val="Times New Roman"/>
            <family val="1"/>
          </rPr>
          <t>Sur cette colonne, remplis le nombre de chevaux de trait (toutes races) que tu as, suivant sexe et tranche d'âge.</t>
        </r>
      </text>
    </comment>
    <comment ref="D248" authorId="1">
      <text>
        <r>
          <rPr>
            <sz val="10"/>
            <color indexed="81"/>
            <rFont val="Times New Roman"/>
            <family val="1"/>
          </rPr>
          <t>Sur cette colonne, indiques la qualité générale des aliments utilisés pour tes animaux, par tranche d'âge.</t>
        </r>
      </text>
    </comment>
    <comment ref="E248" authorId="1">
      <text>
        <r>
          <rPr>
            <b/>
            <u/>
            <sz val="10"/>
            <color indexed="14"/>
            <rFont val="Times New Roman"/>
            <family val="1"/>
          </rPr>
          <t>INFO :</t>
        </r>
        <r>
          <rPr>
            <sz val="10"/>
            <color indexed="10"/>
            <rFont val="Times New Roman"/>
            <family val="1"/>
          </rPr>
          <t xml:space="preserve">
Les chevaux en pâture,se renseigneront directement ici (si la page concernée a été renseignée - lien plus bas-. Penser à effacer les info relatives aux pâturages (avec le lien "tes animaux doivent aller au pré?" à la fin de la période estivale, sinon les résultats ici seront faux).</t>
        </r>
      </text>
    </comment>
    <comment ref="J248" authorId="2">
      <text>
        <r>
          <rPr>
            <sz val="10"/>
            <color indexed="81"/>
            <rFont val="Times New Roman"/>
            <family val="1"/>
          </rPr>
          <t xml:space="preserve">Choisis ici si tes chevaux de trait passent l'hiver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M248" authorId="2">
      <text>
        <r>
          <rPr>
            <sz val="10"/>
            <color indexed="81"/>
            <rFont val="Times New Roman"/>
            <family val="1"/>
          </rPr>
          <t xml:space="preserve">Choisis ici si tes chevaux de trait (si tu en as) passent l'été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 Ca consid-ère que TOUT TES CHEVAUX DE TRAIT vont au pré l'été.</t>
        </r>
      </text>
    </comment>
    <comment ref="J251"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M251"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257"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262" authorId="1">
      <text>
        <r>
          <rPr>
            <sz val="10"/>
            <color indexed="81"/>
            <rFont val="Times New Roman"/>
            <family val="1"/>
          </rPr>
          <t>Sur cette colonne, remplis le nombre de poneys (toutes races) que tu as, suivant sexe et tranche d'âge.</t>
        </r>
      </text>
    </comment>
    <comment ref="D262" authorId="1">
      <text>
        <r>
          <rPr>
            <sz val="10"/>
            <color indexed="81"/>
            <rFont val="Times New Roman"/>
            <family val="1"/>
          </rPr>
          <t>Sur cette colonne, indiques la qualité générale des aliments utilisés pour tes animaux, par tranche d'âge.</t>
        </r>
      </text>
    </comment>
    <comment ref="E262" authorId="1">
      <text>
        <r>
          <rPr>
            <b/>
            <u/>
            <sz val="10"/>
            <color indexed="14"/>
            <rFont val="Times New Roman"/>
            <family val="1"/>
          </rPr>
          <t>INFO :</t>
        </r>
        <r>
          <rPr>
            <sz val="10"/>
            <color indexed="10"/>
            <rFont val="Times New Roman"/>
            <family val="1"/>
          </rPr>
          <t xml:space="preserve">
Les poneys en pâture,se renseigneront directement ici (si la page concernée a été renseignée - lien plus bas-. Penser à effacer les info relatives aux pâturages (avec le lien "tes animaux doivent aller au pré?" à la fin de la période estivale, sinon les résultats ici seront faux).</t>
        </r>
      </text>
    </comment>
    <comment ref="J262" authorId="2">
      <text>
        <r>
          <rPr>
            <sz val="10"/>
            <color indexed="81"/>
            <rFont val="Times New Roman"/>
            <family val="1"/>
          </rPr>
          <t xml:space="preserve">Choisis ici si tes poneys passent l'hiver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M262" authorId="2">
      <text>
        <r>
          <rPr>
            <sz val="10"/>
            <color indexed="81"/>
            <rFont val="Times New Roman"/>
            <family val="1"/>
          </rPr>
          <t xml:space="preserve">Choisis ici si tes poneys (si tu en as) passent l'été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 Ca consid-ère que TOUT TES PONEYS vont au pré l'été.</t>
        </r>
      </text>
    </comment>
    <comment ref="J265"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M265"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271"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List>
</comments>
</file>

<file path=xl/comments2.xml><?xml version="1.0" encoding="utf-8"?>
<comments xmlns="http://schemas.openxmlformats.org/spreadsheetml/2006/main">
  <authors>
    <author>appart</author>
    <author>DOMERCQ, Ghislain (ALTRAN)</author>
  </authors>
  <commentList>
    <comment ref="B5" authorId="0">
      <text>
        <r>
          <rPr>
            <sz val="10"/>
            <color indexed="81"/>
            <rFont val="Times New Roman"/>
            <family val="1"/>
          </rPr>
          <t xml:space="preserve">Ici, tu choisis le nombre de jours pour lesquels tu veux stocker tes aliments.
</t>
        </r>
        <r>
          <rPr>
            <b/>
            <u/>
            <sz val="10"/>
            <color indexed="14"/>
            <rFont val="Times New Roman"/>
            <family val="1"/>
          </rPr>
          <t>INFO :</t>
        </r>
        <r>
          <rPr>
            <sz val="10"/>
            <color indexed="10"/>
            <rFont val="Times New Roman"/>
            <family val="1"/>
          </rPr>
          <t xml:space="preserve">
C'est une liste de choix (qui va de 1jour à 1 an).
Le résultat n'est qu'approximatif : tes animaux grandissant ne mangeant pas la même quantité d'aliments, le résultat correspond aux bêtes sous abris que tu as renseigné dans les élevages qui te concernent!
Pour la paille, si tu choisis ici "1 an", il te faut dire si tu mets en pature ou pas (en bas de ce tableau) pour avoir la bonne valeur (basée sur une mise au pré sur toute la durée de la période estivale).</t>
        </r>
      </text>
    </comment>
    <comment ref="C7" authorId="1">
      <text>
        <r>
          <rPr>
            <sz val="9"/>
            <color indexed="81"/>
            <rFont val="Tahoma"/>
            <family val="2"/>
          </rPr>
          <t xml:space="preserve">Quels que soient tes réglages, la quantité d'eau calculée ici correspond à la quantité nécessaire sur 1 saison, que ce soit au pré (= pas de source) ou dans les batiments d'élevage.
</t>
        </r>
      </text>
    </comment>
    <comment ref="J8" authorId="0">
      <text>
        <r>
          <rPr>
            <sz val="10"/>
            <color indexed="81"/>
            <rFont val="Times New Roman"/>
            <family val="1"/>
          </rPr>
          <t xml:space="preserve">Sur cette colonne,  remplis le prix de vente des aliments.
</t>
        </r>
        <r>
          <rPr>
            <b/>
            <u/>
            <sz val="10"/>
            <color indexed="14"/>
            <rFont val="Times New Roman"/>
            <family val="1"/>
          </rPr>
          <t xml:space="preserve">INFO : </t>
        </r>
        <r>
          <rPr>
            <sz val="10"/>
            <color indexed="10"/>
            <rFont val="Times New Roman"/>
            <family val="1"/>
          </rPr>
          <t xml:space="preserve">
Les cases blanches (déjà remplies) sont des prix fixes.</t>
        </r>
      </text>
    </comment>
    <comment ref="M26" authorId="0">
      <text>
        <r>
          <rPr>
            <b/>
            <u/>
            <sz val="10"/>
            <color indexed="14"/>
            <rFont val="Times New Roman"/>
            <family val="1"/>
          </rPr>
          <t>RAPPEL :</t>
        </r>
        <r>
          <rPr>
            <sz val="10"/>
            <color indexed="10"/>
            <rFont val="Times New Roman"/>
            <family val="1"/>
          </rPr>
          <t xml:space="preserve"> 
Le vaccin n'es pas obligatoire. Il ne produit pas de fumier, mais protège aussi bien les bêtes des maladies que le paillage (à condition de ne pas oublier les rappels des vaccins, 1 fois par an SIMAGRI)</t>
        </r>
      </text>
    </comment>
    <comment ref="I53" authorId="0">
      <text>
        <r>
          <rPr>
            <b/>
            <u/>
            <sz val="10"/>
            <color indexed="14"/>
            <rFont val="Times New Roman"/>
            <family val="1"/>
          </rPr>
          <t>INFO :</t>
        </r>
        <r>
          <rPr>
            <sz val="10"/>
            <color indexed="10"/>
            <rFont val="Times New Roman"/>
            <family val="1"/>
          </rPr>
          <t xml:space="preserve"> 
sur cette case, tu vois combien tu dois dépenser pour régler ta commande.
Bien entendu, à la coop, ne pouvant acheter exactement la quantité marquée ici, ce montant est MINIMUM!!
ATTENTION : ce montant correspond aux animaux que tu as renseigné dans ce fichier. Il ne tient pas compte du fait que tu auras certainement des animaux qui grandiront!!!</t>
        </r>
      </text>
    </comment>
  </commentList>
</comments>
</file>

<file path=xl/sharedStrings.xml><?xml version="1.0" encoding="utf-8"?>
<sst xmlns="http://schemas.openxmlformats.org/spreadsheetml/2006/main" count="20237" uniqueCount="1196">
  <si>
    <t>pulvérisateurs maraîchers</t>
  </si>
  <si>
    <t>planteuses maraîchage</t>
  </si>
  <si>
    <t>semoirs maraîchers</t>
  </si>
  <si>
    <t>récolteuses ail</t>
  </si>
  <si>
    <t>récolteuses carotte</t>
  </si>
  <si>
    <t>épandeurs à engrais maraîcher</t>
  </si>
  <si>
    <t>récolteuses poireau</t>
  </si>
  <si>
    <t>fraises rotatives</t>
  </si>
  <si>
    <t>souleveuses lin</t>
  </si>
  <si>
    <t>rouleaux</t>
  </si>
  <si>
    <t>remorques ensilage</t>
  </si>
  <si>
    <t>récolteuses haricot</t>
  </si>
  <si>
    <t>récolteuses épinard</t>
  </si>
  <si>
    <t>pieds de pruniers</t>
  </si>
  <si>
    <t>pieds de mirabelliers</t>
  </si>
  <si>
    <t>engrais pruniers</t>
  </si>
  <si>
    <t>engrais mirabelliers</t>
  </si>
  <si>
    <t>jeune jars 3-6 mois</t>
  </si>
  <si>
    <t>jeune oie 3-6 mois</t>
  </si>
  <si>
    <t>CANARDS</t>
  </si>
  <si>
    <t>poneys</t>
  </si>
  <si>
    <t>Bourbourg</t>
  </si>
  <si>
    <t>OUI</t>
  </si>
  <si>
    <t>NON</t>
  </si>
  <si>
    <t>nombre dans pré</t>
  </si>
  <si>
    <t>nombre total</t>
  </si>
  <si>
    <t>porcelet mâle 1-3 mois</t>
  </si>
  <si>
    <t>traitement poiriers</t>
  </si>
  <si>
    <t>engrais poiriers</t>
  </si>
  <si>
    <t>poussin femelle 0-1 mois</t>
  </si>
  <si>
    <t>jeune coq 1-6 mois</t>
  </si>
  <si>
    <t>jeune poule 1-6 mois</t>
  </si>
  <si>
    <t>coq</t>
  </si>
  <si>
    <t>poule</t>
  </si>
  <si>
    <t>OVINS</t>
  </si>
  <si>
    <t>agneau 0-3 mois</t>
  </si>
  <si>
    <t>agnelle 0-3 mois</t>
  </si>
  <si>
    <t>agneau 3-6 mois</t>
  </si>
  <si>
    <t>agnelle 3-6 mois</t>
  </si>
  <si>
    <t>jeune bélier 6-12 mois</t>
  </si>
  <si>
    <t>place restante sous entrepôt(s) :</t>
  </si>
  <si>
    <t>pour gérer ton/tes entrepôt(s)</t>
  </si>
  <si>
    <t>lait</t>
  </si>
  <si>
    <t>laine</t>
  </si>
  <si>
    <t>Tabac</t>
  </si>
  <si>
    <t>semences de coton</t>
  </si>
  <si>
    <t>semences de tabac</t>
  </si>
  <si>
    <t>Wallonie</t>
  </si>
  <si>
    <t>Flandre</t>
  </si>
  <si>
    <t>Terre-Neuve et Labrador</t>
  </si>
  <si>
    <t>traitement pommiers</t>
  </si>
  <si>
    <t>CAPRINS</t>
  </si>
  <si>
    <t>chevreau 0-3 mois</t>
  </si>
  <si>
    <t>chevrette 0-3 mois</t>
  </si>
  <si>
    <t>chevreau 3-6 mois</t>
  </si>
  <si>
    <t>chevrette 3-6 mois</t>
  </si>
  <si>
    <t>semences de chanvre (GP)</t>
  </si>
  <si>
    <t>Soja</t>
  </si>
  <si>
    <t>Lin</t>
  </si>
  <si>
    <t>Pomme de terre</t>
  </si>
  <si>
    <t>Bison d'Amérique</t>
  </si>
  <si>
    <t>pieds de poiriers</t>
  </si>
  <si>
    <t>Large White</t>
  </si>
  <si>
    <t>Pietrain</t>
  </si>
  <si>
    <t>intensif</t>
  </si>
  <si>
    <t>Pintade grise</t>
  </si>
  <si>
    <t>Fauve de Bourgogne</t>
  </si>
  <si>
    <t>Bleu de Vienne</t>
  </si>
  <si>
    <t>Chamois de Thuringe</t>
  </si>
  <si>
    <t>Charollais</t>
  </si>
  <si>
    <t>Triticale</t>
  </si>
  <si>
    <t>broyeurs lourds</t>
  </si>
  <si>
    <t>pulvérisateurs automoteurs</t>
  </si>
  <si>
    <t>pulvérisateurs arboricoles</t>
  </si>
  <si>
    <t>semoirs</t>
  </si>
  <si>
    <t>semoirs directs</t>
  </si>
  <si>
    <t>semoirs maïs/betteraves</t>
  </si>
  <si>
    <t>Matériel</t>
  </si>
  <si>
    <t>Divers</t>
  </si>
  <si>
    <t>broyeurs</t>
  </si>
  <si>
    <t>mélangeuses</t>
  </si>
  <si>
    <t>concentrés et minéraux</t>
  </si>
  <si>
    <t>PDT pour plantation</t>
  </si>
  <si>
    <t>porcelet femelle 0-1 mois</t>
  </si>
  <si>
    <t>porcelet femelle 1-3 mois</t>
  </si>
  <si>
    <t>jeune verrat 3-6 mois</t>
  </si>
  <si>
    <t>jeune truie 3-6 mois</t>
  </si>
  <si>
    <t>jeune verrat 6-12 mois</t>
  </si>
  <si>
    <t>jeune truie 6-12 mois</t>
  </si>
  <si>
    <t>verrat</t>
  </si>
  <si>
    <t>truie</t>
  </si>
  <si>
    <t>LAPINS</t>
  </si>
  <si>
    <t>lapereau mâle 0-1 mois</t>
  </si>
  <si>
    <t>lapereau femelle 0-1 mois</t>
  </si>
  <si>
    <t>jeune lapin 1-3 mois</t>
  </si>
  <si>
    <t>jeune lapine 1-3 mois</t>
  </si>
  <si>
    <t>lapin</t>
  </si>
  <si>
    <t>Aubrac</t>
  </si>
  <si>
    <t xml:space="preserve">Mode d'élevage : </t>
  </si>
  <si>
    <t>bovins</t>
  </si>
  <si>
    <t>caprins</t>
  </si>
  <si>
    <t>ovins</t>
  </si>
  <si>
    <t>lapins</t>
  </si>
  <si>
    <t>Armoricaine</t>
  </si>
  <si>
    <t>Rove</t>
  </si>
  <si>
    <t>Brune des Alpes</t>
  </si>
  <si>
    <t>Saanen</t>
  </si>
  <si>
    <t>Vosgienne</t>
  </si>
  <si>
    <t>Blond d'Aquitaine</t>
  </si>
  <si>
    <t>Limousin</t>
  </si>
  <si>
    <t>Charolaise</t>
  </si>
  <si>
    <t>Limousine</t>
  </si>
  <si>
    <t>Blanc Bleu Belge</t>
  </si>
  <si>
    <t>Parthenaise</t>
  </si>
  <si>
    <t>Rouge de l'Ouest</t>
  </si>
  <si>
    <t>semences de dactyle</t>
  </si>
  <si>
    <t>semences de fétuque élevée</t>
  </si>
  <si>
    <t>semences de fléole</t>
  </si>
  <si>
    <t>semences de brome</t>
  </si>
  <si>
    <t>semences de ray-grass Italie</t>
  </si>
  <si>
    <t>semences de ray-grass anglais</t>
  </si>
  <si>
    <t>autochargeuses</t>
  </si>
  <si>
    <t>oison mâle 0-3 mois</t>
  </si>
  <si>
    <t>oison femelle 0-3 mois</t>
  </si>
  <si>
    <t>Est-ce que tu vaccines?</t>
  </si>
  <si>
    <t>Est-ce que tu pailles?</t>
  </si>
  <si>
    <t>porcins</t>
  </si>
  <si>
    <t>litière</t>
  </si>
  <si>
    <t>Simmental</t>
  </si>
  <si>
    <t>Cliques → ICI ←</t>
  </si>
  <si>
    <t>semences de colza</t>
  </si>
  <si>
    <t>herses</t>
  </si>
  <si>
    <t>presses balles carrées 500kg</t>
  </si>
  <si>
    <t>presses balles rondes 300kg</t>
  </si>
  <si>
    <t>presses balles carrées 250kg</t>
  </si>
  <si>
    <t>presses RB enrubanneuses</t>
  </si>
  <si>
    <t>arracheuses betteraves</t>
  </si>
  <si>
    <t>arracheuses PDT</t>
  </si>
  <si>
    <t>arracheuses lin</t>
  </si>
  <si>
    <t>Midi-Pyrénées</t>
  </si>
  <si>
    <t>Nord</t>
  </si>
  <si>
    <t>Pays de Loire</t>
  </si>
  <si>
    <t>Picardie</t>
  </si>
  <si>
    <t>Poitou-Charentes</t>
  </si>
  <si>
    <t>Rhône-Alpes</t>
  </si>
  <si>
    <t>luzerne</t>
  </si>
  <si>
    <t>Luzerne</t>
  </si>
  <si>
    <t>Miscanthus</t>
  </si>
  <si>
    <t>élevage</t>
  </si>
  <si>
    <t>caprins (chèvres)</t>
  </si>
  <si>
    <t>fil de fer barbelé</t>
  </si>
  <si>
    <t>bobine 20000m</t>
  </si>
  <si>
    <t>bobine 10000m</t>
  </si>
  <si>
    <t>bobine 5000m</t>
  </si>
  <si>
    <t>bobine 4000m</t>
  </si>
  <si>
    <t>palox 320x20</t>
  </si>
  <si>
    <t>palox 320x10</t>
  </si>
  <si>
    <t>palox 320</t>
  </si>
  <si>
    <t>filets anti-grêle</t>
  </si>
  <si>
    <t>filet anti-grêle 2ha</t>
  </si>
  <si>
    <t>filet anti-grêle 1ha</t>
  </si>
  <si>
    <t>bac rectangle de 5000 litres</t>
  </si>
  <si>
    <t>jeune bouc 6-12 mois</t>
  </si>
  <si>
    <t>cultures</t>
  </si>
  <si>
    <t>pintades</t>
  </si>
  <si>
    <t>bovins (vaches)</t>
  </si>
  <si>
    <t>porcins (cochons)</t>
  </si>
  <si>
    <t>enrouleuses automotrices</t>
  </si>
  <si>
    <t>Foin</t>
  </si>
  <si>
    <t>Suisse Italienne</t>
  </si>
  <si>
    <t>semences de soja</t>
  </si>
  <si>
    <t>semences de lin</t>
  </si>
  <si>
    <t>semences de betterave</t>
  </si>
  <si>
    <t>semences de tournesol</t>
  </si>
  <si>
    <t>semences de maïs</t>
  </si>
  <si>
    <t>semences de blé (G)</t>
  </si>
  <si>
    <t>semences de blé (GP)</t>
  </si>
  <si>
    <t>semences de blé (P)</t>
  </si>
  <si>
    <t>défanage chimique</t>
  </si>
  <si>
    <t>jeune brebis 6-12 mois</t>
  </si>
  <si>
    <t>bélier</t>
  </si>
  <si>
    <t>brebis</t>
  </si>
  <si>
    <t>bac rectangle de 10000 litres</t>
  </si>
  <si>
    <t>jeune chèvre 6-12 mois</t>
  </si>
  <si>
    <t>bouc</t>
  </si>
  <si>
    <t>chèvre</t>
  </si>
  <si>
    <t>PORCINS</t>
  </si>
  <si>
    <t>N.C.</t>
  </si>
  <si>
    <t>bacs à eau</t>
  </si>
  <si>
    <t>tracteurs</t>
  </si>
  <si>
    <t>bennes</t>
  </si>
  <si>
    <t>plateaux</t>
  </si>
  <si>
    <t>utilitaires</t>
  </si>
  <si>
    <t>ensileuses</t>
  </si>
  <si>
    <t>moissonneuses batteuses</t>
  </si>
  <si>
    <t>tonnes à eau</t>
  </si>
  <si>
    <t>charrues</t>
  </si>
  <si>
    <t>épandeurs à fumier</t>
  </si>
  <si>
    <t>oies</t>
  </si>
  <si>
    <t>canards</t>
  </si>
  <si>
    <t>rateliers bovins</t>
  </si>
  <si>
    <t>14 places</t>
  </si>
  <si>
    <t>12 places</t>
  </si>
  <si>
    <t>10 places</t>
  </si>
  <si>
    <t>8 places</t>
  </si>
  <si>
    <t>rateliers ovins</t>
  </si>
  <si>
    <t>enrouleurs</t>
  </si>
  <si>
    <t>enfonces pieux</t>
  </si>
  <si>
    <t>bétaillères</t>
  </si>
  <si>
    <t>chevraux de selle :</t>
  </si>
  <si>
    <t>chevaux de trait :</t>
  </si>
  <si>
    <t>poneys :</t>
  </si>
  <si>
    <t>jeune bisonne 18-24 mois</t>
  </si>
  <si>
    <t>jeune bison 24-36 mois</t>
  </si>
  <si>
    <t>bison</t>
  </si>
  <si>
    <t>bisonne</t>
  </si>
  <si>
    <t>jeune pintade femelle 1-9 mois</t>
  </si>
  <si>
    <t>pintade femelle</t>
  </si>
  <si>
    <t>pintadeau femelle 0-1 mois</t>
  </si>
  <si>
    <t>bisonneau femelle 0-3 mois</t>
  </si>
  <si>
    <t>Blé</t>
  </si>
  <si>
    <t>balles de paille</t>
  </si>
  <si>
    <t>balles de lin</t>
  </si>
  <si>
    <t>pieds de pommiers</t>
  </si>
  <si>
    <t>pieds de pêchers</t>
  </si>
  <si>
    <t>engrais</t>
  </si>
  <si>
    <t>engrais pêchers</t>
  </si>
  <si>
    <t>engrais pommiers</t>
  </si>
  <si>
    <t>engrais pré</t>
  </si>
  <si>
    <t>traitements</t>
  </si>
  <si>
    <t>traitement pêchers</t>
  </si>
  <si>
    <t>Tournesol</t>
  </si>
  <si>
    <t>Pois</t>
  </si>
  <si>
    <t>Féverole</t>
  </si>
  <si>
    <t>Chanvre industriel</t>
  </si>
  <si>
    <t>semences d'orge (P)</t>
  </si>
  <si>
    <t>cultivateurs</t>
  </si>
  <si>
    <t>tonnes à lisier</t>
  </si>
  <si>
    <t>cover-crops</t>
  </si>
  <si>
    <t>vibro-culteurs</t>
  </si>
  <si>
    <t>butteuses</t>
  </si>
  <si>
    <t>épandeurs à engrais</t>
  </si>
  <si>
    <t>pulvérisateurs</t>
  </si>
  <si>
    <t>faucheuses</t>
  </si>
  <si>
    <t>faneuses</t>
  </si>
  <si>
    <t>herses de prairie</t>
  </si>
  <si>
    <t>fourches</t>
  </si>
  <si>
    <t>pailleuses</t>
  </si>
  <si>
    <t>désileuses</t>
  </si>
  <si>
    <t>traitement pruniers</t>
  </si>
  <si>
    <t>traitement mirabelliers</t>
  </si>
  <si>
    <t>semences de chanvre (G)</t>
  </si>
  <si>
    <t>semences de chanvre (P)</t>
  </si>
  <si>
    <t>caneton mâle 0-3 mois</t>
  </si>
  <si>
    <t>caneton femelle 0-3 mois</t>
  </si>
  <si>
    <t>jeune canard 3-6 mois</t>
  </si>
  <si>
    <t>jeune cane 3-6 mois</t>
  </si>
  <si>
    <t>cane</t>
  </si>
  <si>
    <t>canard</t>
  </si>
  <si>
    <t>piquets de 2.50m (lot de 100)</t>
  </si>
  <si>
    <t>palox</t>
  </si>
  <si>
    <t xml:space="preserve">bac rectangle de 1000 litres </t>
  </si>
  <si>
    <t>bac rond de 500 litres</t>
  </si>
  <si>
    <t>balles de foin</t>
  </si>
  <si>
    <t>faucheuses automotrices</t>
  </si>
  <si>
    <t>Epinard</t>
  </si>
  <si>
    <t>Haricot vert</t>
  </si>
  <si>
    <t>Lentille</t>
  </si>
  <si>
    <t>Maïs grain</t>
  </si>
  <si>
    <t>Maïs ensilé</t>
  </si>
  <si>
    <t>balles de paille 300kg</t>
  </si>
  <si>
    <t>balles de paille 500kg</t>
  </si>
  <si>
    <t>balles de paille 250kg</t>
  </si>
  <si>
    <t>prix unitaire</t>
  </si>
  <si>
    <t>montant de la commande</t>
  </si>
  <si>
    <t>montant total :</t>
  </si>
  <si>
    <t>m²</t>
  </si>
  <si>
    <t>Prim'holstein</t>
  </si>
  <si>
    <t>Alpine</t>
  </si>
  <si>
    <t>Lacaune Lait</t>
  </si>
  <si>
    <t>Montbéliarde</t>
  </si>
  <si>
    <t>Angora</t>
  </si>
  <si>
    <t>Duroc</t>
  </si>
  <si>
    <t>Corse</t>
  </si>
  <si>
    <t>Salers</t>
  </si>
  <si>
    <t>Poitevine</t>
  </si>
  <si>
    <t>semences de féverole (GP)</t>
  </si>
  <si>
    <t>semences de féverole (P)</t>
  </si>
  <si>
    <t>semences d'avoine (G)</t>
  </si>
  <si>
    <t>semences d'avoine (GP)</t>
  </si>
  <si>
    <t>semences d'avoine (P)</t>
  </si>
  <si>
    <t>semences de pois (G)</t>
  </si>
  <si>
    <t>semences de pois (GP)</t>
  </si>
  <si>
    <t>semences de pois (P)</t>
  </si>
  <si>
    <t>semences de triticale (G)</t>
  </si>
  <si>
    <t>semences de triticale (GP)</t>
  </si>
  <si>
    <t>semences de triticale (P)</t>
  </si>
  <si>
    <t>semences de haricot vert</t>
  </si>
  <si>
    <t>semences de lentilles</t>
  </si>
  <si>
    <t>semences d'épinards</t>
  </si>
  <si>
    <t>surface</t>
  </si>
  <si>
    <t>Type d'élevage :</t>
  </si>
  <si>
    <t>Argenté de Champagne</t>
  </si>
  <si>
    <t>Néo Zélandais Blanc</t>
  </si>
  <si>
    <t>porcelet mâle 0-1 mois</t>
  </si>
  <si>
    <t>volailles (poules, canards)</t>
  </si>
  <si>
    <t>volailles (pintades, oies)</t>
  </si>
  <si>
    <t>mélangeuses automotrices</t>
  </si>
  <si>
    <t>chargeurs</t>
  </si>
  <si>
    <t>planteuses PDT</t>
  </si>
  <si>
    <t>retourneuses lin</t>
  </si>
  <si>
    <t>semences d'orge (G)</t>
  </si>
  <si>
    <t>semences d'orge (GP)</t>
  </si>
  <si>
    <t>Québec</t>
  </si>
  <si>
    <t>Ontario</t>
  </si>
  <si>
    <t>Manitoba</t>
  </si>
  <si>
    <t>Alberta</t>
  </si>
  <si>
    <t>Suisse Romande</t>
  </si>
  <si>
    <t>Pays :</t>
  </si>
  <si>
    <t>Alaska</t>
  </si>
  <si>
    <t>Suffolk</t>
  </si>
  <si>
    <t>bisonneau mâle 0-3 mois</t>
  </si>
  <si>
    <t>bisonneau mâle 3-6 mois</t>
  </si>
  <si>
    <t>bisonneau mâle 6-12 mois</t>
  </si>
  <si>
    <t>jeune bisonne 24-36 mois</t>
  </si>
  <si>
    <t>pintadeau mâle 0-1 mois</t>
  </si>
  <si>
    <t>jeune pintade mâle 1-9 mois</t>
  </si>
  <si>
    <t>pintade mâle</t>
  </si>
  <si>
    <t>abatteuses</t>
  </si>
  <si>
    <t>débusqueurs</t>
  </si>
  <si>
    <t>porteurs forestiers</t>
  </si>
  <si>
    <t>cotton pickers</t>
  </si>
  <si>
    <t>déchaumeurs forestiers</t>
  </si>
  <si>
    <t>débroussailleuses à bras</t>
  </si>
  <si>
    <t>bineuses</t>
  </si>
  <si>
    <t>planteuses à tabac</t>
  </si>
  <si>
    <t>Etats-Unis</t>
  </si>
  <si>
    <t>1 an</t>
  </si>
  <si>
    <t>BISONS</t>
  </si>
  <si>
    <t>PINTADES</t>
  </si>
  <si>
    <t>caillebotis</t>
  </si>
  <si>
    <t>jeune bison 12-18 mois</t>
  </si>
  <si>
    <t>jeune bisonne 12-18 mois</t>
  </si>
  <si>
    <t>jeune bison 18-24 mois</t>
  </si>
  <si>
    <t>Belgique</t>
  </si>
  <si>
    <t>Canada</t>
  </si>
  <si>
    <t>Suisse</t>
  </si>
  <si>
    <t>BOVINS</t>
  </si>
  <si>
    <t xml:space="preserve">Choix de la ration : </t>
  </si>
  <si>
    <t xml:space="preserve">Spécificité : </t>
  </si>
  <si>
    <t>nombre</t>
  </si>
  <si>
    <t>veau mâle 0-3 mois</t>
  </si>
  <si>
    <t>veau femelle 0-3 mois</t>
  </si>
  <si>
    <t>veau mâle 3-6 mois</t>
  </si>
  <si>
    <t>veau femelle 3-6 mois</t>
  </si>
  <si>
    <t>veau mâle 6-12 mois</t>
  </si>
  <si>
    <t>veau femelle 6-12 mois</t>
  </si>
  <si>
    <t>taurillon 12-18 mois</t>
  </si>
  <si>
    <t>génisse 12-18 mois</t>
  </si>
  <si>
    <t>taurillon 18-24 mois</t>
  </si>
  <si>
    <t>génisse 18-24 mois</t>
  </si>
  <si>
    <t>taurillon 24-36 mois</t>
  </si>
  <si>
    <t>génisse 24-36 mois</t>
  </si>
  <si>
    <t>taureau</t>
  </si>
  <si>
    <t>vache</t>
  </si>
  <si>
    <t>ALIMENTS A COMMANDER</t>
  </si>
  <si>
    <t>bovins :</t>
  </si>
  <si>
    <t>bisons :</t>
  </si>
  <si>
    <t>porcins :</t>
  </si>
  <si>
    <t>caprins :</t>
  </si>
  <si>
    <t>volaille (poules) :</t>
  </si>
  <si>
    <t>pintades :</t>
  </si>
  <si>
    <t>lapins :</t>
  </si>
  <si>
    <t>ovins :</t>
  </si>
  <si>
    <t>oies :</t>
  </si>
  <si>
    <t>canards :</t>
  </si>
  <si>
    <t>Orge de printemps</t>
  </si>
  <si>
    <t>Avoine de printemps</t>
  </si>
  <si>
    <t>Seigle</t>
  </si>
  <si>
    <t>Coton</t>
  </si>
  <si>
    <t>fongicide</t>
  </si>
  <si>
    <t>herbicide</t>
  </si>
  <si>
    <t>insecticide</t>
  </si>
  <si>
    <t>par tonne</t>
  </si>
  <si>
    <t>semences de féverole (G)</t>
  </si>
  <si>
    <t>piquets de 2.50m (lot de 400)</t>
  </si>
  <si>
    <t>piquets de 2.50m (lot de 300)</t>
  </si>
  <si>
    <t>piquets de 2.50m (lot de 200)</t>
  </si>
  <si>
    <t>Lorraine</t>
  </si>
  <si>
    <t>semences/engrais vert</t>
  </si>
  <si>
    <t>semences de phacélie</t>
  </si>
  <si>
    <t>andaineurs</t>
  </si>
  <si>
    <t>Betterave</t>
  </si>
  <si>
    <t>France</t>
  </si>
  <si>
    <t>Alsace</t>
  </si>
  <si>
    <t>Aquitaine</t>
  </si>
  <si>
    <t>Auvergne</t>
  </si>
  <si>
    <t>Basse-Normandie</t>
  </si>
  <si>
    <t>Bourgogne</t>
  </si>
  <si>
    <t>Bretagne</t>
  </si>
  <si>
    <t>Centre</t>
  </si>
  <si>
    <t>Champagnes-Ardennes</t>
  </si>
  <si>
    <t>Franche-Comté</t>
  </si>
  <si>
    <t>Haute-Normandie</t>
  </si>
  <si>
    <t>Ile-de-France</t>
  </si>
  <si>
    <t>Languedoc-Roussillon</t>
  </si>
  <si>
    <t>OIES</t>
  </si>
  <si>
    <t>jars</t>
  </si>
  <si>
    <t>oie</t>
  </si>
  <si>
    <t>Manech Noire</t>
  </si>
  <si>
    <t>Normande</t>
  </si>
  <si>
    <t>Texel</t>
  </si>
  <si>
    <t>RETOUR EN HAUT</t>
  </si>
  <si>
    <t>paille</t>
  </si>
  <si>
    <t>bisonneau femelle 3-6 mois</t>
  </si>
  <si>
    <t>bisonneau femelle 6-12 mois</t>
  </si>
  <si>
    <t>poussin mâle 0-1 mois</t>
  </si>
  <si>
    <t>bisons</t>
  </si>
  <si>
    <t>COUT POUR LE PAILLAGE (BILAN) :</t>
  </si>
  <si>
    <t>Charollaise</t>
  </si>
  <si>
    <t>Gauloise</t>
  </si>
  <si>
    <t>Coucou des Flandres</t>
  </si>
  <si>
    <t>Meusienne</t>
  </si>
  <si>
    <t>dérouleuses grillage</t>
  </si>
  <si>
    <t>bobine 3000m</t>
  </si>
  <si>
    <t>bobine 2000m</t>
  </si>
  <si>
    <t>bobine 1000m</t>
  </si>
  <si>
    <t>piquets de clôture</t>
  </si>
  <si>
    <t>piquets de 2.50m (lot de 2000)</t>
  </si>
  <si>
    <t>pquets de 2.50m (lot de 1000)</t>
  </si>
  <si>
    <t>piquets de 2.50m (lot de 500)</t>
  </si>
  <si>
    <t>semences de luzerne</t>
  </si>
  <si>
    <t>semences de miscanthus</t>
  </si>
  <si>
    <t>prix</t>
  </si>
  <si>
    <t>Azote</t>
  </si>
  <si>
    <t>Phosphore</t>
  </si>
  <si>
    <t>Potassium</t>
  </si>
  <si>
    <t>Calcium</t>
  </si>
  <si>
    <t>Magnésium</t>
  </si>
  <si>
    <t>Soufre</t>
  </si>
  <si>
    <t>pieds d'érable</t>
  </si>
  <si>
    <t>pieds d'épicéa</t>
  </si>
  <si>
    <t>pieds de bouleau</t>
  </si>
  <si>
    <t>pieds de charme</t>
  </si>
  <si>
    <t>pieds de chêne</t>
  </si>
  <si>
    <t>pieds de châtaigners</t>
  </si>
  <si>
    <t>pieds de cyprès</t>
  </si>
  <si>
    <t>pieds de douglas</t>
  </si>
  <si>
    <t>pieds de frêne</t>
  </si>
  <si>
    <t>pieds de hêtre</t>
  </si>
  <si>
    <t>pieds de mélèze</t>
  </si>
  <si>
    <t>pieds de peuplier</t>
  </si>
  <si>
    <t>pieds de pin</t>
  </si>
  <si>
    <t>pieds de sapin</t>
  </si>
  <si>
    <t>arbres fruitiers/forêts</t>
  </si>
  <si>
    <t>protections arbres</t>
  </si>
  <si>
    <t>protections contre cerfs</t>
  </si>
  <si>
    <t>protections contre chevreuils</t>
  </si>
  <si>
    <t>protections contre lapins</t>
  </si>
  <si>
    <t>PA</t>
  </si>
  <si>
    <t>DAIMS</t>
  </si>
  <si>
    <t>faon mâle 0-3 mois</t>
  </si>
  <si>
    <t>faon femelle 0-3 mois</t>
  </si>
  <si>
    <t>faon mâle 3-6 mois</t>
  </si>
  <si>
    <t>faon femelle 3-6 mois</t>
  </si>
  <si>
    <t>faon mâle 6-12 mois</t>
  </si>
  <si>
    <t>faon femelle 6-12 mois</t>
  </si>
  <si>
    <t>jeune daim 12-18 mois</t>
  </si>
  <si>
    <t>jeune daine 12-18 mois</t>
  </si>
  <si>
    <t>jeune daim 18-24 mois</t>
  </si>
  <si>
    <t>jeune daine 18-24 mois</t>
  </si>
  <si>
    <t>jeune daim 24-36 mois</t>
  </si>
  <si>
    <t>jeune daine 24-36 mois</t>
  </si>
  <si>
    <t>daim</t>
  </si>
  <si>
    <t>daine</t>
  </si>
  <si>
    <t>daims</t>
  </si>
  <si>
    <t>bisons/daims</t>
  </si>
  <si>
    <t>daims :</t>
  </si>
  <si>
    <t>CHEVAUX DE SELLE</t>
  </si>
  <si>
    <t>poulain 0-12 mois</t>
  </si>
  <si>
    <t>pouliche 0-12 mois</t>
  </si>
  <si>
    <t>jeune étalon 12-24 mois</t>
  </si>
  <si>
    <t>jeune étalon 24-36 mois</t>
  </si>
  <si>
    <t>jeune jument 24-36 mois</t>
  </si>
  <si>
    <t>jeune jument 12-24 mois</t>
  </si>
  <si>
    <t>étalon</t>
  </si>
  <si>
    <t>jument</t>
  </si>
  <si>
    <t>poids adulte</t>
  </si>
  <si>
    <t>Sorgho ensilé</t>
  </si>
  <si>
    <t>Orge</t>
  </si>
  <si>
    <t>Avoine</t>
  </si>
  <si>
    <t>poids naissance</t>
  </si>
  <si>
    <t>Brown Swiss</t>
  </si>
  <si>
    <t>Jersiaise</t>
  </si>
  <si>
    <t>Red Holstein</t>
  </si>
  <si>
    <t>Rouge des prés</t>
  </si>
  <si>
    <t>Consommation de base</t>
  </si>
  <si>
    <t>Construction Niveau 1</t>
  </si>
  <si>
    <t>prix kWh (€)</t>
  </si>
  <si>
    <t>Colza</t>
  </si>
  <si>
    <t>Canola</t>
  </si>
  <si>
    <t>Quantité herbe par jour au pré :</t>
  </si>
  <si>
    <t>Taureau (m2)</t>
  </si>
  <si>
    <t>Vache (m2)</t>
  </si>
  <si>
    <t>Taurillon (m2)</t>
  </si>
  <si>
    <t>Génisse (m2)</t>
  </si>
  <si>
    <t>Veau (m2)</t>
  </si>
  <si>
    <t>Quantité ration dans stabulation (en kg et par jour):</t>
  </si>
  <si>
    <t>Ration complète</t>
  </si>
  <si>
    <t>Foin + maïs ensilé</t>
  </si>
  <si>
    <t>Paille</t>
  </si>
  <si>
    <t>Paille + maïs ensilé</t>
  </si>
  <si>
    <t>Paille + betterave</t>
  </si>
  <si>
    <t>Ensilage d'herbe</t>
  </si>
  <si>
    <t>Foin + maïs ensilé + ensilage d'herbe</t>
  </si>
  <si>
    <t>Bouchons luzerne</t>
  </si>
  <si>
    <t>Foin + maïs ensilé + sorgho ensilé</t>
  </si>
  <si>
    <t>Paille + maïs ensilé + sorgho ensilé</t>
  </si>
  <si>
    <t>Eau</t>
  </si>
  <si>
    <t>Quantité de paille pour la litière (en kg et par jour) :</t>
  </si>
  <si>
    <t>Taureau</t>
  </si>
  <si>
    <t>Vache</t>
  </si>
  <si>
    <t>Taurillon</t>
  </si>
  <si>
    <t>Génisse</t>
  </si>
  <si>
    <t>Veau</t>
  </si>
  <si>
    <t>Surface nécessaire en stabulation par animal (en m2) :</t>
  </si>
  <si>
    <t>Production de lisier par jour et par animal (en litres) :</t>
  </si>
  <si>
    <t>Ration complète?</t>
  </si>
  <si>
    <t>races laitières</t>
  </si>
  <si>
    <t>races allaitantes</t>
  </si>
  <si>
    <t>RETOUR AU SOMMAIRE</t>
  </si>
  <si>
    <t>Race</t>
  </si>
  <si>
    <t>Bison d'Europe</t>
  </si>
  <si>
    <t>10-12 ans</t>
  </si>
  <si>
    <t>20-22 ans</t>
  </si>
  <si>
    <t>période estivale :</t>
  </si>
  <si>
    <t>début avril-fin octobre</t>
  </si>
  <si>
    <t>début avril-fin septembre</t>
  </si>
  <si>
    <t>7-8 ans</t>
  </si>
  <si>
    <t>Races</t>
  </si>
  <si>
    <t>Spanish</t>
  </si>
  <si>
    <t>Nera Verzasca</t>
  </si>
  <si>
    <t>Bouc (m2)</t>
  </si>
  <si>
    <t>Chèvre (m2)</t>
  </si>
  <si>
    <t>Jeune bouc (m2)</t>
  </si>
  <si>
    <t>Jeune chèvre (m2)</t>
  </si>
  <si>
    <t>Chevreau / Chevrette (m2)</t>
  </si>
  <si>
    <t>Maïs ensilé + foin</t>
  </si>
  <si>
    <t>Betterave + foin</t>
  </si>
  <si>
    <t>ensilage d'herbe</t>
  </si>
  <si>
    <t>Sorgho ensilé + foin</t>
  </si>
  <si>
    <t>Foin + sorgho ensilé + ensilage d'herbe</t>
  </si>
  <si>
    <t>Surface nécessaire par animal (en m2) :</t>
  </si>
  <si>
    <t>Bouc</t>
  </si>
  <si>
    <t>Chèvre</t>
  </si>
  <si>
    <t>Jeune bouc</t>
  </si>
  <si>
    <t>Jeune chèvre</t>
  </si>
  <si>
    <t>Chevreau / chevrette</t>
  </si>
  <si>
    <t>3-4 ans</t>
  </si>
  <si>
    <t>1.5</t>
  </si>
  <si>
    <t>Landrace Francais</t>
  </si>
  <si>
    <t>Penshire</t>
  </si>
  <si>
    <t>Hereford</t>
  </si>
  <si>
    <t>plein air</t>
  </si>
  <si>
    <t>Production de lisier par jour et par animal :</t>
  </si>
  <si>
    <t>Verrat</t>
  </si>
  <si>
    <t>Truie</t>
  </si>
  <si>
    <t>Jeune verrat</t>
  </si>
  <si>
    <t>Jeune truie</t>
  </si>
  <si>
    <t>Porcelet</t>
  </si>
  <si>
    <t>5-6 ans</t>
  </si>
  <si>
    <t>Lievre Belge</t>
  </si>
  <si>
    <t>Rex Castor</t>
  </si>
  <si>
    <t>Rex Blanc</t>
  </si>
  <si>
    <t>Rex Dalmatien</t>
  </si>
  <si>
    <t>Rex Bleu</t>
  </si>
  <si>
    <t>prix laine (€/kg)</t>
  </si>
  <si>
    <t>Lapin</t>
  </si>
  <si>
    <t>Lapine</t>
  </si>
  <si>
    <t>Lapereau</t>
  </si>
  <si>
    <t>volailles</t>
  </si>
  <si>
    <t>3 à 5</t>
  </si>
  <si>
    <t>œufs/jour</t>
  </si>
  <si>
    <t>2,5 / 2,9</t>
  </si>
  <si>
    <t>3,9 / 4,5</t>
  </si>
  <si>
    <t>2,75 / 3,2</t>
  </si>
  <si>
    <t>2,4 / 2,8</t>
  </si>
  <si>
    <t>production œuf/age poule</t>
  </si>
  <si>
    <t>XL : 6 mois à 1 an</t>
  </si>
  <si>
    <t>L ou XL : 1 an à 2 ans</t>
  </si>
  <si>
    <t>L : 2 ans à 3 ans</t>
  </si>
  <si>
    <t>M ou L : 3 ans à 4 ans</t>
  </si>
  <si>
    <t>M : 4 ans à 5 ans</t>
  </si>
  <si>
    <t>S ou M : 5 ans à 6 ans</t>
  </si>
  <si>
    <t>S : 6 ans à 7/8 ans </t>
  </si>
  <si>
    <t>Surface nécessaire par animal dans poulailler (en m2) :</t>
  </si>
  <si>
    <t>Surface nécessaire par animal dans parc à volailles (en m2/animal) :</t>
  </si>
  <si>
    <t>Coq</t>
  </si>
  <si>
    <t>Poule</t>
  </si>
  <si>
    <t>Jeune coq</t>
  </si>
  <si>
    <t>Jeune poule</t>
  </si>
  <si>
    <t>Poussin</t>
  </si>
  <si>
    <t>8 à 15</t>
  </si>
  <si>
    <t>semi-intensif</t>
  </si>
  <si>
    <t>Surface nécessaire par animal dans poulailler(en m2) :</t>
  </si>
  <si>
    <t>Pintade mâle et femelle</t>
  </si>
  <si>
    <t>Jeune pintade mâle et femelle</t>
  </si>
  <si>
    <t>Pintadeau</t>
  </si>
  <si>
    <t>Manech Rousse</t>
  </si>
  <si>
    <t>Ille de France</t>
  </si>
  <si>
    <t>Engadine (uniquement Partie Suisse)</t>
  </si>
  <si>
    <t>Blanche du massif Central</t>
  </si>
  <si>
    <t>Mérinos d''Arles</t>
  </si>
  <si>
    <t>Causses du Lot</t>
  </si>
  <si>
    <t>Charmoise</t>
  </si>
  <si>
    <t>Berrichon du Cher</t>
  </si>
  <si>
    <t>Quantité herbe par jour au pré (m²):</t>
  </si>
  <si>
    <t>Bélier</t>
  </si>
  <si>
    <t>Brebis</t>
  </si>
  <si>
    <t>Jeune bélier</t>
  </si>
  <si>
    <t>Jeune brebis</t>
  </si>
  <si>
    <t>Agneau</t>
  </si>
  <si>
    <t>Foin + betterave</t>
  </si>
  <si>
    <t>Foin + sorgho ensilé</t>
  </si>
  <si>
    <t>prix vente laine (€/kg)</t>
  </si>
  <si>
    <t>Gains potentiels en fonction de la qualité du réseau GPS</t>
  </si>
  <si>
    <t>18-20 ans</t>
  </si>
  <si>
    <t>Daims</t>
  </si>
  <si>
    <t>Surface nécessaire par animal dans prairie boisée (en hectare) :</t>
  </si>
  <si>
    <t>Daim</t>
  </si>
  <si>
    <t>Daine</t>
  </si>
  <si>
    <t>Jeune daim</t>
  </si>
  <si>
    <t>Jeune daine</t>
  </si>
  <si>
    <t>Faon</t>
  </si>
  <si>
    <t>8-10 ans</t>
  </si>
  <si>
    <t>Oie Blanche du Bourbonnais</t>
  </si>
  <si>
    <t>Chair</t>
  </si>
  <si>
    <t>Oie Blanche du Poitou</t>
  </si>
  <si>
    <t>Oie Normande</t>
  </si>
  <si>
    <t>Oie de Guinée</t>
  </si>
  <si>
    <t>Oie Flamande (Partie Belgique)</t>
  </si>
  <si>
    <t>Oie d'Alsace</t>
  </si>
  <si>
    <t>Foie gras + chair</t>
  </si>
  <si>
    <t>Oie de Toulouse</t>
  </si>
  <si>
    <t>Oie Grise des Landes</t>
  </si>
  <si>
    <t>recommandé pour</t>
  </si>
  <si>
    <t>duvet</t>
  </si>
  <si>
    <t>1 fois tous les 14 jours</t>
  </si>
  <si>
    <t>entre 30 et 60g/animal</t>
  </si>
  <si>
    <t>récolte : 0,025 PA/animal</t>
  </si>
  <si>
    <t>prix vente : 10€/kg</t>
  </si>
  <si>
    <t>Jars</t>
  </si>
  <si>
    <t>Oie</t>
  </si>
  <si>
    <t>Jeune jars</t>
  </si>
  <si>
    <t>Jeune oie</t>
  </si>
  <si>
    <t>Oison</t>
  </si>
  <si>
    <t>Surface nécessaire par animal dans parc à volailles (en m2) :</t>
  </si>
  <si>
    <t>6-8 ans</t>
  </si>
  <si>
    <t>Canard de Rouen Clair</t>
  </si>
  <si>
    <t>0 à 4</t>
  </si>
  <si>
    <t>Canard Duclair</t>
  </si>
  <si>
    <t>Canard de Pékin Allemand</t>
  </si>
  <si>
    <t>Canard de Pékin Américain (Partie Etats-Unis)</t>
  </si>
  <si>
    <t>Canard de Bourbourg</t>
  </si>
  <si>
    <t>Canard de Barbarie</t>
  </si>
  <si>
    <t>œuf/jour</t>
  </si>
  <si>
    <t>chevaux (selle)</t>
  </si>
  <si>
    <t>Alter Real</t>
  </si>
  <si>
    <t>Anglo-Arabe</t>
  </si>
  <si>
    <t>Appaloosa</t>
  </si>
  <si>
    <t>Arabe Shagya</t>
  </si>
  <si>
    <t>Barbe</t>
  </si>
  <si>
    <t>Cheval Canadien</t>
  </si>
  <si>
    <t>Franches-Montagnes</t>
  </si>
  <si>
    <t>Frison</t>
  </si>
  <si>
    <t>Hanovrien</t>
  </si>
  <si>
    <t>Henson</t>
  </si>
  <si>
    <t>Holsteiner</t>
  </si>
  <si>
    <t>Lipizzan</t>
  </si>
  <si>
    <t>Paint Horse</t>
  </si>
  <si>
    <t>Pur-Sang Anglais</t>
  </si>
  <si>
    <t>Pur-Sang Arabe</t>
  </si>
  <si>
    <t>Pur Race Espagnole</t>
  </si>
  <si>
    <t>Quarter Horse</t>
  </si>
  <si>
    <t>Selle Francais</t>
  </si>
  <si>
    <t>Trakehner</t>
  </si>
  <si>
    <t>Trotteur Francais</t>
  </si>
  <si>
    <t>taille adulte (m)</t>
  </si>
  <si>
    <t>de 45 à 55</t>
  </si>
  <si>
    <t>de 48 à 55</t>
  </si>
  <si>
    <t>de 400 à 500</t>
  </si>
  <si>
    <t>de 450 à 550</t>
  </si>
  <si>
    <t>de 400 à 450</t>
  </si>
  <si>
    <t>de 350 à 400</t>
  </si>
  <si>
    <t>de 400 à 550</t>
  </si>
  <si>
    <t>de 500 à 650</t>
  </si>
  <si>
    <t>de 550 à 650</t>
  </si>
  <si>
    <t>de 500 à 600</t>
  </si>
  <si>
    <t>de 600 à 800</t>
  </si>
  <si>
    <t>de 450 à 500</t>
  </si>
  <si>
    <t>de 1,50 à 1,60</t>
  </si>
  <si>
    <t>de 1,49 à 1,60</t>
  </si>
  <si>
    <t>de 1,50 à 1,63</t>
  </si>
  <si>
    <t>de 1,55 à 1,65</t>
  </si>
  <si>
    <t>de 1,53 à 1,70</t>
  </si>
  <si>
    <t>de 1,63 à 1,73</t>
  </si>
  <si>
    <t>de 1,52 à 1,60</t>
  </si>
  <si>
    <t>de 1,49 à 1,80</t>
  </si>
  <si>
    <t>de 1,50 à 1,65</t>
  </si>
  <si>
    <t>de 1,60 à 1,65</t>
  </si>
  <si>
    <t>de 1,60 à 1,70</t>
  </si>
  <si>
    <t>de 1,60 à 1,68</t>
  </si>
  <si>
    <t>de 1,52 à 1,63</t>
  </si>
  <si>
    <t>chevaux (trait)</t>
  </si>
  <si>
    <t>Ardennais</t>
  </si>
  <si>
    <t>Auxois</t>
  </si>
  <si>
    <t>Boulonnais</t>
  </si>
  <si>
    <t>Breton</t>
  </si>
  <si>
    <t>Cob Normand</t>
  </si>
  <si>
    <t>Comtois</t>
  </si>
  <si>
    <t>Percheron</t>
  </si>
  <si>
    <t>Poitevin Mulassier</t>
  </si>
  <si>
    <t>Trait du Nord</t>
  </si>
  <si>
    <t>Brabançon</t>
  </si>
  <si>
    <t>Shire</t>
  </si>
  <si>
    <t>Clydesdale</t>
  </si>
  <si>
    <t>Irish Cob</t>
  </si>
  <si>
    <t>American Cream Draft</t>
  </si>
  <si>
    <t>22-25 ans</t>
  </si>
  <si>
    <t>Camargue</t>
  </si>
  <si>
    <t>Cheval Castillonais</t>
  </si>
  <si>
    <t>Merens</t>
  </si>
  <si>
    <t>Connemara</t>
  </si>
  <si>
    <t>Dartmoor</t>
  </si>
  <si>
    <t>Fjord</t>
  </si>
  <si>
    <t>Haflinger</t>
  </si>
  <si>
    <t>Landais</t>
  </si>
  <si>
    <t>New Forest</t>
  </si>
  <si>
    <t>Poney Francais de Selle</t>
  </si>
  <si>
    <t>Pottok</t>
  </si>
  <si>
    <t>de 50 à 60</t>
  </si>
  <si>
    <t>de 15 à 25</t>
  </si>
  <si>
    <t>de 700 à 1000</t>
  </si>
  <si>
    <t>de 700 à 800</t>
  </si>
  <si>
    <t>de 650 à 700</t>
  </si>
  <si>
    <t>de 650 à 800</t>
  </si>
  <si>
    <t>de 550 à 800</t>
  </si>
  <si>
    <t>de 500 à 1200</t>
  </si>
  <si>
    <t>de 800 à 1000</t>
  </si>
  <si>
    <t>de 300 à 400</t>
  </si>
  <si>
    <t>de 380 à 420</t>
  </si>
  <si>
    <t>de 280 à 320</t>
  </si>
  <si>
    <t>de 340 à 380</t>
  </si>
  <si>
    <t>de 250 à 350</t>
  </si>
  <si>
    <t>de 350 à 450</t>
  </si>
  <si>
    <t>Shetland</t>
  </si>
  <si>
    <t>Welsh</t>
  </si>
  <si>
    <t>28-30 ans</t>
  </si>
  <si>
    <t>de 150 à 180</t>
  </si>
  <si>
    <t>de 230 à 270</t>
  </si>
  <si>
    <t>de 1,55 à 1,63</t>
  </si>
  <si>
    <t>de 1,60 à 1,75</t>
  </si>
  <si>
    <t>de 1,60 à 1,85</t>
  </si>
  <si>
    <t>de 1,65 à 1,75</t>
  </si>
  <si>
    <t>de 1,62 à 1,70</t>
  </si>
  <si>
    <t>de 1,72 à 1,80</t>
  </si>
  <si>
    <t>de 1,49 à 1,55</t>
  </si>
  <si>
    <t>de 1,55 à 1,70</t>
  </si>
  <si>
    <t>de 1,35 à 1,45</t>
  </si>
  <si>
    <t>de 1,35 à 1,48</t>
  </si>
  <si>
    <t>de 1,28 à 1,48</t>
  </si>
  <si>
    <t>de 1,18 à 1,48</t>
  </si>
  <si>
    <t>de 1,20 à 1,48</t>
  </si>
  <si>
    <t>de 1,25 à 1,48</t>
  </si>
  <si>
    <t>de 1,40 à 1,48</t>
  </si>
  <si>
    <t>de 1,20 à 1,27</t>
  </si>
  <si>
    <t>de 1,20 à 1,47</t>
  </si>
  <si>
    <t>de 1,20 à 1,38</t>
  </si>
  <si>
    <t>de 0,90 à 1,07</t>
  </si>
  <si>
    <t>Quantité herbe par jour au pré (surface par animal en m²) :</t>
  </si>
  <si>
    <t>Poulain et pouliche</t>
  </si>
  <si>
    <t>Jeune étalon</t>
  </si>
  <si>
    <t>Jeune jument</t>
  </si>
  <si>
    <t>Etalon</t>
  </si>
  <si>
    <t>Jument</t>
  </si>
  <si>
    <t>début mars-fin novembre</t>
  </si>
  <si>
    <t>Quantité ration dans écurie (en kg et par jour, de décembre à février):</t>
  </si>
  <si>
    <t>Poulain/Pouliche</t>
  </si>
  <si>
    <t>Qualité Lait (QL) de votre exploitation :</t>
  </si>
  <si>
    <t>Elevage conventionnel :</t>
  </si>
  <si>
    <t>Indice Qualité Lait (QL)</t>
  </si>
  <si>
    <t>Prix pour 1000 litres (en euro)</t>
  </si>
  <si>
    <t>0-9,99</t>
  </si>
  <si>
    <t>10-19,99</t>
  </si>
  <si>
    <t>20-29,99</t>
  </si>
  <si>
    <t>30-39,99</t>
  </si>
  <si>
    <t>40-49,99</t>
  </si>
  <si>
    <t>50-59,99</t>
  </si>
  <si>
    <t>60-69,99</t>
  </si>
  <si>
    <t>70-79,99</t>
  </si>
  <si>
    <t>80-89,99</t>
  </si>
  <si>
    <t>90-100</t>
  </si>
  <si>
    <t>Prix pour 1000 litres(en euro)</t>
  </si>
  <si>
    <t>Elevage BIO :</t>
  </si>
  <si>
    <t>Prix bâtiments</t>
  </si>
  <si>
    <t>unité</t>
  </si>
  <si>
    <t>Chambre froide : (1kg de foie = 0,01m²)</t>
  </si>
  <si>
    <t>Laboratoire de transformation :</t>
  </si>
  <si>
    <t>Salle de stockage :(1kg de foie = 0,01m²)</t>
  </si>
  <si>
    <t>foie gras</t>
  </si>
  <si>
    <t>durée (jours)</t>
  </si>
  <si>
    <t>Démarrage</t>
  </si>
  <si>
    <t>0 – 1 mois</t>
  </si>
  <si>
    <t>Croissance</t>
  </si>
  <si>
    <t>1 – 2 mois</t>
  </si>
  <si>
    <t>Préparation au gavage</t>
  </si>
  <si>
    <t>2 – 3 mois</t>
  </si>
  <si>
    <t>Phase gavage :</t>
  </si>
  <si>
    <t>par litre de lait</t>
  </si>
  <si>
    <t>par œuf</t>
  </si>
  <si>
    <t>R=1 an</t>
  </si>
  <si>
    <t>R=2 ans</t>
  </si>
  <si>
    <t>CANADA</t>
  </si>
  <si>
    <t>Ile-du-Prince-Edouard</t>
  </si>
  <si>
    <t>Nouvelle-Ecosse</t>
  </si>
  <si>
    <t>Nouveau-Brunswick</t>
  </si>
  <si>
    <t>Saskatchewan</t>
  </si>
  <si>
    <t>Colombie-Britannique</t>
  </si>
  <si>
    <t>ETATS-UNIS</t>
  </si>
  <si>
    <t>Côte Pacifique</t>
  </si>
  <si>
    <t>Nord-Ouest</t>
  </si>
  <si>
    <t>Sud-Ouest</t>
  </si>
  <si>
    <t>Nord-Est</t>
  </si>
  <si>
    <t>Sud</t>
  </si>
  <si>
    <t>R=4 ans</t>
  </si>
  <si>
    <t>R=3 ans</t>
  </si>
  <si>
    <t>R=6 ans</t>
  </si>
  <si>
    <t>Chanvre Industriel</t>
  </si>
  <si>
    <t>R=5 ans</t>
  </si>
  <si>
    <t>VOLAILLES</t>
  </si>
  <si>
    <t>CHEVAUX DE TRAIT</t>
  </si>
  <si>
    <t>PONEYS</t>
  </si>
  <si>
    <t xml:space="preserve">RATIONS : </t>
  </si>
  <si>
    <t>Ration hivernale</t>
  </si>
  <si>
    <t>RATIONS :</t>
  </si>
  <si>
    <t>semence (kg/ha)</t>
  </si>
  <si>
    <t>herbe</t>
  </si>
  <si>
    <t>miscanthus</t>
  </si>
  <si>
    <t>Provence-Alpes-Côtes-d'Azur</t>
  </si>
  <si>
    <t>BELGIQUE</t>
  </si>
  <si>
    <t>SUISSE</t>
  </si>
  <si>
    <t>Suisse Alémanique</t>
  </si>
  <si>
    <t>rendement mini</t>
  </si>
  <si>
    <t>rendement maxi</t>
  </si>
  <si>
    <t>prix semence (€/kg)</t>
  </si>
  <si>
    <t>prix vente grain (€/t)</t>
  </si>
  <si>
    <t>prix vente balles (€/t)</t>
  </si>
  <si>
    <t>prix semence G (€/kg)</t>
  </si>
  <si>
    <t>prix semence P (€/kg)</t>
  </si>
  <si>
    <t>prix semence GP (€/kg)</t>
  </si>
  <si>
    <t>spécificité</t>
  </si>
  <si>
    <t>spécificité 1</t>
  </si>
  <si>
    <t>Spécificité 2</t>
  </si>
  <si>
    <t>Liste pays</t>
  </si>
  <si>
    <t>Spécificité</t>
  </si>
  <si>
    <t>Spécificité 1</t>
  </si>
  <si>
    <t>Ration</t>
  </si>
  <si>
    <t>Spécifité</t>
  </si>
  <si>
    <t>Spécifité 2</t>
  </si>
  <si>
    <t>chevaux de selle au pré en hiver?</t>
  </si>
  <si>
    <t>chevaux de trait au pré en hiver?</t>
  </si>
  <si>
    <t>poneys au pré en hiver?</t>
  </si>
  <si>
    <t>Aliments nécessaire</t>
  </si>
  <si>
    <t>Aliments à commander</t>
  </si>
  <si>
    <t>Ration hivernale pour ta ferme</t>
  </si>
  <si>
    <t>Ration hivernale dans pré</t>
  </si>
  <si>
    <t>OIES FOIE GRAS</t>
  </si>
  <si>
    <t>CANARDS FOIE GRAS</t>
  </si>
  <si>
    <t>oison M/F 2-3 mois</t>
  </si>
  <si>
    <t>oison M/F 0-1 mois</t>
  </si>
  <si>
    <t>oison M/F 1-2 mois</t>
  </si>
  <si>
    <t>Phase d'élevage</t>
  </si>
  <si>
    <t>Phase de gavage</t>
  </si>
  <si>
    <t>jeune de 3 mois et +</t>
  </si>
  <si>
    <t>Aliment</t>
  </si>
  <si>
    <t>Specificite</t>
  </si>
  <si>
    <t>c</t>
  </si>
  <si>
    <t>s1</t>
  </si>
  <si>
    <t>s2</t>
  </si>
  <si>
    <t>Valeur 0-3</t>
  </si>
  <si>
    <t>Valeur 3-6</t>
  </si>
  <si>
    <t>Valeur 6-12</t>
  </si>
  <si>
    <t>Valeur 12-18</t>
  </si>
  <si>
    <t>Valeur 18-24</t>
  </si>
  <si>
    <t>Valeur 24-36</t>
  </si>
  <si>
    <t>Valeur 36 et plus</t>
  </si>
  <si>
    <t>Val 0-3</t>
  </si>
  <si>
    <t>Val 3-6</t>
  </si>
  <si>
    <t>Val 6-12</t>
  </si>
  <si>
    <t>Val 12-18</t>
  </si>
  <si>
    <t>Val 18-24</t>
  </si>
  <si>
    <t>Val 24-36</t>
  </si>
  <si>
    <t>Val 36 et plus</t>
  </si>
  <si>
    <t>somme</t>
  </si>
  <si>
    <t>Chanvre</t>
  </si>
  <si>
    <t>Minéraux + vitamines</t>
  </si>
  <si>
    <t>Pulpe déshydratée de betterave</t>
  </si>
  <si>
    <t>Tourteau de colza</t>
  </si>
  <si>
    <t>Tourteau de tournesol</t>
  </si>
  <si>
    <t xml:space="preserve">Ration pour ta ferme : </t>
  </si>
  <si>
    <t>aliment</t>
  </si>
  <si>
    <t>complet</t>
  </si>
  <si>
    <t>Ration complète pour ta ferme</t>
  </si>
  <si>
    <t>Ration hivernale complète pour ta ferme</t>
  </si>
  <si>
    <t>Valeur 12 et plus</t>
  </si>
  <si>
    <t>Ration hivernale complète?</t>
  </si>
  <si>
    <t>Quantité d'aliment (en kg/jour)</t>
  </si>
  <si>
    <t>Valeur 1-3</t>
  </si>
  <si>
    <t>Valeur 0-1</t>
  </si>
  <si>
    <t>RATIONS</t>
  </si>
  <si>
    <t>Ration porcins</t>
  </si>
  <si>
    <t>Somme</t>
  </si>
  <si>
    <t>Quantité de paille pour la litière (en kg/jour) :</t>
  </si>
  <si>
    <t>Quantité ration en clapier (en kg/jour):</t>
  </si>
  <si>
    <t>Valeur 3 et plus</t>
  </si>
  <si>
    <t>mode élevage</t>
  </si>
  <si>
    <t>Ration lapins</t>
  </si>
  <si>
    <t>Ration volailles</t>
  </si>
  <si>
    <t>Ration pintades</t>
  </si>
  <si>
    <t>Valeur 6 et plus</t>
  </si>
  <si>
    <t>Valeur 1-6</t>
  </si>
  <si>
    <t>Quantité ration en poulailler (en kg/jour):</t>
  </si>
  <si>
    <t>sc</t>
  </si>
  <si>
    <t xml:space="preserve">Ration hivernale pour ta ferme : </t>
  </si>
  <si>
    <t>Ration daims</t>
  </si>
  <si>
    <t>Quantité ration (en kg/jour):</t>
  </si>
  <si>
    <t>Ration canards</t>
  </si>
  <si>
    <t>Valeur 0-12</t>
  </si>
  <si>
    <t>Valeur 12-24</t>
  </si>
  <si>
    <t>Ration gavage oies</t>
  </si>
  <si>
    <t>Ration gavage canards</t>
  </si>
  <si>
    <t xml:space="preserve">Ration gavage oies pour ta ferme : </t>
  </si>
  <si>
    <t>Ration complètegavage oies pour ta ferme</t>
  </si>
  <si>
    <t xml:space="preserve">Ration gavage canards pour ta ferme : </t>
  </si>
  <si>
    <t>Ration complète gavage canards pour ta ferme</t>
  </si>
  <si>
    <t>Valeur 1-2</t>
  </si>
  <si>
    <t>Valeur 2-3</t>
  </si>
  <si>
    <t>Phase d'élevage (jours):</t>
  </si>
  <si>
    <t>Maïs ensilé + Bouchons luzerne</t>
  </si>
  <si>
    <t>Maïs ensilé + sorgho ensilé + Bouchons luzerne</t>
  </si>
  <si>
    <t>Foin + Bouchons luzerne</t>
  </si>
  <si>
    <t>balles de lin 300kg</t>
  </si>
  <si>
    <t>concentré pour jeunes bovins</t>
  </si>
  <si>
    <t>concentré pour jeunes porcins</t>
  </si>
  <si>
    <t>concentré pour jeunes lapins</t>
  </si>
  <si>
    <t/>
  </si>
  <si>
    <t>jeune lapine</t>
  </si>
  <si>
    <t>jeune lapin</t>
  </si>
  <si>
    <t>Canard</t>
  </si>
  <si>
    <t>Cane</t>
  </si>
  <si>
    <t>Jeune canard</t>
  </si>
  <si>
    <t>Jeune cane</t>
  </si>
  <si>
    <t>Caneton</t>
  </si>
  <si>
    <t>entre 20 et 40g/animal</t>
  </si>
  <si>
    <t>récolte : 0,02 PA/animal</t>
  </si>
  <si>
    <t>en juin et en octobre</t>
  </si>
  <si>
    <t>Surface nécessaire par animal dans parc à porcins (en m2/animal) :</t>
  </si>
  <si>
    <t>Surface nécessaire par animal dans les parcs (élevage bio) (en m2) :</t>
  </si>
  <si>
    <t>Prix vaccin/animal</t>
  </si>
  <si>
    <t>prix vaccin</t>
  </si>
  <si>
    <t>Animaux</t>
  </si>
  <si>
    <t>Lisier</t>
  </si>
  <si>
    <t>Litière</t>
  </si>
  <si>
    <t>Total</t>
  </si>
  <si>
    <t>Litière tout bovins</t>
  </si>
  <si>
    <t>litière races laitières</t>
  </si>
  <si>
    <t>animaux</t>
  </si>
  <si>
    <t>lisier</t>
  </si>
  <si>
    <t>hiver dedans</t>
  </si>
  <si>
    <t>hiver dehors</t>
  </si>
  <si>
    <t>litière tout ovins</t>
  </si>
  <si>
    <t>litière ovins races laitières</t>
  </si>
  <si>
    <t>caneton M/F 0-1 mois</t>
  </si>
  <si>
    <t>caneton M/F 1-2 mois</t>
  </si>
  <si>
    <t>caneton M/F 2-3 mois</t>
  </si>
  <si>
    <t>chevaux de selle</t>
  </si>
  <si>
    <t>chevaux de trait</t>
  </si>
  <si>
    <t>Ray-grass Italie</t>
  </si>
  <si>
    <t>foin</t>
  </si>
  <si>
    <t>Ray-grass anglais</t>
  </si>
  <si>
    <t>pâture</t>
  </si>
  <si>
    <t>Dactyle</t>
  </si>
  <si>
    <t>Fétuque élevée</t>
  </si>
  <si>
    <t>Fléole</t>
  </si>
  <si>
    <t>Brome</t>
  </si>
  <si>
    <t>M 0-3 mois</t>
  </si>
  <si>
    <t>F 0-3 mois</t>
  </si>
  <si>
    <t>M 3-6 mois</t>
  </si>
  <si>
    <t>F 3-6 mois</t>
  </si>
  <si>
    <t>M 6-12 mois</t>
  </si>
  <si>
    <t>F 6-12 mois</t>
  </si>
  <si>
    <t>M 12-18 mois</t>
  </si>
  <si>
    <t>F 12-18 mois</t>
  </si>
  <si>
    <t>M 18-24 mois</t>
  </si>
  <si>
    <t>F 18-24 mois</t>
  </si>
  <si>
    <t>M 24-36 mois</t>
  </si>
  <si>
    <t>F 24-36 mois</t>
  </si>
  <si>
    <t>M 3 ans et +</t>
  </si>
  <si>
    <t>F 3 ans et +</t>
  </si>
  <si>
    <t>Animaux de ta ferme au pré</t>
  </si>
  <si>
    <t>tranche d'ages</t>
  </si>
  <si>
    <t>type de pré :</t>
  </si>
  <si>
    <t>pousse journalière :</t>
  </si>
  <si>
    <t>source dans prairies</t>
  </si>
  <si>
    <t>Assez d'aliments dans tes silos?</t>
  </si>
  <si>
    <t>Assez de place dans tes bâtiments d'élevages?</t>
  </si>
  <si>
    <t>Tes animaux doivent aller au pré l'été et/ou l'hiver?</t>
  </si>
  <si>
    <t>Assez d'aliments dans tes entrepôts?</t>
  </si>
  <si>
    <t>Ration oies</t>
  </si>
  <si>
    <t>Quantité de paille pour la litière pour ta ferme (en kg):</t>
  </si>
  <si>
    <t>Production de lisier dans ta ferme(en litre) :</t>
  </si>
  <si>
    <t>Production de lisier dans ta ferme :</t>
  </si>
  <si>
    <t>Ration dans écurie</t>
  </si>
  <si>
    <t>Caprins  au pré en été?</t>
  </si>
  <si>
    <t>Bovins  au pré en été?</t>
  </si>
  <si>
    <t>Bovins allaitants au pré en hiver?</t>
  </si>
  <si>
    <t>Ovins  au pré en été?</t>
  </si>
  <si>
    <t>Ovins allaitants au pré en hiver?</t>
  </si>
  <si>
    <t>Chevaux  au pré en été?</t>
  </si>
  <si>
    <t>Poneys  au pré en été?</t>
  </si>
  <si>
    <t xml:space="preserve">Ration hivernale au pré pour ta ferme : </t>
  </si>
  <si>
    <t>Ration complète en écurie pour ta ferme :</t>
  </si>
  <si>
    <t>Ration complète au pré pour ta ferme :</t>
  </si>
  <si>
    <t>Ration complète (hors hiver)?</t>
  </si>
  <si>
    <t>semences de seigle (G)</t>
  </si>
  <si>
    <t>semences de seigle (GP)</t>
  </si>
  <si>
    <t>semences de seigle (P)</t>
  </si>
  <si>
    <t>semences de moutarde</t>
  </si>
  <si>
    <t>Calculs spécifiques de place dans entrepots</t>
  </si>
  <si>
    <t>Qté</t>
  </si>
  <si>
    <t>place restante dans tes silos :</t>
  </si>
  <si>
    <t>pour gérer tes silos</t>
  </si>
  <si>
    <t>Orge d'hiver</t>
  </si>
  <si>
    <t>Avoine d'hiver</t>
  </si>
  <si>
    <t>Epinard d'hiver</t>
  </si>
  <si>
    <t>Moutarde (CI)</t>
  </si>
  <si>
    <t>Phacélie (CI)</t>
  </si>
  <si>
    <t>Engrais</t>
  </si>
  <si>
    <t>Traitement</t>
  </si>
  <si>
    <t>par ha</t>
  </si>
  <si>
    <t>semences</t>
  </si>
  <si>
    <t>azote</t>
  </si>
  <si>
    <t>phosphore</t>
  </si>
  <si>
    <t>potassium</t>
  </si>
  <si>
    <t>calcium</t>
  </si>
  <si>
    <t>magnésium</t>
  </si>
  <si>
    <t>soufre</t>
  </si>
  <si>
    <t>20/25</t>
  </si>
  <si>
    <t>Pommier</t>
  </si>
  <si>
    <t>Poirier</t>
  </si>
  <si>
    <t>Pêcher</t>
  </si>
  <si>
    <t>Cerisier</t>
  </si>
  <si>
    <t>Prunier</t>
  </si>
  <si>
    <t>Mirabellier</t>
  </si>
  <si>
    <t>orge d'hiver</t>
  </si>
  <si>
    <t>orge de printemps</t>
  </si>
  <si>
    <t>blé</t>
  </si>
  <si>
    <t>herbe ensilée</t>
  </si>
  <si>
    <t>triticale</t>
  </si>
  <si>
    <t>soja</t>
  </si>
  <si>
    <t>maïs ensilé</t>
  </si>
  <si>
    <t>avoine d'hiver</t>
  </si>
  <si>
    <t>avoine de printemps</t>
  </si>
  <si>
    <t>pois</t>
  </si>
  <si>
    <t>betterave</t>
  </si>
  <si>
    <t>maïs grain</t>
  </si>
  <si>
    <t>seigle</t>
  </si>
  <si>
    <t>fèverole</t>
  </si>
  <si>
    <t>poules</t>
  </si>
  <si>
    <t>toute ta ferme</t>
  </si>
  <si>
    <t>besoins d'engrais et semences (BDD)</t>
  </si>
  <si>
    <t>calculs selon tes parcelles</t>
  </si>
  <si>
    <t>chevaux selle</t>
  </si>
  <si>
    <t>chevaux trait</t>
  </si>
  <si>
    <t>calcul d'aliments pour ta ferme par espèce</t>
  </si>
  <si>
    <t>Noyer</t>
  </si>
  <si>
    <t>Olivier</t>
  </si>
  <si>
    <t>Framboisier</t>
  </si>
  <si>
    <t>Groseiller</t>
  </si>
  <si>
    <t>Myrtillier</t>
  </si>
  <si>
    <t>Oeuf Calibre L</t>
  </si>
  <si>
    <t>Oeuf Calibre M</t>
  </si>
  <si>
    <t>Oeuf Calibre S</t>
  </si>
  <si>
    <t>Oeuf Calibre XL</t>
  </si>
  <si>
    <t>Oeuf de cane</t>
  </si>
  <si>
    <t>Nombre de jour à nourrir par espèce</t>
  </si>
  <si>
    <t>Conventionnel</t>
  </si>
  <si>
    <t>Bio</t>
  </si>
  <si>
    <t>120€/t de paille</t>
  </si>
  <si>
    <t>prix de vente des cultures (par tonne)</t>
  </si>
  <si>
    <t>Groseillier</t>
  </si>
  <si>
    <t>total semences</t>
  </si>
  <si>
    <t>total engrais</t>
  </si>
  <si>
    <t>total traitements</t>
  </si>
  <si>
    <t>équins (selle, trait, poneys)</t>
  </si>
  <si>
    <t>ovins (moutons)</t>
  </si>
  <si>
    <t>place restante dans l'aire/les aires de stockage paille/foin :</t>
  </si>
  <si>
    <t>pour gérer ton/tes aire(s)</t>
  </si>
  <si>
    <t>Qualité des aliments</t>
  </si>
  <si>
    <t>BONNE</t>
  </si>
  <si>
    <t>MOYENNE</t>
  </si>
  <si>
    <t>MAUVAISE</t>
  </si>
  <si>
    <t>BONNE QUALITE</t>
  </si>
  <si>
    <t>MOYENNE QUALITE</t>
  </si>
  <si>
    <t>MAUVAISE QUALITE</t>
  </si>
  <si>
    <t>1 jour</t>
  </si>
  <si>
    <t>2 jours</t>
  </si>
  <si>
    <t>3 jours</t>
  </si>
  <si>
    <t>4 jours</t>
  </si>
  <si>
    <t>5 jours</t>
  </si>
  <si>
    <t>6 jours</t>
  </si>
  <si>
    <t>7 jours</t>
  </si>
  <si>
    <t>8 jours</t>
  </si>
  <si>
    <t>9 jours</t>
  </si>
  <si>
    <t>10 jours</t>
  </si>
  <si>
    <t>11 jours</t>
  </si>
  <si>
    <t>12 jours</t>
  </si>
  <si>
    <t>13 jours</t>
  </si>
  <si>
    <t>14 jours</t>
  </si>
  <si>
    <t>15 jours</t>
  </si>
  <si>
    <t>3 mois</t>
  </si>
  <si>
    <t>4 mois</t>
  </si>
  <si>
    <t>5 mois</t>
  </si>
  <si>
    <t>6 mois</t>
  </si>
  <si>
    <t>7 mois</t>
  </si>
  <si>
    <t>8 mois</t>
  </si>
  <si>
    <t>9 mois</t>
  </si>
  <si>
    <t>10 mois</t>
  </si>
  <si>
    <t>11 mois</t>
  </si>
  <si>
    <t>autres (lapins, porcins, volailles, pintades)</t>
  </si>
  <si>
    <t>Tu veux stocker pour combien de jours?</t>
  </si>
  <si>
    <t>Valeur 12 et plus (M)</t>
  </si>
  <si>
    <t>Valeur 12 et plus (F)</t>
  </si>
  <si>
    <t>Valeur 6-12 (M)</t>
  </si>
  <si>
    <t>Valeur 6-12 (F)</t>
  </si>
  <si>
    <t>Valeur 3-6 (M)</t>
  </si>
  <si>
    <t>Valeur 3-6 (F)</t>
  </si>
  <si>
    <t>Valeur 0-3 (M)</t>
  </si>
  <si>
    <t>Valeur 0-3 (F)</t>
  </si>
  <si>
    <t>Qualité ration complète (hors hiver):</t>
  </si>
  <si>
    <t>Qualité ration hivernale complète:</t>
  </si>
  <si>
    <t>Qualité ration complète :</t>
  </si>
  <si>
    <t>Ration hivernale pour tes mâles</t>
  </si>
  <si>
    <t>Ration hivernale pour ta femelles</t>
  </si>
  <si>
    <t>Ration pour tes mâles</t>
  </si>
  <si>
    <t>Ration pour tes femelles</t>
  </si>
  <si>
    <t>lapine</t>
  </si>
  <si>
    <t xml:space="preserve">Ration pour tes mâles : </t>
  </si>
  <si>
    <t xml:space="preserve">Ration pour tes femelles : </t>
  </si>
  <si>
    <t>Valeur 1-9</t>
  </si>
  <si>
    <t>Valeur 9 et plus</t>
  </si>
  <si>
    <t>Ration pour tes mâles :</t>
  </si>
  <si>
    <t>Ration pour tes femelles :</t>
  </si>
  <si>
    <t xml:space="preserve">Ration en écurie pour tes mâles : </t>
  </si>
  <si>
    <t xml:space="preserve">Ration en écurie pour tes femelles : </t>
  </si>
  <si>
    <t>concentré jeunes porcins</t>
  </si>
  <si>
    <t>concentré jeunes bovins</t>
  </si>
  <si>
    <t>concentré jeunes lapins</t>
  </si>
  <si>
    <t>balles de foin 250kg BQ</t>
  </si>
  <si>
    <t>balles de foin 300kg BQ</t>
  </si>
  <si>
    <t>balles de foin 300kg enrubanné BQ</t>
  </si>
  <si>
    <t>balles de foin 500kg BQ</t>
  </si>
  <si>
    <t>balles de foin 300kg MoQ</t>
  </si>
  <si>
    <t>balles de foin 300kg enrubanné MoQ</t>
  </si>
  <si>
    <t>balles de foin 500kg MoQ</t>
  </si>
  <si>
    <t>balles de foin 250kg MaQ</t>
  </si>
  <si>
    <t>balles de foin 300kg MaQ</t>
  </si>
  <si>
    <t>balles de foin 300kg enrubanné MaQ</t>
  </si>
  <si>
    <t>balles de foin 500kg MaQ</t>
  </si>
  <si>
    <t>balles de paille 250kg BQ</t>
  </si>
  <si>
    <t>balles de paille 300kg BQ</t>
  </si>
  <si>
    <t>balles de paille 500kg BQ</t>
  </si>
  <si>
    <t>balles de paille 250kg MoQ</t>
  </si>
  <si>
    <t>balles de paille 300kg MoQ</t>
  </si>
  <si>
    <t>balles de paille 500kg MoQ</t>
  </si>
  <si>
    <t>balles de paille 300kg MaQ</t>
  </si>
  <si>
    <t>balles de paille 250kg MaQ</t>
  </si>
  <si>
    <t>balles de paille 500kg MaQ</t>
  </si>
  <si>
    <t>balles de foin 250kg MoQ</t>
  </si>
  <si>
    <t>minéraux &amp; vitamines BQ</t>
  </si>
  <si>
    <t>minéraux &amp; vitamines MoQ</t>
  </si>
  <si>
    <t>minéraux &amp; vitamines MaQ</t>
  </si>
  <si>
    <t>***</t>
  </si>
  <si>
    <t>**</t>
  </si>
  <si>
    <t>*</t>
  </si>
  <si>
    <t>Qualité aliments pour ta ferme</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</si>
</sst>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0.00\ &quot;€&quot;&quot;/&quot;\t"/>
    <numFmt numFmtId="165" formatCode="#,##0.00\ &quot;€&quot;"/>
    <numFmt numFmtId="166" formatCode="#,##0.00\ &quot;€&quot;&quot;/&quot;\k&quot;g&quot;"/>
    <numFmt numFmtId="167" formatCode="#,##0.0000\ &quot;€&quot;&quot;/&quot;\l"/>
    <numFmt numFmtId="168" formatCode="####&quot; en trop&quot;"/>
    <numFmt numFmtId="171" formatCode="####0.00&quot; m2&quot;"/>
    <numFmt numFmtId="175" formatCode="0.000"/>
  </numFmts>
  <fonts count="28" x14ac:knownFonts="1">
    <font>
      <sz val="10"/>
      <name val="Arial"/>
    </font>
    <font>
      <u/>
      <sz val="10"/>
      <color indexed="12"/>
      <name val="Arial"/>
      <family val="2"/>
    </font>
    <font>
      <b/>
      <sz val="12"/>
      <name val="Times New Roman"/>
      <family val="1"/>
    </font>
    <font>
      <b/>
      <sz val="10"/>
      <name val="Times New Roman"/>
      <family val="1"/>
    </font>
    <font>
      <sz val="10"/>
      <name val="Times New Roman"/>
      <family val="1"/>
    </font>
    <font>
      <sz val="10"/>
      <color indexed="9"/>
      <name val="Times New Roman"/>
      <family val="1"/>
    </font>
    <font>
      <b/>
      <sz val="10"/>
      <color indexed="10"/>
      <name val="Times New Roman"/>
      <family val="1"/>
    </font>
    <font>
      <b/>
      <u/>
      <sz val="10"/>
      <color indexed="10"/>
      <name val="Times New Roman"/>
      <family val="1"/>
    </font>
    <font>
      <b/>
      <u/>
      <sz val="10"/>
      <color indexed="12"/>
      <name val="Times New Roman"/>
      <family val="1"/>
    </font>
    <font>
      <b/>
      <sz val="10"/>
      <color indexed="9"/>
      <name val="Times New Roman"/>
      <family val="1"/>
    </font>
    <font>
      <b/>
      <sz val="10"/>
      <color indexed="12"/>
      <name val="Times New Roman"/>
      <family val="1"/>
    </font>
    <font>
      <sz val="10"/>
      <color indexed="10"/>
      <name val="Times New Roman"/>
      <family val="1"/>
    </font>
    <font>
      <sz val="10"/>
      <color indexed="81"/>
      <name val="Times New Roman"/>
      <family val="1"/>
    </font>
    <font>
      <b/>
      <u/>
      <sz val="10"/>
      <color indexed="14"/>
      <name val="Times New Roman"/>
      <family val="1"/>
    </font>
    <font>
      <sz val="10"/>
      <color indexed="16"/>
      <name val="Times New Roman"/>
      <family val="1"/>
    </font>
    <font>
      <sz val="10"/>
      <color indexed="9"/>
      <name val="Times New Roman"/>
      <family val="1"/>
    </font>
    <font>
      <sz val="10"/>
      <color rgb="FFFF0000"/>
      <name val="Times New Roman"/>
      <family val="1"/>
    </font>
    <font>
      <b/>
      <sz val="10"/>
      <color theme="0"/>
      <name val="Times New Roman"/>
      <family val="1"/>
    </font>
    <font>
      <sz val="10"/>
      <color theme="0"/>
      <name val="Times New Roman"/>
      <family val="1"/>
    </font>
    <font>
      <sz val="10"/>
      <name val="Arial"/>
      <family val="2"/>
    </font>
    <font>
      <sz val="10"/>
      <color theme="6" tint="0.59999389629810485"/>
      <name val="Times New Roman"/>
      <family val="1"/>
    </font>
    <font>
      <sz val="10"/>
      <color theme="9" tint="0.79998168889431442"/>
      <name val="Times New Roman"/>
      <family val="1"/>
    </font>
    <font>
      <b/>
      <sz val="10"/>
      <color theme="0"/>
      <name val="Times New Roman"/>
      <family val="1"/>
    </font>
    <font>
      <b/>
      <sz val="10"/>
      <color rgb="FF0070C0"/>
      <name val="Times New Roman"/>
      <family val="1"/>
    </font>
    <font>
      <sz val="10"/>
      <color theme="1"/>
      <name val="Times New Roman"/>
      <family val="1"/>
    </font>
    <font>
      <b/>
      <sz val="10"/>
      <color theme="1"/>
      <name val="Times New Roman"/>
      <family val="1"/>
    </font>
    <font>
      <sz val="9"/>
      <color indexed="81"/>
      <name val="Tahoma"/>
      <family val="2"/>
    </font>
    <font>
      <b/>
      <sz val="10"/>
      <color rgb="FFFF0000"/>
      <name val="Times New Roman"/>
      <family val="1"/>
    </font>
  </fonts>
  <fills count="16">
    <fill>
      <patternFill patternType="none"/>
    </fill>
    <fill>
      <patternFill patternType="gray125"/>
    </fill>
    <fill>
      <patternFill patternType="solid">
        <fgColor indexed="15"/>
        <bgColor indexed="64"/>
      </patternFill>
    </fill>
    <fill>
      <patternFill patternType="solid">
        <fgColor indexed="9"/>
        <bgColor indexed="64"/>
      </patternFill>
    </fill>
    <fill>
      <patternFill patternType="solid">
        <fgColor indexed="47"/>
        <bgColor indexed="64"/>
      </patternFill>
    </fill>
    <fill>
      <patternFill patternType="solid">
        <fgColor indexed="22"/>
        <bgColor indexed="64"/>
      </patternFill>
    </fill>
    <fill>
      <patternFill patternType="solid">
        <fgColor indexed="13"/>
        <bgColor indexed="64"/>
      </patternFill>
    </fill>
    <fill>
      <patternFill patternType="solid">
        <fgColor indexed="42"/>
        <bgColor indexed="64"/>
      </patternFill>
    </fill>
    <fill>
      <patternFill patternType="solid">
        <fgColor indexed="41"/>
        <bgColor indexed="64"/>
      </patternFill>
    </fill>
    <fill>
      <patternFill patternType="solid">
        <fgColor theme="0"/>
        <bgColor indexed="64"/>
      </patternFill>
    </fill>
    <fill>
      <patternFill patternType="solid">
        <fgColor theme="6" tint="0.59999389629810485"/>
        <bgColor indexed="64"/>
      </patternFill>
    </fill>
    <fill>
      <patternFill patternType="solid">
        <fgColor theme="9" tint="0.79998168889431442"/>
        <bgColor indexed="64"/>
      </patternFill>
    </fill>
    <fill>
      <patternFill patternType="solid">
        <fgColor theme="7" tint="0.39997558519241921"/>
        <bgColor indexed="64"/>
      </patternFill>
    </fill>
    <fill>
      <patternFill patternType="solid">
        <fgColor theme="7" tint="0.79998168889431442"/>
        <bgColor indexed="64"/>
      </patternFill>
    </fill>
    <fill>
      <patternFill patternType="solid">
        <fgColor theme="0" tint="-0.249977111117893"/>
        <bgColor indexed="64"/>
      </patternFill>
    </fill>
    <fill>
      <patternFill patternType="solid">
        <fgColor theme="2" tint="-0.499984740745262"/>
        <bgColor indexed="64"/>
      </patternFill>
    </fill>
  </fills>
  <borders count="58">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medium">
        <color indexed="64"/>
      </left>
      <right/>
      <top/>
      <bottom style="thin">
        <color indexed="64"/>
      </bottom>
      <diagonal/>
    </border>
    <border>
      <left style="medium">
        <color indexed="64"/>
      </left>
      <right/>
      <top style="thin">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top/>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
      <left style="thin">
        <color indexed="64"/>
      </left>
      <right/>
      <top/>
      <bottom/>
      <diagonal/>
    </border>
    <border>
      <left/>
      <right/>
      <top/>
      <bottom style="thin">
        <color indexed="64"/>
      </bottom>
      <diagonal/>
    </border>
    <border>
      <left/>
      <right style="medium">
        <color indexed="64"/>
      </right>
      <top/>
      <bottom style="medium">
        <color indexed="64"/>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medium">
        <color indexed="64"/>
      </left>
      <right style="medium">
        <color indexed="64"/>
      </right>
      <top/>
      <bottom style="medium">
        <color indexed="64"/>
      </bottom>
      <diagonal/>
    </border>
    <border>
      <left/>
      <right style="thin">
        <color indexed="64"/>
      </right>
      <top/>
      <bottom/>
      <diagonal/>
    </border>
    <border>
      <left/>
      <right style="medium">
        <color indexed="64"/>
      </right>
      <top style="thin">
        <color indexed="64"/>
      </top>
      <bottom style="thin">
        <color indexed="64"/>
      </bottom>
      <diagonal/>
    </border>
    <border>
      <left style="medium">
        <color indexed="64"/>
      </left>
      <right/>
      <top/>
      <bottom style="medium">
        <color indexed="64"/>
      </bottom>
      <diagonal/>
    </border>
    <border>
      <left style="medium">
        <color indexed="64"/>
      </left>
      <right style="medium">
        <color indexed="64"/>
      </right>
      <top/>
      <bottom/>
      <diagonal/>
    </border>
    <border>
      <left/>
      <right style="medium">
        <color indexed="64"/>
      </right>
      <top/>
      <bottom/>
      <diagonal/>
    </border>
    <border>
      <left style="thin">
        <color indexed="64"/>
      </left>
      <right/>
      <top style="medium">
        <color indexed="64"/>
      </top>
      <bottom style="thin">
        <color indexed="64"/>
      </bottom>
      <diagonal/>
    </border>
    <border>
      <left/>
      <right/>
      <top style="medium">
        <color indexed="64"/>
      </top>
      <bottom/>
      <diagonal/>
    </border>
    <border>
      <left/>
      <right style="medium">
        <color indexed="64"/>
      </right>
      <top style="medium">
        <color indexed="64"/>
      </top>
      <bottom style="medium">
        <color indexed="64"/>
      </bottom>
      <diagonal/>
    </border>
    <border>
      <left/>
      <right style="medium">
        <color indexed="64"/>
      </right>
      <top style="medium">
        <color indexed="64"/>
      </top>
      <bottom/>
      <diagonal/>
    </border>
    <border>
      <left style="thin">
        <color indexed="64"/>
      </left>
      <right style="medium">
        <color indexed="64"/>
      </right>
      <top/>
      <bottom style="thin">
        <color indexed="64"/>
      </bottom>
      <diagonal/>
    </border>
    <border>
      <left/>
      <right/>
      <top style="medium">
        <color indexed="64"/>
      </top>
      <bottom style="thin">
        <color indexed="64"/>
      </bottom>
      <diagonal/>
    </border>
    <border>
      <left/>
      <right/>
      <top/>
      <bottom style="medium">
        <color indexed="64"/>
      </bottom>
      <diagonal/>
    </border>
    <border>
      <left/>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theme="0"/>
      </left>
      <right/>
      <top/>
      <bottom/>
      <diagonal/>
    </border>
  </borders>
  <cellStyleXfs count="3">
    <xf numFmtId="0" fontId="0" fillId="0" borderId="0"/>
    <xf numFmtId="0" fontId="1" fillId="0" borderId="0" applyNumberFormat="0" applyFill="0" applyBorder="0" applyAlignment="0" applyProtection="0">
      <alignment vertical="top"/>
      <protection locked="0"/>
    </xf>
    <xf numFmtId="0" fontId="19" fillId="0" borderId="0"/>
  </cellStyleXfs>
  <cellXfs count="524">
    <xf numFmtId="0" fontId="0" fillId="0" borderId="0" xfId="0"/>
    <xf numFmtId="0" fontId="3" fillId="3" borderId="0" xfId="0" applyFont="1" applyFill="1" applyBorder="1" applyAlignment="1" applyProtection="1">
      <alignment vertical="center" wrapText="1"/>
    </xf>
    <xf numFmtId="0" fontId="3" fillId="2" borderId="1" xfId="0" applyFont="1" applyFill="1" applyBorder="1" applyAlignment="1" applyProtection="1">
      <alignment horizontal="center" vertical="center"/>
      <protection locked="0"/>
    </xf>
    <xf numFmtId="0" fontId="3" fillId="5" borderId="8" xfId="0" applyFont="1" applyFill="1" applyBorder="1" applyAlignment="1" applyProtection="1">
      <alignment horizontal="center" vertical="center" wrapText="1"/>
    </xf>
    <xf numFmtId="0" fontId="3" fillId="2" borderId="16" xfId="0" applyFont="1" applyFill="1" applyBorder="1" applyAlignment="1" applyProtection="1">
      <alignment vertical="center"/>
      <protection locked="0"/>
    </xf>
    <xf numFmtId="0" fontId="3" fillId="2" borderId="13" xfId="0" applyFont="1" applyFill="1" applyBorder="1" applyAlignment="1" applyProtection="1">
      <alignment vertical="center"/>
      <protection locked="0"/>
    </xf>
    <xf numFmtId="0" fontId="3" fillId="5" borderId="20" xfId="0" applyFont="1" applyFill="1" applyBorder="1" applyAlignment="1" applyProtection="1">
      <alignment horizontal="center" vertical="center" wrapText="1"/>
    </xf>
    <xf numFmtId="0" fontId="3" fillId="5" borderId="21" xfId="0" applyFont="1" applyFill="1" applyBorder="1" applyAlignment="1" applyProtection="1">
      <alignment horizontal="center" vertical="center" wrapText="1"/>
    </xf>
    <xf numFmtId="0" fontId="4" fillId="0" borderId="0" xfId="0" applyFont="1" applyFill="1" applyBorder="1" applyAlignment="1" applyProtection="1">
      <alignment horizontal="center" vertical="center"/>
    </xf>
    <xf numFmtId="0" fontId="3" fillId="0" borderId="14" xfId="0" applyFont="1" applyFill="1" applyBorder="1" applyAlignment="1" applyProtection="1">
      <alignment vertical="center"/>
    </xf>
    <xf numFmtId="0" fontId="3" fillId="0" borderId="7" xfId="0" applyFont="1" applyFill="1" applyBorder="1" applyAlignment="1" applyProtection="1">
      <alignment vertical="center"/>
    </xf>
    <xf numFmtId="0" fontId="3" fillId="0" borderId="14" xfId="0" applyFont="1" applyBorder="1" applyAlignment="1" applyProtection="1">
      <alignment vertical="center"/>
    </xf>
    <xf numFmtId="0" fontId="3" fillId="0" borderId="7" xfId="0" applyFont="1" applyBorder="1" applyAlignment="1" applyProtection="1">
      <alignment vertical="center"/>
    </xf>
    <xf numFmtId="0" fontId="3" fillId="7" borderId="14" xfId="0" applyFont="1" applyFill="1" applyBorder="1" applyAlignment="1" applyProtection="1">
      <alignment vertical="center"/>
    </xf>
    <xf numFmtId="0" fontId="3" fillId="7" borderId="7" xfId="0" applyFont="1" applyFill="1" applyBorder="1" applyAlignment="1" applyProtection="1">
      <alignment vertical="center"/>
    </xf>
    <xf numFmtId="0" fontId="4" fillId="3" borderId="0" xfId="0" applyFont="1" applyFill="1" applyAlignment="1" applyProtection="1">
      <alignment vertical="center"/>
    </xf>
    <xf numFmtId="0" fontId="3" fillId="4" borderId="3" xfId="0" applyFont="1" applyFill="1" applyBorder="1" applyAlignment="1" applyProtection="1">
      <alignment vertical="center"/>
    </xf>
    <xf numFmtId="0" fontId="4" fillId="0" borderId="0" xfId="0" applyFont="1" applyFill="1" applyAlignment="1" applyProtection="1">
      <alignment vertical="center"/>
    </xf>
    <xf numFmtId="0" fontId="3" fillId="5" borderId="1" xfId="0" applyFont="1" applyFill="1" applyBorder="1" applyAlignment="1" applyProtection="1">
      <alignment horizontal="right" vertical="center"/>
    </xf>
    <xf numFmtId="0" fontId="3" fillId="0" borderId="1" xfId="0" applyFont="1" applyFill="1" applyBorder="1" applyAlignment="1" applyProtection="1">
      <alignment horizontal="right" vertical="center"/>
    </xf>
    <xf numFmtId="0" fontId="3" fillId="0" borderId="24" xfId="0" applyFont="1" applyBorder="1" applyAlignment="1" applyProtection="1">
      <alignment vertical="center"/>
    </xf>
    <xf numFmtId="0" fontId="3" fillId="0" borderId="33" xfId="0" applyFont="1" applyBorder="1" applyAlignment="1" applyProtection="1">
      <alignment vertical="center"/>
    </xf>
    <xf numFmtId="0" fontId="3" fillId="7" borderId="24" xfId="0" applyFont="1" applyFill="1" applyBorder="1" applyAlignment="1" applyProtection="1">
      <alignment vertical="center"/>
    </xf>
    <xf numFmtId="0" fontId="3" fillId="7" borderId="28" xfId="0" applyFont="1" applyFill="1" applyBorder="1" applyAlignment="1" applyProtection="1">
      <alignment vertical="center"/>
    </xf>
    <xf numFmtId="0" fontId="3" fillId="0" borderId="34" xfId="0" applyFont="1" applyBorder="1" applyAlignment="1" applyProtection="1">
      <alignment vertical="center"/>
    </xf>
    <xf numFmtId="0" fontId="3" fillId="0" borderId="28" xfId="0" applyFont="1" applyBorder="1" applyAlignment="1" applyProtection="1">
      <alignment vertical="center"/>
    </xf>
    <xf numFmtId="0" fontId="3" fillId="0" borderId="6" xfId="0" applyFont="1" applyBorder="1" applyAlignment="1" applyProtection="1">
      <alignment vertical="center"/>
    </xf>
    <xf numFmtId="0" fontId="3" fillId="7" borderId="6" xfId="0" applyFont="1" applyFill="1" applyBorder="1" applyAlignment="1" applyProtection="1">
      <alignment vertical="center"/>
    </xf>
    <xf numFmtId="0" fontId="3" fillId="0" borderId="4" xfId="0" applyFont="1" applyBorder="1" applyAlignment="1" applyProtection="1">
      <alignment vertical="center"/>
    </xf>
    <xf numFmtId="0" fontId="3" fillId="0" borderId="5" xfId="0" applyFont="1" applyBorder="1" applyAlignment="1" applyProtection="1">
      <alignment vertical="center"/>
    </xf>
    <xf numFmtId="0" fontId="3" fillId="0" borderId="34" xfId="0" applyFont="1" applyFill="1" applyBorder="1" applyAlignment="1" applyProtection="1">
      <alignment vertical="center"/>
    </xf>
    <xf numFmtId="0" fontId="3" fillId="0" borderId="33" xfId="0" applyFont="1" applyFill="1" applyBorder="1" applyAlignment="1" applyProtection="1">
      <alignment vertical="center"/>
    </xf>
    <xf numFmtId="0" fontId="3" fillId="0" borderId="28" xfId="0" applyFont="1" applyFill="1" applyBorder="1" applyAlignment="1" applyProtection="1">
      <alignment vertical="center"/>
    </xf>
    <xf numFmtId="0" fontId="3" fillId="5" borderId="20" xfId="0" applyFont="1" applyFill="1" applyBorder="1" applyAlignment="1" applyProtection="1">
      <alignment horizontal="center" vertical="center"/>
    </xf>
    <xf numFmtId="0" fontId="3" fillId="0" borderId="14" xfId="0" applyFont="1" applyBorder="1" applyAlignment="1" applyProtection="1">
      <alignment horizontal="left" vertical="center"/>
    </xf>
    <xf numFmtId="0" fontId="3" fillId="0" borderId="16" xfId="0" applyFont="1" applyBorder="1" applyAlignment="1" applyProtection="1">
      <alignment horizontal="center" vertical="center" wrapText="1"/>
    </xf>
    <xf numFmtId="0" fontId="3" fillId="3" borderId="7" xfId="0" applyFont="1" applyFill="1" applyBorder="1" applyAlignment="1" applyProtection="1">
      <alignment horizontal="left" vertical="center"/>
    </xf>
    <xf numFmtId="0" fontId="3" fillId="11" borderId="53" xfId="0" applyFont="1" applyFill="1" applyBorder="1" applyAlignment="1" applyProtection="1">
      <alignment vertical="center"/>
    </xf>
    <xf numFmtId="0" fontId="3" fillId="10" borderId="53" xfId="0" applyFont="1" applyFill="1" applyBorder="1" applyAlignment="1" applyProtection="1">
      <alignment vertical="center"/>
    </xf>
    <xf numFmtId="0" fontId="6" fillId="6" borderId="3" xfId="0" applyFont="1" applyFill="1" applyBorder="1" applyAlignment="1" applyProtection="1">
      <alignment vertical="center"/>
    </xf>
    <xf numFmtId="0" fontId="4" fillId="11" borderId="46" xfId="0" applyFont="1" applyFill="1" applyBorder="1" applyAlignment="1" applyProtection="1">
      <alignment horizontal="left" vertical="center"/>
    </xf>
    <xf numFmtId="0" fontId="2" fillId="2" borderId="16" xfId="0" applyFont="1" applyFill="1" applyBorder="1" applyAlignment="1" applyProtection="1">
      <alignment vertical="center"/>
      <protection locked="0"/>
    </xf>
    <xf numFmtId="0" fontId="2" fillId="2" borderId="13" xfId="0" applyFont="1" applyFill="1" applyBorder="1" applyAlignment="1" applyProtection="1">
      <alignment vertical="center"/>
      <protection locked="0"/>
    </xf>
    <xf numFmtId="0" fontId="4" fillId="10" borderId="46" xfId="0" applyFont="1" applyFill="1" applyBorder="1" applyAlignment="1" applyProtection="1">
      <alignment vertical="center"/>
    </xf>
    <xf numFmtId="0" fontId="4" fillId="11" borderId="46" xfId="0" applyFont="1" applyFill="1" applyBorder="1" applyAlignment="1" applyProtection="1">
      <alignment vertical="center"/>
    </xf>
    <xf numFmtId="0" fontId="3" fillId="11" borderId="53" xfId="0" applyFont="1" applyFill="1" applyBorder="1" applyAlignment="1" applyProtection="1">
      <alignment horizontal="right" vertical="center"/>
    </xf>
    <xf numFmtId="0" fontId="4" fillId="11" borderId="37" xfId="0" applyFont="1" applyFill="1" applyBorder="1" applyAlignment="1" applyProtection="1">
      <alignment vertical="center"/>
    </xf>
    <xf numFmtId="0" fontId="4" fillId="10" borderId="0" xfId="0" applyFont="1" applyFill="1" applyBorder="1" applyAlignment="1" applyProtection="1">
      <alignment vertical="center"/>
    </xf>
    <xf numFmtId="0" fontId="4" fillId="10" borderId="35" xfId="0" applyFont="1" applyFill="1" applyBorder="1" applyAlignment="1" applyProtection="1">
      <alignment horizontal="left" vertical="center"/>
    </xf>
    <xf numFmtId="0" fontId="3" fillId="11" borderId="0" xfId="0" applyFont="1" applyFill="1" applyBorder="1" applyAlignment="1" applyProtection="1">
      <alignment horizontal="right" vertical="center"/>
    </xf>
    <xf numFmtId="0" fontId="4" fillId="11" borderId="0" xfId="0" applyFont="1" applyFill="1" applyBorder="1" applyAlignment="1" applyProtection="1">
      <alignment horizontal="left" vertical="center"/>
    </xf>
    <xf numFmtId="0" fontId="4" fillId="11" borderId="0" xfId="0" applyFont="1" applyFill="1" applyBorder="1" applyAlignment="1" applyProtection="1">
      <alignment vertical="center"/>
    </xf>
    <xf numFmtId="0" fontId="4" fillId="11" borderId="53" xfId="0" applyFont="1" applyFill="1" applyBorder="1" applyAlignment="1" applyProtection="1">
      <alignment vertical="center"/>
    </xf>
    <xf numFmtId="0" fontId="4" fillId="11" borderId="35" xfId="0" applyFont="1" applyFill="1" applyBorder="1" applyAlignment="1" applyProtection="1">
      <alignment horizontal="left" vertical="center"/>
    </xf>
    <xf numFmtId="0" fontId="4" fillId="10" borderId="46" xfId="0" applyFont="1" applyFill="1" applyBorder="1" applyAlignment="1" applyProtection="1">
      <alignment horizontal="left" vertical="center"/>
    </xf>
    <xf numFmtId="0" fontId="4" fillId="10" borderId="0" xfId="0" applyFont="1" applyFill="1" applyBorder="1" applyAlignment="1" applyProtection="1">
      <alignment horizontal="left" vertical="center"/>
    </xf>
    <xf numFmtId="0" fontId="16" fillId="0" borderId="0" xfId="0" applyFont="1" applyFill="1" applyAlignment="1" applyProtection="1">
      <alignment vertical="center"/>
    </xf>
    <xf numFmtId="0" fontId="9" fillId="0" borderId="0" xfId="0" applyFont="1" applyFill="1" applyBorder="1" applyAlignment="1" applyProtection="1">
      <alignment horizontal="center" vertical="center" wrapText="1"/>
    </xf>
    <xf numFmtId="0" fontId="16" fillId="0" borderId="0" xfId="0" applyFont="1" applyFill="1" applyAlignment="1" applyProtection="1">
      <alignment horizontal="center" vertical="center"/>
    </xf>
    <xf numFmtId="0" fontId="15" fillId="0" borderId="0" xfId="0" applyFont="1" applyFill="1" applyBorder="1" applyAlignment="1" applyProtection="1">
      <alignment horizontal="center" vertical="center"/>
    </xf>
    <xf numFmtId="0" fontId="16" fillId="0" borderId="0" xfId="0" applyFont="1" applyFill="1" applyBorder="1" applyAlignment="1" applyProtection="1">
      <alignment horizontal="center" vertical="center"/>
    </xf>
    <xf numFmtId="0" fontId="15" fillId="0" borderId="0" xfId="0" applyFont="1" applyFill="1" applyBorder="1" applyAlignment="1" applyProtection="1">
      <alignment horizontal="center" vertical="center"/>
      <protection locked="0"/>
    </xf>
    <xf numFmtId="0" fontId="14" fillId="0" borderId="0" xfId="0" applyFont="1" applyFill="1" applyAlignment="1" applyProtection="1">
      <alignment horizontal="center" vertical="center"/>
    </xf>
    <xf numFmtId="0" fontId="15" fillId="0" borderId="0" xfId="0" applyFont="1" applyFill="1" applyAlignment="1" applyProtection="1">
      <alignment horizontal="center" vertical="center"/>
    </xf>
    <xf numFmtId="0" fontId="5" fillId="0" borderId="0" xfId="0" applyFont="1" applyFill="1" applyBorder="1" applyAlignment="1" applyProtection="1">
      <alignment horizontal="center" vertical="center"/>
    </xf>
    <xf numFmtId="0" fontId="3" fillId="0" borderId="10" xfId="0" applyFont="1" applyBorder="1" applyAlignment="1" applyProtection="1">
      <alignment vertical="center"/>
    </xf>
    <xf numFmtId="0" fontId="3" fillId="7" borderId="18" xfId="0" applyFont="1" applyFill="1" applyBorder="1" applyAlignment="1" applyProtection="1">
      <alignment vertical="center"/>
    </xf>
    <xf numFmtId="0" fontId="3" fillId="7" borderId="17" xfId="0" applyFont="1" applyFill="1" applyBorder="1" applyAlignment="1" applyProtection="1">
      <alignment vertical="center"/>
    </xf>
    <xf numFmtId="0" fontId="3" fillId="5" borderId="16" xfId="0" applyFont="1" applyFill="1" applyBorder="1" applyAlignment="1" applyProtection="1">
      <alignment horizontal="center" vertical="center"/>
    </xf>
    <xf numFmtId="0" fontId="3" fillId="9" borderId="7" xfId="0" applyFont="1" applyFill="1" applyBorder="1" applyAlignment="1" applyProtection="1">
      <alignment vertical="center"/>
    </xf>
    <xf numFmtId="0" fontId="3" fillId="7" borderId="21" xfId="0" applyFont="1" applyFill="1" applyBorder="1" applyAlignment="1" applyProtection="1">
      <alignment vertical="center"/>
    </xf>
    <xf numFmtId="0" fontId="3" fillId="7" borderId="20" xfId="0" applyFont="1" applyFill="1" applyBorder="1" applyAlignment="1" applyProtection="1">
      <alignment vertical="center"/>
    </xf>
    <xf numFmtId="0" fontId="3" fillId="9" borderId="13" xfId="0" applyFont="1" applyFill="1" applyBorder="1" applyAlignment="1" applyProtection="1">
      <alignment vertical="center"/>
    </xf>
    <xf numFmtId="0" fontId="3" fillId="0" borderId="1" xfId="0" applyFont="1" applyFill="1" applyBorder="1" applyAlignment="1" applyProtection="1">
      <alignment horizontal="center" vertical="center"/>
    </xf>
    <xf numFmtId="0" fontId="3" fillId="12" borderId="0" xfId="0" applyFont="1" applyFill="1" applyBorder="1" applyAlignment="1" applyProtection="1">
      <alignment horizontal="center" vertical="center" wrapText="1"/>
    </xf>
    <xf numFmtId="0" fontId="6" fillId="6" borderId="47" xfId="0" applyFont="1" applyFill="1" applyBorder="1" applyAlignment="1" applyProtection="1">
      <alignment vertical="center"/>
    </xf>
    <xf numFmtId="0" fontId="16" fillId="12" borderId="32" xfId="0" applyFont="1" applyFill="1" applyBorder="1" applyAlignment="1" applyProtection="1">
      <alignment vertical="center"/>
    </xf>
    <xf numFmtId="0" fontId="3" fillId="14" borderId="1" xfId="0" applyFont="1" applyFill="1" applyBorder="1" applyAlignment="1" applyProtection="1">
      <alignment horizontal="center" vertical="center" wrapText="1"/>
    </xf>
    <xf numFmtId="0" fontId="3" fillId="14" borderId="20" xfId="0" applyFont="1" applyFill="1" applyBorder="1" applyAlignment="1" applyProtection="1">
      <alignment horizontal="center" vertical="center" wrapText="1"/>
    </xf>
    <xf numFmtId="0" fontId="3" fillId="14" borderId="1" xfId="0" applyFont="1" applyFill="1" applyBorder="1" applyAlignment="1" applyProtection="1">
      <alignment horizontal="right" vertical="center"/>
    </xf>
    <xf numFmtId="0" fontId="2" fillId="2" borderId="10" xfId="0" applyFont="1" applyFill="1" applyBorder="1" applyAlignment="1" applyProtection="1">
      <alignment vertical="center"/>
      <protection locked="0"/>
    </xf>
    <xf numFmtId="0" fontId="3" fillId="5" borderId="1" xfId="0" applyFont="1" applyFill="1" applyBorder="1" applyAlignment="1" applyProtection="1">
      <alignment horizontal="center" vertical="center"/>
    </xf>
    <xf numFmtId="0" fontId="4" fillId="3" borderId="0" xfId="0" applyFont="1" applyFill="1" applyAlignment="1" applyProtection="1">
      <alignment vertical="center"/>
      <protection locked="0"/>
    </xf>
    <xf numFmtId="0" fontId="6" fillId="3" borderId="0" xfId="0" applyFont="1" applyFill="1" applyBorder="1" applyAlignment="1" applyProtection="1">
      <alignment vertical="center"/>
    </xf>
    <xf numFmtId="0" fontId="4" fillId="3" borderId="0" xfId="0" applyFont="1" applyFill="1" applyBorder="1" applyAlignment="1" applyProtection="1">
      <alignment vertical="center"/>
    </xf>
    <xf numFmtId="0" fontId="14" fillId="0" borderId="0" xfId="0" applyFont="1" applyFill="1" applyAlignment="1" applyProtection="1">
      <alignment vertical="center"/>
    </xf>
    <xf numFmtId="0" fontId="5" fillId="0" borderId="0" xfId="0" applyFont="1" applyFill="1" applyAlignment="1" applyProtection="1">
      <alignment vertical="center"/>
    </xf>
    <xf numFmtId="0" fontId="16" fillId="0" borderId="0" xfId="0" applyFont="1" applyFill="1" applyAlignment="1" applyProtection="1">
      <alignment horizontal="right" vertical="center"/>
    </xf>
    <xf numFmtId="0" fontId="11" fillId="0" borderId="0" xfId="0" applyFont="1" applyFill="1" applyAlignment="1" applyProtection="1">
      <alignment vertical="center"/>
    </xf>
    <xf numFmtId="0" fontId="4" fillId="0" borderId="0" xfId="0" applyFont="1" applyAlignment="1" applyProtection="1">
      <alignment vertical="center"/>
    </xf>
    <xf numFmtId="0" fontId="16" fillId="0" borderId="0" xfId="0" applyFont="1" applyFill="1" applyBorder="1" applyAlignment="1" applyProtection="1">
      <alignment vertical="center"/>
    </xf>
    <xf numFmtId="0" fontId="7" fillId="3" borderId="0" xfId="0" applyFont="1" applyFill="1" applyBorder="1" applyAlignment="1" applyProtection="1">
      <alignment vertical="center"/>
    </xf>
    <xf numFmtId="0" fontId="4" fillId="2" borderId="19" xfId="0" applyFont="1" applyFill="1" applyBorder="1" applyAlignment="1" applyProtection="1">
      <alignment vertical="center"/>
      <protection locked="0"/>
    </xf>
    <xf numFmtId="0" fontId="3" fillId="10" borderId="14" xfId="0" applyFont="1" applyFill="1" applyBorder="1" applyAlignment="1" applyProtection="1">
      <alignment vertical="center"/>
    </xf>
    <xf numFmtId="0" fontId="4" fillId="10" borderId="48" xfId="0" applyFont="1" applyFill="1" applyBorder="1" applyAlignment="1" applyProtection="1">
      <alignment vertical="center"/>
    </xf>
    <xf numFmtId="0" fontId="4" fillId="10" borderId="50" xfId="0" applyFont="1" applyFill="1" applyBorder="1" applyAlignment="1" applyProtection="1">
      <alignment vertical="center"/>
    </xf>
    <xf numFmtId="0" fontId="4" fillId="0" borderId="0" xfId="0" applyFont="1" applyFill="1" applyBorder="1" applyAlignment="1" applyProtection="1">
      <alignment vertical="center"/>
    </xf>
    <xf numFmtId="0" fontId="4" fillId="10" borderId="32" xfId="0" applyFont="1" applyFill="1" applyBorder="1" applyAlignment="1" applyProtection="1">
      <alignment vertical="center"/>
    </xf>
    <xf numFmtId="0" fontId="3" fillId="14" borderId="1" xfId="0" applyFont="1" applyFill="1" applyBorder="1" applyAlignment="1" applyProtection="1">
      <alignment horizontal="center" vertical="center"/>
    </xf>
    <xf numFmtId="0" fontId="3" fillId="2" borderId="32" xfId="0" applyFont="1" applyFill="1" applyBorder="1" applyAlignment="1" applyProtection="1">
      <alignment vertical="center"/>
      <protection locked="0"/>
    </xf>
    <xf numFmtId="0" fontId="3" fillId="8" borderId="16" xfId="0" applyFont="1" applyFill="1" applyBorder="1" applyAlignment="1" applyProtection="1">
      <alignment vertical="center"/>
    </xf>
    <xf numFmtId="0" fontId="3" fillId="2" borderId="5" xfId="0" applyFont="1" applyFill="1" applyBorder="1" applyAlignment="1" applyProtection="1">
      <alignment vertical="center"/>
      <protection locked="0"/>
    </xf>
    <xf numFmtId="0" fontId="3" fillId="8" borderId="13" xfId="0" applyFont="1" applyFill="1" applyBorder="1" applyAlignment="1" applyProtection="1">
      <alignment vertical="center"/>
    </xf>
    <xf numFmtId="0" fontId="20" fillId="10" borderId="0" xfId="0" applyFont="1" applyFill="1" applyBorder="1" applyAlignment="1" applyProtection="1">
      <alignment vertical="center"/>
    </xf>
    <xf numFmtId="0" fontId="3" fillId="2" borderId="14" xfId="0" applyFont="1" applyFill="1" applyBorder="1" applyAlignment="1" applyProtection="1">
      <alignment vertical="center"/>
      <protection locked="0"/>
    </xf>
    <xf numFmtId="0" fontId="3" fillId="2" borderId="7" xfId="0" applyFont="1" applyFill="1" applyBorder="1" applyAlignment="1" applyProtection="1">
      <alignment vertical="center"/>
      <protection locked="0"/>
    </xf>
    <xf numFmtId="0" fontId="3" fillId="2" borderId="1" xfId="0" applyFont="1" applyFill="1" applyBorder="1" applyAlignment="1" applyProtection="1">
      <alignment vertical="center"/>
      <protection locked="0"/>
    </xf>
    <xf numFmtId="0" fontId="4" fillId="10" borderId="44" xfId="0" applyFont="1" applyFill="1" applyBorder="1" applyAlignment="1" applyProtection="1">
      <alignment vertical="center"/>
    </xf>
    <xf numFmtId="0" fontId="3" fillId="10" borderId="53" xfId="0" applyFont="1" applyFill="1" applyBorder="1" applyAlignment="1" applyProtection="1">
      <alignment vertical="center"/>
      <protection locked="0"/>
    </xf>
    <xf numFmtId="0" fontId="4" fillId="10" borderId="53" xfId="0" applyFont="1" applyFill="1" applyBorder="1" applyAlignment="1" applyProtection="1">
      <alignment vertical="center"/>
    </xf>
    <xf numFmtId="0" fontId="4" fillId="10" borderId="37" xfId="0" applyFont="1" applyFill="1" applyBorder="1" applyAlignment="1" applyProtection="1">
      <alignment vertical="center"/>
    </xf>
    <xf numFmtId="0" fontId="3" fillId="11" borderId="14" xfId="0" applyFont="1" applyFill="1" applyBorder="1" applyAlignment="1" applyProtection="1">
      <alignment vertical="center"/>
    </xf>
    <xf numFmtId="0" fontId="4" fillId="11" borderId="48" xfId="0" applyFont="1" applyFill="1" applyBorder="1" applyAlignment="1" applyProtection="1">
      <alignment vertical="center"/>
    </xf>
    <xf numFmtId="0" fontId="4" fillId="11" borderId="48" xfId="0" applyFont="1" applyFill="1" applyBorder="1" applyAlignment="1" applyProtection="1">
      <alignment vertical="center"/>
      <protection locked="0"/>
    </xf>
    <xf numFmtId="0" fontId="4" fillId="11" borderId="50" xfId="0" applyFont="1" applyFill="1" applyBorder="1" applyAlignment="1" applyProtection="1">
      <alignment vertical="center"/>
      <protection locked="0"/>
    </xf>
    <xf numFmtId="0" fontId="14" fillId="0" borderId="0" xfId="0" applyFont="1" applyFill="1" applyAlignment="1" applyProtection="1">
      <alignment vertical="center"/>
      <protection locked="0"/>
    </xf>
    <xf numFmtId="0" fontId="15" fillId="0" borderId="0" xfId="0" applyFont="1" applyFill="1" applyAlignment="1" applyProtection="1">
      <alignment vertical="center"/>
      <protection locked="0"/>
    </xf>
    <xf numFmtId="0" fontId="4" fillId="11" borderId="32" xfId="0" applyFont="1" applyFill="1" applyBorder="1" applyAlignment="1" applyProtection="1">
      <alignment vertical="center"/>
    </xf>
    <xf numFmtId="0" fontId="4" fillId="11" borderId="0" xfId="0" applyFont="1" applyFill="1" applyBorder="1" applyAlignment="1" applyProtection="1">
      <alignment vertical="center"/>
      <protection locked="0"/>
    </xf>
    <xf numFmtId="0" fontId="4" fillId="11" borderId="46" xfId="0" applyFont="1" applyFill="1" applyBorder="1" applyAlignment="1" applyProtection="1">
      <alignment vertical="center"/>
      <protection locked="0"/>
    </xf>
    <xf numFmtId="0" fontId="14" fillId="0" borderId="0" xfId="0" applyFont="1" applyFill="1" applyBorder="1" applyAlignment="1" applyProtection="1">
      <alignment vertical="center"/>
      <protection locked="0"/>
    </xf>
    <xf numFmtId="0" fontId="3" fillId="2" borderId="11" xfId="0" applyFont="1" applyFill="1" applyBorder="1" applyAlignment="1" applyProtection="1">
      <alignment vertical="center"/>
      <protection locked="0"/>
    </xf>
    <xf numFmtId="0" fontId="3" fillId="2" borderId="12" xfId="0" applyFont="1" applyFill="1" applyBorder="1" applyAlignment="1" applyProtection="1">
      <alignment vertical="center"/>
      <protection locked="0"/>
    </xf>
    <xf numFmtId="0" fontId="3" fillId="2" borderId="10" xfId="0" applyFont="1" applyFill="1" applyBorder="1" applyAlignment="1" applyProtection="1">
      <alignment vertical="center"/>
      <protection locked="0"/>
    </xf>
    <xf numFmtId="0" fontId="21" fillId="11" borderId="0" xfId="0" applyFont="1" applyFill="1" applyBorder="1" applyAlignment="1" applyProtection="1">
      <alignment vertical="center"/>
    </xf>
    <xf numFmtId="0" fontId="4" fillId="11" borderId="44" xfId="0" applyFont="1" applyFill="1" applyBorder="1" applyAlignment="1" applyProtection="1">
      <alignment vertical="center"/>
    </xf>
    <xf numFmtId="0" fontId="3" fillId="11" borderId="53" xfId="0" applyFont="1" applyFill="1" applyBorder="1" applyAlignment="1" applyProtection="1">
      <alignment vertical="center"/>
      <protection locked="0"/>
    </xf>
    <xf numFmtId="0" fontId="4" fillId="11" borderId="53" xfId="0" applyFont="1" applyFill="1" applyBorder="1" applyAlignment="1" applyProtection="1">
      <alignment vertical="center"/>
      <protection locked="0"/>
    </xf>
    <xf numFmtId="0" fontId="4" fillId="11" borderId="37" xfId="0" applyFont="1" applyFill="1" applyBorder="1" applyAlignment="1" applyProtection="1">
      <alignment vertical="center"/>
      <protection locked="0"/>
    </xf>
    <xf numFmtId="0" fontId="4" fillId="10" borderId="48" xfId="0" applyFont="1" applyFill="1" applyBorder="1" applyAlignment="1" applyProtection="1">
      <alignment vertical="center"/>
      <protection locked="0"/>
    </xf>
    <xf numFmtId="0" fontId="4" fillId="10" borderId="50" xfId="0" applyFont="1" applyFill="1" applyBorder="1" applyAlignment="1" applyProtection="1">
      <alignment vertical="center"/>
      <protection locked="0"/>
    </xf>
    <xf numFmtId="0" fontId="4" fillId="10" borderId="0" xfId="0" applyFont="1" applyFill="1" applyBorder="1" applyAlignment="1" applyProtection="1">
      <alignment vertical="center"/>
      <protection locked="0"/>
    </xf>
    <xf numFmtId="0" fontId="4" fillId="10" borderId="46" xfId="0" applyFont="1" applyFill="1" applyBorder="1" applyAlignment="1" applyProtection="1">
      <alignment vertical="center"/>
      <protection locked="0"/>
    </xf>
    <xf numFmtId="0" fontId="3" fillId="8" borderId="10" xfId="0" applyFont="1" applyFill="1" applyBorder="1" applyAlignment="1" applyProtection="1">
      <alignment vertical="center"/>
    </xf>
    <xf numFmtId="0" fontId="3" fillId="8" borderId="41" xfId="0" applyFont="1" applyFill="1" applyBorder="1" applyAlignment="1" applyProtection="1">
      <alignment vertical="center"/>
    </xf>
    <xf numFmtId="0" fontId="3" fillId="8" borderId="45" xfId="0" applyFont="1" applyFill="1" applyBorder="1" applyAlignment="1" applyProtection="1">
      <alignment vertical="center"/>
    </xf>
    <xf numFmtId="0" fontId="4" fillId="10" borderId="53" xfId="0" applyFont="1" applyFill="1" applyBorder="1" applyAlignment="1" applyProtection="1">
      <alignment vertical="center"/>
      <protection locked="0"/>
    </xf>
    <xf numFmtId="0" fontId="4" fillId="10" borderId="37" xfId="0" applyFont="1" applyFill="1" applyBorder="1" applyAlignment="1" applyProtection="1">
      <alignment vertical="center"/>
      <protection locked="0"/>
    </xf>
    <xf numFmtId="0" fontId="3" fillId="0" borderId="0" xfId="0" applyFont="1" applyFill="1" applyBorder="1" applyAlignment="1" applyProtection="1">
      <alignment vertical="center"/>
    </xf>
    <xf numFmtId="0" fontId="4" fillId="11" borderId="15" xfId="0" applyFont="1" applyFill="1" applyBorder="1" applyAlignment="1" applyProtection="1">
      <alignment vertical="center"/>
    </xf>
    <xf numFmtId="0" fontId="11" fillId="11" borderId="0" xfId="0" applyFont="1" applyFill="1" applyBorder="1" applyAlignment="1" applyProtection="1">
      <alignment vertical="center"/>
    </xf>
    <xf numFmtId="0" fontId="2" fillId="2" borderId="11" xfId="0" applyFont="1" applyFill="1" applyBorder="1" applyAlignment="1" applyProtection="1">
      <alignment vertical="center"/>
      <protection locked="0"/>
    </xf>
    <xf numFmtId="0" fontId="2" fillId="2" borderId="12" xfId="0" applyFont="1" applyFill="1" applyBorder="1" applyAlignment="1" applyProtection="1">
      <alignment vertical="center"/>
      <protection locked="0"/>
    </xf>
    <xf numFmtId="0" fontId="3" fillId="10" borderId="0" xfId="0" applyFont="1" applyFill="1" applyBorder="1" applyAlignment="1" applyProtection="1">
      <alignment vertical="center"/>
      <protection locked="0"/>
    </xf>
    <xf numFmtId="0" fontId="3" fillId="10" borderId="0" xfId="0" applyFont="1" applyFill="1" applyBorder="1" applyAlignment="1" applyProtection="1">
      <alignment vertical="center"/>
    </xf>
    <xf numFmtId="0" fontId="11" fillId="11" borderId="0" xfId="0" applyFont="1" applyFill="1" applyBorder="1" applyAlignment="1" applyProtection="1">
      <alignment horizontal="center" vertical="center"/>
    </xf>
    <xf numFmtId="0" fontId="5" fillId="11" borderId="0" xfId="0" applyFont="1" applyFill="1" applyBorder="1" applyAlignment="1" applyProtection="1">
      <alignment horizontal="center" vertical="center"/>
    </xf>
    <xf numFmtId="0" fontId="15" fillId="0" borderId="0" xfId="0" applyFont="1" applyFill="1" applyAlignment="1" applyProtection="1">
      <alignment vertical="center"/>
    </xf>
    <xf numFmtId="0" fontId="3" fillId="11" borderId="0" xfId="0" applyFont="1" applyFill="1" applyBorder="1" applyAlignment="1" applyProtection="1">
      <alignment vertical="center"/>
      <protection locked="0"/>
    </xf>
    <xf numFmtId="0" fontId="3" fillId="11" borderId="0" xfId="0" applyFont="1" applyFill="1" applyBorder="1" applyAlignment="1" applyProtection="1">
      <alignment vertical="center"/>
    </xf>
    <xf numFmtId="0" fontId="3" fillId="0" borderId="0" xfId="0" applyFont="1" applyFill="1" applyBorder="1" applyAlignment="1" applyProtection="1">
      <alignment horizontal="right" vertical="center"/>
    </xf>
    <xf numFmtId="0" fontId="3" fillId="0" borderId="0" xfId="0" applyFont="1" applyFill="1" applyAlignment="1" applyProtection="1">
      <alignment horizontal="left" vertical="center"/>
    </xf>
    <xf numFmtId="0" fontId="3" fillId="0" borderId="0" xfId="0" applyFont="1" applyFill="1" applyAlignment="1" applyProtection="1">
      <alignment horizontal="right" vertical="center"/>
    </xf>
    <xf numFmtId="0" fontId="9" fillId="0" borderId="0" xfId="0" applyFont="1" applyFill="1" applyAlignment="1" applyProtection="1">
      <alignment horizontal="right" vertical="center"/>
    </xf>
    <xf numFmtId="0" fontId="3" fillId="0" borderId="0" xfId="0" applyNumberFormat="1" applyFont="1" applyFill="1" applyBorder="1" applyAlignment="1" applyProtection="1">
      <alignment horizontal="right" vertical="center"/>
    </xf>
    <xf numFmtId="168" fontId="3" fillId="0" borderId="0" xfId="0" applyNumberFormat="1" applyFont="1" applyFill="1" applyBorder="1" applyAlignment="1" applyProtection="1">
      <alignment horizontal="right" vertical="center"/>
    </xf>
    <xf numFmtId="0" fontId="4" fillId="11" borderId="50" xfId="0" applyFont="1" applyFill="1" applyBorder="1" applyAlignment="1" applyProtection="1">
      <alignment vertical="center"/>
    </xf>
    <xf numFmtId="0" fontId="2" fillId="2" borderId="20" xfId="0" applyFont="1" applyFill="1" applyBorder="1" applyAlignment="1" applyProtection="1">
      <alignment vertical="center"/>
      <protection locked="0"/>
    </xf>
    <xf numFmtId="0" fontId="3" fillId="11" borderId="37" xfId="0" applyFont="1" applyFill="1" applyBorder="1" applyAlignment="1" applyProtection="1">
      <alignment vertical="center"/>
    </xf>
    <xf numFmtId="0" fontId="21" fillId="11" borderId="0" xfId="0" applyFont="1" applyFill="1" applyBorder="1" applyAlignment="1" applyProtection="1">
      <alignment vertical="center"/>
      <protection locked="0"/>
    </xf>
    <xf numFmtId="0" fontId="3" fillId="2" borderId="4" xfId="0" applyFont="1" applyFill="1" applyBorder="1" applyAlignment="1" applyProtection="1">
      <alignment vertical="center"/>
      <protection locked="0"/>
    </xf>
    <xf numFmtId="0" fontId="3" fillId="2" borderId="6" xfId="0" applyFont="1" applyFill="1" applyBorder="1" applyAlignment="1" applyProtection="1">
      <alignment vertical="center"/>
      <protection locked="0"/>
    </xf>
    <xf numFmtId="0" fontId="3" fillId="0" borderId="18" xfId="0" applyFont="1" applyFill="1" applyBorder="1" applyAlignment="1" applyProtection="1">
      <alignment vertical="center"/>
    </xf>
    <xf numFmtId="0" fontId="3" fillId="2" borderId="18" xfId="0" applyFont="1" applyFill="1" applyBorder="1" applyAlignment="1" applyProtection="1">
      <alignment vertical="center"/>
      <protection locked="0"/>
    </xf>
    <xf numFmtId="0" fontId="3" fillId="0" borderId="13" xfId="0" applyFont="1" applyFill="1" applyBorder="1" applyAlignment="1" applyProtection="1">
      <alignment vertical="center"/>
    </xf>
    <xf numFmtId="165" fontId="4" fillId="0" borderId="18" xfId="0" applyNumberFormat="1" applyFont="1" applyBorder="1" applyAlignment="1" applyProtection="1">
      <alignment vertical="center"/>
    </xf>
    <xf numFmtId="165" fontId="4" fillId="0" borderId="13" xfId="0" applyNumberFormat="1" applyFont="1" applyBorder="1" applyAlignment="1" applyProtection="1">
      <alignment vertical="center"/>
    </xf>
    <xf numFmtId="0" fontId="4" fillId="12" borderId="14" xfId="0" applyFont="1" applyFill="1" applyBorder="1" applyAlignment="1" applyProtection="1">
      <alignment vertical="center"/>
      <protection locked="0"/>
    </xf>
    <xf numFmtId="0" fontId="4" fillId="12" borderId="48" xfId="0" applyFont="1" applyFill="1" applyBorder="1" applyAlignment="1" applyProtection="1">
      <alignment vertical="center"/>
    </xf>
    <xf numFmtId="0" fontId="5" fillId="12" borderId="48" xfId="0" applyFont="1" applyFill="1" applyBorder="1" applyAlignment="1" applyProtection="1">
      <alignment vertical="center"/>
    </xf>
    <xf numFmtId="0" fontId="6" fillId="12" borderId="48" xfId="0" applyFont="1" applyFill="1" applyBorder="1" applyAlignment="1" applyProtection="1">
      <alignment vertical="center"/>
    </xf>
    <xf numFmtId="0" fontId="4" fillId="12" borderId="0" xfId="0" applyFont="1" applyFill="1" applyBorder="1" applyAlignment="1" applyProtection="1">
      <alignment vertical="center"/>
    </xf>
    <xf numFmtId="0" fontId="4" fillId="12" borderId="50" xfId="0" applyFont="1" applyFill="1" applyBorder="1" applyAlignment="1" applyProtection="1">
      <alignment vertical="center"/>
    </xf>
    <xf numFmtId="0" fontId="11" fillId="3" borderId="0" xfId="0" applyFont="1" applyFill="1" applyAlignment="1" applyProtection="1">
      <alignment vertical="center"/>
    </xf>
    <xf numFmtId="0" fontId="4" fillId="12" borderId="32" xfId="0" applyFont="1" applyFill="1" applyBorder="1" applyAlignment="1" applyProtection="1">
      <alignment vertical="center"/>
    </xf>
    <xf numFmtId="0" fontId="5" fillId="12" borderId="0" xfId="0" applyFont="1" applyFill="1" applyBorder="1" applyAlignment="1" applyProtection="1">
      <alignment vertical="center"/>
    </xf>
    <xf numFmtId="0" fontId="4" fillId="12" borderId="46" xfId="0" applyFont="1" applyFill="1" applyBorder="1" applyAlignment="1" applyProtection="1">
      <alignment vertical="center"/>
    </xf>
    <xf numFmtId="0" fontId="7" fillId="12" borderId="0" xfId="0" applyFont="1" applyFill="1" applyBorder="1" applyAlignment="1" applyProtection="1">
      <alignment vertical="center"/>
    </xf>
    <xf numFmtId="0" fontId="11" fillId="12" borderId="0" xfId="0" applyFont="1" applyFill="1" applyBorder="1" applyAlignment="1" applyProtection="1">
      <alignment vertical="center"/>
    </xf>
    <xf numFmtId="0" fontId="3" fillId="12" borderId="0" xfId="0" applyFont="1" applyFill="1" applyBorder="1" applyAlignment="1" applyProtection="1">
      <alignment horizontal="center" vertical="center"/>
    </xf>
    <xf numFmtId="0" fontId="4" fillId="12" borderId="37" xfId="0" applyFont="1" applyFill="1" applyBorder="1" applyAlignment="1" applyProtection="1">
      <alignment vertical="center"/>
    </xf>
    <xf numFmtId="165" fontId="4" fillId="12" borderId="0" xfId="0" applyNumberFormat="1" applyFont="1" applyFill="1" applyBorder="1" applyAlignment="1" applyProtection="1">
      <alignment vertical="center"/>
    </xf>
    <xf numFmtId="0" fontId="3" fillId="13" borderId="10" xfId="0" applyFont="1" applyFill="1" applyBorder="1" applyAlignment="1" applyProtection="1">
      <alignment vertical="center"/>
    </xf>
    <xf numFmtId="164" fontId="4" fillId="13" borderId="6" xfId="0" applyNumberFormat="1" applyFont="1" applyFill="1" applyBorder="1" applyAlignment="1" applyProtection="1">
      <alignment vertical="center"/>
      <protection locked="0"/>
    </xf>
    <xf numFmtId="165" fontId="4" fillId="13" borderId="10" xfId="0" applyNumberFormat="1" applyFont="1" applyFill="1" applyBorder="1" applyAlignment="1" applyProtection="1">
      <alignment vertical="center"/>
    </xf>
    <xf numFmtId="0" fontId="3" fillId="0" borderId="11" xfId="0" applyFont="1" applyFill="1" applyBorder="1" applyAlignment="1" applyProtection="1">
      <alignment vertical="center"/>
    </xf>
    <xf numFmtId="164" fontId="4" fillId="0" borderId="4" xfId="0" applyNumberFormat="1" applyFont="1" applyFill="1" applyBorder="1" applyAlignment="1" applyProtection="1">
      <alignment vertical="center"/>
      <protection locked="0"/>
    </xf>
    <xf numFmtId="0" fontId="3" fillId="13" borderId="11" xfId="0" applyFont="1" applyFill="1" applyBorder="1" applyAlignment="1" applyProtection="1">
      <alignment vertical="center"/>
    </xf>
    <xf numFmtId="164" fontId="4" fillId="13" borderId="4" xfId="0" applyNumberFormat="1" applyFont="1" applyFill="1" applyBorder="1" applyAlignment="1" applyProtection="1">
      <alignment vertical="center"/>
      <protection locked="0"/>
    </xf>
    <xf numFmtId="165" fontId="4" fillId="13" borderId="18" xfId="0" applyNumberFormat="1" applyFont="1" applyFill="1" applyBorder="1" applyAlignment="1" applyProtection="1">
      <alignment vertical="center"/>
    </xf>
    <xf numFmtId="166" fontId="4" fillId="13" borderId="4" xfId="0" applyNumberFormat="1" applyFont="1" applyFill="1" applyBorder="1" applyAlignment="1" applyProtection="1">
      <alignment vertical="center"/>
    </xf>
    <xf numFmtId="166" fontId="4" fillId="3" borderId="4" xfId="0" applyNumberFormat="1" applyFont="1" applyFill="1" applyBorder="1" applyAlignment="1" applyProtection="1">
      <alignment vertical="center"/>
    </xf>
    <xf numFmtId="0" fontId="3" fillId="13" borderId="18" xfId="0" applyFont="1" applyFill="1" applyBorder="1" applyAlignment="1" applyProtection="1">
      <alignment vertical="center"/>
    </xf>
    <xf numFmtId="167" fontId="4" fillId="13" borderId="4" xfId="0" applyNumberFormat="1" applyFont="1" applyFill="1" applyBorder="1" applyAlignment="1" applyProtection="1">
      <alignment vertical="center"/>
    </xf>
    <xf numFmtId="0" fontId="3" fillId="0" borderId="12" xfId="0" applyFont="1" applyFill="1" applyBorder="1" applyAlignment="1" applyProtection="1">
      <alignment vertical="center"/>
    </xf>
    <xf numFmtId="0" fontId="3" fillId="13" borderId="12" xfId="0" applyFont="1" applyFill="1" applyBorder="1" applyAlignment="1" applyProtection="1">
      <alignment vertical="center"/>
    </xf>
    <xf numFmtId="0" fontId="4" fillId="12" borderId="0" xfId="0" applyFont="1" applyFill="1" applyBorder="1" applyAlignment="1" applyProtection="1">
      <alignment horizontal="left" vertical="center"/>
    </xf>
    <xf numFmtId="0" fontId="23" fillId="5" borderId="0" xfId="0" applyFont="1" applyFill="1" applyBorder="1" applyAlignment="1" applyProtection="1">
      <alignment vertical="center"/>
    </xf>
    <xf numFmtId="164" fontId="4" fillId="13" borderId="17" xfId="0" applyNumberFormat="1" applyFont="1" applyFill="1" applyBorder="1" applyAlignment="1" applyProtection="1">
      <alignment vertical="center"/>
      <protection locked="0"/>
    </xf>
    <xf numFmtId="164" fontId="4" fillId="0" borderId="17" xfId="0" applyNumberFormat="1" applyFont="1" applyFill="1" applyBorder="1" applyAlignment="1" applyProtection="1">
      <alignment vertical="center"/>
      <protection locked="0"/>
    </xf>
    <xf numFmtId="164" fontId="4" fillId="0" borderId="7" xfId="0" applyNumberFormat="1" applyFont="1" applyFill="1" applyBorder="1" applyAlignment="1" applyProtection="1">
      <alignment vertical="center"/>
      <protection locked="0"/>
    </xf>
    <xf numFmtId="0" fontId="3" fillId="12" borderId="0" xfId="0" applyFont="1" applyFill="1" applyBorder="1" applyAlignment="1" applyProtection="1">
      <alignment vertical="center"/>
    </xf>
    <xf numFmtId="0" fontId="4" fillId="12" borderId="0" xfId="0" applyNumberFormat="1" applyFont="1" applyFill="1" applyBorder="1" applyAlignment="1" applyProtection="1">
      <alignment vertical="center"/>
    </xf>
    <xf numFmtId="164" fontId="4" fillId="12" borderId="0" xfId="0" applyNumberFormat="1" applyFont="1" applyFill="1" applyBorder="1" applyAlignment="1" applyProtection="1">
      <alignment vertical="center"/>
    </xf>
    <xf numFmtId="0" fontId="4" fillId="12" borderId="0" xfId="0" applyFont="1" applyFill="1" applyBorder="1" applyAlignment="1" applyProtection="1">
      <alignment vertical="center"/>
      <protection locked="0"/>
    </xf>
    <xf numFmtId="0" fontId="10" fillId="12" borderId="0" xfId="0" applyFont="1" applyFill="1" applyBorder="1" applyAlignment="1" applyProtection="1">
      <alignment vertical="center"/>
    </xf>
    <xf numFmtId="165" fontId="3" fillId="0" borderId="1" xfId="0" applyNumberFormat="1" applyFont="1" applyBorder="1" applyAlignment="1" applyProtection="1">
      <alignment vertical="center"/>
    </xf>
    <xf numFmtId="0" fontId="4" fillId="0" borderId="0" xfId="0" applyFont="1" applyFill="1" applyBorder="1" applyAlignment="1" applyProtection="1">
      <alignment horizontal="right" vertical="center"/>
    </xf>
    <xf numFmtId="0" fontId="11" fillId="0" borderId="0" xfId="0" applyFont="1" applyFill="1" applyBorder="1" applyAlignment="1" applyProtection="1">
      <alignment vertical="center"/>
    </xf>
    <xf numFmtId="165" fontId="3" fillId="9" borderId="0" xfId="0" applyNumberFormat="1" applyFont="1" applyFill="1" applyBorder="1" applyAlignment="1" applyProtection="1">
      <alignment horizontal="left" vertical="center"/>
    </xf>
    <xf numFmtId="0" fontId="4" fillId="9" borderId="0" xfId="0" applyFont="1" applyFill="1" applyBorder="1" applyAlignment="1" applyProtection="1">
      <alignment vertical="center"/>
    </xf>
    <xf numFmtId="0" fontId="11" fillId="9" borderId="0" xfId="0" applyFont="1" applyFill="1" applyBorder="1" applyAlignment="1" applyProtection="1">
      <alignment vertical="center"/>
    </xf>
    <xf numFmtId="0" fontId="4" fillId="12" borderId="0" xfId="0" applyFont="1" applyFill="1" applyBorder="1" applyAlignment="1" applyProtection="1">
      <alignment horizontal="right" vertical="center"/>
      <protection locked="0"/>
    </xf>
    <xf numFmtId="0" fontId="4" fillId="12" borderId="0" xfId="0" applyFont="1" applyFill="1" applyBorder="1" applyAlignment="1" applyProtection="1">
      <alignment horizontal="right" vertical="center"/>
    </xf>
    <xf numFmtId="171" fontId="4" fillId="3" borderId="0" xfId="0" applyNumberFormat="1" applyFont="1" applyFill="1" applyBorder="1" applyAlignment="1" applyProtection="1">
      <alignment horizontal="right" vertical="center"/>
    </xf>
    <xf numFmtId="165" fontId="6" fillId="0" borderId="0" xfId="0" applyNumberFormat="1" applyFont="1" applyFill="1" applyBorder="1" applyAlignment="1" applyProtection="1">
      <alignment horizontal="left" vertical="center"/>
    </xf>
    <xf numFmtId="0" fontId="5" fillId="12" borderId="0" xfId="0" applyFont="1" applyFill="1" applyBorder="1" applyAlignment="1" applyProtection="1">
      <alignment horizontal="right" vertical="center"/>
    </xf>
    <xf numFmtId="0" fontId="4" fillId="12" borderId="44" xfId="0" applyFont="1" applyFill="1" applyBorder="1" applyAlignment="1" applyProtection="1">
      <alignment vertical="center"/>
    </xf>
    <xf numFmtId="0" fontId="4" fillId="12" borderId="53" xfId="0" applyFont="1" applyFill="1" applyBorder="1" applyAlignment="1" applyProtection="1">
      <alignment vertical="center"/>
    </xf>
    <xf numFmtId="0" fontId="5" fillId="3" borderId="0" xfId="0" applyFont="1" applyFill="1" applyBorder="1" applyAlignment="1" applyProtection="1">
      <alignment vertical="center"/>
    </xf>
    <xf numFmtId="0" fontId="4" fillId="15" borderId="32" xfId="0" applyFont="1" applyFill="1" applyBorder="1" applyAlignment="1" applyProtection="1">
      <alignment vertical="center"/>
    </xf>
    <xf numFmtId="0" fontId="4" fillId="15" borderId="0" xfId="0" applyFont="1" applyFill="1" applyBorder="1" applyAlignment="1" applyProtection="1">
      <alignment vertical="center"/>
    </xf>
    <xf numFmtId="0" fontId="4" fillId="15" borderId="46" xfId="0" applyFont="1" applyFill="1" applyBorder="1" applyAlignment="1" applyProtection="1">
      <alignment vertical="center"/>
    </xf>
    <xf numFmtId="0" fontId="4" fillId="15" borderId="44" xfId="0" applyFont="1" applyFill="1" applyBorder="1" applyAlignment="1" applyProtection="1">
      <alignment vertical="center"/>
    </xf>
    <xf numFmtId="0" fontId="4" fillId="15" borderId="53" xfId="0" applyFont="1" applyFill="1" applyBorder="1" applyAlignment="1" applyProtection="1">
      <alignment vertical="center"/>
    </xf>
    <xf numFmtId="0" fontId="4" fillId="15" borderId="37" xfId="0" applyFont="1" applyFill="1" applyBorder="1" applyAlignment="1" applyProtection="1">
      <alignment vertical="center"/>
    </xf>
    <xf numFmtId="0" fontId="3" fillId="2" borderId="1" xfId="0" applyFont="1" applyFill="1" applyBorder="1" applyAlignment="1" applyProtection="1">
      <alignment horizontal="center" vertical="center"/>
      <protection locked="0"/>
    </xf>
    <xf numFmtId="0" fontId="3" fillId="2" borderId="1" xfId="0" applyFont="1" applyFill="1" applyBorder="1" applyAlignment="1" applyProtection="1">
      <alignment horizontal="center" vertical="center"/>
      <protection locked="0"/>
    </xf>
    <xf numFmtId="0" fontId="8" fillId="4" borderId="9" xfId="1" applyFont="1" applyFill="1" applyBorder="1" applyAlignment="1" applyProtection="1">
      <alignment vertical="center"/>
      <protection locked="0"/>
    </xf>
    <xf numFmtId="0" fontId="4" fillId="0" borderId="0" xfId="0" applyFont="1" applyFill="1" applyProtection="1"/>
    <xf numFmtId="0" fontId="3" fillId="2" borderId="13" xfId="0" applyFont="1" applyFill="1" applyBorder="1" applyAlignment="1" applyProtection="1">
      <alignment vertical="center"/>
      <protection locked="0"/>
    </xf>
    <xf numFmtId="0" fontId="4" fillId="12" borderId="0" xfId="0" applyFont="1" applyFill="1" applyBorder="1" applyAlignment="1" applyProtection="1">
      <alignment horizontal="right"/>
    </xf>
    <xf numFmtId="0" fontId="3" fillId="10" borderId="0" xfId="0" applyFont="1" applyFill="1" applyBorder="1" applyAlignment="1" applyProtection="1">
      <alignment horizontal="center" vertical="center" wrapText="1"/>
    </xf>
    <xf numFmtId="0" fontId="3" fillId="11" borderId="0" xfId="0" applyFont="1" applyFill="1" applyBorder="1" applyAlignment="1" applyProtection="1">
      <alignment horizontal="center" vertical="center" wrapText="1"/>
    </xf>
    <xf numFmtId="0" fontId="3" fillId="2" borderId="20" xfId="0" applyFont="1" applyFill="1" applyBorder="1" applyAlignment="1" applyProtection="1">
      <alignment vertical="center"/>
      <protection locked="0"/>
    </xf>
    <xf numFmtId="0" fontId="2" fillId="2" borderId="6" xfId="0" applyFont="1" applyFill="1" applyBorder="1" applyAlignment="1" applyProtection="1">
      <alignment vertical="center"/>
      <protection locked="0"/>
    </xf>
    <xf numFmtId="0" fontId="2" fillId="2" borderId="17" xfId="0" applyFont="1" applyFill="1" applyBorder="1" applyAlignment="1" applyProtection="1">
      <alignment vertical="center"/>
      <protection locked="0"/>
    </xf>
    <xf numFmtId="0" fontId="2" fillId="2" borderId="7" xfId="0" applyFont="1" applyFill="1" applyBorder="1" applyAlignment="1" applyProtection="1">
      <alignment vertical="center"/>
      <protection locked="0"/>
    </xf>
    <xf numFmtId="0" fontId="3" fillId="14" borderId="16" xfId="0" applyFont="1" applyFill="1" applyBorder="1" applyAlignment="1" applyProtection="1">
      <alignment horizontal="center" vertical="center" wrapText="1"/>
    </xf>
    <xf numFmtId="0" fontId="4" fillId="13" borderId="1" xfId="0" applyNumberFormat="1" applyFont="1" applyFill="1" applyBorder="1" applyAlignment="1" applyProtection="1">
      <alignment horizontal="center" vertical="center"/>
    </xf>
    <xf numFmtId="0" fontId="4" fillId="0" borderId="1" xfId="0" applyNumberFormat="1" applyFont="1" applyFill="1" applyBorder="1" applyAlignment="1" applyProtection="1">
      <alignment horizontal="center" vertical="center"/>
    </xf>
    <xf numFmtId="0" fontId="4" fillId="13" borderId="6" xfId="0" applyNumberFormat="1" applyFont="1" applyFill="1" applyBorder="1" applyAlignment="1" applyProtection="1">
      <alignment horizontal="center" vertical="center"/>
    </xf>
    <xf numFmtId="0" fontId="4" fillId="13" borderId="55" xfId="0" applyNumberFormat="1" applyFont="1" applyFill="1" applyBorder="1" applyAlignment="1" applyProtection="1">
      <alignment horizontal="center" vertical="center"/>
    </xf>
    <xf numFmtId="0" fontId="4" fillId="13" borderId="56" xfId="0" applyNumberFormat="1" applyFont="1" applyFill="1" applyBorder="1" applyAlignment="1" applyProtection="1">
      <alignment horizontal="center" vertical="center"/>
    </xf>
    <xf numFmtId="0" fontId="4" fillId="0" borderId="17" xfId="0" applyNumberFormat="1" applyFont="1" applyFill="1" applyBorder="1" applyAlignment="1" applyProtection="1">
      <alignment horizontal="center" vertical="center"/>
    </xf>
    <xf numFmtId="0" fontId="4" fillId="0" borderId="27" xfId="0" applyNumberFormat="1" applyFont="1" applyFill="1" applyBorder="1" applyAlignment="1" applyProtection="1">
      <alignment horizontal="center" vertical="center"/>
    </xf>
    <xf numFmtId="0" fontId="4" fillId="13" borderId="17" xfId="0" applyNumberFormat="1" applyFont="1" applyFill="1" applyBorder="1" applyAlignment="1" applyProtection="1">
      <alignment horizontal="center" vertical="center"/>
    </xf>
    <xf numFmtId="0" fontId="4" fillId="13" borderId="27" xfId="0" applyNumberFormat="1" applyFont="1" applyFill="1" applyBorder="1" applyAlignment="1" applyProtection="1">
      <alignment horizontal="center" vertical="center"/>
    </xf>
    <xf numFmtId="0" fontId="4" fillId="0" borderId="7" xfId="0" applyNumberFormat="1" applyFont="1" applyFill="1" applyBorder="1" applyAlignment="1" applyProtection="1">
      <alignment horizontal="center" vertical="center"/>
    </xf>
    <xf numFmtId="0" fontId="4" fillId="0" borderId="31" xfId="0" applyNumberFormat="1" applyFont="1" applyFill="1" applyBorder="1" applyAlignment="1" applyProtection="1">
      <alignment horizontal="center" vertical="center"/>
    </xf>
    <xf numFmtId="0" fontId="4" fillId="0" borderId="23" xfId="0" applyNumberFormat="1" applyFont="1" applyFill="1" applyBorder="1" applyAlignment="1" applyProtection="1">
      <alignment horizontal="center" vertical="center"/>
    </xf>
    <xf numFmtId="0" fontId="4" fillId="3" borderId="14" xfId="0" applyFont="1" applyFill="1" applyBorder="1" applyAlignment="1" applyProtection="1">
      <alignment horizontal="center" vertical="center" wrapText="1"/>
    </xf>
    <xf numFmtId="0" fontId="4" fillId="3" borderId="20" xfId="0" applyFont="1" applyFill="1" applyBorder="1" applyAlignment="1" applyProtection="1">
      <alignment horizontal="center" vertical="center" wrapText="1"/>
    </xf>
    <xf numFmtId="0" fontId="3" fillId="5" borderId="1" xfId="0" applyFont="1" applyFill="1" applyBorder="1" applyAlignment="1" applyProtection="1"/>
    <xf numFmtId="0" fontId="3" fillId="2" borderId="1" xfId="0" applyFont="1" applyFill="1" applyBorder="1" applyAlignment="1" applyProtection="1">
      <alignment horizontal="center"/>
      <protection locked="0"/>
    </xf>
    <xf numFmtId="175" fontId="4" fillId="0" borderId="26" xfId="0" applyNumberFormat="1" applyFont="1" applyFill="1" applyBorder="1" applyAlignment="1" applyProtection="1">
      <alignment horizontal="center" vertical="center"/>
    </xf>
    <xf numFmtId="175" fontId="4" fillId="13" borderId="26" xfId="0" applyNumberFormat="1" applyFont="1" applyFill="1" applyBorder="1" applyAlignment="1" applyProtection="1">
      <alignment horizontal="center" vertical="center"/>
    </xf>
    <xf numFmtId="175" fontId="4" fillId="0" borderId="33" xfId="0" applyNumberFormat="1" applyFont="1" applyFill="1" applyBorder="1" applyAlignment="1" applyProtection="1">
      <alignment horizontal="center" vertical="center"/>
    </xf>
    <xf numFmtId="175" fontId="4" fillId="13" borderId="33" xfId="0" applyNumberFormat="1" applyFont="1" applyFill="1" applyBorder="1" applyAlignment="1" applyProtection="1">
      <alignment horizontal="center" vertical="center"/>
    </xf>
    <xf numFmtId="175" fontId="4" fillId="0" borderId="28" xfId="0" applyNumberFormat="1" applyFont="1" applyFill="1" applyBorder="1" applyAlignment="1" applyProtection="1">
      <alignment horizontal="center" vertical="center"/>
    </xf>
    <xf numFmtId="175" fontId="4" fillId="0" borderId="1" xfId="0" applyNumberFormat="1" applyFont="1" applyFill="1" applyBorder="1" applyAlignment="1" applyProtection="1">
      <alignment horizontal="center" vertical="center"/>
    </xf>
    <xf numFmtId="175" fontId="4" fillId="0" borderId="27" xfId="0" applyNumberFormat="1" applyFont="1" applyFill="1" applyBorder="1" applyAlignment="1" applyProtection="1">
      <alignment horizontal="center" vertical="center"/>
    </xf>
    <xf numFmtId="175" fontId="4" fillId="13" borderId="1" xfId="0" applyNumberFormat="1" applyFont="1" applyFill="1" applyBorder="1" applyAlignment="1" applyProtection="1">
      <alignment horizontal="center" vertical="center"/>
    </xf>
    <xf numFmtId="175" fontId="4" fillId="13" borderId="27" xfId="0" applyNumberFormat="1" applyFont="1" applyFill="1" applyBorder="1" applyAlignment="1" applyProtection="1">
      <alignment horizontal="center" vertical="center"/>
    </xf>
    <xf numFmtId="175" fontId="4" fillId="0" borderId="2" xfId="0" applyNumberFormat="1" applyFont="1" applyFill="1" applyBorder="1" applyAlignment="1" applyProtection="1">
      <alignment horizontal="center" vertical="center"/>
    </xf>
    <xf numFmtId="175" fontId="4" fillId="0" borderId="22" xfId="0" applyNumberFormat="1" applyFont="1" applyFill="1" applyBorder="1" applyAlignment="1" applyProtection="1">
      <alignment horizontal="center" vertical="center"/>
    </xf>
    <xf numFmtId="175" fontId="4" fillId="13" borderId="2" xfId="0" applyNumberFormat="1" applyFont="1" applyFill="1" applyBorder="1" applyAlignment="1" applyProtection="1">
      <alignment horizontal="center" vertical="center"/>
    </xf>
    <xf numFmtId="175" fontId="4" fillId="13" borderId="22" xfId="0" applyNumberFormat="1" applyFont="1" applyFill="1" applyBorder="1" applyAlignment="1" applyProtection="1">
      <alignment horizontal="center" vertical="center"/>
    </xf>
    <xf numFmtId="175" fontId="4" fillId="0" borderId="31" xfId="0" applyNumberFormat="1" applyFont="1" applyFill="1" applyBorder="1" applyAlignment="1" applyProtection="1">
      <alignment horizontal="center" vertical="center"/>
    </xf>
    <xf numFmtId="175" fontId="4" fillId="0" borderId="23" xfId="0" applyNumberFormat="1" applyFont="1" applyFill="1" applyBorder="1" applyAlignment="1" applyProtection="1">
      <alignment horizontal="center" vertical="center"/>
    </xf>
    <xf numFmtId="0" fontId="3" fillId="2" borderId="1" xfId="0" applyFont="1" applyFill="1" applyBorder="1" applyAlignment="1" applyProtection="1">
      <alignment horizontal="center" vertical="center"/>
      <protection locked="0"/>
    </xf>
    <xf numFmtId="0" fontId="3" fillId="2" borderId="1" xfId="0" applyFont="1" applyFill="1" applyBorder="1" applyAlignment="1" applyProtection="1">
      <alignment horizontal="center" vertical="center"/>
      <protection locked="0"/>
    </xf>
    <xf numFmtId="175" fontId="4" fillId="13" borderId="34" xfId="0" applyNumberFormat="1" applyFont="1" applyFill="1" applyBorder="1" applyAlignment="1" applyProtection="1">
      <alignment horizontal="center" vertical="center"/>
    </xf>
    <xf numFmtId="175" fontId="4" fillId="13" borderId="19" xfId="0" applyNumberFormat="1" applyFont="1" applyFill="1" applyBorder="1" applyAlignment="1" applyProtection="1">
      <alignment horizontal="center" vertical="center"/>
    </xf>
    <xf numFmtId="175" fontId="4" fillId="13" borderId="51" xfId="0" applyNumberFormat="1" applyFont="1" applyFill="1" applyBorder="1" applyAlignment="1" applyProtection="1">
      <alignment horizontal="center" vertical="center"/>
    </xf>
    <xf numFmtId="0" fontId="4" fillId="3" borderId="21" xfId="0" applyFont="1" applyFill="1" applyBorder="1" applyAlignment="1" applyProtection="1">
      <alignment horizontal="center" vertical="center" wrapText="1"/>
    </xf>
    <xf numFmtId="0" fontId="18" fillId="0" borderId="0" xfId="0" applyFont="1" applyFill="1" applyProtection="1"/>
    <xf numFmtId="0" fontId="18" fillId="0" borderId="0" xfId="0" applyFont="1" applyFill="1" applyBorder="1" applyProtection="1"/>
    <xf numFmtId="0" fontId="17" fillId="0" borderId="0" xfId="0" applyFont="1" applyFill="1" applyBorder="1" applyProtection="1"/>
    <xf numFmtId="0" fontId="18" fillId="0" borderId="0" xfId="0" applyFont="1" applyFill="1" applyBorder="1" applyAlignment="1" applyProtection="1">
      <alignment horizontal="center"/>
    </xf>
    <xf numFmtId="0" fontId="16" fillId="0" borderId="1" xfId="0" applyFont="1" applyFill="1" applyBorder="1" applyProtection="1"/>
    <xf numFmtId="0" fontId="18" fillId="0" borderId="0" xfId="0" applyFont="1" applyFill="1" applyAlignment="1" applyProtection="1">
      <alignment horizontal="left"/>
    </xf>
    <xf numFmtId="0" fontId="18" fillId="0" borderId="0" xfId="0" applyFont="1" applyFill="1" applyAlignment="1" applyProtection="1">
      <alignment horizontal="right"/>
    </xf>
    <xf numFmtId="0" fontId="16" fillId="0" borderId="0" xfId="0" applyFont="1" applyFill="1" applyProtection="1"/>
    <xf numFmtId="0" fontId="27" fillId="0" borderId="1" xfId="0" applyFont="1" applyFill="1" applyBorder="1" applyProtection="1"/>
    <xf numFmtId="0" fontId="16" fillId="0" borderId="1" xfId="0" applyFont="1" applyFill="1" applyBorder="1" applyAlignment="1" applyProtection="1">
      <alignment horizontal="center"/>
    </xf>
    <xf numFmtId="0" fontId="16" fillId="0" borderId="0" xfId="0" applyFont="1" applyFill="1" applyAlignment="1" applyProtection="1">
      <alignment horizontal="center"/>
    </xf>
    <xf numFmtId="0" fontId="16" fillId="0" borderId="0" xfId="0" applyFont="1" applyFill="1" applyAlignment="1" applyProtection="1">
      <alignment horizontal="left"/>
    </xf>
    <xf numFmtId="165" fontId="16" fillId="0" borderId="1" xfId="0" applyNumberFormat="1" applyFont="1" applyFill="1" applyBorder="1" applyProtection="1"/>
    <xf numFmtId="0" fontId="16" fillId="0" borderId="1" xfId="0" applyFont="1" applyFill="1" applyBorder="1" applyAlignment="1" applyProtection="1">
      <alignment horizontal="center" vertical="center"/>
    </xf>
    <xf numFmtId="0" fontId="18" fillId="0" borderId="0" xfId="0" applyFont="1" applyFill="1" applyAlignment="1" applyProtection="1">
      <alignment horizontal="center"/>
    </xf>
    <xf numFmtId="0" fontId="27" fillId="0" borderId="0" xfId="0" applyFont="1" applyFill="1" applyBorder="1" applyProtection="1"/>
    <xf numFmtId="0" fontId="27" fillId="0" borderId="2" xfId="0" applyFont="1" applyFill="1" applyBorder="1" applyProtection="1"/>
    <xf numFmtId="12" fontId="16" fillId="0" borderId="1" xfId="0" applyNumberFormat="1" applyFont="1" applyFill="1" applyBorder="1" applyAlignment="1" applyProtection="1">
      <alignment horizontal="center" vertical="center"/>
    </xf>
    <xf numFmtId="0" fontId="17" fillId="0" borderId="0" xfId="0" applyFont="1" applyFill="1" applyBorder="1" applyAlignment="1" applyProtection="1">
      <alignment horizontal="left"/>
    </xf>
    <xf numFmtId="0" fontId="16" fillId="0" borderId="0" xfId="0" applyFont="1" applyFill="1" applyBorder="1" applyProtection="1"/>
    <xf numFmtId="0" fontId="22" fillId="0" borderId="0" xfId="0" applyFont="1" applyFill="1" applyProtection="1"/>
    <xf numFmtId="0" fontId="18" fillId="0" borderId="0" xfId="0" applyFont="1" applyFill="1" applyBorder="1" applyAlignment="1" applyProtection="1"/>
    <xf numFmtId="0" fontId="18" fillId="0" borderId="0" xfId="0" applyFont="1" applyFill="1" applyBorder="1" applyAlignment="1" applyProtection="1">
      <alignment horizontal="left"/>
    </xf>
    <xf numFmtId="0" fontId="16" fillId="0" borderId="1" xfId="0" applyFont="1" applyFill="1" applyBorder="1" applyAlignment="1" applyProtection="1"/>
    <xf numFmtId="0" fontId="27" fillId="0" borderId="1" xfId="0" applyFont="1" applyFill="1" applyBorder="1" applyAlignment="1" applyProtection="1"/>
    <xf numFmtId="0" fontId="16" fillId="0" borderId="2" xfId="0" applyFont="1" applyFill="1" applyBorder="1" applyAlignment="1" applyProtection="1"/>
    <xf numFmtId="0" fontId="27" fillId="0" borderId="2" xfId="0" applyFont="1" applyFill="1" applyBorder="1" applyAlignment="1" applyProtection="1"/>
    <xf numFmtId="0" fontId="16" fillId="0" borderId="0" xfId="0" applyFont="1" applyFill="1" applyBorder="1" applyAlignment="1" applyProtection="1">
      <alignment horizontal="left"/>
    </xf>
    <xf numFmtId="0" fontId="16" fillId="0" borderId="0" xfId="0" applyFont="1" applyFill="1" applyAlignment="1" applyProtection="1"/>
    <xf numFmtId="0" fontId="16" fillId="0" borderId="2" xfId="0" applyFont="1" applyFill="1" applyBorder="1" applyProtection="1"/>
    <xf numFmtId="0" fontId="18" fillId="0" borderId="3" xfId="0" applyFont="1" applyFill="1" applyBorder="1" applyProtection="1"/>
    <xf numFmtId="0" fontId="18" fillId="0" borderId="15" xfId="0" applyFont="1" applyFill="1" applyBorder="1" applyProtection="1"/>
    <xf numFmtId="0" fontId="16" fillId="0" borderId="15" xfId="0" applyFont="1" applyFill="1" applyBorder="1" applyProtection="1"/>
    <xf numFmtId="0" fontId="27" fillId="0" borderId="0" xfId="0" applyFont="1" applyFill="1" applyProtection="1"/>
    <xf numFmtId="0" fontId="16" fillId="0" borderId="1" xfId="0" applyFont="1" applyFill="1" applyBorder="1" applyAlignment="1" applyProtection="1">
      <alignment horizontal="right"/>
    </xf>
    <xf numFmtId="16" fontId="18" fillId="0" borderId="0" xfId="0" applyNumberFormat="1" applyFont="1" applyFill="1" applyProtection="1"/>
    <xf numFmtId="0" fontId="18" fillId="0" borderId="0" xfId="0" applyFont="1" applyFill="1" applyBorder="1" applyAlignment="1" applyProtection="1">
      <alignment vertical="center"/>
    </xf>
    <xf numFmtId="0" fontId="18" fillId="0" borderId="0" xfId="0" applyFont="1" applyFill="1" applyAlignment="1" applyProtection="1"/>
    <xf numFmtId="12" fontId="18" fillId="0" borderId="0" xfId="0" applyNumberFormat="1" applyFont="1" applyFill="1" applyProtection="1"/>
    <xf numFmtId="0" fontId="18" fillId="0" borderId="0" xfId="0" applyFont="1" applyFill="1" applyAlignment="1" applyProtection="1">
      <alignment wrapText="1"/>
    </xf>
    <xf numFmtId="0" fontId="18" fillId="0" borderId="0" xfId="0" applyNumberFormat="1" applyFont="1" applyFill="1" applyAlignment="1" applyProtection="1">
      <alignment wrapText="1"/>
    </xf>
    <xf numFmtId="0" fontId="18" fillId="0" borderId="0" xfId="0" applyNumberFormat="1" applyFont="1" applyFill="1" applyProtection="1"/>
    <xf numFmtId="9" fontId="18" fillId="0" borderId="0" xfId="0" applyNumberFormat="1" applyFont="1" applyFill="1" applyBorder="1" applyAlignment="1" applyProtection="1">
      <alignment horizontal="center"/>
    </xf>
    <xf numFmtId="0" fontId="16" fillId="0" borderId="19" xfId="0" applyFont="1" applyFill="1" applyBorder="1" applyProtection="1"/>
    <xf numFmtId="0" fontId="18" fillId="0" borderId="0" xfId="0" quotePrefix="1" applyFont="1" applyFill="1" applyBorder="1" applyAlignment="1" applyProtection="1">
      <alignment horizontal="left"/>
    </xf>
    <xf numFmtId="16" fontId="16" fillId="0" borderId="1" xfId="0" quotePrefix="1" applyNumberFormat="1" applyFont="1" applyFill="1" applyBorder="1" applyProtection="1"/>
    <xf numFmtId="0" fontId="18" fillId="0" borderId="0" xfId="0" applyNumberFormat="1" applyFont="1" applyFill="1" applyBorder="1" applyProtection="1"/>
    <xf numFmtId="17" fontId="16" fillId="0" borderId="1" xfId="0" quotePrefix="1" applyNumberFormat="1" applyFont="1" applyFill="1" applyBorder="1" applyProtection="1"/>
    <xf numFmtId="0" fontId="18" fillId="0" borderId="0" xfId="0" applyFont="1" applyFill="1" applyAlignment="1" applyProtection="1">
      <alignment horizontal="left" vertical="center"/>
    </xf>
    <xf numFmtId="0" fontId="18" fillId="0" borderId="0" xfId="0" quotePrefix="1" applyFont="1" applyFill="1" applyBorder="1" applyProtection="1"/>
    <xf numFmtId="0" fontId="18" fillId="0" borderId="0" xfId="0" applyFont="1" applyFill="1" applyBorder="1"/>
    <xf numFmtId="0" fontId="18" fillId="0" borderId="0" xfId="0" applyFont="1" applyFill="1" applyBorder="1" applyAlignment="1">
      <alignment wrapText="1"/>
    </xf>
    <xf numFmtId="0" fontId="18" fillId="0" borderId="0" xfId="0" applyFont="1" applyFill="1" applyBorder="1" applyAlignment="1">
      <alignment horizontal="left" vertical="center"/>
    </xf>
    <xf numFmtId="0" fontId="17" fillId="0" borderId="0" xfId="0" applyFont="1" applyFill="1" applyBorder="1" applyAlignment="1" applyProtection="1"/>
    <xf numFmtId="0" fontId="18" fillId="0" borderId="0" xfId="1" applyFont="1" applyFill="1" applyBorder="1" applyAlignment="1" applyProtection="1">
      <alignment horizontal="center"/>
    </xf>
    <xf numFmtId="0" fontId="18" fillId="0" borderId="0" xfId="0" applyFont="1" applyFill="1" applyBorder="1" applyAlignment="1" applyProtection="1">
      <alignment horizontal="left" vertical="center"/>
    </xf>
    <xf numFmtId="0" fontId="18" fillId="0" borderId="0" xfId="0" applyFont="1" applyFill="1" applyBorder="1" applyAlignment="1" applyProtection="1">
      <alignment horizontal="right"/>
    </xf>
    <xf numFmtId="0" fontId="18" fillId="0" borderId="0" xfId="0" applyFont="1" applyFill="1" applyBorder="1" applyAlignment="1" applyProtection="1">
      <alignment horizontal="right" vertical="center"/>
    </xf>
    <xf numFmtId="0" fontId="18" fillId="0" borderId="0" xfId="0" applyFont="1" applyFill="1" applyBorder="1" applyAlignment="1" applyProtection="1">
      <alignment horizontal="center" vertical="center"/>
    </xf>
    <xf numFmtId="0" fontId="24" fillId="0" borderId="0" xfId="0" applyFont="1" applyFill="1" applyProtection="1"/>
    <xf numFmtId="0" fontId="24" fillId="0" borderId="0" xfId="0" applyFont="1" applyFill="1" applyAlignment="1" applyProtection="1">
      <alignment horizontal="center" vertical="center"/>
    </xf>
    <xf numFmtId="0" fontId="4" fillId="0" borderId="0" xfId="0" applyFont="1" applyFill="1" applyAlignment="1" applyProtection="1">
      <alignment horizontal="left"/>
    </xf>
    <xf numFmtId="0" fontId="4" fillId="0" borderId="0" xfId="0" applyFont="1" applyFill="1" applyAlignment="1" applyProtection="1"/>
    <xf numFmtId="0" fontId="4" fillId="0" borderId="0" xfId="0" applyFont="1" applyFill="1" applyBorder="1" applyProtection="1"/>
    <xf numFmtId="0" fontId="25" fillId="0" borderId="0" xfId="0" applyFont="1" applyFill="1" applyBorder="1" applyProtection="1"/>
    <xf numFmtId="0" fontId="24" fillId="0" borderId="0" xfId="0" applyFont="1" applyFill="1" applyBorder="1" applyProtection="1"/>
    <xf numFmtId="0" fontId="24" fillId="0" borderId="1" xfId="0" applyFont="1" applyFill="1" applyBorder="1" applyAlignment="1" applyProtection="1">
      <alignment horizontal="center" vertical="center"/>
    </xf>
    <xf numFmtId="0" fontId="24" fillId="0" borderId="0" xfId="0" applyFont="1" applyFill="1" applyAlignment="1" applyProtection="1">
      <alignment wrapText="1"/>
    </xf>
    <xf numFmtId="0" fontId="4" fillId="0" borderId="0" xfId="0" applyFont="1" applyFill="1" applyAlignment="1" applyProtection="1">
      <alignment wrapText="1"/>
    </xf>
    <xf numFmtId="0" fontId="4" fillId="0" borderId="0" xfId="0" applyNumberFormat="1" applyFont="1" applyFill="1" applyProtection="1"/>
    <xf numFmtId="0" fontId="4" fillId="0" borderId="0" xfId="0" applyFont="1" applyFill="1" applyAlignment="1" applyProtection="1">
      <alignment horizontal="left" vertical="center"/>
    </xf>
    <xf numFmtId="0" fontId="3" fillId="0" borderId="0" xfId="0" applyFont="1" applyFill="1" applyBorder="1" applyProtection="1"/>
    <xf numFmtId="0" fontId="4" fillId="0" borderId="0" xfId="0" applyFont="1" applyFill="1" applyAlignment="1" applyProtection="1">
      <alignment horizontal="center"/>
    </xf>
    <xf numFmtId="0" fontId="3" fillId="0" borderId="1" xfId="0" applyFont="1" applyFill="1" applyBorder="1"/>
    <xf numFmtId="0" fontId="4" fillId="0" borderId="1" xfId="0" applyFont="1" applyFill="1" applyBorder="1"/>
    <xf numFmtId="0" fontId="4" fillId="0" borderId="1" xfId="0" applyFont="1" applyFill="1" applyBorder="1" applyAlignment="1">
      <alignment wrapText="1"/>
    </xf>
    <xf numFmtId="0" fontId="4" fillId="0" borderId="1" xfId="0" applyFont="1" applyFill="1" applyBorder="1" applyAlignment="1">
      <alignment horizontal="left" vertical="center"/>
    </xf>
    <xf numFmtId="0" fontId="3" fillId="0" borderId="1" xfId="0" applyFont="1" applyFill="1" applyBorder="1" applyAlignment="1">
      <alignment horizontal="center" vertical="center"/>
    </xf>
    <xf numFmtId="0" fontId="3" fillId="0" borderId="1" xfId="0" applyFont="1" applyFill="1" applyBorder="1" applyAlignment="1"/>
    <xf numFmtId="0" fontId="3" fillId="0" borderId="1" xfId="0" applyFont="1" applyFill="1" applyBorder="1" applyAlignment="1">
      <alignment horizontal="left"/>
    </xf>
    <xf numFmtId="0" fontId="4" fillId="0" borderId="1" xfId="0" applyNumberFormat="1" applyFont="1" applyFill="1" applyBorder="1"/>
    <xf numFmtId="0" fontId="4" fillId="0" borderId="1" xfId="0" applyFont="1" applyFill="1" applyBorder="1" applyAlignment="1"/>
    <xf numFmtId="0" fontId="16" fillId="0" borderId="29" xfId="0" applyFont="1" applyFill="1" applyBorder="1" applyProtection="1"/>
    <xf numFmtId="0" fontId="27" fillId="0" borderId="19" xfId="0" applyFont="1" applyFill="1" applyBorder="1" applyProtection="1"/>
    <xf numFmtId="0" fontId="16" fillId="0" borderId="30" xfId="0" applyFont="1" applyFill="1" applyBorder="1" applyAlignment="1" applyProtection="1">
      <alignment horizontal="left"/>
    </xf>
    <xf numFmtId="0" fontId="16" fillId="0" borderId="9" xfId="0" applyFont="1" applyFill="1" applyBorder="1" applyAlignment="1" applyProtection="1"/>
    <xf numFmtId="0" fontId="16" fillId="0" borderId="1" xfId="0" applyFont="1" applyFill="1" applyBorder="1" applyAlignment="1" applyProtection="1">
      <alignment horizontal="left" vertical="center"/>
    </xf>
    <xf numFmtId="0" fontId="16" fillId="0" borderId="3" xfId="0" applyFont="1" applyFill="1" applyBorder="1" applyAlignment="1" applyProtection="1">
      <alignment horizontal="left"/>
    </xf>
    <xf numFmtId="0" fontId="16" fillId="0" borderId="40" xfId="0" applyFont="1" applyFill="1" applyBorder="1" applyAlignment="1" applyProtection="1"/>
    <xf numFmtId="0" fontId="16" fillId="0" borderId="39" xfId="0" applyFont="1" applyFill="1" applyBorder="1" applyAlignment="1" applyProtection="1">
      <alignment horizontal="left"/>
    </xf>
    <xf numFmtId="0" fontId="22" fillId="0" borderId="42" xfId="0" applyFont="1" applyFill="1" applyBorder="1" applyProtection="1"/>
    <xf numFmtId="0" fontId="27" fillId="0" borderId="29" xfId="0" applyFont="1" applyFill="1" applyBorder="1" applyProtection="1"/>
    <xf numFmtId="0" fontId="27" fillId="0" borderId="30" xfId="0" applyFont="1" applyFill="1" applyBorder="1" applyProtection="1"/>
    <xf numFmtId="0" fontId="27" fillId="0" borderId="9" xfId="0" applyFont="1" applyFill="1" applyBorder="1" applyProtection="1"/>
    <xf numFmtId="0" fontId="27" fillId="0" borderId="40" xfId="0" applyFont="1" applyFill="1" applyBorder="1" applyProtection="1"/>
    <xf numFmtId="0" fontId="16" fillId="0" borderId="19" xfId="0" applyFont="1" applyFill="1" applyBorder="1" applyAlignment="1" applyProtection="1">
      <alignment horizontal="center"/>
    </xf>
    <xf numFmtId="0" fontId="16" fillId="0" borderId="30" xfId="0" applyFont="1" applyFill="1" applyBorder="1" applyProtection="1"/>
    <xf numFmtId="0" fontId="16" fillId="0" borderId="9" xfId="0" applyFont="1" applyFill="1" applyBorder="1" applyProtection="1"/>
    <xf numFmtId="9" fontId="16" fillId="0" borderId="1" xfId="0" applyNumberFormat="1" applyFont="1" applyFill="1" applyBorder="1" applyAlignment="1" applyProtection="1">
      <alignment horizontal="center"/>
    </xf>
    <xf numFmtId="9" fontId="16" fillId="0" borderId="3" xfId="0" applyNumberFormat="1" applyFont="1" applyFill="1" applyBorder="1" applyProtection="1"/>
    <xf numFmtId="0" fontId="16" fillId="0" borderId="40" xfId="0" applyFont="1" applyFill="1" applyBorder="1" applyProtection="1"/>
    <xf numFmtId="9" fontId="16" fillId="0" borderId="2" xfId="0" applyNumberFormat="1" applyFont="1" applyFill="1" applyBorder="1" applyAlignment="1" applyProtection="1">
      <alignment horizontal="center"/>
    </xf>
    <xf numFmtId="9" fontId="16" fillId="0" borderId="39" xfId="0" applyNumberFormat="1" applyFont="1" applyFill="1" applyBorder="1" applyProtection="1"/>
    <xf numFmtId="0" fontId="16" fillId="0" borderId="30" xfId="0" applyFont="1" applyFill="1" applyBorder="1" applyAlignment="1" applyProtection="1">
      <alignment horizontal="center"/>
    </xf>
    <xf numFmtId="0" fontId="16" fillId="0" borderId="3" xfId="0" applyFont="1" applyFill="1" applyBorder="1" applyAlignment="1" applyProtection="1">
      <alignment horizontal="center" vertical="center"/>
    </xf>
    <xf numFmtId="0" fontId="16" fillId="0" borderId="9" xfId="0" applyFont="1" applyFill="1" applyBorder="1" applyAlignment="1" applyProtection="1">
      <alignment horizontal="left"/>
    </xf>
    <xf numFmtId="0" fontId="16" fillId="0" borderId="3" xfId="0" applyFont="1" applyFill="1" applyBorder="1" applyAlignment="1" applyProtection="1">
      <alignment horizontal="center"/>
    </xf>
    <xf numFmtId="0" fontId="16" fillId="0" borderId="39" xfId="0" applyFont="1" applyFill="1" applyBorder="1" applyAlignment="1" applyProtection="1">
      <alignment horizontal="center"/>
    </xf>
    <xf numFmtId="0" fontId="4" fillId="0" borderId="1" xfId="0" applyFont="1" applyFill="1" applyBorder="1" applyProtection="1"/>
    <xf numFmtId="0" fontId="4" fillId="0" borderId="1" xfId="0" applyFont="1" applyFill="1" applyBorder="1" applyAlignment="1">
      <alignment horizontal="center"/>
    </xf>
    <xf numFmtId="0" fontId="25" fillId="0" borderId="1" xfId="0" applyFont="1" applyFill="1" applyBorder="1" applyAlignment="1">
      <alignment horizontal="center"/>
    </xf>
    <xf numFmtId="0" fontId="16" fillId="0" borderId="9" xfId="0" applyFont="1" applyFill="1" applyBorder="1" applyAlignment="1" applyProtection="1">
      <alignment horizontal="left" vertical="center"/>
    </xf>
    <xf numFmtId="0" fontId="16" fillId="0" borderId="1" xfId="0" applyFont="1" applyFill="1" applyBorder="1" applyAlignment="1" applyProtection="1">
      <alignment vertical="center"/>
    </xf>
    <xf numFmtId="0" fontId="16" fillId="0" borderId="3" xfId="0" applyFont="1" applyFill="1" applyBorder="1" applyAlignment="1" applyProtection="1">
      <alignment vertical="center"/>
    </xf>
    <xf numFmtId="0" fontId="16" fillId="0" borderId="40" xfId="0" applyFont="1" applyFill="1" applyBorder="1" applyAlignment="1" applyProtection="1">
      <alignment horizontal="left" vertical="center"/>
    </xf>
    <xf numFmtId="0" fontId="16" fillId="0" borderId="2" xfId="0" applyFont="1" applyFill="1" applyBorder="1" applyAlignment="1" applyProtection="1">
      <alignment horizontal="left" vertical="center"/>
    </xf>
    <xf numFmtId="0" fontId="16" fillId="0" borderId="2" xfId="0" applyFont="1" applyFill="1" applyBorder="1" applyAlignment="1" applyProtection="1">
      <alignment vertical="center"/>
    </xf>
    <xf numFmtId="0" fontId="16" fillId="0" borderId="39" xfId="0" applyFont="1" applyFill="1" applyBorder="1" applyAlignment="1" applyProtection="1">
      <alignment vertical="center"/>
    </xf>
    <xf numFmtId="0" fontId="24" fillId="0" borderId="29" xfId="0" applyFont="1" applyFill="1" applyBorder="1" applyProtection="1"/>
    <xf numFmtId="0" fontId="24" fillId="0" borderId="19" xfId="0" applyFont="1" applyFill="1" applyBorder="1" applyProtection="1"/>
    <xf numFmtId="0" fontId="24" fillId="0" borderId="30" xfId="0" applyFont="1" applyFill="1" applyBorder="1" applyProtection="1"/>
    <xf numFmtId="0" fontId="4" fillId="0" borderId="40" xfId="0" applyFont="1" applyFill="1" applyBorder="1" applyProtection="1"/>
    <xf numFmtId="0" fontId="4" fillId="0" borderId="2" xfId="0" applyFont="1" applyFill="1" applyBorder="1" applyAlignment="1" applyProtection="1">
      <alignment wrapText="1"/>
    </xf>
    <xf numFmtId="0" fontId="4" fillId="0" borderId="39" xfId="0" applyFont="1" applyFill="1" applyBorder="1" applyAlignment="1" applyProtection="1">
      <alignment horizontal="left" vertical="center"/>
    </xf>
    <xf numFmtId="0" fontId="25" fillId="0" borderId="29" xfId="0" applyFont="1" applyFill="1" applyBorder="1" applyProtection="1"/>
    <xf numFmtId="0" fontId="24" fillId="0" borderId="30" xfId="0" applyFont="1" applyFill="1" applyBorder="1" applyAlignment="1" applyProtection="1">
      <alignment horizontal="center"/>
    </xf>
    <xf numFmtId="0" fontId="3" fillId="0" borderId="9" xfId="0" applyFont="1" applyFill="1" applyBorder="1" applyProtection="1"/>
    <xf numFmtId="0" fontId="4" fillId="0" borderId="3" xfId="0" applyFont="1" applyFill="1" applyBorder="1" applyAlignment="1" applyProtection="1">
      <alignment horizontal="center"/>
    </xf>
    <xf numFmtId="0" fontId="25" fillId="0" borderId="40" xfId="0" applyFont="1" applyFill="1" applyBorder="1" applyProtection="1"/>
    <xf numFmtId="0" fontId="24" fillId="0" borderId="39" xfId="0" applyFont="1" applyFill="1" applyBorder="1" applyAlignment="1" applyProtection="1">
      <alignment horizontal="center"/>
    </xf>
    <xf numFmtId="0" fontId="24" fillId="0" borderId="19" xfId="0" applyFont="1" applyFill="1" applyBorder="1" applyAlignment="1" applyProtection="1">
      <alignment horizontal="center"/>
    </xf>
    <xf numFmtId="0" fontId="4" fillId="0" borderId="1" xfId="0" applyFont="1" applyFill="1" applyBorder="1" applyAlignment="1" applyProtection="1">
      <alignment horizontal="center"/>
    </xf>
    <xf numFmtId="0" fontId="4" fillId="0" borderId="3" xfId="0" applyFont="1" applyFill="1" applyBorder="1" applyProtection="1"/>
    <xf numFmtId="0" fontId="24" fillId="0" borderId="2" xfId="0" applyFont="1" applyFill="1" applyBorder="1" applyAlignment="1" applyProtection="1">
      <alignment horizontal="center"/>
    </xf>
    <xf numFmtId="0" fontId="16" fillId="0" borderId="3" xfId="0" applyFont="1" applyFill="1" applyBorder="1" applyAlignment="1" applyProtection="1"/>
    <xf numFmtId="0" fontId="16" fillId="0" borderId="39" xfId="0" applyFont="1" applyFill="1" applyBorder="1" applyAlignment="1" applyProtection="1"/>
    <xf numFmtId="0" fontId="18" fillId="0" borderId="0" xfId="0" applyFont="1" applyFill="1" applyBorder="1" applyAlignment="1"/>
    <xf numFmtId="0" fontId="18" fillId="0" borderId="57" xfId="0" applyNumberFormat="1" applyFont="1" applyFill="1" applyBorder="1"/>
    <xf numFmtId="0" fontId="18" fillId="0" borderId="57" xfId="0" applyFont="1" applyFill="1" applyBorder="1"/>
    <xf numFmtId="0" fontId="25" fillId="0" borderId="19" xfId="0" applyFont="1" applyFill="1" applyBorder="1"/>
    <xf numFmtId="0" fontId="25" fillId="0" borderId="30" xfId="0" applyFont="1" applyFill="1" applyBorder="1"/>
    <xf numFmtId="0" fontId="4" fillId="0" borderId="2" xfId="0" applyFont="1" applyFill="1" applyBorder="1" applyProtection="1"/>
    <xf numFmtId="0" fontId="4" fillId="0" borderId="2" xfId="0" applyFont="1" applyFill="1" applyBorder="1" applyAlignment="1" applyProtection="1">
      <alignment horizontal="left"/>
    </xf>
    <xf numFmtId="0" fontId="4" fillId="0" borderId="39" xfId="0" applyFont="1" applyFill="1" applyBorder="1" applyProtection="1"/>
    <xf numFmtId="0" fontId="4" fillId="0" borderId="9" xfId="0" applyFont="1" applyFill="1" applyBorder="1" applyProtection="1"/>
    <xf numFmtId="0" fontId="24" fillId="0" borderId="40" xfId="0" applyFont="1" applyFill="1" applyBorder="1" applyProtection="1"/>
    <xf numFmtId="0" fontId="24" fillId="0" borderId="39" xfId="0" applyFont="1" applyFill="1" applyBorder="1" applyProtection="1"/>
    <xf numFmtId="0" fontId="16" fillId="0" borderId="3" xfId="0" applyFont="1" applyFill="1" applyBorder="1" applyProtection="1"/>
    <xf numFmtId="0" fontId="16" fillId="0" borderId="39" xfId="0" applyFont="1" applyFill="1" applyBorder="1" applyProtection="1"/>
    <xf numFmtId="0" fontId="24" fillId="0" borderId="29" xfId="0" applyFont="1" applyFill="1" applyBorder="1" applyAlignment="1" applyProtection="1"/>
    <xf numFmtId="0" fontId="4" fillId="0" borderId="3" xfId="0" applyNumberFormat="1" applyFont="1" applyFill="1" applyBorder="1" applyProtection="1"/>
    <xf numFmtId="0" fontId="4" fillId="0" borderId="9" xfId="0" applyFont="1" applyFill="1" applyBorder="1" applyAlignment="1" applyProtection="1"/>
    <xf numFmtId="0" fontId="4" fillId="0" borderId="40" xfId="0" applyFont="1" applyFill="1" applyBorder="1" applyAlignment="1" applyProtection="1"/>
    <xf numFmtId="0" fontId="4" fillId="0" borderId="2" xfId="0" applyNumberFormat="1" applyFont="1" applyFill="1" applyBorder="1" applyProtection="1"/>
    <xf numFmtId="0" fontId="4" fillId="0" borderId="39" xfId="0" applyNumberFormat="1" applyFont="1" applyFill="1" applyBorder="1" applyProtection="1"/>
    <xf numFmtId="0" fontId="16" fillId="0" borderId="1" xfId="0" applyFont="1" applyFill="1" applyBorder="1" applyAlignment="1" applyProtection="1">
      <alignment horizontal="left"/>
    </xf>
    <xf numFmtId="165" fontId="16" fillId="0" borderId="1" xfId="0" applyNumberFormat="1" applyFont="1" applyFill="1" applyBorder="1" applyAlignment="1" applyProtection="1">
      <alignment horizontal="left"/>
    </xf>
    <xf numFmtId="0" fontId="4" fillId="0" borderId="1" xfId="0" applyFont="1" applyFill="1" applyBorder="1" applyAlignment="1" applyProtection="1">
      <alignment wrapText="1"/>
    </xf>
    <xf numFmtId="0" fontId="4" fillId="0" borderId="3" xfId="0" applyNumberFormat="1" applyFont="1" applyFill="1" applyBorder="1" applyAlignment="1" applyProtection="1">
      <alignment wrapText="1"/>
    </xf>
    <xf numFmtId="0" fontId="4" fillId="0" borderId="39" xfId="0" applyNumberFormat="1" applyFont="1" applyFill="1" applyBorder="1" applyAlignment="1" applyProtection="1">
      <alignment wrapText="1"/>
    </xf>
    <xf numFmtId="0" fontId="4" fillId="0" borderId="39" xfId="0" applyFont="1" applyFill="1" applyBorder="1" applyAlignment="1" applyProtection="1">
      <alignment wrapText="1"/>
    </xf>
    <xf numFmtId="0" fontId="4" fillId="0" borderId="1" xfId="0" applyNumberFormat="1" applyFont="1" applyFill="1" applyBorder="1" applyAlignment="1" applyProtection="1">
      <alignment wrapText="1"/>
    </xf>
    <xf numFmtId="0" fontId="16" fillId="0" borderId="30" xfId="0" applyFont="1" applyFill="1" applyBorder="1" applyAlignment="1" applyProtection="1"/>
    <xf numFmtId="0" fontId="16" fillId="0" borderId="3" xfId="0" applyFont="1" applyFill="1" applyBorder="1" applyAlignment="1" applyProtection="1">
      <alignment horizontal="right"/>
    </xf>
    <xf numFmtId="0" fontId="3" fillId="0" borderId="1" xfId="0" applyFont="1" applyFill="1" applyBorder="1" applyAlignment="1">
      <alignment horizontal="right"/>
    </xf>
    <xf numFmtId="0" fontId="4" fillId="0" borderId="1" xfId="0" applyNumberFormat="1" applyFont="1" applyFill="1" applyBorder="1" applyAlignment="1">
      <alignment wrapText="1"/>
    </xf>
    <xf numFmtId="0" fontId="24" fillId="0" borderId="19" xfId="0" applyFont="1" applyFill="1" applyBorder="1" applyAlignment="1" applyProtection="1">
      <alignment horizontal="right"/>
    </xf>
    <xf numFmtId="0" fontId="24" fillId="0" borderId="9" xfId="0" applyFont="1" applyFill="1" applyBorder="1" applyProtection="1"/>
    <xf numFmtId="0" fontId="24" fillId="0" borderId="1" xfId="0" applyFont="1" applyFill="1" applyBorder="1" applyProtection="1"/>
    <xf numFmtId="0" fontId="24" fillId="0" borderId="3" xfId="0" applyFont="1" applyFill="1" applyBorder="1" applyProtection="1"/>
    <xf numFmtId="0" fontId="24" fillId="0" borderId="2" xfId="0" applyFont="1" applyFill="1" applyBorder="1" applyProtection="1"/>
    <xf numFmtId="0" fontId="16" fillId="0" borderId="19" xfId="0" applyFont="1" applyFill="1" applyBorder="1" applyAlignment="1" applyProtection="1">
      <alignment horizontal="left"/>
    </xf>
    <xf numFmtId="0" fontId="16" fillId="0" borderId="2" xfId="0" applyFont="1" applyFill="1" applyBorder="1" applyAlignment="1" applyProtection="1">
      <alignment horizontal="left"/>
    </xf>
    <xf numFmtId="0" fontId="24" fillId="0" borderId="19" xfId="0" applyFont="1" applyFill="1" applyBorder="1" applyAlignment="1" applyProtection="1">
      <alignment horizontal="left"/>
    </xf>
    <xf numFmtId="0" fontId="24" fillId="0" borderId="1" xfId="0" applyFont="1" applyFill="1" applyBorder="1" applyAlignment="1" applyProtection="1">
      <alignment wrapText="1"/>
    </xf>
    <xf numFmtId="0" fontId="24" fillId="0" borderId="3" xfId="0" applyNumberFormat="1" applyFont="1" applyFill="1" applyBorder="1" applyAlignment="1" applyProtection="1">
      <alignment wrapText="1"/>
    </xf>
    <xf numFmtId="0" fontId="24" fillId="0" borderId="2" xfId="0" applyFont="1" applyFill="1" applyBorder="1" applyAlignment="1" applyProtection="1">
      <alignment wrapText="1"/>
    </xf>
    <xf numFmtId="0" fontId="24" fillId="0" borderId="39" xfId="0" applyNumberFormat="1" applyFont="1" applyFill="1" applyBorder="1" applyAlignment="1" applyProtection="1">
      <alignment wrapText="1"/>
    </xf>
    <xf numFmtId="0" fontId="24" fillId="0" borderId="39" xfId="0" applyFont="1" applyFill="1" applyBorder="1" applyAlignment="1" applyProtection="1">
      <alignment wrapText="1"/>
    </xf>
    <xf numFmtId="0" fontId="25" fillId="0" borderId="1" xfId="0" applyFont="1" applyFill="1" applyBorder="1"/>
    <xf numFmtId="0" fontId="25" fillId="0" borderId="1" xfId="0" applyFont="1" applyFill="1" applyBorder="1" applyAlignment="1">
      <alignment horizontal="center" vertical="center"/>
    </xf>
    <xf numFmtId="0" fontId="24" fillId="0" borderId="1" xfId="0" applyFont="1" applyFill="1" applyBorder="1"/>
    <xf numFmtId="0" fontId="24" fillId="0" borderId="1" xfId="0" applyFont="1" applyFill="1" applyBorder="1" applyAlignment="1">
      <alignment wrapText="1"/>
    </xf>
    <xf numFmtId="0" fontId="25" fillId="0" borderId="1" xfId="0" applyFont="1" applyFill="1" applyBorder="1" applyAlignment="1">
      <alignment horizontal="left"/>
    </xf>
    <xf numFmtId="0" fontId="24" fillId="0" borderId="1" xfId="0" applyNumberFormat="1" applyFont="1" applyFill="1" applyBorder="1" applyAlignment="1">
      <alignment wrapText="1"/>
    </xf>
    <xf numFmtId="0" fontId="25" fillId="0" borderId="19" xfId="0" applyFont="1" applyFill="1" applyBorder="1" applyProtection="1"/>
    <xf numFmtId="0" fontId="24" fillId="0" borderId="1" xfId="0" applyFont="1" applyFill="1" applyBorder="1" applyAlignment="1" applyProtection="1">
      <alignment horizontal="center"/>
    </xf>
    <xf numFmtId="0" fontId="27" fillId="0" borderId="29" xfId="0" applyFont="1" applyFill="1" applyBorder="1" applyAlignment="1" applyProtection="1">
      <alignment horizontal="center"/>
    </xf>
    <xf numFmtId="0" fontId="27" fillId="0" borderId="30" xfId="0" applyFont="1" applyFill="1" applyBorder="1" applyAlignment="1" applyProtection="1">
      <alignment horizontal="center"/>
    </xf>
    <xf numFmtId="0" fontId="16" fillId="0" borderId="1" xfId="0" applyFont="1" applyFill="1" applyBorder="1" applyAlignment="1">
      <alignment horizontal="center"/>
    </xf>
    <xf numFmtId="0" fontId="16" fillId="0" borderId="39" xfId="0" applyFont="1" applyFill="1" applyBorder="1"/>
    <xf numFmtId="0" fontId="16" fillId="0" borderId="2" xfId="0" applyFont="1" applyFill="1" applyBorder="1"/>
    <xf numFmtId="0" fontId="16" fillId="0" borderId="3" xfId="0" applyFont="1" applyFill="1" applyBorder="1"/>
    <xf numFmtId="0" fontId="16" fillId="0" borderId="1" xfId="0" applyFont="1" applyFill="1" applyBorder="1"/>
    <xf numFmtId="0" fontId="16" fillId="0" borderId="2" xfId="0" applyFont="1" applyFill="1" applyBorder="1" applyAlignment="1">
      <alignment horizontal="right"/>
    </xf>
    <xf numFmtId="0" fontId="16" fillId="0" borderId="2" xfId="0" applyFont="1" applyFill="1" applyBorder="1" applyAlignment="1">
      <alignment horizontal="center"/>
    </xf>
    <xf numFmtId="0" fontId="8" fillId="4" borderId="15" xfId="1" applyFont="1" applyFill="1" applyBorder="1" applyAlignment="1" applyProtection="1">
      <alignment vertical="center"/>
      <protection locked="0"/>
    </xf>
    <xf numFmtId="0" fontId="8" fillId="4" borderId="9" xfId="1" applyFont="1" applyFill="1" applyBorder="1" applyAlignment="1" applyProtection="1">
      <alignment vertical="center"/>
      <protection locked="0"/>
    </xf>
    <xf numFmtId="0" fontId="3" fillId="4" borderId="3" xfId="0" applyFont="1" applyFill="1" applyBorder="1" applyAlignment="1" applyProtection="1">
      <alignment horizontal="left" vertical="center"/>
    </xf>
    <xf numFmtId="0" fontId="3" fillId="4" borderId="15" xfId="0" applyFont="1" applyFill="1" applyBorder="1" applyAlignment="1" applyProtection="1">
      <alignment horizontal="left" vertical="center"/>
    </xf>
    <xf numFmtId="0" fontId="3" fillId="2" borderId="3" xfId="0" applyFont="1" applyFill="1" applyBorder="1" applyAlignment="1" applyProtection="1">
      <alignment horizontal="center" vertical="center"/>
      <protection locked="0"/>
    </xf>
    <xf numFmtId="0" fontId="3" fillId="2" borderId="9" xfId="0" applyFont="1" applyFill="1" applyBorder="1" applyAlignment="1" applyProtection="1">
      <alignment horizontal="center" vertical="center"/>
      <protection locked="0"/>
    </xf>
    <xf numFmtId="0" fontId="3" fillId="14" borderId="3" xfId="0" applyFont="1" applyFill="1" applyBorder="1" applyAlignment="1" applyProtection="1">
      <alignment horizontal="center" vertical="center"/>
    </xf>
    <xf numFmtId="0" fontId="3" fillId="14" borderId="9" xfId="0" applyFont="1" applyFill="1" applyBorder="1" applyAlignment="1" applyProtection="1">
      <alignment horizontal="center" vertical="center"/>
    </xf>
    <xf numFmtId="0" fontId="3" fillId="5" borderId="1" xfId="0" applyFont="1" applyFill="1" applyBorder="1" applyAlignment="1" applyProtection="1">
      <alignment horizontal="center" vertical="center"/>
    </xf>
    <xf numFmtId="0" fontId="7" fillId="6" borderId="15" xfId="1" applyFont="1" applyFill="1" applyBorder="1" applyAlignment="1" applyProtection="1">
      <alignment horizontal="left" vertical="center"/>
      <protection locked="0"/>
    </xf>
    <xf numFmtId="0" fontId="7" fillId="6" borderId="9" xfId="1" applyFont="1" applyFill="1" applyBorder="1" applyAlignment="1" applyProtection="1">
      <alignment horizontal="left" vertical="center"/>
      <protection locked="0"/>
    </xf>
    <xf numFmtId="0" fontId="3" fillId="2" borderId="1" xfId="0" applyFont="1" applyFill="1" applyBorder="1" applyAlignment="1" applyProtection="1">
      <alignment horizontal="center" vertical="center"/>
      <protection locked="0"/>
    </xf>
    <xf numFmtId="0" fontId="3" fillId="5" borderId="3" xfId="0" applyFont="1" applyFill="1" applyBorder="1" applyAlignment="1" applyProtection="1">
      <alignment horizontal="center" vertical="center"/>
    </xf>
    <xf numFmtId="0" fontId="3" fillId="5" borderId="9" xfId="0" applyFont="1" applyFill="1" applyBorder="1" applyAlignment="1" applyProtection="1">
      <alignment horizontal="center" vertical="center"/>
    </xf>
    <xf numFmtId="0" fontId="7" fillId="6" borderId="52" xfId="1" applyFont="1" applyFill="1" applyBorder="1" applyAlignment="1" applyProtection="1">
      <alignment horizontal="left" vertical="center"/>
      <protection locked="0"/>
    </xf>
    <xf numFmtId="0" fontId="7" fillId="6" borderId="25" xfId="1" applyFont="1" applyFill="1" applyBorder="1" applyAlignment="1" applyProtection="1">
      <alignment horizontal="left" vertical="center"/>
      <protection locked="0"/>
    </xf>
    <xf numFmtId="0" fontId="7" fillId="6" borderId="3" xfId="0" applyFont="1" applyFill="1" applyBorder="1" applyAlignment="1" applyProtection="1">
      <alignment horizontal="left" vertical="center"/>
    </xf>
    <xf numFmtId="0" fontId="7" fillId="6" borderId="15" xfId="0" applyFont="1" applyFill="1" applyBorder="1" applyAlignment="1" applyProtection="1">
      <alignment horizontal="left" vertical="center"/>
    </xf>
    <xf numFmtId="0" fontId="7" fillId="6" borderId="9" xfId="0" applyFont="1" applyFill="1" applyBorder="1" applyAlignment="1" applyProtection="1">
      <alignment horizontal="left" vertical="center"/>
    </xf>
    <xf numFmtId="0" fontId="6" fillId="12" borderId="0" xfId="0" applyFont="1" applyFill="1" applyBorder="1" applyAlignment="1" applyProtection="1">
      <alignment horizontal="left" vertical="center"/>
    </xf>
    <xf numFmtId="0" fontId="8" fillId="4" borderId="3" xfId="1" applyFont="1" applyFill="1" applyBorder="1" applyAlignment="1" applyProtection="1">
      <alignment vertical="center"/>
      <protection locked="0"/>
    </xf>
    <xf numFmtId="0" fontId="4" fillId="4" borderId="15" xfId="0" applyFont="1" applyFill="1" applyBorder="1" applyAlignment="1" applyProtection="1">
      <alignment horizontal="left" vertical="center"/>
    </xf>
    <xf numFmtId="0" fontId="4" fillId="4" borderId="9" xfId="0" applyFont="1" applyFill="1" applyBorder="1" applyAlignment="1" applyProtection="1">
      <alignment horizontal="left" vertical="center"/>
    </xf>
    <xf numFmtId="0" fontId="4" fillId="12" borderId="0" xfId="0" applyFont="1" applyFill="1" applyBorder="1" applyAlignment="1" applyProtection="1">
      <alignment horizontal="right" vertical="center"/>
    </xf>
    <xf numFmtId="0" fontId="4" fillId="4" borderId="38" xfId="0" applyFont="1" applyFill="1" applyBorder="1" applyAlignment="1" applyProtection="1">
      <alignment horizontal="left" vertical="center"/>
    </xf>
    <xf numFmtId="0" fontId="4" fillId="4" borderId="40" xfId="0" applyFont="1" applyFill="1" applyBorder="1" applyAlignment="1" applyProtection="1">
      <alignment horizontal="left" vertical="center"/>
    </xf>
    <xf numFmtId="0" fontId="4" fillId="4" borderId="15" xfId="0" applyFont="1" applyFill="1" applyBorder="1" applyAlignment="1" applyProtection="1">
      <alignment horizontal="left"/>
    </xf>
    <xf numFmtId="0" fontId="4" fillId="4" borderId="9" xfId="0" applyFont="1" applyFill="1" applyBorder="1" applyAlignment="1" applyProtection="1">
      <alignment horizontal="left"/>
    </xf>
    <xf numFmtId="0" fontId="3" fillId="14" borderId="21" xfId="0" applyFont="1" applyFill="1" applyBorder="1" applyAlignment="1" applyProtection="1">
      <alignment horizontal="center" vertical="center" wrapText="1"/>
    </xf>
    <xf numFmtId="0" fontId="3" fillId="14" borderId="54" xfId="0" applyFont="1" applyFill="1" applyBorder="1" applyAlignment="1" applyProtection="1">
      <alignment horizontal="center" vertical="center" wrapText="1"/>
    </xf>
    <xf numFmtId="0" fontId="3" fillId="14" borderId="49" xfId="0" applyFont="1" applyFill="1" applyBorder="1" applyAlignment="1" applyProtection="1">
      <alignment horizontal="center" vertical="center" wrapText="1"/>
    </xf>
    <xf numFmtId="0" fontId="3" fillId="0" borderId="21" xfId="0" applyFont="1" applyBorder="1" applyAlignment="1" applyProtection="1">
      <alignment horizontal="center" vertical="center" wrapText="1"/>
    </xf>
    <xf numFmtId="0" fontId="3" fillId="0" borderId="54" xfId="0" applyFont="1" applyBorder="1" applyAlignment="1" applyProtection="1">
      <alignment horizontal="center" vertical="center" wrapText="1"/>
    </xf>
    <xf numFmtId="0" fontId="3" fillId="0" borderId="49" xfId="0" applyFont="1" applyBorder="1" applyAlignment="1" applyProtection="1">
      <alignment horizontal="center" vertical="center" wrapText="1"/>
    </xf>
    <xf numFmtId="1" fontId="4" fillId="13" borderId="17" xfId="0" applyNumberFormat="1" applyFont="1" applyFill="1" applyBorder="1" applyAlignment="1" applyProtection="1">
      <alignment horizontal="center" vertical="center"/>
    </xf>
    <xf numFmtId="1" fontId="4" fillId="13" borderId="15" xfId="0" applyNumberFormat="1" applyFont="1" applyFill="1" applyBorder="1" applyAlignment="1" applyProtection="1">
      <alignment horizontal="center" vertical="center"/>
    </xf>
    <xf numFmtId="1" fontId="4" fillId="13" borderId="43" xfId="0" applyNumberFormat="1" applyFont="1" applyFill="1" applyBorder="1" applyAlignment="1" applyProtection="1">
      <alignment horizontal="center" vertical="center"/>
    </xf>
    <xf numFmtId="0" fontId="4" fillId="13" borderId="17" xfId="0" applyNumberFormat="1" applyFont="1" applyFill="1" applyBorder="1" applyAlignment="1" applyProtection="1">
      <alignment horizontal="center" vertical="center"/>
    </xf>
    <xf numFmtId="0" fontId="4" fillId="13" borderId="15" xfId="0" applyNumberFormat="1" applyFont="1" applyFill="1" applyBorder="1" applyAlignment="1" applyProtection="1">
      <alignment horizontal="center" vertical="center"/>
    </xf>
    <xf numFmtId="0" fontId="4" fillId="13" borderId="43" xfId="0" applyNumberFormat="1" applyFont="1" applyFill="1" applyBorder="1" applyAlignment="1" applyProtection="1">
      <alignment horizontal="center" vertical="center"/>
    </xf>
    <xf numFmtId="0" fontId="24" fillId="0" borderId="2" xfId="0" applyFont="1" applyFill="1" applyBorder="1" applyAlignment="1" applyProtection="1">
      <alignment horizontal="center" vertical="center"/>
    </xf>
    <xf numFmtId="0" fontId="24" fillId="0" borderId="19" xfId="0" applyFont="1" applyFill="1" applyBorder="1" applyAlignment="1" applyProtection="1">
      <alignment horizontal="center" vertical="center"/>
    </xf>
    <xf numFmtId="0" fontId="24" fillId="0" borderId="1" xfId="0" applyFont="1" applyFill="1" applyBorder="1" applyAlignment="1" applyProtection="1">
      <alignment horizontal="center" vertical="center"/>
    </xf>
    <xf numFmtId="0" fontId="18" fillId="0" borderId="0" xfId="0" applyFont="1" applyFill="1" applyBorder="1" applyAlignment="1" applyProtection="1">
      <alignment horizontal="center"/>
    </xf>
    <xf numFmtId="0" fontId="16" fillId="0" borderId="36" xfId="0" applyFont="1" applyFill="1" applyBorder="1" applyAlignment="1" applyProtection="1">
      <alignment horizontal="center"/>
    </xf>
    <xf numFmtId="0" fontId="16" fillId="0" borderId="3" xfId="0" applyFont="1" applyFill="1" applyBorder="1" applyAlignment="1" applyProtection="1">
      <alignment horizontal="center"/>
    </xf>
    <xf numFmtId="0" fontId="16" fillId="0" borderId="9" xfId="0" applyFont="1" applyFill="1" applyBorder="1" applyAlignment="1" applyProtection="1">
      <alignment horizontal="center"/>
    </xf>
    <xf numFmtId="0" fontId="16" fillId="0" borderId="15" xfId="0" applyFont="1" applyFill="1" applyBorder="1" applyAlignment="1" applyProtection="1">
      <alignment horizontal="center"/>
    </xf>
    <xf numFmtId="0" fontId="27" fillId="0" borderId="3" xfId="0" applyFont="1" applyFill="1" applyBorder="1" applyAlignment="1" applyProtection="1">
      <alignment horizontal="center"/>
    </xf>
    <xf numFmtId="0" fontId="27" fillId="0" borderId="9" xfId="0" applyFont="1" applyFill="1" applyBorder="1" applyAlignment="1" applyProtection="1">
      <alignment horizontal="center"/>
    </xf>
    <xf numFmtId="0" fontId="27" fillId="0" borderId="2" xfId="0" applyFont="1" applyFill="1" applyBorder="1" applyAlignment="1" applyProtection="1">
      <alignment horizontal="center"/>
    </xf>
    <xf numFmtId="0" fontId="27" fillId="0" borderId="1" xfId="0" applyFont="1" applyFill="1" applyBorder="1" applyAlignment="1" applyProtection="1">
      <alignment horizontal="center"/>
    </xf>
  </cellXfs>
  <cellStyles count="3">
    <cellStyle name="Lien hypertexte" xfId="1" builtinId="8"/>
    <cellStyle name="Normal" xfId="0" builtinId="0"/>
    <cellStyle name="Normal 2" xfId="2"/>
  </cellStyles>
  <dxfs count="1049">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0" indent="0" justifyLastLine="0" shrinkToFit="0" readingOrder="0"/>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auto="1"/>
        <name val="Times New Roman"/>
        <scheme val="none"/>
      </font>
      <fill>
        <patternFill patternType="none">
          <fgColor indexed="64"/>
          <bgColor auto="1"/>
        </patternFill>
      </fill>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0" indent="0" justifyLastLine="0" shrinkToFit="0" readingOrder="0"/>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dxf>
    <dxf>
      <border>
        <bottom style="thin">
          <color indexed="64"/>
        </bottom>
      </border>
    </dxf>
    <dxf>
      <font>
        <b/>
        <i val="0"/>
        <strike val="0"/>
        <condense val="0"/>
        <extend val="0"/>
        <outline val="0"/>
        <shadow val="0"/>
        <u val="none"/>
        <vertAlign val="baseline"/>
        <sz val="10"/>
        <color theme="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rgb="FFFF0000"/>
        <name val="Times New Roman"/>
        <scheme val="none"/>
      </font>
      <fill>
        <patternFill patternType="none">
          <fgColor indexed="64"/>
          <bgColor auto="1"/>
        </patternFill>
      </fill>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rgb="FFFF0000"/>
        <name val="Times New Roman"/>
        <scheme val="none"/>
      </font>
      <fill>
        <patternFill patternType="none">
          <fgColor indexed="64"/>
          <bgColor auto="1"/>
        </patternFill>
      </fill>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rgb="FFFF0000"/>
        <name val="Times New Roman"/>
        <scheme val="none"/>
      </font>
      <fill>
        <patternFill patternType="none">
          <fgColor indexed="64"/>
          <bgColor auto="1"/>
        </patternFill>
      </fill>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font>
        <strike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auto="1"/>
        <name val="Times New Roman"/>
        <scheme val="none"/>
      </font>
      <fill>
        <patternFill patternType="none">
          <fgColor indexed="64"/>
          <bgColor auto="1"/>
        </patternFill>
      </fill>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bottom/>
        <vertical style="thin">
          <color indexed="64"/>
        </vertical>
        <horizontal style="thin">
          <color indexed="64"/>
        </horizontal>
      </border>
      <protection locked="1" hidden="0"/>
    </dxf>
    <dxf>
      <font>
        <b/>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auto="1"/>
        <name val="Times New Roman"/>
        <scheme val="none"/>
      </font>
      <fill>
        <patternFill patternType="none">
          <fgColor indexed="64"/>
          <bgColor auto="1"/>
        </patternFill>
      </fill>
    </dxf>
    <dxf>
      <border>
        <bottom style="thin">
          <color indexed="64"/>
        </bottom>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bottom/>
        <vertical style="thin">
          <color indexed="64"/>
        </vertical>
        <horizontal style="thin">
          <color indexed="64"/>
        </horizontal>
      </border>
      <protection locked="1" hidden="0"/>
    </dxf>
    <dxf>
      <font>
        <b/>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auto="1"/>
        <name val="Times New Roman"/>
        <scheme val="none"/>
      </font>
      <fill>
        <patternFill patternType="none">
          <fgColor indexed="64"/>
          <bgColor auto="1"/>
        </patternFill>
      </fill>
    </dxf>
    <dxf>
      <border>
        <bottom style="thin">
          <color indexed="64"/>
        </bottom>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rgb="FFFF0000"/>
        <name val="Times New Roman"/>
        <scheme val="none"/>
      </font>
      <fill>
        <patternFill patternType="none">
          <fgColor indexed="64"/>
          <bgColor auto="1"/>
        </patternFill>
      </fill>
    </dxf>
    <dxf>
      <border>
        <bottom style="thin">
          <color indexed="64"/>
        </bottom>
      </border>
    </dxf>
    <dxf>
      <font>
        <strike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rgb="FFFF0000"/>
        <name val="Times New Roman"/>
        <scheme val="none"/>
      </font>
      <fill>
        <patternFill patternType="none">
          <fgColor indexed="64"/>
          <bgColor auto="1"/>
        </patternFill>
      </fill>
    </dxf>
    <dxf>
      <border>
        <bottom style="thin">
          <color indexed="64"/>
        </bottom>
      </border>
    </dxf>
    <dxf>
      <font>
        <strike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theme="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right" vertical="bottom"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general" vertical="bottom"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left" vertical="center"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left" vertical="center"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left" vertical="center"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left" vertical="bottom"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general" vertical="bottom" textRotation="0" wrapText="0" indent="0" justifyLastLine="0" shrinkToFit="0" readingOrder="0"/>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general" vertical="center"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left" vertical="center" textRotation="0" wrapText="0" indent="0" justifyLastLine="0" shrinkToFit="0" readingOrder="0"/>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left" vertical="center" textRotation="0" wrapText="0" indent="0" justifyLastLine="0" shrinkToFit="0" readingOrder="0"/>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0"/>
      </font>
      <fill>
        <patternFill>
          <bgColor indexed="13"/>
        </patternFill>
      </fill>
    </dxf>
    <dxf>
      <font>
        <b/>
        <i val="0"/>
        <condense val="0"/>
        <extend val="0"/>
        <color indexed="10"/>
      </font>
      <fill>
        <patternFill>
          <bgColor indexed="13"/>
        </patternFill>
      </fill>
    </dxf>
    <dxf>
      <font>
        <b/>
        <i val="0"/>
        <condense val="0"/>
        <extend val="0"/>
        <color indexed="10"/>
      </font>
      <fill>
        <patternFill>
          <bgColor indexed="13"/>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vertical="center" textRotation="0" indent="0" justifyLastLine="0" shrinkToFit="0" readingOrder="0"/>
      <protection locked="1" hidden="0"/>
    </dxf>
    <dxf>
      <font>
        <b val="0"/>
        <i val="0"/>
        <strike val="0"/>
        <condense val="0"/>
        <extend val="0"/>
        <outline val="0"/>
        <shadow val="0"/>
        <u val="none"/>
        <vertAlign val="baseline"/>
        <sz val="10"/>
        <color indexed="10"/>
        <name val="Times New Roman"/>
        <scheme val="none"/>
      </font>
      <fill>
        <patternFill patternType="solid">
          <fgColor indexed="64"/>
          <bgColor theme="7" tint="0.39997558519241921"/>
        </patternFill>
      </fill>
      <border diagonalUp="0" diagonalDown="0" outline="0">
        <left/>
        <right/>
        <top/>
        <bottom/>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vertical="center" textRotation="0" indent="0" justifyLastLine="0" shrinkToFit="0" readingOrder="0"/>
      <protection locked="1" hidden="0"/>
    </dxf>
    <dxf>
      <font>
        <b val="0"/>
        <i val="0"/>
        <strike val="0"/>
        <condense val="0"/>
        <extend val="0"/>
        <outline val="0"/>
        <shadow val="0"/>
        <u val="none"/>
        <vertAlign val="baseline"/>
        <sz val="10"/>
        <color auto="1"/>
        <name val="Times New Roman"/>
        <scheme val="none"/>
      </font>
      <fill>
        <patternFill patternType="solid">
          <fgColor indexed="64"/>
          <bgColor theme="7" tint="0.39997558519241921"/>
        </patternFill>
      </fill>
      <border diagonalUp="0" diagonalDown="0" outline="0">
        <left/>
        <right/>
        <top/>
        <bottom/>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vertical="center" textRotation="0" indent="0" justifyLastLine="0" shrinkToFit="0" readingOrder="0"/>
      <protection locked="1" hidden="0"/>
    </dxf>
    <dxf>
      <font>
        <b val="0"/>
        <i val="0"/>
        <strike val="0"/>
        <condense val="0"/>
        <extend val="0"/>
        <outline val="0"/>
        <shadow val="0"/>
        <u val="none"/>
        <vertAlign val="baseline"/>
        <sz val="10"/>
        <color auto="1"/>
        <name val="Times New Roman"/>
        <scheme val="none"/>
      </font>
      <fill>
        <patternFill patternType="solid">
          <fgColor indexed="64"/>
          <bgColor theme="7" tint="0.39997558519241921"/>
        </patternFill>
      </fill>
      <border diagonalUp="0" diagonalDown="0" outline="0">
        <left/>
        <right/>
        <top/>
        <bottom/>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vertical="center" textRotation="0" indent="0" justifyLastLine="0" shrinkToFit="0" readingOrder="0"/>
      <protection locked="1" hidden="0"/>
    </dxf>
    <dxf>
      <font>
        <b val="0"/>
        <i val="0"/>
        <strike val="0"/>
        <condense val="0"/>
        <extend val="0"/>
        <outline val="0"/>
        <shadow val="0"/>
        <u val="none"/>
        <vertAlign val="baseline"/>
        <sz val="10"/>
        <color auto="1"/>
        <name val="Times New Roman"/>
        <scheme val="none"/>
      </font>
      <fill>
        <patternFill patternType="solid">
          <fgColor indexed="64"/>
          <bgColor theme="7" tint="0.39997558519241921"/>
        </patternFill>
      </fill>
      <border diagonalUp="0" diagonalDown="0" outline="0">
        <left/>
        <right/>
        <top/>
        <bottom/>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right" vertical="center" textRotation="0" wrapText="0" indent="0" justifyLastLine="0" shrinkToFit="0" readingOrder="0"/>
      <protection locked="1" hidden="0"/>
    </dxf>
    <dxf>
      <font>
        <b val="0"/>
        <i val="0"/>
        <strike val="0"/>
        <condense val="0"/>
        <extend val="0"/>
        <outline val="0"/>
        <shadow val="0"/>
        <u val="none"/>
        <vertAlign val="baseline"/>
        <sz val="10"/>
        <color auto="1"/>
        <name val="Times New Roman"/>
        <scheme val="none"/>
      </font>
      <fill>
        <patternFill patternType="solid">
          <fgColor indexed="64"/>
          <bgColor theme="7" tint="0.39997558519241921"/>
        </patternFill>
      </fill>
      <alignment horizontal="right"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vertical="center" textRotation="0" indent="0" justifyLastLine="0" shrinkToFit="0" readingOrder="0"/>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vertical="center" textRotation="0" indent="0" justifyLastLine="0" shrinkToFit="0" readingOrder="0"/>
      <protection locked="1" hidden="0"/>
    </dxf>
    <dxf>
      <font>
        <color theme="0"/>
      </font>
    </dxf>
    <dxf>
      <font>
        <color theme="7" tint="0.79998168889431442"/>
      </font>
    </dxf>
    <dxf>
      <fill>
        <patternFill patternType="darkUp"/>
      </fill>
    </dxf>
    <dxf>
      <font>
        <color theme="0"/>
      </font>
    </dxf>
    <dxf>
      <font>
        <color theme="7" tint="0.79998168889431442"/>
      </font>
    </dxf>
    <dxf>
      <font>
        <color theme="0"/>
      </font>
    </dxf>
    <dxf>
      <font>
        <b/>
        <i val="0"/>
        <condense val="0"/>
        <extend val="0"/>
      </font>
      <fill>
        <patternFill>
          <bgColor indexed="42"/>
        </patternFill>
      </fill>
    </dxf>
    <dxf>
      <font>
        <b/>
        <i val="0"/>
        <condense val="0"/>
        <extend val="0"/>
        <color indexed="10"/>
      </font>
      <fill>
        <patternFill>
          <bgColor indexed="13"/>
        </patternFill>
      </fill>
    </dxf>
    <dxf>
      <font>
        <b/>
        <i val="0"/>
        <condense val="0"/>
        <extend val="0"/>
      </font>
      <fill>
        <patternFill>
          <bgColor indexed="42"/>
        </patternFill>
      </fill>
    </dxf>
    <dxf>
      <font>
        <b/>
        <i val="0"/>
        <condense val="0"/>
        <extend val="0"/>
        <color indexed="10"/>
      </font>
      <fill>
        <patternFill>
          <bgColor indexed="13"/>
        </patternFill>
      </fill>
    </dxf>
    <dxf>
      <font>
        <b/>
        <i val="0"/>
        <condense val="0"/>
        <extend val="0"/>
        <color indexed="10"/>
      </font>
      <fill>
        <patternFill>
          <bgColor indexed="13"/>
        </patternFill>
      </fill>
    </dxf>
    <dxf>
      <font>
        <b/>
        <i val="0"/>
        <condense val="0"/>
        <extend val="0"/>
        <color indexed="10"/>
      </font>
      <fill>
        <patternFill>
          <bgColor indexed="13"/>
        </patternFill>
      </fill>
    </dxf>
    <dxf>
      <fill>
        <patternFill>
          <bgColor indexed="15"/>
        </patternFill>
      </fill>
    </dxf>
    <dxf>
      <font>
        <color theme="6" tint="0.59996337778862885"/>
      </font>
      <fill>
        <patternFill>
          <bgColor theme="6" tint="0.59996337778862885"/>
        </patternFill>
      </fill>
      <border>
        <left/>
        <right/>
        <top/>
        <bottom/>
        <vertical/>
        <horizontal/>
      </border>
    </dxf>
    <dxf>
      <font>
        <strike val="0"/>
        <color theme="9" tint="0.79998168889431442"/>
      </font>
      <fill>
        <patternFill>
          <bgColor theme="9" tint="0.79998168889431442"/>
        </patternFill>
      </fill>
      <border>
        <left/>
        <right/>
        <top/>
        <bottom/>
        <vertical/>
        <horizontal/>
      </border>
    </dxf>
    <dxf>
      <font>
        <strike val="0"/>
        <color theme="6" tint="0.59996337778862885"/>
      </font>
      <fill>
        <patternFill>
          <bgColor theme="6" tint="0.59996337778862885"/>
        </patternFill>
      </fill>
      <border>
        <left/>
        <right/>
        <top/>
        <bottom/>
        <vertical/>
        <horizontal/>
      </border>
    </dxf>
    <dxf>
      <font>
        <strike val="0"/>
        <color theme="9" tint="0.79998168889431442"/>
      </font>
      <fill>
        <patternFill>
          <bgColor theme="9" tint="0.79998168889431442"/>
        </patternFill>
      </fill>
      <border>
        <left/>
        <right/>
        <top/>
        <bottom/>
        <vertical/>
        <horizontal/>
      </border>
    </dxf>
    <dxf>
      <font>
        <strike val="0"/>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strike val="0"/>
        <color theme="6" tint="0.59996337778862885"/>
      </font>
      <fill>
        <patternFill>
          <bgColor theme="6" tint="0.59996337778862885"/>
        </patternFill>
      </fill>
      <border>
        <left/>
        <right/>
        <top/>
        <bottom/>
        <vertical/>
        <horizontal/>
      </border>
    </dxf>
    <dxf>
      <font>
        <strike val="0"/>
        <color theme="6" tint="0.59996337778862885"/>
      </font>
      <fill>
        <patternFill>
          <bgColor theme="6" tint="0.59996337778862885"/>
        </patternFill>
      </fill>
      <border>
        <left/>
        <right/>
        <top/>
        <bottom/>
        <vertical/>
        <horizontal/>
      </border>
    </dxf>
    <dxf>
      <font>
        <strike val="0"/>
        <color theme="6" tint="0.59996337778862885"/>
      </font>
      <fill>
        <patternFill>
          <bgColor theme="6" tint="0.59996337778862885"/>
        </patternFill>
      </fill>
      <border>
        <left/>
        <right/>
        <top/>
        <bottom/>
        <vertical/>
        <horizontal/>
      </border>
    </dxf>
    <dxf>
      <font>
        <strike val="0"/>
        <color theme="6" tint="0.59996337778862885"/>
      </font>
      <fill>
        <patternFill>
          <bgColor theme="6" tint="0.59996337778862885"/>
        </patternFill>
      </fill>
      <border>
        <left/>
        <right/>
        <top/>
        <bottom/>
        <vertical/>
        <horizontal/>
      </border>
    </dxf>
    <dxf>
      <font>
        <strike val="0"/>
        <color theme="6" tint="0.59996337778862885"/>
      </font>
      <fill>
        <patternFill>
          <bgColor theme="6" tint="0.59996337778862885"/>
        </patternFill>
      </fill>
      <border>
        <left/>
        <right/>
        <top/>
        <bottom/>
        <vertical/>
        <horizontal/>
      </border>
    </dxf>
    <dxf>
      <font>
        <strike val="0"/>
        <color theme="6" tint="0.59996337778862885"/>
      </font>
      <fill>
        <patternFill>
          <bgColor theme="6" tint="0.59996337778862885"/>
        </patternFill>
      </fill>
      <border>
        <left/>
        <right/>
        <top/>
        <bottom/>
        <vertical/>
        <horizontal/>
      </border>
    </dxf>
    <dxf>
      <font>
        <strike val="0"/>
        <color theme="6" tint="0.59996337778862885"/>
      </font>
      <fill>
        <patternFill>
          <bgColor theme="6" tint="0.59996337778862885"/>
        </patternFill>
      </fill>
      <border>
        <left/>
        <right/>
        <top/>
        <bottom/>
        <vertical/>
        <horizontal/>
      </border>
    </dxf>
    <dxf>
      <font>
        <strike val="0"/>
        <color theme="6" tint="0.59996337778862885"/>
      </font>
      <fill>
        <patternFill>
          <bgColor theme="6" tint="0.59996337778862885"/>
        </patternFill>
      </fill>
      <border>
        <left/>
        <right/>
        <top/>
        <bottom/>
        <vertical/>
        <horizontal/>
      </border>
    </dxf>
    <dxf>
      <font>
        <color rgb="FF00FFFF"/>
      </font>
      <fill>
        <patternFill patternType="lightUp">
          <bgColor rgb="FF00FFFF"/>
        </patternFill>
      </fill>
    </dxf>
    <dxf>
      <font>
        <strike val="0"/>
        <color theme="6" tint="0.59996337778862885"/>
      </font>
      <fill>
        <patternFill>
          <bgColor theme="6" tint="0.59996337778862885"/>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6" tint="0.59996337778862885"/>
      </font>
      <fill>
        <patternFill>
          <bgColor theme="6" tint="0.59996337778862885"/>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6" tint="0.59996337778862885"/>
      </font>
      <fill>
        <patternFill>
          <bgColor theme="6" tint="0.59996337778862885"/>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6" tint="0.59996337778862885"/>
      </font>
      <fill>
        <patternFill>
          <bgColor theme="6" tint="0.59996337778862885"/>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6" tint="0.59996337778862885"/>
      </font>
      <fill>
        <patternFill>
          <bgColor theme="6" tint="0.59996337778862885"/>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6" tint="0.59996337778862885"/>
      </font>
      <fill>
        <patternFill>
          <bgColor theme="6" tint="0.59996337778862885"/>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6" tint="0.59996337778862885"/>
      </font>
      <fill>
        <patternFill>
          <bgColor theme="6" tint="0.59996337778862885"/>
        </patternFill>
      </fill>
      <border>
        <left/>
        <right/>
        <top/>
        <bottom/>
        <vertical/>
        <horizontal/>
      </border>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ndense val="0"/>
        <extend val="0"/>
        <color indexed="9"/>
      </font>
      <fill>
        <patternFill>
          <bgColor indexed="9"/>
        </patternFill>
      </fill>
      <border>
        <left/>
        <right/>
        <top/>
        <bottom/>
      </border>
    </dxf>
    <dxf>
      <font>
        <color theme="0"/>
      </font>
    </dxf>
    <dxf>
      <font>
        <condense val="0"/>
        <extend val="0"/>
        <color indexed="9"/>
      </font>
      <fill>
        <patternFill>
          <bgColor indexed="9"/>
        </patternFill>
      </fill>
      <border>
        <left/>
        <right/>
        <top/>
        <bottom/>
      </border>
    </dxf>
  </dxfs>
  <tableStyles count="0" defaultTableStyle="TableStyleMedium9" defaultPivotStyle="PivotStyleLight16"/>
  <colors>
    <mruColors>
      <color rgb="FF00FFFF"/>
      <color rgb="FFC0C0C0"/>
      <color rgb="FFFFFF99"/>
      <color rgb="FFFF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oneCellAnchor>
    <xdr:from>
      <xdr:col>0</xdr:col>
      <xdr:colOff>219412</xdr:colOff>
      <xdr:row>20</xdr:row>
      <xdr:rowOff>82204</xdr:rowOff>
    </xdr:from>
    <xdr:ext cx="18166641" cy="3849452"/>
    <xdr:sp macro="" textlink="">
      <xdr:nvSpPr>
        <xdr:cNvPr id="2" name="Rectangle 1"/>
        <xdr:cNvSpPr/>
      </xdr:nvSpPr>
      <xdr:spPr>
        <a:xfrm rot="20282570">
          <a:off x="219412" y="3347918"/>
          <a:ext cx="18166641" cy="3849452"/>
        </a:xfrm>
        <a:prstGeom prst="rect">
          <a:avLst/>
        </a:prstGeom>
        <a:noFill/>
        <a:ln>
          <a:noFill/>
        </a:ln>
      </xdr:spPr>
      <xdr:txBody>
        <a:bodyPr wrap="none" lIns="91440" tIns="45720" rIns="91440" bIns="45720">
          <a:spAutoFit/>
        </a:bodyPr>
        <a:lstStyle/>
        <a:p>
          <a:pPr algn="ctr"/>
          <a:r>
            <a:rPr lang="fr-FR" sz="4800" b="1" cap="none" spc="0">
              <a:ln w="6600">
                <a:solidFill>
                  <a:schemeClr val="accent2"/>
                </a:solidFill>
                <a:prstDash val="solid"/>
              </a:ln>
              <a:solidFill>
                <a:srgbClr val="FFC000"/>
              </a:solidFill>
              <a:effectLst>
                <a:outerShdw dist="38100" dir="2700000" algn="tl" rotWithShape="0">
                  <a:schemeClr val="accent2"/>
                </a:outerShdw>
              </a:effectLst>
            </a:rPr>
            <a:t>Ne modifier cette page que si tu sais ce</a:t>
          </a:r>
          <a:r>
            <a:rPr lang="fr-FR" sz="4800" b="1" cap="none" spc="0" baseline="0">
              <a:ln w="6600">
                <a:solidFill>
                  <a:schemeClr val="accent2"/>
                </a:solidFill>
                <a:prstDash val="solid"/>
              </a:ln>
              <a:solidFill>
                <a:srgbClr val="FFC000"/>
              </a:solidFill>
              <a:effectLst>
                <a:outerShdw dist="38100" dir="2700000" algn="tl" rotWithShape="0">
                  <a:schemeClr val="accent2"/>
                </a:outerShdw>
              </a:effectLst>
            </a:rPr>
            <a:t> que tu fais :</a:t>
          </a:r>
          <a:br>
            <a:rPr lang="fr-FR" sz="4800" b="1" cap="none" spc="0" baseline="0">
              <a:ln w="6600">
                <a:solidFill>
                  <a:schemeClr val="accent2"/>
                </a:solidFill>
                <a:prstDash val="solid"/>
              </a:ln>
              <a:solidFill>
                <a:srgbClr val="FFC000"/>
              </a:solidFill>
              <a:effectLst>
                <a:outerShdw dist="38100" dir="2700000" algn="tl" rotWithShape="0">
                  <a:schemeClr val="accent2"/>
                </a:outerShdw>
              </a:effectLst>
            </a:rPr>
          </a:br>
          <a:r>
            <a:rPr lang="fr-FR" sz="4800" b="1" cap="none" spc="0" baseline="0">
              <a:ln w="6600">
                <a:solidFill>
                  <a:schemeClr val="accent2"/>
                </a:solidFill>
                <a:prstDash val="solid"/>
              </a:ln>
              <a:solidFill>
                <a:srgbClr val="FFC000"/>
              </a:solidFill>
              <a:effectLst>
                <a:outerShdw dist="38100" dir="2700000" algn="tl" rotWithShape="0">
                  <a:schemeClr val="accent2"/>
                </a:outerShdw>
              </a:effectLst>
            </a:rPr>
            <a:t>Le fichier dépend totalement </a:t>
          </a:r>
          <a:br>
            <a:rPr lang="fr-FR" sz="4800" b="1" cap="none" spc="0" baseline="0">
              <a:ln w="6600">
                <a:solidFill>
                  <a:schemeClr val="accent2"/>
                </a:solidFill>
                <a:prstDash val="solid"/>
              </a:ln>
              <a:solidFill>
                <a:srgbClr val="FFC000"/>
              </a:solidFill>
              <a:effectLst>
                <a:outerShdw dist="38100" dir="2700000" algn="tl" rotWithShape="0">
                  <a:schemeClr val="accent2"/>
                </a:outerShdw>
              </a:effectLst>
            </a:rPr>
          </a:br>
          <a:r>
            <a:rPr lang="fr-FR" sz="4800" b="1" cap="none" spc="0" baseline="0">
              <a:ln w="6600">
                <a:solidFill>
                  <a:schemeClr val="accent2"/>
                </a:solidFill>
                <a:prstDash val="solid"/>
              </a:ln>
              <a:solidFill>
                <a:srgbClr val="FFC000"/>
              </a:solidFill>
              <a:effectLst>
                <a:outerShdw dist="38100" dir="2700000" algn="tl" rotWithShape="0">
                  <a:schemeClr val="accent2"/>
                </a:outerShdw>
              </a:effectLst>
            </a:rPr>
            <a:t>de cette page!</a:t>
          </a:r>
          <a:br>
            <a:rPr lang="fr-FR" sz="4800" b="1" cap="none" spc="0" baseline="0">
              <a:ln w="6600">
                <a:solidFill>
                  <a:schemeClr val="accent2"/>
                </a:solidFill>
                <a:prstDash val="solid"/>
              </a:ln>
              <a:solidFill>
                <a:srgbClr val="FFC000"/>
              </a:solidFill>
              <a:effectLst>
                <a:outerShdw dist="38100" dir="2700000" algn="tl" rotWithShape="0">
                  <a:schemeClr val="accent2"/>
                </a:outerShdw>
              </a:effectLst>
            </a:rPr>
          </a:br>
          <a:r>
            <a:rPr lang="fr-FR" sz="4800" b="1" cap="none" spc="0" baseline="0">
              <a:ln w="6600">
                <a:solidFill>
                  <a:schemeClr val="accent2"/>
                </a:solidFill>
                <a:prstDash val="solid"/>
              </a:ln>
              <a:solidFill>
                <a:srgbClr val="FFC000"/>
              </a:solidFill>
              <a:effectLst>
                <a:outerShdw dist="38100" dir="2700000" algn="tl" rotWithShape="0">
                  <a:schemeClr val="accent2"/>
                </a:outerShdw>
              </a:effectLst>
            </a:rPr>
            <a:t>Les textes en rouge = BDD (mais pas forcément tout utilisé...)</a:t>
          </a:r>
          <a:br>
            <a:rPr lang="fr-FR" sz="4800" b="1" cap="none" spc="0" baseline="0">
              <a:ln w="6600">
                <a:solidFill>
                  <a:schemeClr val="accent2"/>
                </a:solidFill>
                <a:prstDash val="solid"/>
              </a:ln>
              <a:solidFill>
                <a:srgbClr val="FFC000"/>
              </a:solidFill>
              <a:effectLst>
                <a:outerShdw dist="38100" dir="2700000" algn="tl" rotWithShape="0">
                  <a:schemeClr val="accent2"/>
                </a:outerShdw>
              </a:effectLst>
            </a:rPr>
          </a:br>
          <a:r>
            <a:rPr lang="fr-FR" sz="4800" b="1" cap="none" spc="0" baseline="0">
              <a:ln w="6600">
                <a:solidFill>
                  <a:schemeClr val="accent2"/>
                </a:solidFill>
                <a:prstDash val="solid"/>
              </a:ln>
              <a:solidFill>
                <a:srgbClr val="FFC000"/>
              </a:solidFill>
              <a:effectLst>
                <a:outerShdw dist="38100" dir="2700000" algn="tl" rotWithShape="0">
                  <a:schemeClr val="accent2"/>
                </a:outerShdw>
              </a:effectLst>
            </a:rPr>
            <a:t>Les textes en noir = calculs intermédiaires (pour la plupart du moins...)</a:t>
          </a:r>
          <a:endParaRPr lang="fr-FR" sz="4800" b="1" cap="none" spc="0">
            <a:ln w="6600">
              <a:solidFill>
                <a:schemeClr val="accent2"/>
              </a:solidFill>
              <a:prstDash val="solid"/>
            </a:ln>
            <a:solidFill>
              <a:srgbClr val="FFC000"/>
            </a:solidFill>
            <a:effectLst>
              <a:outerShdw dist="38100" dir="2700000" algn="tl" rotWithShape="0">
                <a:schemeClr val="accent2"/>
              </a:outerShdw>
            </a:effectLst>
          </a:endParaRPr>
        </a:p>
      </xdr:txBody>
    </xdr:sp>
    <xdr:clientData/>
  </xdr:oneCellAnchor>
  <xdr:oneCellAnchor>
    <xdr:from>
      <xdr:col>228</xdr:col>
      <xdr:colOff>460591</xdr:colOff>
      <xdr:row>17</xdr:row>
      <xdr:rowOff>7434</xdr:rowOff>
    </xdr:from>
    <xdr:ext cx="7886647" cy="937629"/>
    <xdr:sp macro="" textlink="">
      <xdr:nvSpPr>
        <xdr:cNvPr id="3" name="Rectangle 2"/>
        <xdr:cNvSpPr/>
      </xdr:nvSpPr>
      <xdr:spPr>
        <a:xfrm rot="19816335">
          <a:off x="196003238" y="2674434"/>
          <a:ext cx="7886647" cy="937629"/>
        </a:xfrm>
        <a:prstGeom prst="rect">
          <a:avLst/>
        </a:prstGeom>
        <a:noFill/>
      </xdr:spPr>
      <xdr:txBody>
        <a:bodyPr wrap="none" lIns="91440" tIns="45720" rIns="91440" bIns="45720">
          <a:spAutoFit/>
        </a:bodyPr>
        <a:lstStyle/>
        <a:p>
          <a:pPr algn="ctr"/>
          <a:r>
            <a:rPr lang="fr-FR" sz="5400" b="1" cap="none" spc="0">
              <a:ln w="1905"/>
              <a:gradFill>
                <a:gsLst>
                  <a:gs pos="0">
                    <a:schemeClr val="accent6">
                      <a:shade val="20000"/>
                      <a:satMod val="200000"/>
                    </a:schemeClr>
                  </a:gs>
                  <a:gs pos="78000">
                    <a:schemeClr val="accent6">
                      <a:tint val="90000"/>
                      <a:shade val="89000"/>
                      <a:satMod val="220000"/>
                    </a:schemeClr>
                  </a:gs>
                  <a:gs pos="100000">
                    <a:schemeClr val="accent6">
                      <a:tint val="12000"/>
                      <a:satMod val="255000"/>
                    </a:schemeClr>
                  </a:gs>
                </a:gsLst>
                <a:lin ang="5400000"/>
              </a:gradFill>
              <a:effectLst>
                <a:innerShdw blurRad="69850" dist="43180" dir="5400000">
                  <a:srgbClr val="000000">
                    <a:alpha val="65000"/>
                  </a:srgbClr>
                </a:innerShdw>
              </a:effectLst>
            </a:rPr>
            <a:t>PARCELLES HORS VERGERS</a:t>
          </a: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aide_simagri_V14-0%20(R&#233;par&#23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tice"/>
      <sheetName val="éleveurs"/>
      <sheetName val="cultivateurs"/>
      <sheetName val="bovins"/>
      <sheetName val="bisons"/>
      <sheetName val="caprins"/>
      <sheetName val="porcins"/>
      <sheetName val="poules"/>
      <sheetName val="pintades"/>
      <sheetName val="lapins"/>
      <sheetName val="oies"/>
      <sheetName val="canards"/>
      <sheetName val="foie gras"/>
      <sheetName val="ovins"/>
      <sheetName val="daims"/>
      <sheetName val="chevaux de selle"/>
      <sheetName val="chevaux de trait"/>
      <sheetName val="poneys"/>
      <sheetName val="abris"/>
      <sheetName val="pâtures et foin"/>
      <sheetName val="coût"/>
      <sheetName val="gains"/>
      <sheetName val="parcelles"/>
      <sheetName val="vergers"/>
      <sheetName val="semences, engrais et traitement"/>
      <sheetName val="hangars"/>
      <sheetName val="entrepôts et local phyto"/>
      <sheetName val="aires et silos"/>
      <sheetName val="memo"/>
      <sheetName val="bilan ferme"/>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row r="3">
          <cell r="AC3" t="str">
            <v>Belgique</v>
          </cell>
        </row>
        <row r="4">
          <cell r="AC4" t="str">
            <v xml:space="preserve">Alter Real </v>
          </cell>
        </row>
        <row r="5">
          <cell r="AC5" t="str">
            <v xml:space="preserve">Anglo-Arabe </v>
          </cell>
        </row>
        <row r="6">
          <cell r="AC6" t="str">
            <v xml:space="preserve">Appaloosa </v>
          </cell>
        </row>
        <row r="7">
          <cell r="AC7" t="str">
            <v xml:space="preserve">Arabe Shagya </v>
          </cell>
        </row>
        <row r="8">
          <cell r="AC8" t="str">
            <v xml:space="preserve">Barbe </v>
          </cell>
        </row>
        <row r="9">
          <cell r="AC9" t="str">
            <v xml:space="preserve">Cheval Canadien </v>
          </cell>
        </row>
        <row r="10">
          <cell r="AC10" t="str">
            <v xml:space="preserve">Franches-Montagnes </v>
          </cell>
        </row>
        <row r="11">
          <cell r="AC11" t="str">
            <v xml:space="preserve">Frison </v>
          </cell>
        </row>
        <row r="12">
          <cell r="AC12" t="str">
            <v xml:space="preserve">Hanovrien </v>
          </cell>
        </row>
        <row r="13">
          <cell r="AC13" t="str">
            <v xml:space="preserve">Henson </v>
          </cell>
        </row>
        <row r="14">
          <cell r="AC14" t="str">
            <v xml:space="preserve">Holsteiner </v>
          </cell>
        </row>
        <row r="15">
          <cell r="AC15" t="str">
            <v xml:space="preserve">Lipizzan </v>
          </cell>
        </row>
        <row r="16">
          <cell r="AC16" t="str">
            <v xml:space="preserve">Paint Horse </v>
          </cell>
        </row>
        <row r="17">
          <cell r="AC17" t="str">
            <v xml:space="preserve">Pur-Sang Anglais </v>
          </cell>
        </row>
        <row r="18">
          <cell r="AC18" t="str">
            <v xml:space="preserve">Pur-Sang Arabe </v>
          </cell>
        </row>
        <row r="19">
          <cell r="AC19" t="str">
            <v xml:space="preserve">Pur Race Espagnole </v>
          </cell>
        </row>
        <row r="20">
          <cell r="AC20" t="str">
            <v xml:space="preserve">Quarter Horse </v>
          </cell>
        </row>
        <row r="21">
          <cell r="AC21" t="str">
            <v xml:space="preserve">Selle Francais </v>
          </cell>
        </row>
        <row r="22">
          <cell r="AC22" t="str">
            <v xml:space="preserve">Trakehner </v>
          </cell>
        </row>
        <row r="23">
          <cell r="AC23" t="str">
            <v xml:space="preserve">Trotteur Francais </v>
          </cell>
        </row>
      </sheetData>
      <sheetData sheetId="16">
        <row r="3">
          <cell r="AC3" t="str">
            <v>Belgique</v>
          </cell>
        </row>
        <row r="4">
          <cell r="AC4" t="str">
            <v xml:space="preserve">Ardennais </v>
          </cell>
        </row>
        <row r="5">
          <cell r="AC5" t="str">
            <v xml:space="preserve">Auxois </v>
          </cell>
        </row>
        <row r="6">
          <cell r="AC6" t="str">
            <v xml:space="preserve">Boulonnais </v>
          </cell>
        </row>
        <row r="7">
          <cell r="AC7" t="str">
            <v xml:space="preserve">Breton </v>
          </cell>
        </row>
        <row r="8">
          <cell r="AC8" t="str">
            <v xml:space="preserve">Cob Normand </v>
          </cell>
        </row>
        <row r="9">
          <cell r="AC9" t="str">
            <v xml:space="preserve">Comtois </v>
          </cell>
        </row>
        <row r="10">
          <cell r="AC10" t="str">
            <v xml:space="preserve">Percheron </v>
          </cell>
        </row>
        <row r="11">
          <cell r="AC11" t="str">
            <v xml:space="preserve">Poitevin Mulassier </v>
          </cell>
        </row>
        <row r="12">
          <cell r="AC12" t="str">
            <v xml:space="preserve">Trait du Nord </v>
          </cell>
        </row>
        <row r="13">
          <cell r="AC13" t="str">
            <v xml:space="preserve">Brabançon </v>
          </cell>
        </row>
        <row r="14">
          <cell r="AC14" t="str">
            <v xml:space="preserve">Shire </v>
          </cell>
        </row>
        <row r="15">
          <cell r="AC15" t="str">
            <v xml:space="preserve">Clydesdale </v>
          </cell>
        </row>
        <row r="16">
          <cell r="AC16" t="str">
            <v xml:space="preserve">Irish Cob </v>
          </cell>
        </row>
        <row r="17">
          <cell r="AC17" t="str">
            <v xml:space="preserve">American Cream Draft </v>
          </cell>
        </row>
      </sheetData>
      <sheetData sheetId="17">
        <row r="3">
          <cell r="AC3" t="str">
            <v>Belgique</v>
          </cell>
        </row>
        <row r="4">
          <cell r="AC4" t="str">
            <v xml:space="preserve">Camargue </v>
          </cell>
        </row>
        <row r="5">
          <cell r="AC5" t="str">
            <v xml:space="preserve">Cheval Castillonais </v>
          </cell>
        </row>
        <row r="6">
          <cell r="AC6" t="str">
            <v xml:space="preserve">Merens </v>
          </cell>
        </row>
        <row r="7">
          <cell r="AC7" t="str">
            <v xml:space="preserve">Connemara </v>
          </cell>
        </row>
        <row r="8">
          <cell r="AC8" t="str">
            <v xml:space="preserve">Dartmoor </v>
          </cell>
        </row>
        <row r="9">
          <cell r="AC9" t="str">
            <v xml:space="preserve">Fjord </v>
          </cell>
        </row>
        <row r="10">
          <cell r="AC10" t="str">
            <v xml:space="preserve">Haflinger </v>
          </cell>
        </row>
        <row r="11">
          <cell r="AC11" t="str">
            <v xml:space="preserve">Landais </v>
          </cell>
        </row>
        <row r="12">
          <cell r="AC12" t="str">
            <v xml:space="preserve">New Forest </v>
          </cell>
        </row>
        <row r="13">
          <cell r="AC13" t="str">
            <v xml:space="preserve">Poney Francais de Selle </v>
          </cell>
        </row>
        <row r="14">
          <cell r="AC14" t="str">
            <v xml:space="preserve">Pottok </v>
          </cell>
        </row>
        <row r="15">
          <cell r="AC15" t="str">
            <v xml:space="preserve">Shetland </v>
          </cell>
        </row>
        <row r="16">
          <cell r="AC16" t="str">
            <v xml:space="preserve">Welsh </v>
          </cell>
        </row>
      </sheetData>
      <sheetData sheetId="18"/>
      <sheetData sheetId="19"/>
      <sheetData sheetId="20"/>
      <sheetData sheetId="21"/>
      <sheetData sheetId="22"/>
      <sheetData sheetId="23"/>
      <sheetData sheetId="24"/>
      <sheetData sheetId="25"/>
      <sheetData sheetId="26"/>
      <sheetData sheetId="27"/>
      <sheetData sheetId="28"/>
      <sheetData sheetId="29"/>
    </sheetDataSet>
  </externalBook>
</externalLink>
</file>

<file path=xl/tables/table1.xml><?xml version="1.0" encoding="utf-8"?>
<table xmlns="http://schemas.openxmlformats.org/spreadsheetml/2006/main" id="58" name="CoutPaillage" displayName="CoutPaillage" ref="M37:Q50" headerRowCount="0" totalsRowShown="0" headerRowDxfId="978" dataDxfId="977">
  <tableColumns count="5">
    <tableColumn id="1" name="Colonne1" headerRowDxfId="976" dataDxfId="975"/>
    <tableColumn id="2" name="Colonne2" headerRowDxfId="974" dataDxfId="973"/>
    <tableColumn id="3" name="Colonne3" headerRowDxfId="972" dataDxfId="971"/>
    <tableColumn id="4" name="Colonne4" headerRowDxfId="970" dataDxfId="969"/>
    <tableColumn id="5" name="Colonne5" headerRowDxfId="968" dataDxfId="967"/>
  </tableColumns>
  <tableStyleInfo name="TableStyleMedium5" showFirstColumn="0" showLastColumn="0" showRowStripes="1" showColumnStripes="0"/>
</table>
</file>

<file path=xl/tables/table2.xml><?xml version="1.0" encoding="utf-8"?>
<table xmlns="http://schemas.openxmlformats.org/spreadsheetml/2006/main" id="3" name="Règles_bovins" displayName="Règles_bovins" ref="BB58:BK190" totalsRowShown="0" headerRowDxfId="837" dataDxfId="835" headerRowBorderDxfId="836" tableBorderDxfId="834" totalsRowBorderDxfId="833">
  <autoFilter ref="BB58:BK190"/>
  <tableColumns count="10">
    <tableColumn id="1" name="Ration" dataDxfId="832"/>
    <tableColumn id="2" name="Aliment" dataDxfId="831"/>
    <tableColumn id="3" name="Specificite" dataDxfId="830"/>
    <tableColumn id="4" name="Valeur 36 et plus" dataDxfId="829"/>
    <tableColumn id="5" name="Valeur 24-36" dataDxfId="828"/>
    <tableColumn id="6" name="Valeur 18-24" dataDxfId="827"/>
    <tableColumn id="7" name="Valeur 12-18" dataDxfId="826"/>
    <tableColumn id="8" name="Valeur 6-12" dataDxfId="825"/>
    <tableColumn id="9" name="Valeur 3-6" dataDxfId="824"/>
    <tableColumn id="10" name="Valeur 0-3" dataDxfId="823"/>
  </tableColumns>
  <tableStyleInfo name="TableStyleMedium9" showFirstColumn="0" showLastColumn="0" showRowStripes="1" showColumnStripes="0"/>
</table>
</file>

<file path=xl/tables/table3.xml><?xml version="1.0" encoding="utf-8"?>
<table xmlns="http://schemas.openxmlformats.org/spreadsheetml/2006/main" id="1" name="Règles_bison" displayName="Règles_bison" ref="BM10:BV32" totalsRowShown="0" headerRowDxfId="822" dataDxfId="820" headerRowBorderDxfId="821" tableBorderDxfId="819" totalsRowBorderDxfId="818">
  <autoFilter ref="BM10:BV32"/>
  <tableColumns count="10">
    <tableColumn id="1" name="Ration" dataDxfId="817"/>
    <tableColumn id="2" name="Aliment" dataDxfId="816"/>
    <tableColumn id="3" name="Specificite" dataDxfId="815"/>
    <tableColumn id="4" name="Valeur 36 et plus" dataDxfId="814"/>
    <tableColumn id="5" name="Valeur 24-36" dataDxfId="813"/>
    <tableColumn id="6" name="Valeur 18-24" dataDxfId="812"/>
    <tableColumn id="7" name="Valeur 12-18" dataDxfId="811"/>
    <tableColumn id="8" name="Valeur 6-12" dataDxfId="810"/>
    <tableColumn id="9" name="Valeur 3-6" dataDxfId="809"/>
    <tableColumn id="10" name="Valeur 0-3" dataDxfId="808"/>
  </tableColumns>
  <tableStyleInfo name="TableStyleMedium9" showFirstColumn="0" showLastColumn="0" showRowStripes="1" showColumnStripes="0"/>
</table>
</file>

<file path=xl/tables/table4.xml><?xml version="1.0" encoding="utf-8"?>
<table xmlns="http://schemas.openxmlformats.org/spreadsheetml/2006/main" id="7" name="Ration_complète_bovins" displayName="Ration_complète_bovins" ref="BB277:BJ278" totalsRowShown="0" headerRowDxfId="807" dataDxfId="805" headerRowBorderDxfId="806" tableBorderDxfId="804" totalsRowBorderDxfId="803">
  <autoFilter ref="BB277:BJ278"/>
  <tableColumns count="9">
    <tableColumn id="1" name="aliment" dataDxfId="802"/>
    <tableColumn id="2" name="Val 36 et plus" dataDxfId="801"/>
    <tableColumn id="3" name="Val 24-36" dataDxfId="800"/>
    <tableColumn id="4" name="Val 18-24" dataDxfId="799"/>
    <tableColumn id="5" name="Val 12-18" dataDxfId="798"/>
    <tableColumn id="6" name="Val 6-12" dataDxfId="797"/>
    <tableColumn id="7" name="Val 3-6" dataDxfId="796"/>
    <tableColumn id="8" name="Val 0-3" dataDxfId="795"/>
    <tableColumn id="9" name="somme" dataDxfId="794">
      <calculatedColumnFormula>SUM(Ration_complète_bovins[[Val 36 et plus]:[Val 0-3]])</calculatedColumnFormula>
    </tableColumn>
  </tableColumns>
  <tableStyleInfo name="TableStyleMedium9" showFirstColumn="0" showLastColumn="0" showRowStripes="1" showColumnStripes="0"/>
</table>
</file>

<file path=xl/tables/table5.xml><?xml version="1.0" encoding="utf-8"?>
<table xmlns="http://schemas.openxmlformats.org/spreadsheetml/2006/main" id="8" name="Ration_hivernale_complète_bovins" displayName="Ration_hivernale_complète_bovins" ref="BB326:BJ327" totalsRowShown="0" headerRowDxfId="793" dataDxfId="791" headerRowBorderDxfId="792" tableBorderDxfId="790" totalsRowBorderDxfId="789">
  <autoFilter ref="BB326:BJ327"/>
  <tableColumns count="9">
    <tableColumn id="1" name="aliment" dataDxfId="788"/>
    <tableColumn id="2" name="Val 36 et plus" dataDxfId="787"/>
    <tableColumn id="3" name="Val 24-36" dataDxfId="786"/>
    <tableColumn id="4" name="Val 18-24" dataDxfId="785"/>
    <tableColumn id="5" name="Val 12-18" dataDxfId="784"/>
    <tableColumn id="6" name="Val 6-12" dataDxfId="783"/>
    <tableColumn id="7" name="Val 3-6" dataDxfId="782"/>
    <tableColumn id="8" name="Val 0-3" dataDxfId="781"/>
    <tableColumn id="9" name="somme" dataDxfId="780">
      <calculatedColumnFormula>SUM(Ration_hivernale_complète_bovins[[Val 36 et plus]:[Val 0-3]])</calculatedColumnFormula>
    </tableColumn>
  </tableColumns>
  <tableStyleInfo name="TableStyleMedium9" showFirstColumn="0" showLastColumn="0" showRowStripes="1" showColumnStripes="0"/>
</table>
</file>

<file path=xl/tables/table6.xml><?xml version="1.0" encoding="utf-8"?>
<table xmlns="http://schemas.openxmlformats.org/spreadsheetml/2006/main" id="10" name="Ration_hivernale_complète_bisons" displayName="Ration_hivernale_complète_bisons" ref="BM109:BU110" totalsRowShown="0" headerRowDxfId="779" dataDxfId="777" headerRowBorderDxfId="778" tableBorderDxfId="776" totalsRowBorderDxfId="775">
  <autoFilter ref="BM109:BU110"/>
  <tableColumns count="9">
    <tableColumn id="1" name="aliment" dataDxfId="774"/>
    <tableColumn id="2" name="Val 36 et plus" dataDxfId="773"/>
    <tableColumn id="3" name="Val 24-36" dataDxfId="772"/>
    <tableColumn id="4" name="Val 18-24" dataDxfId="771"/>
    <tableColumn id="5" name="Val 12-18" dataDxfId="770"/>
    <tableColumn id="6" name="Val 6-12" dataDxfId="769"/>
    <tableColumn id="7" name="Val 3-6" dataDxfId="768"/>
    <tableColumn id="8" name="Val 0-3" dataDxfId="767"/>
    <tableColumn id="9" name="somme" dataDxfId="766">
      <calculatedColumnFormula>SUM(Ration_hivernale_complète_bisons[[Val 36 et plus]:[Val 0-3]])</calculatedColumnFormula>
    </tableColumn>
  </tableColumns>
  <tableStyleInfo name="TableStyleMedium9" showFirstColumn="0" showLastColumn="0" showRowStripes="1" showColumnStripes="0"/>
</table>
</file>

<file path=xl/tables/table7.xml><?xml version="1.0" encoding="utf-8"?>
<table xmlns="http://schemas.openxmlformats.org/spreadsheetml/2006/main" id="11" name="Règles_caprins" displayName="Règles_caprins" ref="BX48:CD102" totalsRowShown="0" headerRowDxfId="765" dataDxfId="763" headerRowBorderDxfId="764" tableBorderDxfId="762" totalsRowBorderDxfId="761">
  <autoFilter ref="BX48:CD102"/>
  <tableColumns count="7">
    <tableColumn id="1" name="Ration" dataDxfId="760"/>
    <tableColumn id="2" name="Aliment" dataDxfId="759"/>
    <tableColumn id="3" name="Specificite" dataDxfId="758"/>
    <tableColumn id="4" name="Valeur 12 et plus" dataDxfId="757"/>
    <tableColumn id="5" name="Valeur 6-12" dataDxfId="756"/>
    <tableColumn id="6" name="Valeur 3-6" dataDxfId="755"/>
    <tableColumn id="7" name="Valeur 0-3" dataDxfId="754"/>
  </tableColumns>
  <tableStyleInfo name="TableStyleMedium9" showFirstColumn="0" showLastColumn="0" showRowStripes="1" showColumnStripes="0"/>
</table>
</file>

<file path=xl/tables/table8.xml><?xml version="1.0" encoding="utf-8"?>
<table xmlns="http://schemas.openxmlformats.org/spreadsheetml/2006/main" id="2" name="Règles_porcins" displayName="Règles_porcins" ref="CJ24:CQ45" totalsRowShown="0" headerRowDxfId="753" dataDxfId="751" headerRowBorderDxfId="752" tableBorderDxfId="750" totalsRowBorderDxfId="749">
  <autoFilter ref="CJ24:CQ45"/>
  <tableColumns count="8">
    <tableColumn id="1" name="Ration" dataDxfId="748"/>
    <tableColumn id="2" name="Aliment" dataDxfId="747"/>
    <tableColumn id="3" name="Specificite" dataDxfId="746"/>
    <tableColumn id="4" name="Valeur 12 et plus" dataDxfId="745"/>
    <tableColumn id="5" name="Valeur 6-12" dataDxfId="744"/>
    <tableColumn id="6" name="Valeur 3-6" dataDxfId="743"/>
    <tableColumn id="7" name="Valeur 1-3" dataDxfId="742"/>
    <tableColumn id="8" name="Valeur 0-1" dataDxfId="741"/>
  </tableColumns>
  <tableStyleInfo name="TableStyleMedium9" showFirstColumn="0" showLastColumn="0" showRowStripes="1" showColumnStripes="0"/>
</table>
</file>

<file path=xl/tables/table9.xml><?xml version="1.0" encoding="utf-8"?>
<table xmlns="http://schemas.openxmlformats.org/spreadsheetml/2006/main" id="9" name="Ration_complète_porcins" displayName="Ration_complète_porcins" ref="CJ125:CP126" totalsRowShown="0" headerRowDxfId="740" dataDxfId="738" headerRowBorderDxfId="739" tableBorderDxfId="737" totalsRowBorderDxfId="736">
  <autoFilter ref="CJ125:CP126"/>
  <tableColumns count="7">
    <tableColumn id="1" name="aliment" dataDxfId="735"/>
    <tableColumn id="2" name="Valeur 12 et plus" dataDxfId="734"/>
    <tableColumn id="3" name="Valeur 6-12" dataDxfId="733"/>
    <tableColumn id="4" name="Valeur 3-6" dataDxfId="732"/>
    <tableColumn id="5" name="Valeur 1-3" dataDxfId="731"/>
    <tableColumn id="6" name="Valeur 0-1" dataDxfId="730"/>
    <tableColumn id="7" name="somme" dataDxfId="729">
      <calculatedColumnFormula>SUM(Ration_complète_porcins[[Valeur 12 et plus]:[Valeur 1-3]])</calculatedColumnFormula>
    </tableColumn>
  </tableColumns>
  <tableStyleInfo name="TableStyleMedium9" showFirstColumn="0" showLastColumn="0" showRowStripes="1" showColumnStripes="0"/>
</table>
</file>

<file path=xl/tables/table10.xml><?xml version="1.0" encoding="utf-8"?>
<table xmlns="http://schemas.openxmlformats.org/spreadsheetml/2006/main" id="15" name="Règles_lapins" displayName="Règles_lapins" ref="CS36:CX53" totalsRowShown="0" headerRowDxfId="728" dataDxfId="726" headerRowBorderDxfId="727" tableBorderDxfId="725" totalsRowBorderDxfId="724">
  <autoFilter ref="CS36:CX53"/>
  <tableColumns count="6">
    <tableColumn id="1" name="Ration" dataDxfId="723"/>
    <tableColumn id="2" name="Aliment" dataDxfId="722"/>
    <tableColumn id="3" name="Specificite" dataDxfId="721"/>
    <tableColumn id="4" name="Valeur 3 et plus" dataDxfId="720"/>
    <tableColumn id="5" name="Valeur 1-3" dataDxfId="719"/>
    <tableColumn id="6" name="Valeur 0-1" dataDxfId="718"/>
  </tableColumns>
  <tableStyleInfo name="TableStyleMedium9" showFirstColumn="0" showLastColumn="0" showRowStripes="1" showColumnStripes="0"/>
</table>
</file>

<file path=xl/tables/table11.xml><?xml version="1.0" encoding="utf-8"?>
<table xmlns="http://schemas.openxmlformats.org/spreadsheetml/2006/main" id="16" name="AlimentsRationLapinsMâles" displayName="AlimentsRationLapinsMâles" ref="CS56:CW95" totalsRowShown="0" headerRowDxfId="717" dataDxfId="715" headerRowBorderDxfId="716" tableBorderDxfId="714" totalsRowBorderDxfId="713">
  <autoFilter ref="CS56:CW95"/>
  <tableColumns count="5">
    <tableColumn id="1" name="aliment" dataDxfId="712"/>
    <tableColumn id="2" name="Valeur 3 et plus" dataDxfId="711">
      <calculatedColumnFormula array="1">IF(animaux!$J$124=BDD!$M$2,0,IFERROR(IF(OR(AND(INDEX(Règles_lapins[Specificite],MATCH(animaux!$J$118&amp;AlimentsRationLapinsMâles[[#This Row],[aliment]],Règles_lapins[Ration]&amp;Règles_lapins[Aliment],0))="s1",IF(AlimentsRationLapinsMâles[[#This Row],[aliment]]=animaux!$J$130,1)),
AND(INDEX(Règles_lapins[Specificite],MATCH(animaux!$J$118&amp;AlimentsRationLapinsMâles[[#This Row],[aliment]],Règles_lapins[Ration]&amp;Règles_lapins[Aliment],0))="s2",IF(AlimentsRationLapinsMâles[[#This Row],[aliment]]=animaux!$J$131,1)),
INDEX(Règles_lapins[Specificite],MATCH(animaux!$J$118&amp;AlimentsRationLapinsMâles[[#This Row],[aliment]],Règles_lapins[Ration]&amp;Règles_lapins[Aliment],0))="c"),
INDEX(Règles_lapins[Valeur 3 et plus],MATCH(animaux!$J$118&amp;AlimentsRationLapinsMâles[[#This Row],[aliment]],Règles_lapins[Ration]&amp;Règles_lapins[Aliment],0)),0),0)*SUM(animaux!$C$122:$C$123)*SUM($P$76:$P$76))</calculatedColumnFormula>
    </tableColumn>
    <tableColumn id="3" name="Valeur 1-3" dataDxfId="710">
      <calculatedColumnFormula array="1">IF(animaux!$J$124=BDD!$M$2,0,IFERROR(IF(OR(AND(INDEX(Règles_lapins[Specificite],MATCH(animaux!$J$118&amp;AlimentsRationLapinsMâles[[#This Row],[aliment]],Règles_lapins[Ration]&amp;Règles_lapins[Aliment],0))="s1",IF(AlimentsRationLapinsMâles[[#This Row],[aliment]]=animaux!$J$130,1)),
AND(INDEX(Règles_lapins[Specificite],MATCH(animaux!$J$118&amp;AlimentsRationLapinsMâles[[#This Row],[aliment]],Règles_lapins[Ration]&amp;Règles_lapins[Aliment],0))="s2",IF(AlimentsRationLapinsMâles[[#This Row],[aliment]]=animaux!$J$131,1)),
INDEX(Règles_lapins[Specificite],MATCH(animaux!$J$118&amp;AlimentsRationLapinsMâles[[#This Row],[aliment]],Règles_lapins[Ration]&amp;Règles_lapins[Aliment],0))="c"),
INDEX(Règles_lapins[Valeur 1-3],MATCH(animaux!$J$118&amp;AlimentsRationLapinsMâles[[#This Row],[aliment]],Règles_lapins[Ration]&amp;Règles_lapins[Aliment],0)),0),0)*SUM(animaux!$C$120:$C$121)*SUM($P$76:$P$76))</calculatedColumnFormula>
    </tableColumn>
    <tableColumn id="4" name="Valeur 0-1" dataDxfId="709">
      <calculatedColumnFormula array="1">IF(animaux!$J$124=BDD!$M$2,0,IFERROR(IF(OR(AND(INDEX(Règles_lapins[Specificite],MATCH(animaux!$J$118&amp;AlimentsRationLapinsMâles[[#This Row],[aliment]],Règles_lapins[Ration]&amp;Règles_lapins[Aliment],0))="s1",IF(AlimentsRationLapinsMâles[[#This Row],[aliment]]=animaux!$J$130,1)),
AND(INDEX(Règles_lapins[Specificite],MATCH(animaux!$J$118&amp;AlimentsRationLapinsMâles[[#This Row],[aliment]],Règles_lapins[Ration]&amp;Règles_lapins[Aliment],0))="s2",IF(AlimentsRationLapinsMâles[[#This Row],[aliment]]=animaux!$J$131,1)),
INDEX(Règles_lapins[Specificite],MATCH(animaux!$J$118&amp;AlimentsRationLapinsMâles[[#This Row],[aliment]],Règles_lapins[Ration]&amp;Règles_lapins[Aliment],0))="c"),
INDEX(Règles_lapins[Valeur 0-1],MATCH(animaux!$J$118&amp;AlimentsRationLapinsMâles[[#This Row],[aliment]],Règles_lapins[Ration]&amp;Règles_lapins[Aliment],0)),0),0)*SUM(animaux!$C$118:$C$119)*SUM($P$76:$P$76))</calculatedColumnFormula>
    </tableColumn>
    <tableColumn id="5" name="somme" dataDxfId="708">
      <calculatedColumnFormula>SUM(AlimentsRationLapinsMâles[[#This Row],[Valeur 3 et plus]:[Valeur 0-1]])</calculatedColumnFormula>
    </tableColumn>
  </tableColumns>
  <tableStyleInfo name="TableStyleMedium9" showFirstColumn="0" showLastColumn="0" showRowStripes="1" showColumnStripes="0"/>
</table>
</file>

<file path=xl/tables/table12.xml><?xml version="1.0" encoding="utf-8"?>
<table xmlns="http://schemas.openxmlformats.org/spreadsheetml/2006/main" id="17" name="Ration_complète_lapins" displayName="Ration_complète_lapins" ref="CS140:CW141" totalsRowShown="0" headerRowDxfId="707" dataDxfId="705" headerRowBorderDxfId="706" tableBorderDxfId="704" totalsRowBorderDxfId="703">
  <autoFilter ref="CS140:CW141"/>
  <tableColumns count="5">
    <tableColumn id="1" name="aliment" dataDxfId="702"/>
    <tableColumn id="2" name="Valeur 3 et plus" dataDxfId="701"/>
    <tableColumn id="3" name="Valeur 1-3" dataDxfId="700"/>
    <tableColumn id="4" name="Valeur 0-1" dataDxfId="699"/>
    <tableColumn id="5" name="somme" dataDxfId="698">
      <calculatedColumnFormula>SUM(Ration_complète_lapins[[Valeur 3 et plus]:[Valeur 0-1]])</calculatedColumnFormula>
    </tableColumn>
  </tableColumns>
  <tableStyleInfo name="TableStyleMedium9" showFirstColumn="0" showLastColumn="0" showRowStripes="1" showColumnStripes="0"/>
</table>
</file>

<file path=xl/tables/table13.xml><?xml version="1.0" encoding="utf-8"?>
<table xmlns="http://schemas.openxmlformats.org/spreadsheetml/2006/main" id="18" name="Règles_volailles" displayName="Règles_volailles" ref="CZ35:DE52" totalsRowShown="0" headerRowDxfId="697" dataDxfId="695" headerRowBorderDxfId="696" tableBorderDxfId="694" totalsRowBorderDxfId="693">
  <autoFilter ref="CZ35:DE52"/>
  <tableColumns count="6">
    <tableColumn id="1" name="Ration" dataDxfId="692"/>
    <tableColumn id="2" name="Aliment" dataDxfId="691"/>
    <tableColumn id="3" name="Specificite" dataDxfId="690"/>
    <tableColumn id="4" name="Valeur 6 et plus" dataDxfId="689"/>
    <tableColumn id="5" name="Valeur 1-6" dataDxfId="688"/>
    <tableColumn id="7" name="Valeur 0-1" dataDxfId="687"/>
  </tableColumns>
  <tableStyleInfo name="TableStyleMedium9" showFirstColumn="0" showLastColumn="0" showRowStripes="1" showColumnStripes="0"/>
</table>
</file>

<file path=xl/tables/table14.xml><?xml version="1.0" encoding="utf-8"?>
<table xmlns="http://schemas.openxmlformats.org/spreadsheetml/2006/main" id="19" name="AlimentsRationVolaillesMâles" displayName="AlimentsRationVolaillesMâles" ref="CZ56:DD95" totalsRowShown="0" headerRowDxfId="686" dataDxfId="684" headerRowBorderDxfId="685" tableBorderDxfId="683" totalsRowBorderDxfId="682">
  <autoFilter ref="CZ56:DD95"/>
  <tableColumns count="5">
    <tableColumn id="1" name="aliment" dataDxfId="681"/>
    <tableColumn id="2" name="Valeur 6 et plus" dataDxfId="680">
      <calculatedColumnFormula array="1">IF(animaux!$J$86=BDD!$M$2,0,IFERROR(IF(OR(AND(INDEX(Règles_volailles[Specificite],MATCH(animaux!$J$80&amp;AlimentsRationVolaillesMâles[[#This Row],[aliment]],Règles_volailles[Ration]&amp;Règles_volailles[Aliment],0))="s1",IF(AlimentsRationVolaillesMâles[[#This Row],[aliment]]=animaux!$J$92,1)),
AND(INDEX(Règles_volailles[Specificite],MATCH(animaux!$J$80&amp;AlimentsRationVolaillesMâles[[#This Row],[aliment]],Règles_volailles[Ration]&amp;Règles_volailles[Aliment],0))="s2",IF(AlimentsRationVolaillesMâles[[#This Row],[aliment]]=animaux!$J$93,1)),
INDEX(Règles_volailles[Specificite],MATCH(animaux!$J$80&amp;AlimentsRationVolaillesMâles[[#This Row],[aliment]],Règles_volailles[Ration]&amp;Règles_volailles[Aliment],0))="c"),
INDEX(Règles_volailles[Valeur 6 et plus],MATCH(animaux!$J$80&amp;AlimentsRationVolaillesMâles[[#This Row],[aliment]],Règles_volailles[Ration]&amp;Règles_volailles[Aliment],0)),0),0)*SUM(animaux!$C$84:$C$85)*SUM($P$76:$P$76))</calculatedColumnFormula>
    </tableColumn>
    <tableColumn id="3" name="Valeur 1-6" dataDxfId="679">
      <calculatedColumnFormula array="1">IF(animaux!$J$86=BDD!$M$2,0,IFERROR(IF(OR(AND(INDEX(Règles_volailles[Specificite],MATCH(animaux!$J$80&amp;AlimentsRationVolaillesMâles[[#This Row],[aliment]],Règles_volailles[Ration]&amp;Règles_volailles[Aliment],0))="s1",IF(AlimentsRationVolaillesMâles[[#This Row],[aliment]]=animaux!$J$92,1)),
AND(INDEX(Règles_volailles[Specificite],MATCH(animaux!$J$80&amp;AlimentsRationVolaillesMâles[[#This Row],[aliment]],Règles_volailles[Ration]&amp;Règles_volailles[Aliment],0))="s2",IF(AlimentsRationVolaillesMâles[[#This Row],[aliment]]=animaux!$J$93,1)),
INDEX(Règles_volailles[Specificite],MATCH(animaux!$J$80&amp;AlimentsRationVolaillesMâles[[#This Row],[aliment]],Règles_volailles[Ration]&amp;Règles_volailles[Aliment],0))="c"),
INDEX(Règles_volailles[Valeur 1-6],MATCH(animaux!$J$80&amp;AlimentsRationVolaillesMâles[[#This Row],[aliment]],Règles_volailles[Ration]&amp;Règles_volailles[Aliment],0)),0),0)*SUM(animaux!$C$82:$C$83)*SUM($P$76:$P$76))</calculatedColumnFormula>
    </tableColumn>
    <tableColumn id="4" name="Valeur 0-1" dataDxfId="678">
      <calculatedColumnFormula array="1">IF(animaux!$J$86=BDD!$M$2,0,IFERROR(IF(OR(AND(INDEX(Règles_volailles[Specificite],MATCH(animaux!$J$80&amp;AlimentsRationVolaillesMâles[[#This Row],[aliment]],Règles_volailles[Ration]&amp;Règles_volailles[Aliment],0))="s1",IF(AlimentsRationVolaillesMâles[[#This Row],[aliment]]=animaux!$J$92,1)),
AND(INDEX(Règles_volailles[Specificite],MATCH(animaux!$J$80&amp;AlimentsRationVolaillesMâles[[#This Row],[aliment]],Règles_volailles[Ration]&amp;Règles_volailles[Aliment],0))="s2",IF(AlimentsRationVolaillesMâles[[#This Row],[aliment]]=animaux!$J$93,1)),
INDEX(Règles_volailles[Specificite],MATCH(animaux!$J$80&amp;AlimentsRationVolaillesMâles[[#This Row],[aliment]],Règles_volailles[Ration]&amp;Règles_volailles[Aliment],0))="c"),
INDEX(Règles_volailles[Valeur 0-1],MATCH(animaux!$J$80&amp;AlimentsRationVolaillesMâles[[#This Row],[aliment]],Règles_volailles[Ration]&amp;Règles_volailles[Aliment],0)),0),0)*SUM(animaux!$C$84:$C$85)*SUM($P$76:$P$76))</calculatedColumnFormula>
    </tableColumn>
    <tableColumn id="5" name="somme" dataDxfId="677">
      <calculatedColumnFormula>SUM(AlimentsRationVolaillesMâles[[#This Row],[Valeur 6 et plus]:[Valeur 0-1]])</calculatedColumnFormula>
    </tableColumn>
  </tableColumns>
  <tableStyleInfo name="TableStyleMedium9" showFirstColumn="0" showLastColumn="0" showRowStripes="1" showColumnStripes="0"/>
</table>
</file>

<file path=xl/tables/table15.xml><?xml version="1.0" encoding="utf-8"?>
<table xmlns="http://schemas.openxmlformats.org/spreadsheetml/2006/main" id="20" name="Ration_complète_volailles" displayName="Ration_complète_volailles" ref="CZ140:DD141" totalsRowShown="0" headerRowDxfId="676" dataDxfId="674" headerRowBorderDxfId="675" tableBorderDxfId="673" totalsRowBorderDxfId="672">
  <autoFilter ref="CZ140:DD141"/>
  <tableColumns count="5">
    <tableColumn id="1" name="aliment" dataDxfId="671"/>
    <tableColumn id="2" name="Valeur 6 et plus" dataDxfId="670"/>
    <tableColumn id="3" name="Valeur 1-6" dataDxfId="669"/>
    <tableColumn id="4" name="Valeur 0-1" dataDxfId="668"/>
    <tableColumn id="5" name="somme" dataDxfId="667">
      <calculatedColumnFormula>SUM(Ration_complète_volailles[[Valeur 6 et plus]:[Valeur 0-1]])</calculatedColumnFormula>
    </tableColumn>
  </tableColumns>
  <tableStyleInfo name="TableStyleMedium9" showFirstColumn="0" showLastColumn="0" showRowStripes="1" showColumnStripes="0"/>
</table>
</file>

<file path=xl/tables/table16.xml><?xml version="1.0" encoding="utf-8"?>
<table xmlns="http://schemas.openxmlformats.org/spreadsheetml/2006/main" id="21" name="Règles_pintades" displayName="Règles_pintades" ref="DG26:DL43" totalsRowShown="0" headerRowDxfId="666" dataDxfId="664" headerRowBorderDxfId="665" tableBorderDxfId="663" totalsRowBorderDxfId="662">
  <autoFilter ref="DG26:DL43"/>
  <tableColumns count="6">
    <tableColumn id="1" name="Ration" dataDxfId="661"/>
    <tableColumn id="2" name="Aliment" dataDxfId="660"/>
    <tableColumn id="3" name="Specificite" dataDxfId="659"/>
    <tableColumn id="4" name="Valeur 6 et plus" dataDxfId="658"/>
    <tableColumn id="5" name="Valeur 1-6" dataDxfId="657"/>
    <tableColumn id="7" name="Valeur 0-1" dataDxfId="656"/>
  </tableColumns>
  <tableStyleInfo name="TableStyleMedium9" showFirstColumn="0" showLastColumn="0" showRowStripes="1" showColumnStripes="0"/>
</table>
</file>

<file path=xl/tables/table17.xml><?xml version="1.0" encoding="utf-8"?>
<table xmlns="http://schemas.openxmlformats.org/spreadsheetml/2006/main" id="22" name="AlimentsRationPintadesMâles" displayName="AlimentsRationPintadesMâles" ref="DG47:DK86" totalsRowShown="0" headerRowDxfId="655" dataDxfId="653" headerRowBorderDxfId="654" tableBorderDxfId="652" totalsRowBorderDxfId="651">
  <autoFilter ref="DG47:DK86"/>
  <tableColumns count="5">
    <tableColumn id="1" name="aliment" dataDxfId="650"/>
    <tableColumn id="2" name="Valeur 9 et plus" dataDxfId="649">
      <calculatedColumnFormula array="1">IF(animaux!$J$105=BDD!$M$2,0,IFERROR(IF(OR(AND(INDEX(Règles_pintades[Specificite],MATCH(animaux!$J$99&amp;AlimentsRationPintadesMâles[[#This Row],[aliment]],Règles_pintades[Ration]&amp;Règles_pintades[Aliment],0))="s1",IF(AlimentsRationPintadesMâles[[#This Row],[aliment]]=animaux!$J$111,1)),
AND(INDEX(Règles_pintades[Specificite],MATCH(animaux!$J$99&amp;AlimentsRationPintadesMâles[[#This Row],[aliment]],Règles_pintades[Ration]&amp;Règles_pintades[Aliment],0))="s2",IF(AlimentsRationPintadesMâles[[#This Row],[aliment]]=animaux!$J$112,1)),
INDEX(Règles_pintades[Specificite],MATCH(animaux!$J$99&amp;AlimentsRationPintadesMâles[[#This Row],[aliment]],Règles_pintades[Ration]&amp;Règles_pintades[Aliment],0))="c"),
INDEX(Règles_pintades[Valeur 6 et plus],MATCH(animaux!$J$99&amp;AlimentsRationPintadesMâles[[#This Row],[aliment]],Règles_pintades[Ration]&amp;Règles_pintades[Aliment],0)),0),0)*SUM(animaux!$C$103:$C$104)*SUM($P$76:$P$76))</calculatedColumnFormula>
    </tableColumn>
    <tableColumn id="3" name="Valeur 1-9" dataDxfId="648">
      <calculatedColumnFormula array="1">IF(animaux!$J$105=BDD!$M$2,0,IFERROR(IF(OR(AND(INDEX(Règles_pintades[Specificite],MATCH(animaux!$J$99&amp;AlimentsRationPintadesMâles[[#This Row],[aliment]],Règles_pintades[Ration]&amp;Règles_pintades[Aliment],0))="s1",IF(AlimentsRationPintadesMâles[[#This Row],[aliment]]=animaux!$J$111,1)),
AND(INDEX(Règles_pintades[Specificite],MATCH(animaux!$J$99&amp;AlimentsRationPintadesMâles[[#This Row],[aliment]],Règles_pintades[Ration]&amp;Règles_pintades[Aliment],0))="s2",IF(AlimentsRationPintadesMâles[[#This Row],[aliment]]=animaux!$J$112,1)),
INDEX(Règles_pintades[Specificite],MATCH(animaux!$J$99&amp;AlimentsRationPintadesMâles[[#This Row],[aliment]],Règles_pintades[Ration]&amp;Règles_pintades[Aliment],0))="c"),
INDEX(Règles_pintades[Valeur 1-6],MATCH(animaux!$J$99&amp;AlimentsRationPintadesMâles[[#This Row],[aliment]],Règles_pintades[Ration]&amp;Règles_pintades[Aliment],0)),0),0)*SUM(animaux!$C$101:$C$102)*SUM($P$76:$P$76))</calculatedColumnFormula>
    </tableColumn>
    <tableColumn id="4" name="Valeur 0-1" dataDxfId="647">
      <calculatedColumnFormula array="1">IF(animaux!$J$105=BDD!$M$2,0,IFERROR(IF(OR(AND(INDEX(Règles_pintades[Specificite],MATCH(animaux!$J$99&amp;AlimentsRationPintadesMâles[[#This Row],[aliment]],Règles_pintades[Ration]&amp;Règles_pintades[Aliment],0))="s1",IF(AlimentsRationPintadesMâles[[#This Row],[aliment]]=animaux!$J$111,1)),
AND(INDEX(Règles_pintades[Specificite],MATCH(animaux!$J$99&amp;AlimentsRationPintadesMâles[[#This Row],[aliment]],Règles_pintades[Ration]&amp;Règles_pintades[Aliment],0))="s2",IF(AlimentsRationPintadesMâles[[#This Row],[aliment]]=animaux!$J$112,1)),
INDEX(Règles_pintades[Specificite],MATCH(animaux!$J$99&amp;AlimentsRationPintadesMâles[[#This Row],[aliment]],Règles_pintades[Ration]&amp;Règles_pintades[Aliment],0))="c"),
INDEX(Règles_pintades[Valeur 0-1],MATCH(animaux!$J$99&amp;AlimentsRationPintadesMâles[[#This Row],[aliment]],Règles_pintades[Ration]&amp;Règles_pintades[Aliment],0)),0),0)*SUM(animaux!$C$99:$C$100)*SUM($P$76:$P$76))</calculatedColumnFormula>
    </tableColumn>
    <tableColumn id="5" name="somme" dataDxfId="646">
      <calculatedColumnFormula>SUM(AlimentsRationPintadesMâles[[#This Row],[Valeur 9 et plus]:[Valeur 0-1]])</calculatedColumnFormula>
    </tableColumn>
  </tableColumns>
  <tableStyleInfo name="TableStyleMedium9" showFirstColumn="0" showLastColumn="0" showRowStripes="1" showColumnStripes="0"/>
</table>
</file>

<file path=xl/tables/table18.xml><?xml version="1.0" encoding="utf-8"?>
<table xmlns="http://schemas.openxmlformats.org/spreadsheetml/2006/main" id="24" name="Règles_ovins" displayName="Règles_ovins" ref="DN65:DT146" totalsRowShown="0" headerRowDxfId="645" dataDxfId="643" headerRowBorderDxfId="644" tableBorderDxfId="642" totalsRowBorderDxfId="641">
  <autoFilter ref="DN65:DT146"/>
  <tableColumns count="7">
    <tableColumn id="1" name="Ration" dataDxfId="640"/>
    <tableColumn id="2" name="Aliment" dataDxfId="639"/>
    <tableColumn id="3" name="Specificite" dataDxfId="638"/>
    <tableColumn id="4" name="Valeur 12 et plus" dataDxfId="637"/>
    <tableColumn id="5" name="Valeur 6-12" dataDxfId="636"/>
    <tableColumn id="6" name="Valeur 3-6" dataDxfId="635"/>
    <tableColumn id="7" name="Valeur 0-3" dataDxfId="634"/>
  </tableColumns>
  <tableStyleInfo name="TableStyleMedium9" showFirstColumn="0" showLastColumn="0" showRowStripes="1" showColumnStripes="0"/>
</table>
</file>

<file path=xl/tables/table19.xml><?xml version="1.0" encoding="utf-8"?>
<table xmlns="http://schemas.openxmlformats.org/spreadsheetml/2006/main" id="26" name="Ration_complète_ovins" displayName="Ration_complète_ovins" ref="DN233:DS234" totalsRowShown="0" headerRowDxfId="633" dataDxfId="631" headerRowBorderDxfId="632" tableBorderDxfId="630" totalsRowBorderDxfId="629">
  <autoFilter ref="DN233:DS234"/>
  <tableColumns count="6">
    <tableColumn id="1" name="aliment" dataDxfId="628"/>
    <tableColumn id="2" name="Valeur 12 et plus" dataDxfId="627"/>
    <tableColumn id="3" name="Valeur 6-12" dataDxfId="626"/>
    <tableColumn id="4" name="Valeur 3-6" dataDxfId="625"/>
    <tableColumn id="5" name="Valeur 0-3" dataDxfId="624"/>
    <tableColumn id="6" name="somme" dataDxfId="623">
      <calculatedColumnFormula>SUM(Ration_complète_ovins[[Valeur 12 et plus]:[Valeur 0-3]])</calculatedColumnFormula>
    </tableColumn>
  </tableColumns>
  <tableStyleInfo name="TableStyleMedium9" showFirstColumn="0" showLastColumn="0" showRowStripes="1" showColumnStripes="0"/>
</table>
</file>

<file path=xl/tables/table20.xml><?xml version="1.0" encoding="utf-8"?>
<table xmlns="http://schemas.openxmlformats.org/spreadsheetml/2006/main" id="28" name="Ration_hivernale_complète_ovins" displayName="Ration_hivernale_complète_ovins" ref="DN279:DS280" totalsRowShown="0" headerRowDxfId="622" dataDxfId="620" headerRowBorderDxfId="621" tableBorderDxfId="619" totalsRowBorderDxfId="618">
  <autoFilter ref="DN279:DS280"/>
  <tableColumns count="6">
    <tableColumn id="1" name="aliment" dataDxfId="617"/>
    <tableColumn id="2" name="Valeur 12 et plus" dataDxfId="616"/>
    <tableColumn id="3" name="Valeur 6-12" dataDxfId="615"/>
    <tableColumn id="4" name="Valeur 3-6" dataDxfId="614"/>
    <tableColumn id="5" name="Valeur 0-3" dataDxfId="613"/>
    <tableColumn id="6" name="somme" dataDxfId="612">
      <calculatedColumnFormula>SUM(Ration_hivernale_complète_ovins[[Valeur 12 et plus]:[Valeur 0-3]])</calculatedColumnFormula>
    </tableColumn>
  </tableColumns>
  <tableStyleInfo name="TableStyleMedium9" showFirstColumn="0" showLastColumn="0" showRowStripes="1" showColumnStripes="0"/>
</table>
</file>

<file path=xl/tables/table21.xml><?xml version="1.0" encoding="utf-8"?>
<table xmlns="http://schemas.openxmlformats.org/spreadsheetml/2006/main" id="29" name="Règles_daims" displayName="Règles_daims" ref="DV11:EE27" totalsRowShown="0" headerRowDxfId="611" dataDxfId="609" headerRowBorderDxfId="610" tableBorderDxfId="608" totalsRowBorderDxfId="607">
  <autoFilter ref="DV11:EE27"/>
  <tableColumns count="10">
    <tableColumn id="1" name="Ration" dataDxfId="606"/>
    <tableColumn id="2" name="Aliment" dataDxfId="605"/>
    <tableColumn id="3" name="Specificite" dataDxfId="604"/>
    <tableColumn id="4" name="Valeur 36 et plus" dataDxfId="603"/>
    <tableColumn id="5" name="Valeur 24-36" dataDxfId="602"/>
    <tableColumn id="7" name="Valeur 18-24" dataDxfId="601"/>
    <tableColumn id="6" name="Valeur 12-18" dataDxfId="600"/>
    <tableColumn id="8" name="Valeur 6-12" dataDxfId="599"/>
    <tableColumn id="9" name="Valeur 3-6" dataDxfId="598"/>
    <tableColumn id="10" name="Valeur 0-3" dataDxfId="597"/>
  </tableColumns>
  <tableStyleInfo name="TableStyleMedium9" showFirstColumn="0" showLastColumn="0" showRowStripes="1" showColumnStripes="0"/>
</table>
</file>

<file path=xl/tables/table22.xml><?xml version="1.0" encoding="utf-8"?>
<table xmlns="http://schemas.openxmlformats.org/spreadsheetml/2006/main" id="31" name="Ration_complète_daims" displayName="Ration_complète_daims" ref="DV73:ED74" totalsRowShown="0" headerRowDxfId="596" dataDxfId="594" headerRowBorderDxfId="595" tableBorderDxfId="593" totalsRowBorderDxfId="592">
  <autoFilter ref="DV73:ED74"/>
  <tableColumns count="9">
    <tableColumn id="1" name="aliment" dataDxfId="591"/>
    <tableColumn id="2" name="Valeur 36 et plus" dataDxfId="590"/>
    <tableColumn id="3" name="Valeur 24-36" dataDxfId="589"/>
    <tableColumn id="4" name="Valeur 18-24" dataDxfId="588"/>
    <tableColumn id="5" name="Valeur 12-18" dataDxfId="587"/>
    <tableColumn id="6" name="Valeur 6-12" dataDxfId="586"/>
    <tableColumn id="7" name="Valeur 3-6" dataDxfId="585"/>
    <tableColumn id="8" name="Valeur 0-3" dataDxfId="584"/>
    <tableColumn id="9" name="somme" dataDxfId="583">
      <calculatedColumnFormula>SUM(Ration_complète_daims[[Valeur 36 et plus]:[Valeur 0-3]])</calculatedColumnFormula>
    </tableColumn>
  </tableColumns>
  <tableStyleInfo name="TableStyleMedium9" showFirstColumn="0" showLastColumn="0" showRowStripes="1" showColumnStripes="0"/>
</table>
</file>

<file path=xl/tables/table23.xml><?xml version="1.0" encoding="utf-8"?>
<table xmlns="http://schemas.openxmlformats.org/spreadsheetml/2006/main" id="35" name="Règles_oies" displayName="Règles_oies" ref="EG31:EL48" totalsRowShown="0" headerRowDxfId="582" dataDxfId="580" headerRowBorderDxfId="581" tableBorderDxfId="579" totalsRowBorderDxfId="578">
  <autoFilter ref="EG31:EL48"/>
  <tableColumns count="6">
    <tableColumn id="1" name="Ration" dataDxfId="577"/>
    <tableColumn id="2" name="Aliment" dataDxfId="576"/>
    <tableColumn id="3" name="Specificite" dataDxfId="575"/>
    <tableColumn id="4" name="Valeur 6 et plus" dataDxfId="574"/>
    <tableColumn id="5" name="Valeur 3-6" dataDxfId="573"/>
    <tableColumn id="7" name="Valeur 0-3" dataDxfId="572"/>
  </tableColumns>
  <tableStyleInfo name="TableStyleMedium9" showFirstColumn="0" showLastColumn="0" showRowStripes="1" showColumnStripes="0"/>
</table>
</file>

<file path=xl/tables/table24.xml><?xml version="1.0" encoding="utf-8"?>
<table xmlns="http://schemas.openxmlformats.org/spreadsheetml/2006/main" id="36" name="AlimentsRationOiesMâles" displayName="AlimentsRationOiesMâles" ref="EG52:EK91" totalsRowShown="0" headerRowDxfId="571" dataDxfId="569" headerRowBorderDxfId="570" tableBorderDxfId="568" totalsRowBorderDxfId="567">
  <autoFilter ref="EG52:EK91"/>
  <tableColumns count="5">
    <tableColumn id="1" name="aliment" dataDxfId="566"/>
    <tableColumn id="2" name="Valeur 6 et plus" dataDxfId="565">
      <calculatedColumnFormula array="1">IF(animaux!$J$141=BDD!$M$2,0,IFERROR(IF(OR(AND(INDEX(Règles_oies[Specificite],MATCH(animaux!$J$138&amp;AlimentsRationOiesMâles[[#This Row],[aliment]],Règles_oies[Ration]&amp;Règles_oies[Aliment],0))="s1",IF(AlimentsRationOiesMâles[[#This Row],[aliment]]=animaux!$J$147,1)),
AND(INDEX(Règles_oies[Specificite],MATCH(animaux!$J$138&amp;AlimentsRationOiesMâles[[#This Row],[aliment]],Règles_oies[Ration]&amp;Règles_oies[Aliment],0))="s2",IF(AlimentsRationOiesMâles[[#This Row],[aliment]]=animaux!$J$148,1)),
INDEX(Règles_oies[Specificite],MATCH(animaux!$J$138&amp;AlimentsRationOiesMâles[[#This Row],[aliment]],Règles_oies[Ration]&amp;Règles_oies[Aliment],0))="c"),
INDEX(Règles_oies[Valeur 6 et plus],MATCH(animaux!$J$138&amp;AlimentsRationOiesMâles[[#This Row],[aliment]],Règles_oies[Ration]&amp;Règles_oies[Aliment],0)),0),0)*SUM(animaux!$C$142:$C$143)*SUM($P$76:$P$76))</calculatedColumnFormula>
    </tableColumn>
    <tableColumn id="3" name="Valeur 3-6" dataDxfId="564">
      <calculatedColumnFormula array="1">IF(animaux!$J$141=BDD!$M$2,0,IFERROR(IF(OR(AND(INDEX(Règles_oies[Specificite],MATCH(animaux!$J$138&amp;AlimentsRationOiesMâles[[#This Row],[aliment]],Règles_oies[Ration]&amp;Règles_oies[Aliment],0))="s1",IF(AlimentsRationOiesMâles[[#This Row],[aliment]]=animaux!$J$147,1)),
AND(INDEX(Règles_oies[Specificite],MATCH(animaux!$J$138&amp;AlimentsRationOiesMâles[[#This Row],[aliment]],Règles_oies[Ration]&amp;Règles_oies[Aliment],0))="s2",IF(AlimentsRationOiesMâles[[#This Row],[aliment]]=animaux!$J$148,1)),
INDEX(Règles_oies[Specificite],MATCH(animaux!$J$138&amp;AlimentsRationOiesMâles[[#This Row],[aliment]],Règles_oies[Ration]&amp;Règles_oies[Aliment],0))="c"),
INDEX(Règles_oies[Valeur 3-6],MATCH(animaux!$J$138&amp;AlimentsRationOiesMâles[[#This Row],[aliment]],Règles_oies[Ration]&amp;Règles_oies[Aliment],0)),0),0)*SUM(animaux!$C$142:$C$143)*SUM($P$76:$P$76))</calculatedColumnFormula>
    </tableColumn>
    <tableColumn id="4" name="Valeur 0-3" dataDxfId="563">
      <calculatedColumnFormula array="1">IF(animaux!$J$141=BDD!$M$2,0,IFERROR(IF(OR(AND(INDEX(Règles_oies[Specificite],MATCH(animaux!$J$138&amp;AlimentsRationOiesMâles[[#This Row],[aliment]],Règles_oies[Ration]&amp;Règles_oies[Aliment],0))="s1",IF(AlimentsRationOiesMâles[[#This Row],[aliment]]=animaux!$J$147,1)),
AND(INDEX(Règles_oies[Specificite],MATCH(animaux!$J$138&amp;AlimentsRationOiesMâles[[#This Row],[aliment]],Règles_oies[Ration]&amp;Règles_oies[Aliment],0))="s2",IF(AlimentsRationOiesMâles[[#This Row],[aliment]]=animaux!$J$148,1)),
INDEX(Règles_oies[Specificite],MATCH(animaux!$J$138&amp;AlimentsRationOiesMâles[[#This Row],[aliment]],Règles_oies[Ration]&amp;Règles_oies[Aliment],0))="c"),
INDEX(Règles_oies[Valeur 0-3],MATCH(animaux!$J$138&amp;AlimentsRationOiesMâles[[#This Row],[aliment]],Règles_oies[Ration]&amp;Règles_oies[Aliment],0)),0),0)*SUM(animaux!$C$142:$C$143)*SUM($P$76:$P$76))</calculatedColumnFormula>
    </tableColumn>
    <tableColumn id="5" name="somme" dataDxfId="562">
      <calculatedColumnFormula>SUM(AlimentsRationOiesMâles[[#This Row],[Valeur 6 et plus]:[Valeur 0-3]])</calculatedColumnFormula>
    </tableColumn>
  </tableColumns>
  <tableStyleInfo name="TableStyleMedium9" showFirstColumn="0" showLastColumn="0" showRowStripes="1" showColumnStripes="0"/>
</table>
</file>

<file path=xl/tables/table25.xml><?xml version="1.0" encoding="utf-8"?>
<table xmlns="http://schemas.openxmlformats.org/spreadsheetml/2006/main" id="37" name="Ration_complète_oies" displayName="Ration_complète_oies" ref="EG136:EK137" totalsRowShown="0" headerRowDxfId="561" dataDxfId="559" headerRowBorderDxfId="560" tableBorderDxfId="558" totalsRowBorderDxfId="557">
  <autoFilter ref="EG136:EK137"/>
  <tableColumns count="5">
    <tableColumn id="1" name="aliment" dataDxfId="556"/>
    <tableColumn id="2" name="Valeur 6 et plus" dataDxfId="555"/>
    <tableColumn id="3" name="Valeur 3-6" dataDxfId="554"/>
    <tableColumn id="4" name="Valeur 0-3" dataDxfId="553"/>
    <tableColumn id="5" name="somme" dataDxfId="552">
      <calculatedColumnFormula>SUM(Ration_complète_oies[[Valeur 6 et plus]:[Valeur 0-3]])</calculatedColumnFormula>
    </tableColumn>
  </tableColumns>
  <tableStyleInfo name="TableStyleMedium9" showFirstColumn="0" showLastColumn="0" showRowStripes="1" showColumnStripes="0"/>
</table>
</file>

<file path=xl/tables/table26.xml><?xml version="1.0" encoding="utf-8"?>
<table xmlns="http://schemas.openxmlformats.org/spreadsheetml/2006/main" id="38" name="Règles_canards" displayName="Règles_canards" ref="EN30:ES47" totalsRowShown="0" headerRowDxfId="551" dataDxfId="549" headerRowBorderDxfId="550" tableBorderDxfId="548" totalsRowBorderDxfId="547">
  <autoFilter ref="EN30:ES47"/>
  <tableColumns count="6">
    <tableColumn id="1" name="Ration" dataDxfId="546"/>
    <tableColumn id="2" name="Aliment" dataDxfId="545"/>
    <tableColumn id="3" name="Specificite" dataDxfId="544"/>
    <tableColumn id="4" name="Valeur 6 et plus" dataDxfId="543"/>
    <tableColumn id="5" name="Valeur 3-6" dataDxfId="542"/>
    <tableColumn id="7" name="Valeur 0-3" dataDxfId="541"/>
  </tableColumns>
  <tableStyleInfo name="TableStyleMedium9" showFirstColumn="0" showLastColumn="0" showRowStripes="1" showColumnStripes="0"/>
</table>
</file>

<file path=xl/tables/table27.xml><?xml version="1.0" encoding="utf-8"?>
<table xmlns="http://schemas.openxmlformats.org/spreadsheetml/2006/main" id="39" name="Ration_canards_Mâles" displayName="Ration_canards_Mâles" ref="EN51:ER90" totalsRowShown="0" headerRowDxfId="540" dataDxfId="538" headerRowBorderDxfId="539" tableBorderDxfId="537" totalsRowBorderDxfId="536">
  <autoFilter ref="EN51:ER90"/>
  <tableColumns count="5">
    <tableColumn id="1" name="aliment" dataDxfId="535"/>
    <tableColumn id="2" name="Valeur 6 et plus" dataDxfId="534">
      <calculatedColumnFormula array="1">IF(animaux!$J$157=OUI,0,IFERROR(IF(OR(AND(INDEX(Règles_canards[Specificite],MATCH(animaux!$J$154&amp;Ration_canards_Mâles[[#This Row],[aliment]],Règles_canards[Ration]&amp;Règles_canards[Aliment],0))="s1",IF(Ration_canards_Mâles[[#This Row],[aliment]]=animaux!$J$163,1)),
AND(INDEX(Règles_canards[Specificite],MATCH(animaux!$J$154&amp;Ration_canards_Mâles[[#This Row],[aliment]],Règles_canards[Ration]&amp;Règles_canards[Aliment],0))="s2",IF(Ration_canards_Mâles[[#This Row],[aliment]]=animaux!$J$164,1)),
INDEX(Règles_canards[Specificite],MATCH(animaux!$J$154&amp;Ration_canards_Mâles[[#This Row],[aliment]],Règles_canards[Ration]&amp;Règles_canards[Aliment],0))="c"),
INDEX(Règles_canards[Valeur 6 et plus],MATCH(animaux!$J$154&amp;Ration_canards_Mâles[[#This Row],[aliment]],Règles_canards[Ration]&amp;Règles_canards[Aliment],0)),0),0)*SUM(animaux!$C$158:$C$159)*SUM($P$76:$P$76))</calculatedColumnFormula>
    </tableColumn>
    <tableColumn id="3" name="Valeur 3-6" dataDxfId="533">
      <calculatedColumnFormula array="1">IF(animaux!$J$157=OUI,0,IFERROR(IF(OR(AND(INDEX(Règles_canards[Specificite],MATCH(animaux!$J$154&amp;Ration_canards_Mâles[[#This Row],[aliment]],Règles_canards[Ration]&amp;Règles_canards[Aliment],0))="s1",IF(Ration_canards_Mâles[[#This Row],[aliment]]=animaux!$J$163,1)),
AND(INDEX(Règles_canards[Specificite],MATCH(animaux!$J$154&amp;Ration_canards_Mâles[[#This Row],[aliment]],Règles_canards[Ration]&amp;Règles_canards[Aliment],0))="s2",IF(Ration_canards_Mâles[[#This Row],[aliment]]=animaux!$J$164,1)),
INDEX(Règles_canards[Specificite],MATCH(animaux!$J$154&amp;Ration_canards_Mâles[[#This Row],[aliment]],Règles_canards[Ration]&amp;Règles_canards[Aliment],0))="c"),
INDEX(Règles_canards[Valeur 3-6],MATCH(animaux!$J$154&amp;Ration_canards_Mâles[[#This Row],[aliment]],Règles_canards[Ration]&amp;Règles_canards[Aliment],0)),0),0)*SUM(animaux!$C$158:$C$159)*SUM($P$76:$P$76))</calculatedColumnFormula>
    </tableColumn>
    <tableColumn id="4" name="Valeur 0-3" dataDxfId="532">
      <calculatedColumnFormula array="1">IF(animaux!$J$157=OUI,0,IFERROR(IF(OR(AND(INDEX(Règles_canards[Specificite],MATCH(animaux!$J$154&amp;Ration_canards_Mâles[[#This Row],[aliment]],Règles_canards[Ration]&amp;Règles_canards[Aliment],0))="s1",IF(Ration_canards_Mâles[[#This Row],[aliment]]=animaux!$J$163,1)),
AND(INDEX(Règles_canards[Specificite],MATCH(animaux!$J$154&amp;Ration_canards_Mâles[[#This Row],[aliment]],Règles_canards[Ration]&amp;Règles_canards[Aliment],0))="s2",IF(Ration_canards_Mâles[[#This Row],[aliment]]=animaux!$J$164,1)),
INDEX(Règles_canards[Specificite],MATCH(animaux!$J$154&amp;Ration_canards_Mâles[[#This Row],[aliment]],Règles_canards[Ration]&amp;Règles_canards[Aliment],0))="c"),
INDEX(Règles_canards[Valeur 0-3],MATCH(animaux!$J$154&amp;Ration_canards_Mâles[[#This Row],[aliment]],Règles_canards[Ration]&amp;Règles_canards[Aliment],0)),0),0)*SUM(animaux!$C$158:$C$159)*SUM($P$76:$P$76))</calculatedColumnFormula>
    </tableColumn>
    <tableColumn id="5" name="somme" dataDxfId="531">
      <calculatedColumnFormula>SUM(Ration_canards_Mâles[[#This Row],[Valeur 6 et plus]:[Valeur 0-3]])</calculatedColumnFormula>
    </tableColumn>
  </tableColumns>
  <tableStyleInfo name="TableStyleMedium9" showFirstColumn="0" showLastColumn="0" showRowStripes="1" showColumnStripes="0"/>
</table>
</file>

<file path=xl/tables/table28.xml><?xml version="1.0" encoding="utf-8"?>
<table xmlns="http://schemas.openxmlformats.org/spreadsheetml/2006/main" id="40" name="Ration_complète_canards" displayName="Ration_complète_canards" ref="EN135:ER136" totalsRowShown="0" headerRowDxfId="530" dataDxfId="528" headerRowBorderDxfId="529" tableBorderDxfId="527" totalsRowBorderDxfId="526">
  <autoFilter ref="EN135:ER136"/>
  <tableColumns count="5">
    <tableColumn id="1" name="aliment" dataDxfId="525"/>
    <tableColumn id="2" name="Valeur 6 et plus" dataDxfId="524"/>
    <tableColumn id="3" name="Valeur 3-6" dataDxfId="523"/>
    <tableColumn id="4" name="Valeur 0-3" dataDxfId="522"/>
    <tableColumn id="5" name="somme" dataDxfId="521">
      <calculatedColumnFormula>SUM(Ration_complète_canards[[Valeur 6 et plus]:[Valeur 0-3]])</calculatedColumnFormula>
    </tableColumn>
  </tableColumns>
  <tableStyleInfo name="TableStyleMedium9" showFirstColumn="0" showLastColumn="0" showRowStripes="1" showColumnStripes="0"/>
</table>
</file>

<file path=xl/tables/table29.xml><?xml version="1.0" encoding="utf-8"?>
<table xmlns="http://schemas.openxmlformats.org/spreadsheetml/2006/main" id="41" name="Règles_chevaux_selle" displayName="Règles_chevaux_selle" ref="EU38:FA55" totalsRowShown="0" headerRowDxfId="520" dataDxfId="518" headerRowBorderDxfId="519" tableBorderDxfId="517" totalsRowBorderDxfId="516">
  <autoFilter ref="EU38:FA55"/>
  <tableColumns count="7">
    <tableColumn id="1" name="Ration" dataDxfId="515"/>
    <tableColumn id="2" name="Aliment" dataDxfId="514"/>
    <tableColumn id="3" name="Specificite" dataDxfId="513"/>
    <tableColumn id="4" name="Valeur 36 et plus" dataDxfId="512"/>
    <tableColumn id="5" name="Valeur 24-36" dataDxfId="511"/>
    <tableColumn id="7" name="Valeur 12-24" dataDxfId="510"/>
    <tableColumn id="6" name="Valeur 0-12" dataDxfId="509"/>
  </tableColumns>
  <tableStyleInfo name="TableStyleMedium9" showFirstColumn="0" showLastColumn="0" showRowStripes="1" showColumnStripes="0"/>
</table>
</file>

<file path=xl/tables/table30.xml><?xml version="1.0" encoding="utf-8"?>
<table xmlns="http://schemas.openxmlformats.org/spreadsheetml/2006/main" id="43" name="Ration_complète_chevaux_selle" displayName="Ration_complète_chevaux_selle" ref="EU143:EZ144" totalsRowShown="0" headerRowDxfId="508" dataDxfId="506" headerRowBorderDxfId="507" tableBorderDxfId="505" totalsRowBorderDxfId="504">
  <autoFilter ref="EU143:EZ144"/>
  <tableColumns count="6">
    <tableColumn id="1" name="aliment" dataDxfId="503"/>
    <tableColumn id="2" name="Valeur 36 et plus" dataDxfId="502"/>
    <tableColumn id="3" name="Valeur 24-36" dataDxfId="501"/>
    <tableColumn id="4" name="Valeur 12-24" dataDxfId="500"/>
    <tableColumn id="5" name="Valeur 0-12" dataDxfId="499"/>
    <tableColumn id="6" name="somme" dataDxfId="498">
      <calculatedColumnFormula>SUM(Ration_complète_chevaux_selle[[Valeur 36 et plus]:[Valeur 0-12]])</calculatedColumnFormula>
    </tableColumn>
  </tableColumns>
  <tableStyleInfo name="TableStyleMedium9" showFirstColumn="0" showLastColumn="0" showRowStripes="1" showColumnStripes="0"/>
</table>
</file>

<file path=xl/tables/table31.xml><?xml version="1.0" encoding="utf-8"?>
<table xmlns="http://schemas.openxmlformats.org/spreadsheetml/2006/main" id="46" name="Règles_chevaux_trait" displayName="Règles_chevaux_trait" ref="FD32:FJ49" totalsRowShown="0" headerRowDxfId="497" dataDxfId="495" headerRowBorderDxfId="496" tableBorderDxfId="494" totalsRowBorderDxfId="493">
  <autoFilter ref="FD32:FJ49"/>
  <tableColumns count="7">
    <tableColumn id="1" name="Ration" dataDxfId="492"/>
    <tableColumn id="2" name="Aliment" dataDxfId="491"/>
    <tableColumn id="3" name="Specificite" dataDxfId="490"/>
    <tableColumn id="4" name="Valeur 36 et plus" dataDxfId="489"/>
    <tableColumn id="5" name="Valeur 24-36" dataDxfId="488"/>
    <tableColumn id="7" name="Valeur 12-24" dataDxfId="487"/>
    <tableColumn id="6" name="Valeur 0-12" dataDxfId="486"/>
  </tableColumns>
  <tableStyleInfo name="TableStyleMedium9" showFirstColumn="0" showLastColumn="0" showRowStripes="1" showColumnStripes="0"/>
</table>
</file>

<file path=xl/tables/table32.xml><?xml version="1.0" encoding="utf-8"?>
<table xmlns="http://schemas.openxmlformats.org/spreadsheetml/2006/main" id="48" name="Ration_complète_chevaux_trait" displayName="Ration_complète_chevaux_trait" ref="FD137:FI138" totalsRowShown="0" headerRowDxfId="485" dataDxfId="483" headerRowBorderDxfId="484" tableBorderDxfId="482" totalsRowBorderDxfId="481">
  <autoFilter ref="FD137:FI138"/>
  <tableColumns count="6">
    <tableColumn id="1" name="aliment" dataDxfId="480"/>
    <tableColumn id="2" name="Valeur 36 et plus" dataDxfId="479"/>
    <tableColumn id="3" name="Valeur 24-36" dataDxfId="478"/>
    <tableColumn id="4" name="Valeur 12-24" dataDxfId="477"/>
    <tableColumn id="5" name="Valeur 0-12" dataDxfId="476"/>
    <tableColumn id="6" name="somme" dataDxfId="475">
      <calculatedColumnFormula>SUM(Ration_complète_chevaux_trait[[Valeur 36 et plus]:[Valeur 0-12]])</calculatedColumnFormula>
    </tableColumn>
  </tableColumns>
  <tableStyleInfo name="TableStyleMedium9" showFirstColumn="0" showLastColumn="0" showRowStripes="1" showColumnStripes="0"/>
</table>
</file>

<file path=xl/tables/table33.xml><?xml version="1.0" encoding="utf-8"?>
<table xmlns="http://schemas.openxmlformats.org/spreadsheetml/2006/main" id="49" name="Règles_poneys" displayName="Règles_poneys" ref="FN31:FT48" totalsRowShown="0" headerRowDxfId="474" dataDxfId="472" headerRowBorderDxfId="473" tableBorderDxfId="471" totalsRowBorderDxfId="470">
  <autoFilter ref="FN31:FT48"/>
  <tableColumns count="7">
    <tableColumn id="1" name="Ration" dataDxfId="469"/>
    <tableColumn id="2" name="Aliment" dataDxfId="468"/>
    <tableColumn id="3" name="Specificite" dataDxfId="467"/>
    <tableColumn id="4" name="Valeur 36 et plus" dataDxfId="466"/>
    <tableColumn id="5" name="Valeur 24-36" dataDxfId="465"/>
    <tableColumn id="7" name="Valeur 12-24" dataDxfId="464"/>
    <tableColumn id="6" name="Valeur 0-12" dataDxfId="463"/>
  </tableColumns>
  <tableStyleInfo name="TableStyleMedium9" showFirstColumn="0" showLastColumn="0" showRowStripes="1" showColumnStripes="0"/>
</table>
</file>

<file path=xl/tables/table34.xml><?xml version="1.0" encoding="utf-8"?>
<table xmlns="http://schemas.openxmlformats.org/spreadsheetml/2006/main" id="51" name="Ration_complète_poneys" displayName="Ration_complète_poneys" ref="FN136:FS137" totalsRowShown="0" headerRowDxfId="462" dataDxfId="460" headerRowBorderDxfId="461" tableBorderDxfId="459" totalsRowBorderDxfId="458">
  <autoFilter ref="FN136:FS137"/>
  <tableColumns count="6">
    <tableColumn id="1" name="aliment" dataDxfId="457"/>
    <tableColumn id="2" name="Valeur 36 et plus" dataDxfId="456"/>
    <tableColumn id="3" name="Valeur 24-36" dataDxfId="455"/>
    <tableColumn id="4" name="Valeur 12-24" dataDxfId="454"/>
    <tableColumn id="5" name="Valeur 0-12" dataDxfId="453"/>
    <tableColumn id="6" name="somme" dataDxfId="452">
      <calculatedColumnFormula>SUM(Ration_complète_poneys[[Valeur 36 et plus]:[Valeur 0-12]])</calculatedColumnFormula>
    </tableColumn>
  </tableColumns>
  <tableStyleInfo name="TableStyleMedium9" showFirstColumn="0" showLastColumn="0" showRowStripes="1" showColumnStripes="0"/>
</table>
</file>

<file path=xl/tables/table35.xml><?xml version="1.0" encoding="utf-8"?>
<table xmlns="http://schemas.openxmlformats.org/spreadsheetml/2006/main" id="32" name="Règles_gavage" displayName="Règles_gavage" ref="FW21:GC38" totalsRowShown="0" headerRowDxfId="451" dataDxfId="449" headerRowBorderDxfId="450" tableBorderDxfId="448" totalsRowBorderDxfId="447">
  <autoFilter ref="FW21:GC38"/>
  <tableColumns count="7">
    <tableColumn id="1" name="Ration" dataDxfId="446"/>
    <tableColumn id="2" name="Aliment" dataDxfId="445"/>
    <tableColumn id="3" name="Specificite" dataDxfId="444"/>
    <tableColumn id="6" name="Valeur 6 et plus" dataDxfId="443"/>
    <tableColumn id="4" name="Valeur 2-3" dataDxfId="442"/>
    <tableColumn id="5" name="Valeur 1-2" dataDxfId="441"/>
    <tableColumn id="7" name="Valeur 0-1" dataDxfId="440"/>
  </tableColumns>
  <tableStyleInfo name="TableStyleMedium9" showFirstColumn="0" showLastColumn="0" showRowStripes="1" showColumnStripes="0"/>
</table>
</file>

<file path=xl/tables/table36.xml><?xml version="1.0" encoding="utf-8"?>
<table xmlns="http://schemas.openxmlformats.org/spreadsheetml/2006/main" id="33" name="AlimentsGavageOies" displayName="AlimentsGavageOies" ref="FW42:GB81" totalsRowShown="0" headerRowDxfId="439" dataDxfId="437" headerRowBorderDxfId="438" tableBorderDxfId="436" totalsRowBorderDxfId="435">
  <autoFilter ref="FW42:GB81"/>
  <tableColumns count="6">
    <tableColumn id="1" name="aliment" dataDxfId="434"/>
    <tableColumn id="2" name="Valeur 6 et plus" dataDxfId="433">
      <calculatedColumnFormula array="1">IF(animaux!$J$173=$M$2,0,IFERROR(IF(OR(AND(INDEX(Règles_gavage[Specificite],MATCH(animaux!$J$170&amp;AlimentsGavageOies[[#This Row],[aliment]],Règles_gavage[Ration]&amp;Règles_gavage[Aliment],0))="s1",IF(AlimentsGavageOies[[#This Row],[aliment]]=animaux!$J$179,1)),
AND(INDEX(Règles_gavage[Specificite],MATCH(animaux!$J$170&amp;AlimentsGavageOies[[#This Row],[aliment]],Règles_gavage[Ration]&amp;Règles_gavage[Aliment],0))="s2",IF(AlimentsGavageOies[[#This Row],[aliment]]=animaux!$J$180,1)),
INDEX(Règles_gavage[Specificite],MATCH(animaux!$J$170&amp;AlimentsGavageOies[[#This Row],[aliment]],Règles_gavage[Ration]&amp;Règles_gavage[Aliment],0))="c"),
INDEX(Règles_gavage[Valeur 6 et plus],MATCH(animaux!$J$170&amp;AlimentsGavageOies[[#This Row],[aliment]],Règles_gavage[Ration]&amp;Règles_gavage[Aliment],0)),0),0)*animaux!$G$171*$FY$17)</calculatedColumnFormula>
    </tableColumn>
    <tableColumn id="3" name="Valeur 2-3" dataDxfId="432">
      <calculatedColumnFormula array="1">IF(animaux!$J$173=$M$2,0,IFERROR(IF(OR(AND(INDEX(Règles_gavage[Specificite],MATCH(animaux!$J$170&amp;AlimentsGavageOies[[#This Row],[aliment]],Règles_gavage[Ration]&amp;Règles_gavage[Aliment],0))="s1",IF(AlimentsGavageOies[[#This Row],[aliment]]=animaux!$J$179,1)),
AND(INDEX(Règles_gavage[Specificite],MATCH(animaux!$J$170&amp;AlimentsGavageOies[[#This Row],[aliment]],Règles_gavage[Ration]&amp;Règles_gavage[Aliment],0))="s2",IF(AlimentsGavageOies[[#This Row],[aliment]]=animaux!$J$180,1)),
INDEX(Règles_gavage[Specificite],MATCH(animaux!$J$170&amp;AlimentsGavageOies[[#This Row],[aliment]],Règles_gavage[Ration]&amp;Règles_gavage[Aliment],0))="c"),
INDEX(Règles_gavage[Valeur 2-3],MATCH(animaux!$J$170&amp;AlimentsGavageOies[[#This Row],[aliment]],Règles_gavage[Ration]&amp;Règles_gavage[Aliment],0)),0),0)*animaux!$C$173*$FY$13)</calculatedColumnFormula>
    </tableColumn>
    <tableColumn id="6" name="Valeur 1-2" dataDxfId="431">
      <calculatedColumnFormula array="1">IF(animaux!$J$173=$M$2,0,IFERROR(IF(OR(AND(INDEX(Règles_gavage[Specificite],MATCH(animaux!$J$170&amp;AlimentsGavageOies[[#This Row],[aliment]],Règles_gavage[Ration]&amp;Règles_gavage[Aliment],0))="s1",IF(AlimentsGavageOies[[#This Row],[aliment]]=animaux!$J$179,1)),
AND(INDEX(Règles_gavage[Specificite],MATCH(animaux!$J$170&amp;AlimentsGavageOies[[#This Row],[aliment]],Règles_gavage[Ration]&amp;Règles_gavage[Aliment],0))="s2",IF(AlimentsGavageOies[[#This Row],[aliment]]=animaux!$J$180,1)),
INDEX(Règles_gavage[Specificite],MATCH(animaux!$J$170&amp;AlimentsGavageOies[[#This Row],[aliment]],Règles_gavage[Ration]&amp;Règles_gavage[Aliment],0))="c"),
INDEX(Règles_gavage[Valeur 1-2],MATCH(animaux!$J$170&amp;AlimentsGavageOies[[#This Row],[aliment]],Règles_gavage[Ration]&amp;Règles_gavage[Aliment],0)),0),0)*animaux!$C$172*$FY$12)</calculatedColumnFormula>
    </tableColumn>
    <tableColumn id="4" name="Valeur 0-1" dataDxfId="430">
      <calculatedColumnFormula array="1">IF(animaux!$J$173=$M$2,0,IFERROR(IF(OR(AND(INDEX(Règles_gavage[Specificite],MATCH(animaux!$J$170&amp;AlimentsGavageOies[[#This Row],[aliment]],Règles_gavage[Ration]&amp;Règles_gavage[Aliment],0))="s1",IF(AlimentsGavageOies[[#This Row],[aliment]]=animaux!$J$179,1)),
AND(INDEX(Règles_gavage[Specificite],MATCH(animaux!$J$170&amp;AlimentsGavageOies[[#This Row],[aliment]],Règles_gavage[Ration]&amp;Règles_gavage[Aliment],0))="s2",IF(AlimentsGavageOies[[#This Row],[aliment]]=animaux!$J$180,1)),
INDEX(Règles_gavage[Specificite],MATCH(animaux!$J$170&amp;AlimentsGavageOies[[#This Row],[aliment]],Règles_gavage[Ration]&amp;Règles_gavage[Aliment],0))="c"),
INDEX(Règles_gavage[Valeur 0-1],MATCH(animaux!$J$170&amp;AlimentsGavageOies[[#This Row],[aliment]],Règles_gavage[Ration]&amp;Règles_gavage[Aliment],0)),0),0)*animaux!$C$171*$FY$11)</calculatedColumnFormula>
    </tableColumn>
    <tableColumn id="5" name="somme" dataDxfId="429">
      <calculatedColumnFormula>SUM(AlimentsGavageOies[[#This Row],[Valeur 6 et plus]:[Valeur 0-1]])</calculatedColumnFormula>
    </tableColumn>
  </tableColumns>
  <tableStyleInfo name="TableStyleMedium9" showFirstColumn="0" showLastColumn="0" showRowStripes="1" showColumnStripes="0"/>
</table>
</file>

<file path=xl/tables/table37.xml><?xml version="1.0" encoding="utf-8"?>
<table xmlns="http://schemas.openxmlformats.org/spreadsheetml/2006/main" id="45" name="Ration_complète_gavage_canards" displayName="Ration_complète_gavage_canards" ref="FW131:GB132" totalsRowShown="0" headerRowDxfId="428" dataDxfId="426" headerRowBorderDxfId="427" tableBorderDxfId="425" totalsRowBorderDxfId="424">
  <autoFilter ref="FW131:GB132"/>
  <tableColumns count="6">
    <tableColumn id="1" name="aliment" dataDxfId="423"/>
    <tableColumn id="2" name="Valeur 6 et plus" dataDxfId="422"/>
    <tableColumn id="3" name="Valeur 2-3" dataDxfId="421">
      <calculatedColumnFormula array="1">IF(ChoixRationComplèteFoieGrasCanards=NON,0,IFERROR(IF(OR(AND(INDEX(Règles_gavage[Specificite],MATCH(ChoixRationFoieGrasCanards&amp;Ration_complète_gavage_canards[aliment],Règles_gavage[Ration]&amp;Règles_gavage[Aliment],0))="s1",IF(Ration_complète_gavage_canards[aliment]=ChoixSpécificité1FoieGrasCanards,1)),
AND(INDEX(Règles_gavage[Specificite],MATCH(ChoixRationFoieGrasCanards&amp;Ration_complète_gavage_canards[aliment],Règles_gavage[Ration]&amp;Règles_gavage[Aliment],0))="s2",IF(Ration_complète_gavage_canards[aliment]=ChoixSpécificité2FoieGrasCanards,1)),
INDEX(Règles_gavage[Specificite],MATCH(ChoixRationFoieGrasCanards&amp;Ration_complète_gavage_canards[aliment],Règles_gavage[Ration]&amp;Règles_gavage[Aliment],0))="c",INDEX(Règles_gavage[Specificite],MATCH(ChoixRationFoieGrasCanards&amp;Ration_complète_gavage_canards[aliment],Règles_gavage[Ration]&amp;Règles_gavage[Aliment],0))="complet"),
INDEX(Règles_gavage[Valeur 2-3],MATCH(ChoixRationFoieGrasCanards&amp;Ration_complète_gavage_canards[aliment],Règles_gavage[Ration]&amp;Règles_gavage[Aliment],0)),0),0)*FoieGrasCanetons_2_3mois*DuréePhaseElevage2_3)</calculatedColumnFormula>
    </tableColumn>
    <tableColumn id="4" name="Valeur 1-2" dataDxfId="420">
      <calculatedColumnFormula array="1">IF(ChoixRationComplèteFoieGrasCanards=NON,0,IFERROR(IF(OR(AND(INDEX(Règles_gavage[Specificite],MATCH(ChoixRationFoieGrasCanards&amp;Ration_complète_gavage_canards[aliment],Règles_gavage[Ration]&amp;Règles_gavage[Aliment],0))="s1",IF(Ration_complète_gavage_canards[aliment]=ChoixSpécificité1FoieGrasCanards,1)),
AND(INDEX(Règles_gavage[Specificite],MATCH(ChoixRationFoieGrasCanards&amp;Ration_complète_gavage_canards[aliment],Règles_gavage[Ration]&amp;Règles_gavage[Aliment],0))="s2",IF(Ration_complète_gavage_canards[aliment]=ChoixSpécificité2FoieGrasCanards,1)),
INDEX(Règles_gavage[Specificite],MATCH(ChoixRationFoieGrasCanards&amp;Ration_complète_gavage_canards[aliment],Règles_gavage[Ration]&amp;Règles_gavage[Aliment],0))="c",INDEX(Règles_gavage[Specificite],MATCH(ChoixRationFoieGrasCanards&amp;Ration_complète_gavage_canards[aliment],Règles_gavage[Ration]&amp;Règles_gavage[Aliment],0))="complet"),
INDEX(Règles_gavage[Valeur 1-2],MATCH(ChoixRationFoieGrasCanards&amp;Ration_complète_gavage_canards[aliment],Règles_gavage[Ration]&amp;Règles_gavage[Aliment],0)),0),0)*FoieGrasCanetons_1_2mois*DuréePhaseElevage1_2)</calculatedColumnFormula>
    </tableColumn>
    <tableColumn id="5" name="Valeur 0-1" dataDxfId="419">
      <calculatedColumnFormula array="1">IF(ChoixRationComplèteFoieGrasCanards=NON,0,IFERROR(IF(OR(AND(INDEX(Règles_gavage[Specificite],MATCH(ChoixRationFoieGrasCanards&amp;Ration_complète_gavage_canards[aliment],Règles_gavage[Ration]&amp;Règles_gavage[Aliment],0))="s1",IF(Ration_complète_gavage_canards[aliment]=ChoixSpécificité1FoieGrasCanards,1)),
AND(INDEX(Règles_gavage[Specificite],MATCH(ChoixRationFoieGrasCanards&amp;Ration_complète_gavage_canards[aliment],Règles_gavage[Ration]&amp;Règles_gavage[Aliment],0))="s2",IF(Ration_complète_gavage_canards[aliment]=ChoixSpécificité2FoieGrasCanards,1)),
INDEX(Règles_gavage[Specificite],MATCH(ChoixRationFoieGrasCanards&amp;Ration_complète_gavage_canards[aliment],Règles_gavage[Ration]&amp;Règles_gavage[Aliment],0))="c",INDEX(Règles_gavage[Specificite],MATCH(ChoixRationFoieGrasCanards&amp;Ration_complète_gavage_canards[aliment],Règles_gavage[Ration]&amp;Règles_gavage[Aliment],0))="complet"),
INDEX(Règles_gavage[Valeur 0-1],MATCH(ChoixRationFoieGrasCanards&amp;Ration_complète_gavage_canards[aliment],Règles_gavage[Ration]&amp;Règles_gavage[Aliment],0)),0),0)*FoieGrasCanetons_0_1mois*DuréePhaseElevage0_1)</calculatedColumnFormula>
    </tableColumn>
    <tableColumn id="6" name="somme" dataDxfId="418">
      <calculatedColumnFormula>SUM(Ration_complète_gavage_canards[[Valeur 6 et plus]:[Valeur 0-1]])</calculatedColumnFormula>
    </tableColumn>
  </tableColumns>
  <tableStyleInfo name="TableStyleMedium9" showFirstColumn="0" showLastColumn="0" showRowStripes="1" showColumnStripes="0"/>
</table>
</file>

<file path=xl/tables/table38.xml><?xml version="1.0" encoding="utf-8"?>
<table xmlns="http://schemas.openxmlformats.org/spreadsheetml/2006/main" id="52" name="AlimentsGavageCanards" displayName="AlimentsGavageCanards" ref="FW89:GB128" totalsRowShown="0" headerRowDxfId="417" dataDxfId="415" headerRowBorderDxfId="416" tableBorderDxfId="414" totalsRowBorderDxfId="413">
  <autoFilter ref="FW89:GB128"/>
  <tableColumns count="6">
    <tableColumn id="1" name="aliment" dataDxfId="412">
      <calculatedColumnFormula>FW43</calculatedColumnFormula>
    </tableColumn>
    <tableColumn id="2" name="Valeur 6 et plus" dataDxfId="411">
      <calculatedColumnFormula array="1">IF(animaux!$J$189=$M$2,0,IFERROR(IF(OR(AND(INDEX(Règles_gavage[Specificite],MATCH(animaux!$J$186&amp;AlimentsGavageCanards[[#This Row],[aliment]],Règles_gavage[Ration]&amp;Règles_gavage[Aliment],0))="s1",IF(AlimentsGavageCanards[[#This Row],[aliment]]=animaux!$J$195,1)),
AND(INDEX(Règles_gavage[Specificite],MATCH(animaux!$J$186&amp;AlimentsGavageCanards[[#This Row],[aliment]],Règles_gavage[Ration]&amp;Règles_gavage[Aliment],0))="s2",IF(AlimentsGavageCanards[[#This Row],[aliment]]=animaux!#REF!,1)),
INDEX(Règles_gavage[Specificite],MATCH(animaux!$J$186&amp;AlimentsGavageCanards[[#This Row],[aliment]],Règles_gavage[Ration]&amp;Règles_gavage[Aliment],0))="c"),
INDEX(Règles_gavage[Valeur 6 et plus],MATCH(animaux!$J$186&amp;AlimentsGavageCanards[[#This Row],[aliment]],Règles_gavage[Ration]&amp;Règles_gavage[Aliment],0)),0),0)*animaux!$G$187*$FY$18)</calculatedColumnFormula>
    </tableColumn>
    <tableColumn id="3" name="Valeur 2-3" dataDxfId="410">
      <calculatedColumnFormula array="1">IF(animaux!$J$189=$M$2,0,IFERROR(IF(OR(AND(INDEX(Règles_gavage[Specificite],MATCH(animaux!$J$186&amp;AlimentsGavageCanards[[#This Row],[aliment]],Règles_gavage[Ration]&amp;Règles_gavage[Aliment],0))="s1",IF(AlimentsGavageCanards[[#This Row],[aliment]]=animaux!$J$195,1)),
AND(INDEX(Règles_gavage[Specificite],MATCH(animaux!$J$186&amp;AlimentsGavageCanards[[#This Row],[aliment]],Règles_gavage[Ration]&amp;Règles_gavage[Aliment],0))="s2",IF(AlimentsGavageCanards[[#This Row],[aliment]]=animaux!#REF!,1)),
INDEX(Règles_gavage[Specificite],MATCH(animaux!$J$186&amp;AlimentsGavageCanards[[#This Row],[aliment]],Règles_gavage[Ration]&amp;Règles_gavage[Aliment],0))="c"),
INDEX(Règles_gavage[Valeur 2-3],MATCH(animaux!$J$186&amp;AlimentsGavageCanards[[#This Row],[aliment]],Règles_gavage[Ration]&amp;Règles_gavage[Aliment],0)),0),0)*animaux!$C$189*$FY$13)</calculatedColumnFormula>
    </tableColumn>
    <tableColumn id="6" name="Valeur 1-2" dataDxfId="409">
      <calculatedColumnFormula array="1">IF(animaux!$J$189=$M$2,0,IFERROR(IF(OR(AND(INDEX(Règles_gavage[Specificite],MATCH(animaux!$J$186&amp;AlimentsGavageCanards[[#This Row],[aliment]],Règles_gavage[Ration]&amp;Règles_gavage[Aliment],0))="s1",IF(AlimentsGavageCanards[[#This Row],[aliment]]=animaux!$J$195,1)),
AND(INDEX(Règles_gavage[Specificite],MATCH(animaux!$J$186&amp;AlimentsGavageCanards[[#This Row],[aliment]],Règles_gavage[Ration]&amp;Règles_gavage[Aliment],0))="s2",IF(AlimentsGavageCanards[[#This Row],[aliment]]=animaux!#REF!,1)),
INDEX(Règles_gavage[Specificite],MATCH(animaux!$J$186&amp;AlimentsGavageCanards[[#This Row],[aliment]],Règles_gavage[Ration]&amp;Règles_gavage[Aliment],0))="c"),
INDEX(Règles_gavage[Valeur 1-2],MATCH(animaux!$J$186&amp;AlimentsGavageCanards[[#This Row],[aliment]],Règles_gavage[Ration]&amp;Règles_gavage[Aliment],0)),0),0)*animaux!$C$188*$FY$12)</calculatedColumnFormula>
    </tableColumn>
    <tableColumn id="4" name="Valeur 0-1" dataDxfId="408">
      <calculatedColumnFormula array="1">IF(animaux!$J$189=$M$2,0,IFERROR(IF(OR(AND(INDEX(Règles_gavage[Specificite],MATCH(animaux!$J$186&amp;AlimentsGavageCanards[[#This Row],[aliment]],Règles_gavage[Ration]&amp;Règles_gavage[Aliment],0))="s1",IF(AlimentsGavageCanards[[#This Row],[aliment]]=animaux!$J$195,1)),
AND(INDEX(Règles_gavage[Specificite],MATCH(animaux!$J$186&amp;AlimentsGavageCanards[[#This Row],[aliment]],Règles_gavage[Ration]&amp;Règles_gavage[Aliment],0))="s2",IF(AlimentsGavageCanards[[#This Row],[aliment]]=animaux!#REF!,1)),
INDEX(Règles_gavage[Specificite],MATCH(animaux!$J$186&amp;AlimentsGavageCanards[[#This Row],[aliment]],Règles_gavage[Ration]&amp;Règles_gavage[Aliment],0))="c"),
INDEX(Règles_gavage[Valeur 0-1],MATCH(animaux!$J$186&amp;AlimentsGavageCanards[[#This Row],[aliment]],Règles_gavage[Ration]&amp;Règles_gavage[Aliment],0)),0),0)*animaux!$C$187*$FY$11)</calculatedColumnFormula>
    </tableColumn>
    <tableColumn id="5" name="somme" dataDxfId="407">
      <calculatedColumnFormula>SUM(AlimentsGavageCanards[[#This Row],[Valeur 6 et plus]:[Valeur 0-1]])</calculatedColumnFormula>
    </tableColumn>
  </tableColumns>
  <tableStyleInfo name="TableStyleMedium9" showFirstColumn="0" showLastColumn="0" showRowStripes="1" showColumnStripes="0"/>
</table>
</file>

<file path=xl/tables/table39.xml><?xml version="1.0" encoding="utf-8"?>
<table xmlns="http://schemas.openxmlformats.org/spreadsheetml/2006/main" id="59" name="RèglesLitièreBovins" displayName="RèglesLitièreBovins" ref="BC29:BD34" totalsRowShown="0" headerRowDxfId="406" dataDxfId="404" headerRowBorderDxfId="405" tableBorderDxfId="403" totalsRowBorderDxfId="402">
  <autoFilter ref="BC29:BD34"/>
  <tableColumns count="2">
    <tableColumn id="1" name="Animaux" dataDxfId="401"/>
    <tableColumn id="2" name="Litière" dataDxfId="400"/>
  </tableColumns>
  <tableStyleInfo name="TableStyleMedium9" showFirstColumn="0" showLastColumn="0" showRowStripes="1" showColumnStripes="0"/>
</table>
</file>

<file path=xl/tables/table40.xml><?xml version="1.0" encoding="utf-8"?>
<table xmlns="http://schemas.openxmlformats.org/spreadsheetml/2006/main" id="60" name="RèglesLisierBovins" displayName="RèglesLisierBovins" ref="BF29:BG34" totalsRowShown="0" headerRowDxfId="399" dataDxfId="397" headerRowBorderDxfId="398" tableBorderDxfId="396" totalsRowBorderDxfId="395">
  <autoFilter ref="BF29:BG34"/>
  <tableColumns count="2">
    <tableColumn id="1" name="Animaux" dataDxfId="394"/>
    <tableColumn id="2" name="Lisier" dataDxfId="393"/>
  </tableColumns>
  <tableStyleInfo name="TableStyleMedium9" showFirstColumn="0" showLastColumn="0" showRowStripes="1" showColumnStripes="0"/>
</table>
</file>

<file path=xl/tables/table41.xml><?xml version="1.0" encoding="utf-8"?>
<table xmlns="http://schemas.openxmlformats.org/spreadsheetml/2006/main" id="61" name="LitièreBovins" displayName="LitièreBovins" ref="BB331:BD337" totalsRowCount="1" headerRowDxfId="392" dataDxfId="390" totalsRowDxfId="388" headerRowBorderDxfId="391" tableBorderDxfId="389" totalsRowBorderDxfId="387">
  <autoFilter ref="BB331:BD336"/>
  <tableColumns count="3">
    <tableColumn id="1" name="Animaux" totalsRowLabel="Total" dataDxfId="386" totalsRowDxfId="385"/>
    <tableColumn id="2" name="Litière tout bovins" totalsRowFunction="custom" dataDxfId="384" totalsRowDxfId="383">
      <totalsRowFormula>IF(AND(ChoixPaillageBovins=OUI,OR(ChoixBovinsPréHiver=NON,ChoixBovinsPréHiver="")),SUBTOTAL(109,LitièreBovins[Litière tout bovins]),0)</totalsRowFormula>
    </tableColumn>
    <tableColumn id="3" name="litière races laitières" totalsRowFunction="custom" dataDxfId="382" totalsRowDxfId="381">
      <calculatedColumnFormula>BD30*TotalVachesRacesLaitières</calculatedColumnFormula>
      <totalsRowFormula>IF(AND(ChoixPaillageBovins=OUI,ChoixBovinsPréHiver=OUI),SUBTOTAL(109,LitièreBovins[litière races laitières]),0)</totalsRowFormula>
    </tableColumn>
  </tableColumns>
  <tableStyleInfo name="TableStyleMedium9" showFirstColumn="0" showLastColumn="0" showRowStripes="1" showColumnStripes="0"/>
</table>
</file>

<file path=xl/tables/table42.xml><?xml version="1.0" encoding="utf-8"?>
<table xmlns="http://schemas.openxmlformats.org/spreadsheetml/2006/main" id="62" name="LisierBovins" displayName="LisierBovins" ref="BG331:BH337" totalsRowCount="1" headerRowDxfId="380" dataDxfId="378" totalsRowDxfId="376" headerRowBorderDxfId="379" tableBorderDxfId="377" totalsRowBorderDxfId="375">
  <autoFilter ref="BG331:BH336"/>
  <tableColumns count="2">
    <tableColumn id="1" name="Animaux" totalsRowLabel="Total" dataDxfId="374" totalsRowDxfId="373"/>
    <tableColumn id="2" name="Lisier" totalsRowFunction="sum" dataDxfId="372" totalsRowDxfId="371"/>
  </tableColumns>
  <tableStyleInfo name="TableStyleMedium9" showFirstColumn="0" showLastColumn="0" showRowStripes="1" showColumnStripes="0"/>
</table>
</file>

<file path=xl/tables/table43.xml><?xml version="1.0" encoding="utf-8"?>
<table xmlns="http://schemas.openxmlformats.org/spreadsheetml/2006/main" id="65" name="LitièrePorcins" displayName="LitièrePorcins" ref="CJ129:CK135" totalsRowCount="1" headerRowDxfId="370" dataDxfId="368" totalsRowDxfId="366" headerRowBorderDxfId="369" tableBorderDxfId="367" totalsRowBorderDxfId="365">
  <autoFilter ref="CJ129:CK134"/>
  <tableColumns count="2">
    <tableColumn id="1" name="animaux" totalsRowLabel="Total" dataDxfId="364" totalsRowDxfId="363"/>
    <tableColumn id="2" name="litière" totalsRowFunction="custom" dataDxfId="362" totalsRowDxfId="361">
      <calculatedColumnFormula>CK17*TotalVerrats</calculatedColumnFormula>
      <totalsRowFormula>IF(AND(ChoixPaillagePorcins=OUI,OR(ChoixElevagePorcins=ElevagePorcinsLitière,ChoixElevagePorcins=ElevagePorcinsPleinAir)),SUBTOTAL(109,LitièrePorcins[litière]),0)</totalsRowFormula>
    </tableColumn>
  </tableColumns>
  <tableStyleInfo name="TableStyleMedium9" showFirstColumn="0" showLastColumn="0" showRowStripes="1" showColumnStripes="0"/>
</table>
</file>

<file path=xl/tables/table44.xml><?xml version="1.0" encoding="utf-8"?>
<table xmlns="http://schemas.openxmlformats.org/spreadsheetml/2006/main" id="66" name="LisierPorcins" displayName="LisierPorcins" ref="CM129:CN135" totalsRowCount="1" headerRowDxfId="360" dataDxfId="358" totalsRowDxfId="356" headerRowBorderDxfId="359" tableBorderDxfId="357" totalsRowBorderDxfId="355">
  <autoFilter ref="CM129:CN134"/>
  <tableColumns count="2">
    <tableColumn id="1" name="animaux" totalsRowLabel="Total" dataDxfId="354" totalsRowDxfId="353"/>
    <tableColumn id="2" name="lisier" totalsRowFunction="sum" dataDxfId="352" totalsRowDxfId="351"/>
  </tableColumns>
  <tableStyleInfo name="TableStyleMedium9" showFirstColumn="0" showLastColumn="0" showRowStripes="1" showColumnStripes="0"/>
</table>
</file>

<file path=xl/tables/table45.xml><?xml version="1.0" encoding="utf-8"?>
<table xmlns="http://schemas.openxmlformats.org/spreadsheetml/2006/main" id="67" name="RèglesLitièrePorcins" displayName="RèglesLitièrePorcins" ref="CJ16:CK21" totalsRowShown="0" headerRowDxfId="350" dataDxfId="348" headerRowBorderDxfId="349" tableBorderDxfId="347" totalsRowBorderDxfId="346">
  <autoFilter ref="CJ16:CK21"/>
  <tableColumns count="2">
    <tableColumn id="1" name="animaux" dataDxfId="345"/>
    <tableColumn id="2" name="paille" dataDxfId="344"/>
  </tableColumns>
  <tableStyleInfo name="TableStyleMedium9" showFirstColumn="0" showLastColumn="0" showRowStripes="1" showColumnStripes="0"/>
</table>
</file>

<file path=xl/tables/table46.xml><?xml version="1.0" encoding="utf-8"?>
<table xmlns="http://schemas.openxmlformats.org/spreadsheetml/2006/main" id="68" name="RèglesLisierPorcins" displayName="RèglesLisierPorcins" ref="CM16:CN21" totalsRowShown="0" headerRowDxfId="343" dataDxfId="341" headerRowBorderDxfId="342" tableBorderDxfId="340" totalsRowBorderDxfId="339">
  <autoFilter ref="CM16:CN21"/>
  <tableColumns count="2">
    <tableColumn id="1" name="animaux" dataDxfId="338"/>
    <tableColumn id="2" name="lisier" dataDxfId="337"/>
  </tableColumns>
  <tableStyleInfo name="TableStyleMedium9" showFirstColumn="0" showLastColumn="0" showRowStripes="1" showColumnStripes="0"/>
</table>
</file>

<file path=xl/tables/table47.xml><?xml version="1.0" encoding="utf-8"?>
<table xmlns="http://schemas.openxmlformats.org/spreadsheetml/2006/main" id="57" name="LitièreLapins" displayName="LitièreLapins" ref="CS145:CT151" totalsRowCount="1" headerRowDxfId="336" dataDxfId="334" totalsRowDxfId="332" headerRowBorderDxfId="335" tableBorderDxfId="333" totalsRowBorderDxfId="331">
  <autoFilter ref="CS145:CT150"/>
  <tableColumns count="2">
    <tableColumn id="1" name="animaux" totalsRowLabel="Total" dataDxfId="330" totalsRowDxfId="329"/>
    <tableColumn id="2" name="litière" totalsRowFunction="custom" dataDxfId="328" totalsRowDxfId="327">
      <calculatedColumnFormula>CT22*TotalLapins</calculatedColumnFormula>
      <totalsRowFormula>IF(ChoixPaillageLapins=OUI,SUBTOTAL(109,LitièreLapins[litière]),0)</totalsRowFormula>
    </tableColumn>
  </tableColumns>
  <tableStyleInfo name="TableStyleMedium9" showFirstColumn="0" showLastColumn="0" showRowStripes="1" showColumnStripes="0"/>
</table>
</file>

<file path=xl/tables/table48.xml><?xml version="1.0" encoding="utf-8"?>
<table xmlns="http://schemas.openxmlformats.org/spreadsheetml/2006/main" id="63" name="LitièreVolailles" displayName="LitièreVolailles" ref="CZ144:DA150" totalsRowCount="1" headerRowDxfId="326" dataDxfId="324" totalsRowDxfId="322" headerRowBorderDxfId="325" tableBorderDxfId="323" totalsRowBorderDxfId="321">
  <autoFilter ref="CZ144:DA149"/>
  <tableColumns count="2">
    <tableColumn id="1" name="animaux" totalsRowLabel="Total" dataDxfId="320" totalsRowDxfId="319"/>
    <tableColumn id="2" name="litière" totalsRowFunction="custom" dataDxfId="318" totalsRowDxfId="317">
      <calculatedColumnFormula>DC16</calculatedColumnFormula>
      <totalsRowFormula>IF(ChoixPaillageVolailles=OUI,SUBTOTAL(109,LitièreVolailles[litière]),0)</totalsRowFormula>
    </tableColumn>
  </tableColumns>
  <tableStyleInfo name="TableStyleMedium9" showFirstColumn="0" showLastColumn="0" showRowStripes="1" showColumnStripes="0"/>
</table>
</file>

<file path=xl/tables/table49.xml><?xml version="1.0" encoding="utf-8"?>
<table xmlns="http://schemas.openxmlformats.org/spreadsheetml/2006/main" id="70" name="LitièreOvins" displayName="LitièreOvins" ref="DN283:DP289" totalsRowCount="1" headerRowDxfId="316" dataDxfId="314" totalsRowDxfId="312" headerRowBorderDxfId="315" tableBorderDxfId="313" totalsRowBorderDxfId="311">
  <autoFilter ref="DN283:DP288"/>
  <tableColumns count="3">
    <tableColumn id="1" name="animaux" totalsRowLabel="Total" dataDxfId="310" totalsRowDxfId="309"/>
    <tableColumn id="2" name="litière tout ovins" totalsRowFunction="custom" dataDxfId="308" totalsRowDxfId="307">
      <calculatedColumnFormula>DQ155</calculatedColumnFormula>
      <totalsRowFormula>IF(AND(OR(ChoixOvinsPréHiver=NON,ChoixOvinsPréHiver=""),ChoixPaillageOvins=OUI),SUBTOTAL(109,LitièreOvins[litière tout ovins]),0)</totalsRowFormula>
    </tableColumn>
    <tableColumn id="3" name="litière ovins races laitières" totalsRowFunction="custom" dataDxfId="306" totalsRowDxfId="305">
      <totalsRowFormula>IF(AND(ChoixOvinsPréHiver=OUI,ChoixPaillageOvins=OUI),SUBTOTAL(109,LitièreOvins[litière ovins races laitières]),0)</totalsRowFormula>
    </tableColumn>
  </tableColumns>
  <tableStyleInfo name="TableStyleMedium9" showFirstColumn="0" showLastColumn="0" showRowStripes="1" showColumnStripes="0"/>
</table>
</file>

<file path=xl/tables/table50.xml><?xml version="1.0" encoding="utf-8"?>
<table xmlns="http://schemas.openxmlformats.org/spreadsheetml/2006/main" id="71" name="LitièreOies" displayName="LitièreOies" ref="EG140:EH146" totalsRowCount="1" headerRowDxfId="304" dataDxfId="302" totalsRowDxfId="300" headerRowBorderDxfId="303" tableBorderDxfId="301" totalsRowBorderDxfId="299">
  <autoFilter ref="EG140:EH145"/>
  <tableColumns count="2">
    <tableColumn id="1" name="animaux" totalsRowLabel="Total" dataDxfId="298" totalsRowDxfId="297"/>
    <tableColumn id="2" name="litière" totalsRowFunction="custom" dataDxfId="296" totalsRowDxfId="295">
      <calculatedColumnFormula>EJ12</calculatedColumnFormula>
      <totalsRowFormula>IF(ChoixPaillageOies=OUI,SUBTOTAL(109,LitièreOies[litière]),0)</totalsRowFormula>
    </tableColumn>
  </tableColumns>
  <tableStyleInfo name="TableStyleMedium9" showFirstColumn="0" showLastColumn="0" showRowStripes="1" showColumnStripes="0"/>
</table>
</file>

<file path=xl/tables/table51.xml><?xml version="1.0" encoding="utf-8"?>
<table xmlns="http://schemas.openxmlformats.org/spreadsheetml/2006/main" id="72" name="LitièreCanards" displayName="LitièreCanards" ref="EN139:EO145" totalsRowCount="1" headerRowDxfId="294" dataDxfId="292" totalsRowDxfId="290" headerRowBorderDxfId="293" tableBorderDxfId="291" totalsRowBorderDxfId="289">
  <autoFilter ref="EN139:EO144"/>
  <tableColumns count="2">
    <tableColumn id="1" name="animaux" totalsRowLabel="Total" dataDxfId="288" totalsRowDxfId="287"/>
    <tableColumn id="2" name="litière" totalsRowFunction="custom" dataDxfId="286" totalsRowDxfId="285">
      <calculatedColumnFormula>EQ10</calculatedColumnFormula>
      <totalsRowFormula>IF(ChoixPaillageCanards=OUI,SUBTOTAL(109,LitièreCanards[litière]),0)</totalsRowFormula>
    </tableColumn>
  </tableColumns>
  <tableStyleInfo name="TableStyleMedium9" showFirstColumn="0" showLastColumn="0" showRowStripes="1" showColumnStripes="0"/>
</table>
</file>

<file path=xl/tables/table52.xml><?xml version="1.0" encoding="utf-8"?>
<table xmlns="http://schemas.openxmlformats.org/spreadsheetml/2006/main" id="73" name="LitièreChevauxSelles" displayName="LitièreChevauxSelles" ref="EU193:EW199" totalsRowCount="1" headerRowDxfId="284" dataDxfId="282" totalsRowDxfId="280" headerRowBorderDxfId="283" tableBorderDxfId="281" totalsRowBorderDxfId="279">
  <autoFilter ref="EU193:EW198"/>
  <tableColumns count="3">
    <tableColumn id="1" name="animaux" totalsRowLabel="Total" dataDxfId="278" totalsRowDxfId="277"/>
    <tableColumn id="2" name="hiver dedans" totalsRowFunction="custom" dataDxfId="276" totalsRowDxfId="275">
      <calculatedColumnFormula>EX18</calculatedColumnFormula>
      <totalsRowFormula>IF(AND(OR(ChoixChevauxSellePréHiver=NON,ChoixChevauxSellePréHiver=""),ChoixPaillageChevauxSelle=OUI),SUBTOTAL(109,LitièreChevauxSelles[hiver dedans]),0)</totalsRowFormula>
    </tableColumn>
    <tableColumn id="3" name="hiver dehors" totalsRowFunction="custom" dataDxfId="274" totalsRowDxfId="273">
      <totalsRowFormula>IF(AND(ChoixChevauxSellePréHiver=OUI,ChoixPaillageChevauxSelle=OUI),SUBTOTAL(109,LitièreChevauxSelles[hiver dehors]),0)</totalsRowFormula>
    </tableColumn>
  </tableColumns>
  <tableStyleInfo name="TableStyleMedium9" showFirstColumn="0" showLastColumn="0" showRowStripes="1" showColumnStripes="0"/>
</table>
</file>

<file path=xl/tables/table53.xml><?xml version="1.0" encoding="utf-8"?>
<table xmlns="http://schemas.openxmlformats.org/spreadsheetml/2006/main" id="74" name="LitièreChevauxTrait" displayName="LitièreChevauxTrait" ref="FD188:FF194" totalsRowCount="1" headerRowDxfId="272" dataDxfId="270" totalsRowDxfId="268" headerRowBorderDxfId="271" tableBorderDxfId="269" totalsRowBorderDxfId="267">
  <autoFilter ref="FD188:FF193"/>
  <tableColumns count="3">
    <tableColumn id="1" name="animaux" totalsRowLabel="Total" dataDxfId="266" totalsRowDxfId="265"/>
    <tableColumn id="2" name="hiver dedans" totalsRowFunction="custom" dataDxfId="264" totalsRowDxfId="263">
      <calculatedColumnFormula>FG13</calculatedColumnFormula>
      <totalsRowFormula>IF(AND(ChoixChevauxTraitPréEté=NON,ChoixPaillageChevauxTrait=OUI),SUBTOTAL(109,LitièreChevauxTrait[hiver dedans]),0)</totalsRowFormula>
    </tableColumn>
    <tableColumn id="3" name="hiver dehors" totalsRowFunction="custom" dataDxfId="262" totalsRowDxfId="261">
      <totalsRowFormula>IF(AND(ChoixChevauxTraitPréHiver=OUI,ChoixPaillageChevauxTrait=OUI),SUBTOTAL(109,LitièreChevauxTrait[hiver dehors]),0)</totalsRowFormula>
    </tableColumn>
  </tableColumns>
  <tableStyleInfo name="TableStyleMedium9" showFirstColumn="0" showLastColumn="0" showRowStripes="1" showColumnStripes="0"/>
</table>
</file>

<file path=xl/tables/table54.xml><?xml version="1.0" encoding="utf-8"?>
<table xmlns="http://schemas.openxmlformats.org/spreadsheetml/2006/main" id="75" name="LitièrePoneys" displayName="LitièrePoneys" ref="FN187:FP193" totalsRowCount="1" headerRowDxfId="260" dataDxfId="258" totalsRowDxfId="256" headerRowBorderDxfId="259" tableBorderDxfId="257" totalsRowBorderDxfId="255">
  <autoFilter ref="FN187:FP192"/>
  <tableColumns count="3">
    <tableColumn id="1" name="animaux" totalsRowLabel="Total" dataDxfId="254" totalsRowDxfId="253"/>
    <tableColumn id="2" name="hiver dedans" totalsRowFunction="custom" dataDxfId="252" totalsRowDxfId="251">
      <calculatedColumnFormula>FQ11</calculatedColumnFormula>
      <totalsRowFormula>IF(AND(ChoixPoneysPréHiver=NON,ChoixPaillagePoneys=OUI),SUBTOTAL(109,LitièrePoneys[hiver dedans]),0)</totalsRowFormula>
    </tableColumn>
    <tableColumn id="3" name="hiver dehors" totalsRowFunction="custom" dataDxfId="250" totalsRowDxfId="249">
      <totalsRowFormula>IF(AND(ChoixPoneysPréHiver=OUI,ChoixPaillagePoneys=OUI),SUBTOTAL(109,LitièrePoneys[hiver dehors]),0)</totalsRowFormula>
    </tableColumn>
  </tableColumns>
  <tableStyleInfo name="TableStyleMedium9" showFirstColumn="0" showLastColumn="0" showRowStripes="1" showColumnStripes="0"/>
</table>
</file>

<file path=xl/tables/table55.xml><?xml version="1.0" encoding="utf-8"?>
<table xmlns="http://schemas.openxmlformats.org/spreadsheetml/2006/main" id="76" name="RèglesPréPoneys" displayName="RèglesPréPoneys" ref="FN23:FO28" totalsRowShown="0" headerRowDxfId="248" dataDxfId="246" headerRowBorderDxfId="247" tableBorderDxfId="245" totalsRowBorderDxfId="244">
  <autoFilter ref="FN23:FO28"/>
  <tableColumns count="2">
    <tableColumn id="1" name="animaux" dataDxfId="243"/>
    <tableColumn id="2" name="herbe" dataDxfId="242"/>
  </tableColumns>
  <tableStyleInfo name="TableStyleMedium9" showFirstColumn="0" showLastColumn="0" showRowStripes="1" showColumnStripes="0"/>
</table>
</file>

<file path=xl/tables/table56.xml><?xml version="1.0" encoding="utf-8"?>
<table xmlns="http://schemas.openxmlformats.org/spreadsheetml/2006/main" id="77" name="RèglesLitièrePoneys" displayName="RèglesLitièrePoneys" ref="FQ23:FR28" totalsRowShown="0" headerRowDxfId="241" dataDxfId="239" headerRowBorderDxfId="240" tableBorderDxfId="238" totalsRowBorderDxfId="237">
  <autoFilter ref="FQ23:FR28"/>
  <tableColumns count="2">
    <tableColumn id="1" name="animaux" dataDxfId="236"/>
    <tableColumn id="2" name="paille" dataDxfId="235"/>
  </tableColumns>
  <tableStyleInfo name="TableStyleMedium9" showFirstColumn="0" showLastColumn="0" showRowStripes="1" showColumnStripes="0"/>
</table>
</file>

<file path=xl/tables/table57.xml><?xml version="1.0" encoding="utf-8"?>
<table xmlns="http://schemas.openxmlformats.org/spreadsheetml/2006/main" id="78" name="RègleSurfacePoneys" displayName="RègleSurfacePoneys" ref="FT23:FU28" totalsRowShown="0" headerRowDxfId="234" dataDxfId="232" headerRowBorderDxfId="233" tableBorderDxfId="231" totalsRowBorderDxfId="230">
  <autoFilter ref="FT23:FU28"/>
  <tableColumns count="2">
    <tableColumn id="1" name="animaux" dataDxfId="229"/>
    <tableColumn id="2" name="surface" dataDxfId="228"/>
  </tableColumns>
  <tableStyleInfo name="TableStyleMedium9" showFirstColumn="0" showLastColumn="0" showRowStripes="1" showColumnStripes="0"/>
</table>
</file>

<file path=xl/tables/table58.xml><?xml version="1.0" encoding="utf-8"?>
<table xmlns="http://schemas.openxmlformats.org/spreadsheetml/2006/main" id="79" name="RèglesHerbeChevauxTrait" displayName="RèglesHerbeChevauxTrait" ref="FD24:FE29" totalsRowShown="0" headerRowDxfId="227" dataDxfId="225" headerRowBorderDxfId="226" tableBorderDxfId="224" totalsRowBorderDxfId="223">
  <autoFilter ref="FD24:FE29"/>
  <tableColumns count="2">
    <tableColumn id="1" name="animaux" dataDxfId="222"/>
    <tableColumn id="2" name="herbe" dataDxfId="221"/>
  </tableColumns>
  <tableStyleInfo name="TableStyleMedium9" showFirstColumn="0" showLastColumn="0" showRowStripes="1" showColumnStripes="0"/>
</table>
</file>

<file path=xl/tables/table59.xml><?xml version="1.0" encoding="utf-8"?>
<table xmlns="http://schemas.openxmlformats.org/spreadsheetml/2006/main" id="80" name="RèglesLitièreChevauxTrait" displayName="RèglesLitièreChevauxTrait" ref="FG24:FH29" totalsRowShown="0" headerRowDxfId="220" dataDxfId="218" headerRowBorderDxfId="219" tableBorderDxfId="217" totalsRowBorderDxfId="216">
  <autoFilter ref="FG24:FH29"/>
  <tableColumns count="2">
    <tableColumn id="1" name="animaux" dataDxfId="215"/>
    <tableColumn id="2" name="paille" dataDxfId="214"/>
  </tableColumns>
  <tableStyleInfo name="TableStyleMedium9" showFirstColumn="0" showLastColumn="0" showRowStripes="1" showColumnStripes="0"/>
</table>
</file>

<file path=xl/tables/table60.xml><?xml version="1.0" encoding="utf-8"?>
<table xmlns="http://schemas.openxmlformats.org/spreadsheetml/2006/main" id="81" name="RèglesSurfaceChevauxTrait" displayName="RèglesSurfaceChevauxTrait" ref="FJ24:FK29" totalsRowShown="0" headerRowDxfId="213" dataDxfId="211" headerRowBorderDxfId="212" tableBorderDxfId="210" totalsRowBorderDxfId="209">
  <autoFilter ref="FJ24:FK29"/>
  <tableColumns count="2">
    <tableColumn id="1" name="animaux" dataDxfId="208"/>
    <tableColumn id="2" name="surface" dataDxfId="207"/>
  </tableColumns>
  <tableStyleInfo name="TableStyleMedium9" showFirstColumn="0" showLastColumn="0" showRowStripes="1" showColumnStripes="0"/>
</table>
</file>

<file path=xl/tables/table61.xml><?xml version="1.0" encoding="utf-8"?>
<table xmlns="http://schemas.openxmlformats.org/spreadsheetml/2006/main" id="82" name="RèglesHerbeChevauxSelle" displayName="RèglesHerbeChevauxSelle" ref="EU30:EV35" totalsRowShown="0" headerRowDxfId="206" dataDxfId="204" headerRowBorderDxfId="205" tableBorderDxfId="203" totalsRowBorderDxfId="202">
  <autoFilter ref="EU30:EV35"/>
  <tableColumns count="2">
    <tableColumn id="1" name="animaux" dataDxfId="201"/>
    <tableColumn id="2" name="herbe" dataDxfId="200"/>
  </tableColumns>
  <tableStyleInfo name="TableStyleMedium9" showFirstColumn="0" showLastColumn="0" showRowStripes="1" showColumnStripes="0"/>
</table>
</file>

<file path=xl/tables/table62.xml><?xml version="1.0" encoding="utf-8"?>
<table xmlns="http://schemas.openxmlformats.org/spreadsheetml/2006/main" id="83" name="RèglesLitièreChevauxSelle" displayName="RèglesLitièreChevauxSelle" ref="EX30:EY35" totalsRowShown="0" headerRowDxfId="199" dataDxfId="197" headerRowBorderDxfId="198" tableBorderDxfId="196" totalsRowBorderDxfId="195">
  <autoFilter ref="EX30:EY35"/>
  <tableColumns count="2">
    <tableColumn id="1" name="animaux" dataDxfId="194"/>
    <tableColumn id="2" name="paille" dataDxfId="193"/>
  </tableColumns>
  <tableStyleInfo name="TableStyleMedium9" showFirstColumn="0" showLastColumn="0" showRowStripes="1" showColumnStripes="0"/>
</table>
</file>

<file path=xl/tables/table63.xml><?xml version="1.0" encoding="utf-8"?>
<table xmlns="http://schemas.openxmlformats.org/spreadsheetml/2006/main" id="84" name="RèglesSurfaceChevauxSelle" displayName="RèglesSurfaceChevauxSelle" ref="FA30:FB35" totalsRowShown="0" headerRowDxfId="192" dataDxfId="190" headerRowBorderDxfId="191" tableBorderDxfId="189" totalsRowBorderDxfId="188">
  <autoFilter ref="FA30:FB35"/>
  <tableColumns count="2">
    <tableColumn id="1" name="animaux" dataDxfId="187"/>
    <tableColumn id="2" name="surface" dataDxfId="186"/>
  </tableColumns>
  <tableStyleInfo name="TableStyleMedium9" showFirstColumn="0" showLastColumn="0" showRowStripes="1" showColumnStripes="0"/>
</table>
</file>

<file path=xl/tables/table64.xml><?xml version="1.0" encoding="utf-8"?>
<table xmlns="http://schemas.openxmlformats.org/spreadsheetml/2006/main" id="85" name="LitiereCanards" displayName="LitiereCanards" ref="EN22:EO27" totalsRowShown="0" headerRowDxfId="185" dataDxfId="183" headerRowBorderDxfId="184" tableBorderDxfId="182" totalsRowBorderDxfId="181">
  <autoFilter ref="EN22:EO27"/>
  <tableColumns count="2">
    <tableColumn id="1" name="animaux" dataDxfId="180"/>
    <tableColumn id="2" name="paille" dataDxfId="179"/>
  </tableColumns>
  <tableStyleInfo name="TableStyleMedium9" showFirstColumn="0" showLastColumn="0" showRowStripes="1" showColumnStripes="0"/>
</table>
</file>

<file path=xl/tables/table65.xml><?xml version="1.0" encoding="utf-8"?>
<table xmlns="http://schemas.openxmlformats.org/spreadsheetml/2006/main" id="86" name="SurfaceCanardDansPoulailler" displayName="SurfaceCanardDansPoulailler" ref="EQ22:ER27" totalsRowShown="0" headerRowDxfId="178" dataDxfId="176" headerRowBorderDxfId="177" tableBorderDxfId="175" totalsRowBorderDxfId="174">
  <autoFilter ref="EQ22:ER27"/>
  <tableColumns count="2">
    <tableColumn id="1" name="animaux" dataDxfId="173"/>
    <tableColumn id="2" name="surface" dataDxfId="172"/>
  </tableColumns>
  <tableStyleInfo name="TableStyleMedium9" showFirstColumn="0" showLastColumn="0" showRowStripes="1" showColumnStripes="0"/>
</table>
</file>

<file path=xl/tables/table66.xml><?xml version="1.0" encoding="utf-8"?>
<table xmlns="http://schemas.openxmlformats.org/spreadsheetml/2006/main" id="88" name="AnimauxAuPré" displayName="AnimauxAuPré" ref="O90:W104" totalsRowShown="0" headerRowDxfId="171" dataDxfId="169" headerRowBorderDxfId="170">
  <autoFilter ref="O90:W104"/>
  <tableColumns count="9">
    <tableColumn id="1" name="tranche d'ages" dataDxfId="168"/>
    <tableColumn id="2" name="bovins" dataDxfId="167">
      <calculatedColumnFormula>SUMIF(#REF!,BDD!P$90,#REF!)</calculatedColumnFormula>
    </tableColumn>
    <tableColumn id="3" name="ovins" dataDxfId="166">
      <calculatedColumnFormula>SUMIF(#REF!,BDD!Q$90,#REF!)</calculatedColumnFormula>
    </tableColumn>
    <tableColumn id="4" name="caprins" dataDxfId="165">
      <calculatedColumnFormula>SUMIF(#REF!,BDD!R$90,#REF!)</calculatedColumnFormula>
    </tableColumn>
    <tableColumn id="5" name="bisons" dataDxfId="164">
      <calculatedColumnFormula>SUMIF(#REF!,BDD!S$90,#REF!)</calculatedColumnFormula>
    </tableColumn>
    <tableColumn id="6" name="daims" dataDxfId="163">
      <calculatedColumnFormula>SUMIF(#REF!,BDD!T$90,#REF!)</calculatedColumnFormula>
    </tableColumn>
    <tableColumn id="7" name="chevaux de selle" dataDxfId="162">
      <calculatedColumnFormula>SUMIF(#REF!,BDD!U$90,#REF!)</calculatedColumnFormula>
    </tableColumn>
    <tableColumn id="8" name="chevaux de trait" dataDxfId="161">
      <calculatedColumnFormula>SUMIF(#REF!,BDD!V$90,#REF!)</calculatedColumnFormula>
    </tableColumn>
    <tableColumn id="9" name="poneys" dataDxfId="160">
      <calculatedColumnFormula>SUMIF(#REF!,BDD!W$90,#REF!)</calculatedColumnFormula>
    </tableColumn>
  </tableColumns>
  <tableStyleInfo name="TableStyleMedium9" showFirstColumn="0" showLastColumn="0" showRowStripes="1" showColumnStripes="0"/>
</table>
</file>

<file path=xl/tables/table67.xml><?xml version="1.0" encoding="utf-8"?>
<table xmlns="http://schemas.openxmlformats.org/spreadsheetml/2006/main" id="14" name="AlimentsRationPorcinsMâles" displayName="AlimentsRationPorcinsMâles" ref="CJ49:CP84" totalsRowShown="0" headerRowDxfId="159" dataDxfId="157" headerRowBorderDxfId="158" tableBorderDxfId="156" totalsRowBorderDxfId="155">
  <autoFilter ref="CJ49:CP84"/>
  <tableColumns count="7">
    <tableColumn id="1" name="aliment" dataDxfId="154"/>
    <tableColumn id="2" name="Valeur 12 et plus" dataDxfId="153">
      <calculatedColumnFormula array="1">IF(animaux!$J$67=BDD!$M$2,0,IFERROR(IF(OR(AND(INDEX(Règles_porcins[Specificite],MATCH(animaux!$J$61&amp;AlimentsRationPorcinsMâles[[#This Row],[aliment]],Règles_porcins[Ration]&amp;Règles_porcins[Aliment],0))="s1",IF(AlimentsRationPorcinsMâles[[#This Row],[aliment]]=animaux!$J$73,1)),
INDEX(Règles_porcins[Specificite],MATCH(animaux!$J$61&amp;AlimentsRationPorcinsMâles[[#This Row],[aliment]],Règles_porcins[Ration]&amp;Règles_porcins[Aliment],0))="c"),
INDEX(Règles_porcins[Valeur 12 et plus],MATCH(animaux!$J$61&amp;AlimentsRationPorcinsMâles[[#This Row],[aliment]],Règles_porcins[Ration]&amp;Règles_porcins[Aliment],0)),0),0)*SUM(animaux!$C$69:$C$70)*SUM($P$76:$P$76))</calculatedColumnFormula>
    </tableColumn>
    <tableColumn id="3" name="Valeur 6-12" dataDxfId="152">
      <calculatedColumnFormula array="1">IF(animaux!$J$67=BDD!$M$2,0,IFERROR(IF(OR(AND(INDEX(Règles_porcins[Specificite],MATCH(animaux!$J$61&amp;AlimentsRationPorcinsMâles[[#This Row],[aliment]],Règles_porcins[Ration]&amp;Règles_porcins[Aliment],0))="s1",IF(AlimentsRationPorcinsMâles[[#This Row],[aliment]]=animaux!$J$73,1)),
INDEX(Règles_porcins[Specificite],MATCH(animaux!$J$61&amp;AlimentsRationPorcinsMâles[[#This Row],[aliment]],Règles_porcins[Ration]&amp;Règles_porcins[Aliment],0))="c"),
INDEX(Règles_porcins[Valeur 6-12],MATCH(animaux!$J$61&amp;AlimentsRationPorcinsMâles[[#This Row],[aliment]],Règles_porcins[Ration]&amp;Règles_porcins[Aliment],0)),0),0)*SUM(animaux!$C$67:$C$68)*SUM($P$76:$P$76))</calculatedColumnFormula>
    </tableColumn>
    <tableColumn id="4" name="Valeur 3-6" dataDxfId="151">
      <calculatedColumnFormula array="1">IF(animaux!$J$67=BDD!$M$2,0,IFERROR(IF(OR(AND(INDEX(Règles_porcins[Specificite],MATCH(animaux!$J$61&amp;AlimentsRationPorcinsMâles[[#This Row],[aliment]],Règles_porcins[Ration]&amp;Règles_porcins[Aliment],0))="s1",IF(AlimentsRationPorcinsMâles[[#This Row],[aliment]]=animaux!$J$73,1)),
INDEX(Règles_porcins[Specificite],MATCH(animaux!$J$61&amp;AlimentsRationPorcinsMâles[[#This Row],[aliment]],Règles_porcins[Ration]&amp;Règles_porcins[Aliment],0))="c"),
INDEX(Règles_porcins[Valeur 3-6],MATCH(animaux!$J$61&amp;AlimentsRationPorcinsMâles[[#This Row],[aliment]],Règles_porcins[Ration]&amp;Règles_porcins[Aliment],0)),0),0)*SUM(animaux!$C$65:$C$66)*SUM($P$76:$P$76))</calculatedColumnFormula>
    </tableColumn>
    <tableColumn id="5" name="Valeur 1-3" dataDxfId="150">
      <calculatedColumnFormula array="1">IF(animaux!$J$67=BDD!$M$2,0,IFERROR(IF(OR(AND(INDEX(Règles_porcins[Specificite],MATCH(animaux!$J$61&amp;AlimentsRationPorcinsMâles[[#This Row],[aliment]],Règles_porcins[Ration]&amp;Règles_porcins[Aliment],0))="s1",IF(AlimentsRationPorcinsMâles[[#This Row],[aliment]]=animaux!$J$73,1)),
INDEX(Règles_porcins[Specificite],MATCH(animaux!$J$61&amp;AlimentsRationPorcinsMâles[[#This Row],[aliment]],Règles_porcins[Ration]&amp;Règles_porcins[Aliment],0))="c"),
INDEX(Règles_porcins[Valeur 1-3],MATCH(animaux!$J$61&amp;AlimentsRationPorcinsMâles[[#This Row],[aliment]],Règles_porcins[Ration]&amp;Règles_porcins[Aliment],0)),0),0)*SUM(animaux!$C$63:$C$64)*SUM($P$76:$P$76))</calculatedColumnFormula>
    </tableColumn>
    <tableColumn id="6" name="Valeur 0-1" dataDxfId="149">
      <calculatedColumnFormula array="1">IF(animaux!$J$67=BDD!$M$2,0,IFERROR(IF(OR(AND(INDEX(Règles_porcins[Specificite],MATCH(animaux!$J$61&amp;AlimentsRationPorcinsMâles[[#This Row],[aliment]],Règles_porcins[Ration]&amp;Règles_porcins[Aliment],0))="s1",IF(AlimentsRationPorcinsMâles[[#This Row],[aliment]]=animaux!$J$73,1)),
INDEX(Règles_porcins[Specificite],MATCH(animaux!$J$61&amp;AlimentsRationPorcinsMâles[[#This Row],[aliment]],Règles_porcins[Ration]&amp;Règles_porcins[Aliment],0))="c"),
INDEX(Règles_porcins[Valeur 0-1],MATCH(animaux!$J$61&amp;AlimentsRationPorcinsMâles[[#This Row],[aliment]],Règles_porcins[Ration]&amp;Règles_porcins[Aliment],0)),0),0)*SUM(animaux!$C$61:$C$62)*SUM($P$76:$P$76))</calculatedColumnFormula>
    </tableColumn>
    <tableColumn id="7" name="Somme" dataDxfId="148">
      <calculatedColumnFormula>SUM(AlimentsRationPorcinsMâles[[#This Row],[Valeur 12 et plus]:[Valeur 0-1]])</calculatedColumnFormula>
    </tableColumn>
  </tableColumns>
  <tableStyleInfo name="TableStyleMedium9" showFirstColumn="0" showLastColumn="0" showRowStripes="1" showColumnStripes="0"/>
</table>
</file>

<file path=xl/tables/table68.xml><?xml version="1.0" encoding="utf-8"?>
<table xmlns="http://schemas.openxmlformats.org/spreadsheetml/2006/main" id="4" name="Ration_complète_chevaux_selle5" displayName="Ration_complète_chevaux_selle5" ref="EU189:EZ190" totalsRowShown="0" headerRowDxfId="147" dataDxfId="145" headerRowBorderDxfId="146" tableBorderDxfId="144" totalsRowBorderDxfId="143">
  <autoFilter ref="EU189:EZ190"/>
  <tableColumns count="6">
    <tableColumn id="1" name="aliment" dataDxfId="142"/>
    <tableColumn id="2" name="Valeur 36 et plus" dataDxfId="141"/>
    <tableColumn id="3" name="Valeur 24-36" dataDxfId="140"/>
    <tableColumn id="4" name="Valeur 12-24" dataDxfId="139"/>
    <tableColumn id="5" name="Valeur 0-12" dataDxfId="138"/>
    <tableColumn id="6" name="somme" dataDxfId="137">
      <calculatedColumnFormula>SUM(Ration_complète_chevaux_selle5[[Valeur 36 et plus]:[Valeur 0-12]])</calculatedColumnFormula>
    </tableColumn>
  </tableColumns>
  <tableStyleInfo name="TableStyleMedium9" showFirstColumn="0" showLastColumn="0" showRowStripes="1" showColumnStripes="0"/>
</table>
</file>

<file path=xl/tables/table69.xml><?xml version="1.0" encoding="utf-8"?>
<table xmlns="http://schemas.openxmlformats.org/spreadsheetml/2006/main" id="5" name="Ration_complète_chevaux_trait6" displayName="Ration_complète_chevaux_trait6" ref="FD183:FI184" totalsRowShown="0" headerRowDxfId="136" dataDxfId="134" headerRowBorderDxfId="135" tableBorderDxfId="133" totalsRowBorderDxfId="132">
  <autoFilter ref="FD183:FI184"/>
  <tableColumns count="6">
    <tableColumn id="1" name="aliment" dataDxfId="131"/>
    <tableColumn id="2" name="Valeur 36 et plus" dataDxfId="130"/>
    <tableColumn id="3" name="Valeur 24-36" dataDxfId="129"/>
    <tableColumn id="4" name="Valeur 12-24" dataDxfId="128"/>
    <tableColumn id="5" name="Valeur 0-12" dataDxfId="127"/>
    <tableColumn id="6" name="somme" dataDxfId="126">
      <calculatedColumnFormula>SUM(Ration_complète_chevaux_trait6[[Valeur 36 et plus]:[Valeur 0-12]])</calculatedColumnFormula>
    </tableColumn>
  </tableColumns>
  <tableStyleInfo name="TableStyleMedium9" showFirstColumn="0" showLastColumn="0" showRowStripes="1" showColumnStripes="0"/>
</table>
</file>

<file path=xl/tables/table70.xml><?xml version="1.0" encoding="utf-8"?>
<table xmlns="http://schemas.openxmlformats.org/spreadsheetml/2006/main" id="6" name="Ration_complète_chevaux_trait67" displayName="Ration_complète_chevaux_trait67" ref="FN182:FS183" totalsRowShown="0" headerRowDxfId="125" dataDxfId="123" headerRowBorderDxfId="124" tableBorderDxfId="122" totalsRowBorderDxfId="121">
  <autoFilter ref="FN182:FS183"/>
  <tableColumns count="6">
    <tableColumn id="1" name="aliment" dataDxfId="120"/>
    <tableColumn id="2" name="Valeur 36 et plus" dataDxfId="119"/>
    <tableColumn id="3" name="Valeur 24-36" dataDxfId="118"/>
    <tableColumn id="4" name="Valeur 12-24" dataDxfId="117"/>
    <tableColumn id="5" name="Valeur 0-12" dataDxfId="116"/>
    <tableColumn id="6" name="somme" dataDxfId="115">
      <calculatedColumnFormula>SUM(Ration_complète_poneys[[Valeur 36 et plus]:[Valeur 0-12]])</calculatedColumnFormula>
    </tableColumn>
  </tableColumns>
  <tableStyleInfo name="TableStyleMedium9" showFirstColumn="0" showLastColumn="0" showRowStripes="1" showColumnStripes="0"/>
</table>
</file>

<file path=xl/tables/table71.xml><?xml version="1.0" encoding="utf-8"?>
<table xmlns="http://schemas.openxmlformats.org/spreadsheetml/2006/main" id="12" name="Ration_complète_caprins" displayName="Ration_complète_caprins" ref="BX181:CG182" totalsRowShown="0" headerRowDxfId="114" dataDxfId="112" headerRowBorderDxfId="113" tableBorderDxfId="111" totalsRowBorderDxfId="110">
  <autoFilter ref="BX181:CG182"/>
  <tableColumns count="10">
    <tableColumn id="1" name="aliment" dataDxfId="109"/>
    <tableColumn id="2" name="Valeur 12 et plus (M)" dataDxfId="108"/>
    <tableColumn id="3" name="Valeur 12 et plus (F)" dataDxfId="107"/>
    <tableColumn id="4" name="Valeur 6-12 (M)" dataDxfId="106"/>
    <tableColumn id="5" name="Valeur 6-12 (F)" dataDxfId="105"/>
    <tableColumn id="6" name="Valeur 3-6 (M)" dataDxfId="104"/>
    <tableColumn id="7" name="Valeur 3-6 (F)" dataDxfId="103"/>
    <tableColumn id="8" name="Valeur 0-3 (M)" dataDxfId="102"/>
    <tableColumn id="9" name="Valeur 0-3 (F)" dataDxfId="101"/>
    <tableColumn id="10" name="somme" dataDxfId="100">
      <calculatedColumnFormula>SUM(Ration_complète_caprins[[Valeur 12 et plus (M)]:[Valeur 0-3 (F)]])</calculatedColumnFormula>
    </tableColumn>
  </tableColumns>
  <tableStyleInfo name="TableStyleMedium9" showFirstColumn="0" showLastColumn="0" showRowStripes="1" showColumnStripes="0"/>
</table>
</file>

<file path=xl/tables/table72.xml><?xml version="1.0" encoding="utf-8"?>
<table xmlns="http://schemas.openxmlformats.org/spreadsheetml/2006/main" id="64" name="LitièreCaprins" displayName="LitièreCaprins" ref="BX186:BY192" totalsRowCount="1" headerRowDxfId="99" dataDxfId="97" totalsRowDxfId="95" headerRowBorderDxfId="98" tableBorderDxfId="96" totalsRowBorderDxfId="94">
  <autoFilter ref="BX186:BY191"/>
  <tableColumns count="2">
    <tableColumn id="1" name="Animaux" totalsRowLabel="Total" dataDxfId="93" totalsRowDxfId="92"/>
    <tableColumn id="2" name="Litière" totalsRowFunction="custom" dataDxfId="91" totalsRowDxfId="90">
      <totalsRowFormula>IF(ChoixPaillageCaprins=OUI,SUBTOTAL(109,LitièreCaprins[Litière]),0)</totalsRowFormula>
    </tableColumn>
  </tableColumns>
  <tableStyleInfo name="TableStyleMedium9" showFirstColumn="0" showLastColumn="0" showRowStripes="1" showColumnStripes="0"/>
</table>
</file>

<file path=xl/tables/table73.xml><?xml version="1.0" encoding="utf-8"?>
<table xmlns="http://schemas.openxmlformats.org/spreadsheetml/2006/main" id="25" name="AlimentsRationPorcinsFemelles" displayName="AlimentsRationPorcinsFemelles" ref="CJ87:CP122" totalsRowShown="0" headerRowDxfId="89" dataDxfId="87" headerRowBorderDxfId="88" tableBorderDxfId="86" totalsRowBorderDxfId="85">
  <autoFilter ref="CJ87:CP122"/>
  <tableColumns count="7">
    <tableColumn id="1" name="aliment" dataDxfId="84">
      <calculatedColumnFormula>CJ50</calculatedColumnFormula>
    </tableColumn>
    <tableColumn id="2" name="Valeur 12 et plus" dataDxfId="83">
      <calculatedColumnFormula array="1">IF(animaux!$J$67=BDD!$M$2,0,IFERROR(IF(OR(AND(INDEX(Règles_porcins[Specificite],MATCH(animaux!$J$61&amp;AlimentsRationPorcinsFemelles[[#This Row],[aliment]],Règles_porcins[Ration]&amp;Règles_porcins[Aliment],0))="s1",IF(AlimentsRationPorcinsFemelles[[#This Row],[aliment]]=animaux!$J$73,1)),
INDEX(Règles_porcins[Specificite],MATCH(animaux!$J$61&amp;AlimentsRationPorcinsFemelles[[#This Row],[aliment]],Règles_porcins[Ration]&amp;Règles_porcins[Aliment],0))="c"),
INDEX(Règles_porcins[Valeur 12 et plus],MATCH(animaux!$J$61&amp;AlimentsRationPorcinsFemelles[[#This Row],[aliment]],Règles_porcins[Ration]&amp;Règles_porcins[Aliment],0)),0),0)*SUM(animaux!$C$69:$C$70)*SUM($P$76:$P$76))</calculatedColumnFormula>
    </tableColumn>
    <tableColumn id="3" name="Valeur 6-12" dataDxfId="82">
      <calculatedColumnFormula array="1">IF(animaux!$J$67=BDD!$M$2,0,IFERROR(IF(OR(AND(INDEX(Règles_porcins[Specificite],MATCH(animaux!$J$61&amp;AlimentsRationPorcinsFemelles[[#This Row],[aliment]],Règles_porcins[Ration]&amp;Règles_porcins[Aliment],0))="s1",IF(AlimentsRationPorcinsFemelles[[#This Row],[aliment]]=animaux!$J$73,1)),
INDEX(Règles_porcins[Specificite],MATCH(animaux!$J$61&amp;AlimentsRationPorcinsFemelles[[#This Row],[aliment]],Règles_porcins[Ration]&amp;Règles_porcins[Aliment],0))="c"),
INDEX(Règles_porcins[Valeur 6-12],MATCH(animaux!$J$61&amp;AlimentsRationPorcinsFemelles[[#This Row],[aliment]],Règles_porcins[Ration]&amp;Règles_porcins[Aliment],0)),0),0)*SUM(animaux!$C$67:$C$68)*SUM($P$76:$P$76))</calculatedColumnFormula>
    </tableColumn>
    <tableColumn id="4" name="Valeur 3-6" dataDxfId="81">
      <calculatedColumnFormula array="1">IF(animaux!$J$67=BDD!$M$2,0,IFERROR(IF(OR(AND(INDEX(Règles_porcins[Specificite],MATCH(animaux!$J$61&amp;AlimentsRationPorcinsFemelles[[#This Row],[aliment]],Règles_porcins[Ration]&amp;Règles_porcins[Aliment],0))="s1",IF(AlimentsRationPorcinsFemelles[[#This Row],[aliment]]=animaux!$J$73,1)),
INDEX(Règles_porcins[Specificite],MATCH(animaux!$J$61&amp;AlimentsRationPorcinsFemelles[[#This Row],[aliment]],Règles_porcins[Ration]&amp;Règles_porcins[Aliment],0))="c"),
INDEX(Règles_porcins[Valeur 3-6],MATCH(animaux!$J$61&amp;AlimentsRationPorcinsFemelles[[#This Row],[aliment]],Règles_porcins[Ration]&amp;Règles_porcins[Aliment],0)),0),0)*SUM(animaux!$C$65:$C$66)*SUM($P$76:$P$76))</calculatedColumnFormula>
    </tableColumn>
    <tableColumn id="5" name="Valeur 1-3" dataDxfId="80">
      <calculatedColumnFormula array="1">IF(animaux!$J$67=BDD!$M$2,0,IFERROR(IF(OR(AND(INDEX(Règles_porcins[Specificite],MATCH(animaux!$J$61&amp;AlimentsRationPorcinsFemelles[[#This Row],[aliment]],Règles_porcins[Ration]&amp;Règles_porcins[Aliment],0))="s1",IF(AlimentsRationPorcinsFemelles[[#This Row],[aliment]]=animaux!$J$73,1)),
INDEX(Règles_porcins[Specificite],MATCH(animaux!$J$61&amp;AlimentsRationPorcinsFemelles[[#This Row],[aliment]],Règles_porcins[Ration]&amp;Règles_porcins[Aliment],0))="c"),
INDEX(Règles_porcins[Valeur 1-3],MATCH(animaux!$J$61&amp;AlimentsRationPorcinsFemelles[[#This Row],[aliment]],Règles_porcins[Ration]&amp;Règles_porcins[Aliment],0)),0),0)*SUM(animaux!$C$63:$C$64)*SUM($P$76:$P$76))</calculatedColumnFormula>
    </tableColumn>
    <tableColumn id="6" name="Valeur 0-1" dataDxfId="79">
      <calculatedColumnFormula array="1">IF(animaux!$J$67=BDD!$M$2,0,IFERROR(IF(OR(AND(INDEX(Règles_porcins[Specificite],MATCH(animaux!$J$61&amp;AlimentsRationPorcinsFemelles[[#This Row],[aliment]],Règles_porcins[Ration]&amp;Règles_porcins[Aliment],0))="s1",IF(AlimentsRationPorcinsFemelles[[#This Row],[aliment]]=animaux!$J$73,1)),
INDEX(Règles_porcins[Specificite],MATCH(animaux!$J$61&amp;AlimentsRationPorcinsFemelles[[#This Row],[aliment]],Règles_porcins[Ration]&amp;Règles_porcins[Aliment],0))="c"),
INDEX(Règles_porcins[Valeur 0-1],MATCH(animaux!$J$61&amp;AlimentsRationPorcinsFemelles[[#This Row],[aliment]],Règles_porcins[Ration]&amp;Règles_porcins[Aliment],0)),0),0)*SUM(animaux!$C$61:$C$62)*SUM($P$76:$P$76))</calculatedColumnFormula>
    </tableColumn>
    <tableColumn id="7" name="Somme" dataDxfId="78">
      <calculatedColumnFormula>SUM(AlimentsRationPorcinsFemelles[[#This Row],[Valeur 12 et plus]:[Valeur 0-1]])</calculatedColumnFormula>
    </tableColumn>
  </tableColumns>
  <tableStyleInfo name="TableStyleMedium9" showFirstColumn="0" showLastColumn="0" showRowStripes="1" showColumnStripes="0"/>
</table>
</file>

<file path=xl/tables/table74.xml><?xml version="1.0" encoding="utf-8"?>
<table xmlns="http://schemas.openxmlformats.org/spreadsheetml/2006/main" id="27" name="AlimentsRationLapinsFemelles" displayName="AlimentsRationLapinsFemelles" ref="CS98:CW137" totalsRowShown="0" headerRowDxfId="77" dataDxfId="75" headerRowBorderDxfId="76" tableBorderDxfId="74" totalsRowBorderDxfId="73">
  <autoFilter ref="CS98:CW137"/>
  <tableColumns count="5">
    <tableColumn id="1" name="aliment" dataDxfId="72">
      <calculatedColumnFormula>CS57</calculatedColumnFormula>
    </tableColumn>
    <tableColumn id="2" name="Valeur 3 et plus" dataDxfId="71">
      <calculatedColumnFormula array="1">IF(animaux!$J$124=BDD!$M$2,0,IFERROR(IF(OR(AND(INDEX(Règles_lapins[Specificite],MATCH(animaux!$J$118&amp;AlimentsRationLapinsFemelles[[#This Row],[aliment]],Règles_lapins[Ration]&amp;Règles_lapins[Aliment],0))="s1",IF(AlimentsRationLapinsFemelles[[#This Row],[aliment]]=animaux!$J$130,1)),
AND(INDEX(Règles_lapins[Specificite],MATCH(animaux!$J$118&amp;AlimentsRationLapinsFemelles[[#This Row],[aliment]],Règles_lapins[Ration]&amp;Règles_lapins[Aliment],0))="s2",IF(AlimentsRationLapinsFemelles[[#This Row],[aliment]]=animaux!$J$131,1)),
INDEX(Règles_lapins[Specificite],MATCH(animaux!$J$118&amp;AlimentsRationLapinsFemelles[[#This Row],[aliment]],Règles_lapins[Ration]&amp;Règles_lapins[Aliment],0))="c"),
INDEX(Règles_lapins[Valeur 3 et plus],MATCH(animaux!$J$118&amp;AlimentsRationLapinsFemelles[[#This Row],[aliment]],Règles_lapins[Ration]&amp;Règles_lapins[Aliment],0)),0),0)*SUM(animaux!$C$122:$C$123)*SUM($P$76:$P$76))</calculatedColumnFormula>
    </tableColumn>
    <tableColumn id="3" name="Valeur 1-3" dataDxfId="70">
      <calculatedColumnFormula array="1">IF(animaux!$J$124=BDD!$M$2,0,IFERROR(IF(OR(AND(INDEX(Règles_lapins[Specificite],MATCH(animaux!$J$118&amp;AlimentsRationLapinsFemelles[[#This Row],[aliment]],Règles_lapins[Ration]&amp;Règles_lapins[Aliment],0))="s1",IF(AlimentsRationLapinsFemelles[[#This Row],[aliment]]=animaux!$J$130,1)),
AND(INDEX(Règles_lapins[Specificite],MATCH(animaux!$J$118&amp;AlimentsRationLapinsFemelles[[#This Row],[aliment]],Règles_lapins[Ration]&amp;Règles_lapins[Aliment],0))="s2",IF(AlimentsRationLapinsFemelles[[#This Row],[aliment]]=animaux!$J$131,1)),
INDEX(Règles_lapins[Specificite],MATCH(animaux!$J$118&amp;AlimentsRationLapinsFemelles[[#This Row],[aliment]],Règles_lapins[Ration]&amp;Règles_lapins[Aliment],0))="c"),
INDEX(Règles_lapins[Valeur 1-3],MATCH(animaux!$J$118&amp;AlimentsRationLapinsFemelles[[#This Row],[aliment]],Règles_lapins[Ration]&amp;Règles_lapins[Aliment],0)),0),0)*SUM(animaux!$C$120:$C$121)*SUM($P$76:$P$76))</calculatedColumnFormula>
    </tableColumn>
    <tableColumn id="4" name="Valeur 0-1" dataDxfId="69">
      <calculatedColumnFormula array="1">IF(animaux!$J$124=BDD!$M$2,0,IFERROR(IF(OR(AND(INDEX(Règles_lapins[Specificite],MATCH(animaux!$J$118&amp;AlimentsRationLapinsFemelles[[#This Row],[aliment]],Règles_lapins[Ration]&amp;Règles_lapins[Aliment],0))="s1",IF(AlimentsRationLapinsFemelles[[#This Row],[aliment]]=animaux!$J$130,1)),
AND(INDEX(Règles_lapins[Specificite],MATCH(animaux!$J$118&amp;AlimentsRationLapinsFemelles[[#This Row],[aliment]],Règles_lapins[Ration]&amp;Règles_lapins[Aliment],0))="s2",IF(AlimentsRationLapinsFemelles[[#This Row],[aliment]]=animaux!$J$131,1)),
INDEX(Règles_lapins[Specificite],MATCH(animaux!$J$118&amp;AlimentsRationLapinsFemelles[[#This Row],[aliment]],Règles_lapins[Ration]&amp;Règles_lapins[Aliment],0))="c"),
INDEX(Règles_lapins[Valeur 0-1],MATCH(animaux!$J$118&amp;AlimentsRationLapinsFemelles[[#This Row],[aliment]],Règles_lapins[Ration]&amp;Règles_lapins[Aliment],0)),0),0)*SUM(animaux!$C$118:$C$119)*SUM($P$76:$P$76))</calculatedColumnFormula>
    </tableColumn>
    <tableColumn id="5" name="somme" dataDxfId="68">
      <calculatedColumnFormula>SUM(AlimentsRationLapinsFemelles[[#This Row],[Valeur 3 et plus]:[Valeur 0-1]])</calculatedColumnFormula>
    </tableColumn>
  </tableColumns>
  <tableStyleInfo name="TableStyleMedium9" showFirstColumn="0" showLastColumn="0" showRowStripes="1" showColumnStripes="0"/>
</table>
</file>

<file path=xl/tables/table75.xml><?xml version="1.0" encoding="utf-8"?>
<table xmlns="http://schemas.openxmlformats.org/spreadsheetml/2006/main" id="13" name="AlimentsRationVolaillesFemelles" displayName="AlimentsRationVolaillesFemelles" ref="CZ98:DD137" totalsRowShown="0" headerRowDxfId="67" dataDxfId="65" headerRowBorderDxfId="66" tableBorderDxfId="64" totalsRowBorderDxfId="63">
  <autoFilter ref="CZ98:DD137"/>
  <tableColumns count="5">
    <tableColumn id="1" name="aliment" dataDxfId="62">
      <calculatedColumnFormula>CZ57</calculatedColumnFormula>
    </tableColumn>
    <tableColumn id="2" name="Valeur 6 et plus" dataDxfId="61">
      <calculatedColumnFormula array="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calculatedColumnFormula>
    </tableColumn>
    <tableColumn id="3" name="Valeur 1-6" dataDxfId="60">
      <calculatedColumnFormula array="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calculatedColumnFormula>
    </tableColumn>
    <tableColumn id="4" name="Valeur 0-1" dataDxfId="59">
      <calculatedColumnFormula array="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calculatedColumnFormula>
    </tableColumn>
    <tableColumn id="5" name="somme" dataDxfId="58">
      <calculatedColumnFormula>SUM(AlimentsRationVolaillesFemelles[[#This Row],[Valeur 6 et plus]:[Valeur 0-1]])</calculatedColumnFormula>
    </tableColumn>
  </tableColumns>
  <tableStyleInfo name="TableStyleMedium9" showFirstColumn="0" showLastColumn="0" showRowStripes="1" showColumnStripes="0"/>
</table>
</file>

<file path=xl/tables/table76.xml><?xml version="1.0" encoding="utf-8"?>
<table xmlns="http://schemas.openxmlformats.org/spreadsheetml/2006/main" id="23" name="Ration_complète_pintades" displayName="Ration_complète_pintades" ref="DG131:DK132" totalsRowShown="0" headerRowDxfId="57" dataDxfId="55" headerRowBorderDxfId="56" tableBorderDxfId="54" totalsRowBorderDxfId="53">
  <autoFilter ref="DG131:DK132"/>
  <tableColumns count="5">
    <tableColumn id="1" name="aliment" dataDxfId="52"/>
    <tableColumn id="2" name="Valeur 6 et plus" dataDxfId="51"/>
    <tableColumn id="3" name="Valeur 1-6" dataDxfId="50"/>
    <tableColumn id="4" name="Valeur 0-1" dataDxfId="49"/>
    <tableColumn id="5" name="somme" dataDxfId="48">
      <calculatedColumnFormula>SUM(Ration_complète_pintades[[Valeur 6 et plus]:[Valeur 0-1]])</calculatedColumnFormula>
    </tableColumn>
  </tableColumns>
  <tableStyleInfo name="TableStyleMedium9" showFirstColumn="0" showLastColumn="0" showRowStripes="1" showColumnStripes="0"/>
</table>
</file>

<file path=xl/tables/table77.xml><?xml version="1.0" encoding="utf-8"?>
<table xmlns="http://schemas.openxmlformats.org/spreadsheetml/2006/main" id="69" name="LitièrePintades" displayName="LitièrePintades" ref="DG136:DH140" totalsRowCount="1" headerRowDxfId="47" dataDxfId="45" totalsRowDxfId="43" headerRowBorderDxfId="46" tableBorderDxfId="44" totalsRowBorderDxfId="42">
  <autoFilter ref="DG136:DH139"/>
  <tableColumns count="2">
    <tableColumn id="1" name="animaux" totalsRowLabel="Total" dataDxfId="41" totalsRowDxfId="40"/>
    <tableColumn id="2" name="litière" totalsRowFunction="custom" dataDxfId="39" totalsRowDxfId="38">
      <calculatedColumnFormula>DJ8</calculatedColumnFormula>
      <totalsRowFormula>IF(ChoixPaillagePintades=OUI,SUBTOTAL(109,LitièrePintades[litière]),0)</totalsRowFormula>
    </tableColumn>
  </tableColumns>
  <tableStyleInfo name="TableStyleMedium9" showFirstColumn="0" showLastColumn="0" showRowStripes="1" showColumnStripes="0"/>
</table>
</file>

<file path=xl/tables/table78.xml><?xml version="1.0" encoding="utf-8"?>
<table xmlns="http://schemas.openxmlformats.org/spreadsheetml/2006/main" id="30" name="AlimentsRationPintadesFemelles" displayName="AlimentsRationPintadesFemelles" ref="DG89:DK128" totalsRowShown="0" headerRowDxfId="37" dataDxfId="36">
  <autoFilter ref="DG89:DK128"/>
  <tableColumns count="5">
    <tableColumn id="1" name="aliment" dataDxfId="35">
      <calculatedColumnFormula>DG48</calculatedColumnFormula>
    </tableColumn>
    <tableColumn id="2" name="Valeur 6 et plus" dataDxfId="34">
      <calculatedColumnFormula array="1">IF(animaux!$J$105=BDD!$M$2,0,IFERROR(IF(OR(AND(INDEX(Règles_pintades[Specificite],MATCH(animaux!$J$99&amp;AlimentsRationPintadesFemelles[[#This Row],[aliment]],Règles_pintades[Ration]&amp;Règles_pintades[Aliment],0))="s1",IF(AlimentsRationPintadesFemelles[[#This Row],[aliment]]=animaux!$J$111,1)),
AND(INDEX(Règles_pintades[Specificite],MATCH(animaux!$J$99&amp;AlimentsRationPintadesFemelles[[#This Row],[aliment]],Règles_pintades[Ration]&amp;Règles_pintades[Aliment],0))="s2",IF(AlimentsRationPintadesFemelles[[#This Row],[aliment]]=animaux!$J$112,1)),
INDEX(Règles_pintades[Specificite],MATCH(animaux!$J$99&amp;AlimentsRationPintadesFemelles[[#This Row],[aliment]],Règles_pintades[Ration]&amp;Règles_pintades[Aliment],0))="c"),
INDEX(Règles_pintades[Valeur 6 et plus],MATCH(animaux!$J$99&amp;AlimentsRationPintadesFemelles[[#This Row],[aliment]],Règles_pintades[Ration]&amp;Règles_pintades[Aliment],0)),0),0)*SUM(animaux!$C$103:$C$104)*SUM($P$76:$P$76))</calculatedColumnFormula>
    </tableColumn>
    <tableColumn id="3" name="Valeur 1-6" dataDxfId="33">
      <calculatedColumnFormula array="1">IF(animaux!$J$105=BDD!$M$2,0,IFERROR(IF(OR(AND(INDEX(Règles_pintades[Specificite],MATCH(animaux!$J$99&amp;AlimentsRationPintadesFemelles[[#This Row],[aliment]],Règles_pintades[Ration]&amp;Règles_pintades[Aliment],0))="s1",IF(AlimentsRationPintadesFemelles[[#This Row],[aliment]]=animaux!$J$111,1)),
AND(INDEX(Règles_pintades[Specificite],MATCH(animaux!$J$99&amp;AlimentsRationPintadesFemelles[[#This Row],[aliment]],Règles_pintades[Ration]&amp;Règles_pintades[Aliment],0))="s2",IF(AlimentsRationPintadesFemelles[[#This Row],[aliment]]=animaux!$J$112,1)),
INDEX(Règles_pintades[Specificite],MATCH(animaux!$J$99&amp;AlimentsRationPintadesFemelles[[#This Row],[aliment]],Règles_pintades[Ration]&amp;Règles_pintades[Aliment],0))="c"),
INDEX(Règles_pintades[Valeur 1-6],MATCH(animaux!$J$99&amp;AlimentsRationPintadesFemelles[[#This Row],[aliment]],Règles_pintades[Ration]&amp;Règles_pintades[Aliment],0)),0),0)*SUM(animaux!$C$101:$C$102)*SUM($P$76:$P$76))</calculatedColumnFormula>
    </tableColumn>
    <tableColumn id="4" name="Valeur 0-1" dataDxfId="32">
      <calculatedColumnFormula array="1">IF(animaux!$J$105=BDD!$M$2,0,IFERROR(IF(OR(AND(INDEX(Règles_pintades[Specificite],MATCH(animaux!$J$99&amp;AlimentsRationPintadesFemelles[[#This Row],[aliment]],Règles_pintades[Ration]&amp;Règles_pintades[Aliment],0))="s1",IF(AlimentsRationPintadesFemelles[[#This Row],[aliment]]=animaux!$J$111,1)),
AND(INDEX(Règles_pintades[Specificite],MATCH(animaux!$J$99&amp;AlimentsRationPintadesFemelles[[#This Row],[aliment]],Règles_pintades[Ration]&amp;Règles_pintades[Aliment],0))="s2",IF(AlimentsRationPintadesFemelles[[#This Row],[aliment]]=animaux!$J$112,1)),
INDEX(Règles_pintades[Specificite],MATCH(animaux!$J$99&amp;AlimentsRationPintadesFemelles[[#This Row],[aliment]],Règles_pintades[Ration]&amp;Règles_pintades[Aliment],0))="c"),
INDEX(Règles_pintades[Valeur 0-1],MATCH(animaux!$J$99&amp;AlimentsRationPintadesFemelles[[#This Row],[aliment]],Règles_pintades[Ration]&amp;Règles_pintades[Aliment],0)),0),0)*SUM(animaux!$C$99:$C$100)*SUM($P$76:$P$76))</calculatedColumnFormula>
    </tableColumn>
    <tableColumn id="5" name="somme" dataDxfId="31">
      <calculatedColumnFormula>SUM(AlimentsRationPintadesFemelles[[#This Row],[Valeur 6 et plus]:[Valeur 0-1]])</calculatedColumnFormula>
    </tableColumn>
  </tableColumns>
  <tableStyleInfo name="TableStyleMedium9" showFirstColumn="0" showLastColumn="0" showRowStripes="1" showColumnStripes="0"/>
</table>
</file>

<file path=xl/tables/table79.xml><?xml version="1.0" encoding="utf-8"?>
<table xmlns="http://schemas.openxmlformats.org/spreadsheetml/2006/main" id="42" name="AlimentsRationOiesFemelles" displayName="AlimentsRationOiesFemelles" ref="EG94:EK133" totalsRowShown="0" headerRowDxfId="30" dataDxfId="28" headerRowBorderDxfId="29" tableBorderDxfId="27" totalsRowBorderDxfId="26">
  <autoFilter ref="EG94:EK133"/>
  <tableColumns count="5">
    <tableColumn id="1" name="aliment" dataDxfId="25">
      <calculatedColumnFormula>EG53</calculatedColumnFormula>
    </tableColumn>
    <tableColumn id="2" name="Valeur 6 et plus" dataDxfId="24">
      <calculatedColumnFormula array="1">IF(animaux!$J$141=BDD!$M$2,0,IFERROR(IF(OR(AND(INDEX(Règles_oies[Specificite],MATCH(animaux!$J$138&amp;AlimentsRationOiesFemelles[[#This Row],[aliment]],Règles_oies[Ration]&amp;Règles_oies[Aliment],0))="s1",IF(AlimentsRationOiesFemelles[[#This Row],[aliment]]=animaux!$J$147,1)),
AND(INDEX(Règles_oies[Specificite],MATCH(animaux!$J$138&amp;AlimentsRationOiesFemelles[[#This Row],[aliment]],Règles_oies[Ration]&amp;Règles_oies[Aliment],0))="s2",IF(AlimentsRationOiesFemelles[[#This Row],[aliment]]=animaux!$J$148,1)),
INDEX(Règles_oies[Specificite],MATCH(animaux!$J$138&amp;AlimentsRationOiesFemelles[[#This Row],[aliment]],Règles_oies[Ration]&amp;Règles_oies[Aliment],0))="c"),
INDEX(Règles_oies[Valeur 6 et plus],MATCH(animaux!$J$138&amp;AlimentsRationOiesFemelles[[#This Row],[aliment]],Règles_oies[Ration]&amp;Règles_oies[Aliment],0)),0),0)*SUM(animaux!$C$142:$C$143)*SUM($P$76:$P$76))</calculatedColumnFormula>
    </tableColumn>
    <tableColumn id="3" name="Valeur 3-6" dataDxfId="23">
      <calculatedColumnFormula array="1">IF(animaux!$J$141=BDD!$M$2,0,IFERROR(IF(OR(AND(INDEX(Règles_oies[Specificite],MATCH(animaux!$J$138&amp;AlimentsRationOiesFemelles[[#This Row],[aliment]],Règles_oies[Ration]&amp;Règles_oies[Aliment],0))="s1",IF(AlimentsRationOiesFemelles[[#This Row],[aliment]]=animaux!$J$147,1)),
AND(INDEX(Règles_oies[Specificite],MATCH(animaux!$J$138&amp;AlimentsRationOiesFemelles[[#This Row],[aliment]],Règles_oies[Ration]&amp;Règles_oies[Aliment],0))="s2",IF(AlimentsRationOiesFemelles[[#This Row],[aliment]]=animaux!$J$148,1)),
INDEX(Règles_oies[Specificite],MATCH(animaux!$J$138&amp;AlimentsRationOiesFemelles[[#This Row],[aliment]],Règles_oies[Ration]&amp;Règles_oies[Aliment],0))="c"),
INDEX(Règles_oies[Valeur 3-6],MATCH(animaux!$J$138&amp;AlimentsRationOiesFemelles[[#This Row],[aliment]],Règles_oies[Ration]&amp;Règles_oies[Aliment],0)),0),0)*SUM(animaux!$C$142:$C$143)*SUM($P$76:$P$76))</calculatedColumnFormula>
    </tableColumn>
    <tableColumn id="4" name="Valeur 0-3" dataDxfId="22">
      <calculatedColumnFormula array="1">IF(animaux!$J$141=BDD!$M$2,0,IFERROR(IF(OR(AND(INDEX(Règles_oies[Specificite],MATCH(animaux!$J$138&amp;AlimentsRationOiesFemelles[[#This Row],[aliment]],Règles_oies[Ration]&amp;Règles_oies[Aliment],0))="s1",IF(AlimentsRationOiesFemelles[[#This Row],[aliment]]=animaux!$J$147,1)),
AND(INDEX(Règles_oies[Specificite],MATCH(animaux!$J$138&amp;AlimentsRationOiesFemelles[[#This Row],[aliment]],Règles_oies[Ration]&amp;Règles_oies[Aliment],0))="s2",IF(AlimentsRationOiesFemelles[[#This Row],[aliment]]=animaux!$J$148,1)),
INDEX(Règles_oies[Specificite],MATCH(animaux!$J$138&amp;AlimentsRationOiesFemelles[[#This Row],[aliment]],Règles_oies[Ration]&amp;Règles_oies[Aliment],0))="c"),
INDEX(Règles_oies[Valeur 0-3],MATCH(animaux!$J$138&amp;AlimentsRationOiesFemelles[[#This Row],[aliment]],Règles_oies[Ration]&amp;Règles_oies[Aliment],0)),0),0)*SUM(animaux!$C$142:$C$143)*SUM($P$76:$P$76))</calculatedColumnFormula>
    </tableColumn>
    <tableColumn id="5" name="somme" dataDxfId="21">
      <calculatedColumnFormula>SUM(AlimentsRationOiesFemelles[[#This Row],[Valeur 6 et plus]:[Valeur 0-3]])</calculatedColumnFormula>
    </tableColumn>
  </tableColumns>
  <tableStyleInfo name="TableStyleMedium9" showFirstColumn="0" showLastColumn="0" showRowStripes="1" showColumnStripes="0"/>
</table>
</file>

<file path=xl/tables/table80.xml><?xml version="1.0" encoding="utf-8"?>
<table xmlns="http://schemas.openxmlformats.org/spreadsheetml/2006/main" id="47" name="Ration_canards_Femelles" displayName="Ration_canards_Femelles" ref="EN93:ER132" totalsRowShown="0" headerRowDxfId="20" dataDxfId="18" headerRowBorderDxfId="19" tableBorderDxfId="17" totalsRowBorderDxfId="16">
  <autoFilter ref="EN93:ER132"/>
  <tableColumns count="5">
    <tableColumn id="1" name="aliment" dataDxfId="15">
      <calculatedColumnFormula>EN52</calculatedColumnFormula>
    </tableColumn>
    <tableColumn id="2" name="Valeur 6 et plus" dataDxfId="14">
      <calculatedColumnFormula array="1">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calculatedColumnFormula>
    </tableColumn>
    <tableColumn id="3" name="Valeur 3-6" dataDxfId="13">
      <calculatedColumnFormula array="1">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calculatedColumnFormula>
    </tableColumn>
    <tableColumn id="4" name="Valeur 0-3" dataDxfId="12">
      <calculatedColumnFormula array="1">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calculatedColumnFormula>
    </tableColumn>
    <tableColumn id="5" name="somme" dataDxfId="11">
      <calculatedColumnFormula>SUM(Ration_canards_Femelles[[#This Row],[Valeur 6 et plus]:[Valeur 0-3]])</calculatedColumnFormula>
    </tableColumn>
  </tableColumns>
  <tableStyleInfo name="TableStyleMedium9" showFirstColumn="0" showLastColumn="0" showRowStripes="1" showColumnStripes="0"/>
</table>
</file>

<file path=xl/tables/table81.xml><?xml version="1.0" encoding="utf-8"?>
<table xmlns="http://schemas.openxmlformats.org/spreadsheetml/2006/main" id="34" name="Ration_complète_gavage_oies" displayName="Ration_complète_gavage_oies" ref="FW84:GB85" totalsRowShown="0" headerRowDxfId="10" dataDxfId="8" headerRowBorderDxfId="9" tableBorderDxfId="7" totalsRowBorderDxfId="6">
  <autoFilter ref="FW84:GB85"/>
  <tableColumns count="6">
    <tableColumn id="1" name="aliment" dataDxfId="5"/>
    <tableColumn id="2" name="Valeur 6 et plus" dataDxfId="4"/>
    <tableColumn id="3" name="Valeur 2-3" dataDxfId="3">
      <calculatedColumnFormula array="1">IF(ChoixRationComplèteFoieGrasOies=NON,0,IFERROR(IF(OR(AND(INDEX(Règles_gavage[Specificite],MATCH(ChoixRationFoieGrasOies&amp;Ration_complète_gavage_oies[aliment],Règles_gavage[Ration]&amp;Règles_gavage[Aliment],0))="s1",IF(Ration_complète_gavage_oies[aliment]=ChoixSpécificité1FoieGrasOies,1)),
AND(INDEX(Règles_gavage[Specificite],MATCH(ChoixRationFoieGrasOies&amp;Ration_complète_gavage_oies[aliment],Règles_gavage[Ration]&amp;Règles_gavage[Aliment],0))="s2",IF(Ration_complète_gavage_oies[aliment]=ChoixSpécificité2FoieGrasOies,1)),
INDEX(Règles_gavage[Specificite],MATCH(ChoixRationFoieGrasOies&amp;Ration_complète_gavage_oies[aliment],Règles_gavage[Ration]&amp;Règles_gavage[Aliment],0))="c",INDEX(Règles_gavage[Specificite],MATCH(ChoixRationFoieGrasOies&amp;Ration_complète_gavage_oies[aliment],Règles_gavage[Ration]&amp;Règles_gavage[Aliment],0))="complet"),
INDEX(Règles_gavage[Valeur 2-3],MATCH(ChoixRationFoieGrasOies&amp;Ration_complète_gavage_oies[aliment],Règles_gavage[Ration]&amp;Règles_gavage[Aliment],0)),0),0)*FoieGrasOison_2_3mois*DuréePhaseElevage2_3)</calculatedColumnFormula>
    </tableColumn>
    <tableColumn id="6" name="Valeur 1-2" dataDxfId="2">
      <calculatedColumnFormula array="1">IF(ChoixRationComplèteFoieGrasOies=NON,0,IFERROR(IF(OR(AND(INDEX(Règles_gavage[Specificite],MATCH(ChoixRationFoieGrasOies&amp;Ration_complète_gavage_oies[aliment],Règles_gavage[Ration]&amp;Règles_gavage[Aliment],0))="s1",IF(Ration_complète_gavage_oies[aliment]=ChoixSpécificité1FoieGrasOies,1)),
AND(INDEX(Règles_gavage[Specificite],MATCH(ChoixRationFoieGrasOies&amp;Ration_complète_gavage_oies[aliment],Règles_gavage[Ration]&amp;Règles_gavage[Aliment],0))="s2",IF(Ration_complète_gavage_oies[aliment]=ChoixSpécificité2FoieGrasOies,1)),
INDEX(Règles_gavage[Specificite],MATCH(ChoixRationFoieGrasOies&amp;Ration_complète_gavage_oies[aliment],Règles_gavage[Ration]&amp;Règles_gavage[Aliment],0))="c",INDEX(Règles_gavage[Specificite],MATCH(ChoixRationFoieGrasOies&amp;Ration_complète_gavage_oies[aliment],Règles_gavage[Ration]&amp;Règles_gavage[Aliment],0))="complet"),
INDEX(Règles_gavage[Valeur 1-2],MATCH(ChoixRationFoieGrasOies&amp;Ration_complète_gavage_oies[aliment],Règles_gavage[Ration]&amp;Règles_gavage[Aliment],0)),0),0)*FoieGrasOison_1_2mois*DuréePhaseElevage1_2)</calculatedColumnFormula>
    </tableColumn>
    <tableColumn id="4" name="Valeur 0-1" dataDxfId="1">
      <calculatedColumnFormula array="1">IF(ChoixRationComplèteFoieGrasOies=NON,0,IFERROR(IF(OR(AND(INDEX(Règles_gavage[Specificite],MATCH(ChoixRationFoieGrasOies&amp;Ration_complète_gavage_oies[aliment],Règles_gavage[Ration]&amp;Règles_gavage[Aliment],0))="s1",IF(Ration_complète_gavage_oies[aliment]=ChoixSpécificité1FoieGrasOies,1)),
AND(INDEX(Règles_gavage[Specificite],MATCH(ChoixRationFoieGrasOies&amp;Ration_complète_gavage_oies[aliment],Règles_gavage[Ration]&amp;Règles_gavage[Aliment],0))="s2",IF(Ration_complète_gavage_oies[aliment]=ChoixSpécificité2FoieGrasOies,1)),
INDEX(Règles_gavage[Specificite],MATCH(ChoixRationFoieGrasOies&amp;Ration_complète_gavage_oies[aliment],Règles_gavage[Ration]&amp;Règles_gavage[Aliment],0))="c",INDEX(Règles_gavage[Specificite],MATCH(ChoixRationFoieGrasOies&amp;Ration_complète_gavage_oies[aliment],Règles_gavage[Ration]&amp;Règles_gavage[Aliment],0))="complet"),
INDEX(Règles_gavage[Valeur 0-1],MATCH(ChoixRationFoieGrasOies&amp;Ration_complète_gavage_oies[aliment],Règles_gavage[Ration]&amp;Règles_gavage[Aliment],0)),0),0)*FoieGrasOison_0_1mois*DuréePhaseElevage0_1)</calculatedColumnFormula>
    </tableColumn>
    <tableColumn id="5" name="somme" dataDxfId="0">
      <calculatedColumnFormula>SUM(Ration_complète_gavage_oies[[Valeur 6 et plus]:[Valeur 0-1]])</calculatedColumnFormula>
    </tableColumn>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2.vml"/><Relationship Id="rId1" Type="http://schemas.openxmlformats.org/officeDocument/2006/relationships/printerSettings" Target="../printerSettings/printerSettings2.bin"/><Relationship Id="rId4" Type="http://schemas.openxmlformats.org/officeDocument/2006/relationships/comments" Target="../comments2.xml"/></Relationships>
</file>

<file path=xl/worksheets/_rels/sheet3.xml.rels><?xml version="1.0" encoding="UTF-8" standalone="yes"?>
<Relationships xmlns="http://schemas.openxmlformats.org/package/2006/relationships"><Relationship Id="rId13" Type="http://schemas.openxmlformats.org/officeDocument/2006/relationships/table" Target="../tables/table12.xml"/><Relationship Id="rId18" Type="http://schemas.openxmlformats.org/officeDocument/2006/relationships/table" Target="../tables/table17.xml"/><Relationship Id="rId26" Type="http://schemas.openxmlformats.org/officeDocument/2006/relationships/table" Target="../tables/table25.xml"/><Relationship Id="rId39" Type="http://schemas.openxmlformats.org/officeDocument/2006/relationships/table" Target="../tables/table38.xml"/><Relationship Id="rId21" Type="http://schemas.openxmlformats.org/officeDocument/2006/relationships/table" Target="../tables/table20.xml"/><Relationship Id="rId34" Type="http://schemas.openxmlformats.org/officeDocument/2006/relationships/table" Target="../tables/table33.xml"/><Relationship Id="rId42" Type="http://schemas.openxmlformats.org/officeDocument/2006/relationships/table" Target="../tables/table41.xml"/><Relationship Id="rId47" Type="http://schemas.openxmlformats.org/officeDocument/2006/relationships/table" Target="../tables/table46.xml"/><Relationship Id="rId50" Type="http://schemas.openxmlformats.org/officeDocument/2006/relationships/table" Target="../tables/table49.xml"/><Relationship Id="rId55" Type="http://schemas.openxmlformats.org/officeDocument/2006/relationships/table" Target="../tables/table54.xml"/><Relationship Id="rId63" Type="http://schemas.openxmlformats.org/officeDocument/2006/relationships/table" Target="../tables/table62.xml"/><Relationship Id="rId68" Type="http://schemas.openxmlformats.org/officeDocument/2006/relationships/table" Target="../tables/table67.xml"/><Relationship Id="rId76" Type="http://schemas.openxmlformats.org/officeDocument/2006/relationships/table" Target="../tables/table75.xml"/><Relationship Id="rId7" Type="http://schemas.openxmlformats.org/officeDocument/2006/relationships/table" Target="../tables/table6.xml"/><Relationship Id="rId71" Type="http://schemas.openxmlformats.org/officeDocument/2006/relationships/table" Target="../tables/table70.xml"/><Relationship Id="rId2" Type="http://schemas.openxmlformats.org/officeDocument/2006/relationships/drawing" Target="../drawings/drawing1.xml"/><Relationship Id="rId16" Type="http://schemas.openxmlformats.org/officeDocument/2006/relationships/table" Target="../tables/table15.xml"/><Relationship Id="rId29" Type="http://schemas.openxmlformats.org/officeDocument/2006/relationships/table" Target="../tables/table28.xml"/><Relationship Id="rId11" Type="http://schemas.openxmlformats.org/officeDocument/2006/relationships/table" Target="../tables/table10.xml"/><Relationship Id="rId24" Type="http://schemas.openxmlformats.org/officeDocument/2006/relationships/table" Target="../tables/table23.xml"/><Relationship Id="rId32" Type="http://schemas.openxmlformats.org/officeDocument/2006/relationships/table" Target="../tables/table31.xml"/><Relationship Id="rId37" Type="http://schemas.openxmlformats.org/officeDocument/2006/relationships/table" Target="../tables/table36.xml"/><Relationship Id="rId40" Type="http://schemas.openxmlformats.org/officeDocument/2006/relationships/table" Target="../tables/table39.xml"/><Relationship Id="rId45" Type="http://schemas.openxmlformats.org/officeDocument/2006/relationships/table" Target="../tables/table44.xml"/><Relationship Id="rId53" Type="http://schemas.openxmlformats.org/officeDocument/2006/relationships/table" Target="../tables/table52.xml"/><Relationship Id="rId58" Type="http://schemas.openxmlformats.org/officeDocument/2006/relationships/table" Target="../tables/table57.xml"/><Relationship Id="rId66" Type="http://schemas.openxmlformats.org/officeDocument/2006/relationships/table" Target="../tables/table65.xml"/><Relationship Id="rId74" Type="http://schemas.openxmlformats.org/officeDocument/2006/relationships/table" Target="../tables/table73.xml"/><Relationship Id="rId79" Type="http://schemas.openxmlformats.org/officeDocument/2006/relationships/table" Target="../tables/table78.xml"/><Relationship Id="rId5" Type="http://schemas.openxmlformats.org/officeDocument/2006/relationships/table" Target="../tables/table4.xml"/><Relationship Id="rId61" Type="http://schemas.openxmlformats.org/officeDocument/2006/relationships/table" Target="../tables/table60.xml"/><Relationship Id="rId82" Type="http://schemas.openxmlformats.org/officeDocument/2006/relationships/table" Target="../tables/table81.xml"/><Relationship Id="rId10" Type="http://schemas.openxmlformats.org/officeDocument/2006/relationships/table" Target="../tables/table9.xml"/><Relationship Id="rId19" Type="http://schemas.openxmlformats.org/officeDocument/2006/relationships/table" Target="../tables/table18.xml"/><Relationship Id="rId31" Type="http://schemas.openxmlformats.org/officeDocument/2006/relationships/table" Target="../tables/table30.xml"/><Relationship Id="rId44" Type="http://schemas.openxmlformats.org/officeDocument/2006/relationships/table" Target="../tables/table43.xml"/><Relationship Id="rId52" Type="http://schemas.openxmlformats.org/officeDocument/2006/relationships/table" Target="../tables/table51.xml"/><Relationship Id="rId60" Type="http://schemas.openxmlformats.org/officeDocument/2006/relationships/table" Target="../tables/table59.xml"/><Relationship Id="rId65" Type="http://schemas.openxmlformats.org/officeDocument/2006/relationships/table" Target="../tables/table64.xml"/><Relationship Id="rId73" Type="http://schemas.openxmlformats.org/officeDocument/2006/relationships/table" Target="../tables/table72.xml"/><Relationship Id="rId78" Type="http://schemas.openxmlformats.org/officeDocument/2006/relationships/table" Target="../tables/table77.xml"/><Relationship Id="rId81" Type="http://schemas.openxmlformats.org/officeDocument/2006/relationships/table" Target="../tables/table80.xml"/><Relationship Id="rId4" Type="http://schemas.openxmlformats.org/officeDocument/2006/relationships/table" Target="../tables/table3.xml"/><Relationship Id="rId9" Type="http://schemas.openxmlformats.org/officeDocument/2006/relationships/table" Target="../tables/table8.xml"/><Relationship Id="rId14" Type="http://schemas.openxmlformats.org/officeDocument/2006/relationships/table" Target="../tables/table13.xml"/><Relationship Id="rId22" Type="http://schemas.openxmlformats.org/officeDocument/2006/relationships/table" Target="../tables/table21.xml"/><Relationship Id="rId27" Type="http://schemas.openxmlformats.org/officeDocument/2006/relationships/table" Target="../tables/table26.xml"/><Relationship Id="rId30" Type="http://schemas.openxmlformats.org/officeDocument/2006/relationships/table" Target="../tables/table29.xml"/><Relationship Id="rId35" Type="http://schemas.openxmlformats.org/officeDocument/2006/relationships/table" Target="../tables/table34.xml"/><Relationship Id="rId43" Type="http://schemas.openxmlformats.org/officeDocument/2006/relationships/table" Target="../tables/table42.xml"/><Relationship Id="rId48" Type="http://schemas.openxmlformats.org/officeDocument/2006/relationships/table" Target="../tables/table47.xml"/><Relationship Id="rId56" Type="http://schemas.openxmlformats.org/officeDocument/2006/relationships/table" Target="../tables/table55.xml"/><Relationship Id="rId64" Type="http://schemas.openxmlformats.org/officeDocument/2006/relationships/table" Target="../tables/table63.xml"/><Relationship Id="rId69" Type="http://schemas.openxmlformats.org/officeDocument/2006/relationships/table" Target="../tables/table68.xml"/><Relationship Id="rId77" Type="http://schemas.openxmlformats.org/officeDocument/2006/relationships/table" Target="../tables/table76.xml"/><Relationship Id="rId8" Type="http://schemas.openxmlformats.org/officeDocument/2006/relationships/table" Target="../tables/table7.xml"/><Relationship Id="rId51" Type="http://schemas.openxmlformats.org/officeDocument/2006/relationships/table" Target="../tables/table50.xml"/><Relationship Id="rId72" Type="http://schemas.openxmlformats.org/officeDocument/2006/relationships/table" Target="../tables/table71.xml"/><Relationship Id="rId80" Type="http://schemas.openxmlformats.org/officeDocument/2006/relationships/table" Target="../tables/table79.xml"/><Relationship Id="rId3" Type="http://schemas.openxmlformats.org/officeDocument/2006/relationships/table" Target="../tables/table2.xml"/><Relationship Id="rId12" Type="http://schemas.openxmlformats.org/officeDocument/2006/relationships/table" Target="../tables/table11.xml"/><Relationship Id="rId17" Type="http://schemas.openxmlformats.org/officeDocument/2006/relationships/table" Target="../tables/table16.xml"/><Relationship Id="rId25" Type="http://schemas.openxmlformats.org/officeDocument/2006/relationships/table" Target="../tables/table24.xml"/><Relationship Id="rId33" Type="http://schemas.openxmlformats.org/officeDocument/2006/relationships/table" Target="../tables/table32.xml"/><Relationship Id="rId38" Type="http://schemas.openxmlformats.org/officeDocument/2006/relationships/table" Target="../tables/table37.xml"/><Relationship Id="rId46" Type="http://schemas.openxmlformats.org/officeDocument/2006/relationships/table" Target="../tables/table45.xml"/><Relationship Id="rId59" Type="http://schemas.openxmlformats.org/officeDocument/2006/relationships/table" Target="../tables/table58.xml"/><Relationship Id="rId67" Type="http://schemas.openxmlformats.org/officeDocument/2006/relationships/table" Target="../tables/table66.xml"/><Relationship Id="rId20" Type="http://schemas.openxmlformats.org/officeDocument/2006/relationships/table" Target="../tables/table19.xml"/><Relationship Id="rId41" Type="http://schemas.openxmlformats.org/officeDocument/2006/relationships/table" Target="../tables/table40.xml"/><Relationship Id="rId54" Type="http://schemas.openxmlformats.org/officeDocument/2006/relationships/table" Target="../tables/table53.xml"/><Relationship Id="rId62" Type="http://schemas.openxmlformats.org/officeDocument/2006/relationships/table" Target="../tables/table61.xml"/><Relationship Id="rId70" Type="http://schemas.openxmlformats.org/officeDocument/2006/relationships/table" Target="../tables/table69.xml"/><Relationship Id="rId75" Type="http://schemas.openxmlformats.org/officeDocument/2006/relationships/table" Target="../tables/table74.xml"/><Relationship Id="rId1" Type="http://schemas.openxmlformats.org/officeDocument/2006/relationships/printerSettings" Target="../printerSettings/printerSettings3.bin"/><Relationship Id="rId6" Type="http://schemas.openxmlformats.org/officeDocument/2006/relationships/table" Target="../tables/table5.xml"/><Relationship Id="rId15" Type="http://schemas.openxmlformats.org/officeDocument/2006/relationships/table" Target="../tables/table14.xml"/><Relationship Id="rId23" Type="http://schemas.openxmlformats.org/officeDocument/2006/relationships/table" Target="../tables/table22.xml"/><Relationship Id="rId28" Type="http://schemas.openxmlformats.org/officeDocument/2006/relationships/table" Target="../tables/table27.xml"/><Relationship Id="rId36" Type="http://schemas.openxmlformats.org/officeDocument/2006/relationships/table" Target="../tables/table35.xml"/><Relationship Id="rId49" Type="http://schemas.openxmlformats.org/officeDocument/2006/relationships/table" Target="../tables/table48.xml"/><Relationship Id="rId57" Type="http://schemas.openxmlformats.org/officeDocument/2006/relationships/table" Target="../tables/table5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CC280"/>
  <sheetViews>
    <sheetView topLeftCell="A30" zoomScaleNormal="100" workbookViewId="0">
      <selection activeCell="M45" sqref="M45"/>
    </sheetView>
  </sheetViews>
  <sheetFormatPr baseColWidth="10" defaultColWidth="9.140625" defaultRowHeight="12.75" x14ac:dyDescent="0.2"/>
  <cols>
    <col min="1" max="1" width="19.28515625" style="89" customWidth="1"/>
    <col min="2" max="2" width="33.42578125" style="89" bestFit="1" customWidth="1"/>
    <col min="3" max="3" width="16.28515625" style="89" customWidth="1"/>
    <col min="4" max="4" width="22.5703125" style="89" customWidth="1"/>
    <col min="5" max="5" width="17.140625" style="89" bestFit="1" customWidth="1"/>
    <col min="6" max="6" width="16.42578125" style="89" bestFit="1" customWidth="1"/>
    <col min="7" max="7" width="13.85546875" style="89" customWidth="1"/>
    <col min="8" max="8" width="17.140625" style="89" bestFit="1" customWidth="1"/>
    <col min="9" max="9" width="9.140625" style="89" customWidth="1"/>
    <col min="10" max="10" width="20.5703125" style="89" bestFit="1" customWidth="1"/>
    <col min="11" max="12" width="9.140625" style="89" customWidth="1"/>
    <col min="13" max="13" width="27.42578125" style="17" bestFit="1" customWidth="1"/>
    <col min="14" max="14" width="19" style="85" customWidth="1"/>
    <col min="15" max="15" width="9.140625" style="85"/>
    <col min="16" max="16" width="9.140625" style="147"/>
    <col min="17" max="35" width="9.140625" style="56"/>
    <col min="36" max="36" width="9.140625" style="86"/>
    <col min="37" max="37" width="9.140625" style="88"/>
    <col min="38" max="40" width="9.140625" style="86"/>
    <col min="41" max="79" width="9.140625" style="17"/>
    <col min="80" max="16384" width="9.140625" style="89"/>
  </cols>
  <sheetData>
    <row r="1" spans="1:81" ht="12.75" customHeight="1" x14ac:dyDescent="0.2">
      <c r="A1" s="82"/>
      <c r="B1" s="39" t="s">
        <v>530</v>
      </c>
      <c r="C1" s="481" t="s">
        <v>129</v>
      </c>
      <c r="D1" s="482"/>
      <c r="E1" s="15"/>
      <c r="F1" s="15"/>
      <c r="G1" s="15"/>
      <c r="H1" s="83"/>
      <c r="I1" s="84"/>
      <c r="J1" s="84"/>
      <c r="K1" s="84"/>
      <c r="L1" s="84"/>
      <c r="M1" s="84"/>
      <c r="N1" s="84"/>
      <c r="P1" s="86"/>
      <c r="Y1" s="87"/>
      <c r="AJ1" s="56"/>
      <c r="AK1" s="86"/>
      <c r="AL1" s="88"/>
      <c r="AO1" s="86"/>
    </row>
    <row r="2" spans="1:81" ht="12.75" customHeight="1" x14ac:dyDescent="0.2">
      <c r="A2" s="15"/>
      <c r="B2" s="15"/>
      <c r="C2" s="15"/>
      <c r="D2" s="15"/>
      <c r="E2" s="15"/>
      <c r="F2" s="15"/>
      <c r="G2" s="15"/>
      <c r="H2" s="15"/>
      <c r="I2" s="15"/>
      <c r="J2" s="15"/>
      <c r="K2" s="15"/>
      <c r="L2" s="15"/>
      <c r="M2" s="15"/>
      <c r="N2" s="15"/>
      <c r="P2" s="86"/>
      <c r="V2" s="90"/>
      <c r="AJ2" s="56"/>
      <c r="AK2" s="86"/>
      <c r="AL2" s="88"/>
      <c r="AO2" s="86"/>
    </row>
    <row r="3" spans="1:81" ht="12.75" customHeight="1" x14ac:dyDescent="0.2">
      <c r="A3" s="15"/>
      <c r="B3" s="15"/>
      <c r="C3" s="91"/>
      <c r="D3" s="77" t="s">
        <v>318</v>
      </c>
      <c r="E3" s="15"/>
      <c r="F3" s="15"/>
      <c r="G3" s="15"/>
      <c r="H3" s="15"/>
      <c r="I3" s="15"/>
      <c r="J3" s="15"/>
      <c r="K3" s="15"/>
      <c r="L3" s="15"/>
      <c r="M3" s="15"/>
      <c r="N3" s="15"/>
      <c r="P3" s="86"/>
      <c r="V3" s="90"/>
      <c r="AJ3" s="56"/>
      <c r="AK3" s="86"/>
      <c r="AL3" s="88"/>
      <c r="AO3" s="86"/>
    </row>
    <row r="4" spans="1:81" ht="12.75" customHeight="1" x14ac:dyDescent="0.2">
      <c r="A4" s="15"/>
      <c r="B4" s="15"/>
      <c r="C4" s="15"/>
      <c r="D4" s="92" t="s">
        <v>393</v>
      </c>
      <c r="E4" s="15"/>
      <c r="F4" s="15"/>
      <c r="G4" s="1"/>
      <c r="H4" s="15"/>
      <c r="I4" s="15"/>
      <c r="J4" s="15"/>
      <c r="K4" s="15"/>
      <c r="L4" s="15"/>
      <c r="M4" s="15"/>
      <c r="N4" s="15"/>
      <c r="P4" s="86"/>
      <c r="V4" s="90"/>
      <c r="AD4" s="90"/>
      <c r="AE4" s="90"/>
      <c r="AF4" s="90"/>
      <c r="AG4" s="90"/>
      <c r="AH4" s="90"/>
      <c r="AJ4" s="56"/>
      <c r="AK4" s="86"/>
      <c r="AL4" s="88"/>
      <c r="AO4" s="86"/>
    </row>
    <row r="5" spans="1:81" ht="12.75" customHeight="1" thickBot="1" x14ac:dyDescent="0.25">
      <c r="A5" s="15"/>
      <c r="B5" s="15"/>
      <c r="C5" s="15"/>
      <c r="D5" s="15"/>
      <c r="E5" s="15"/>
      <c r="F5" s="15"/>
      <c r="G5" s="15"/>
      <c r="H5" s="15"/>
      <c r="I5" s="15"/>
      <c r="J5" s="15"/>
      <c r="K5" s="15"/>
      <c r="L5" s="15"/>
      <c r="M5" s="15"/>
      <c r="N5" s="15"/>
      <c r="O5" s="17"/>
      <c r="P5" s="85"/>
      <c r="Q5" s="85"/>
      <c r="R5" s="86"/>
      <c r="AC5" s="58"/>
      <c r="AD5" s="58"/>
      <c r="AE5" s="58"/>
      <c r="AJ5" s="56"/>
      <c r="AK5" s="56"/>
      <c r="AL5" s="56"/>
      <c r="AN5" s="88"/>
      <c r="AO5" s="86"/>
      <c r="AP5" s="86"/>
      <c r="AQ5" s="86"/>
    </row>
    <row r="6" spans="1:81" ht="12.75" customHeight="1" thickBot="1" x14ac:dyDescent="0.25">
      <c r="A6" s="93" t="s">
        <v>347</v>
      </c>
      <c r="B6" s="94"/>
      <c r="C6" s="94"/>
      <c r="D6" s="94"/>
      <c r="E6" s="94"/>
      <c r="F6" s="94"/>
      <c r="G6" s="94"/>
      <c r="H6" s="94"/>
      <c r="I6" s="94"/>
      <c r="J6" s="94"/>
      <c r="K6" s="94"/>
      <c r="L6" s="94"/>
      <c r="M6" s="94"/>
      <c r="N6" s="95"/>
      <c r="O6" s="96"/>
      <c r="P6" s="17"/>
      <c r="Q6" s="17"/>
      <c r="R6" s="85"/>
      <c r="S6" s="85"/>
      <c r="T6" s="86"/>
      <c r="AE6" s="58"/>
      <c r="AF6" s="58"/>
      <c r="AG6" s="58"/>
      <c r="AJ6" s="56"/>
      <c r="AK6" s="56"/>
      <c r="AL6" s="56"/>
      <c r="AM6" s="56"/>
      <c r="AN6" s="56"/>
      <c r="AO6" s="86"/>
      <c r="AP6" s="88"/>
      <c r="AQ6" s="86"/>
      <c r="AR6" s="86"/>
      <c r="AS6" s="86"/>
      <c r="CB6" s="17"/>
      <c r="CC6" s="17"/>
    </row>
    <row r="7" spans="1:81" ht="12.75" customHeight="1" thickBot="1" x14ac:dyDescent="0.25">
      <c r="A7" s="97" t="str">
        <f>"Total : "&amp;SUM(TotalBovins)</f>
        <v>Total : 0</v>
      </c>
      <c r="B7" s="47"/>
      <c r="C7" s="78" t="s">
        <v>25</v>
      </c>
      <c r="D7" s="78" t="s">
        <v>528</v>
      </c>
      <c r="E7" s="78" t="s">
        <v>1108</v>
      </c>
      <c r="F7" s="78" t="s">
        <v>529</v>
      </c>
      <c r="G7" s="78" t="s">
        <v>24</v>
      </c>
      <c r="H7" s="232"/>
      <c r="I7" s="47"/>
      <c r="J7" s="478" t="s">
        <v>98</v>
      </c>
      <c r="K7" s="479"/>
      <c r="L7" s="47"/>
      <c r="M7" s="98" t="s">
        <v>1024</v>
      </c>
      <c r="N7" s="43"/>
      <c r="O7" s="96"/>
      <c r="P7" s="17"/>
      <c r="Q7" s="17"/>
      <c r="R7" s="17"/>
      <c r="S7" s="17"/>
      <c r="T7" s="57"/>
      <c r="Z7" s="90"/>
      <c r="AE7" s="58"/>
      <c r="AF7" s="58"/>
      <c r="AG7" s="58"/>
      <c r="AJ7" s="56"/>
      <c r="AK7" s="56"/>
      <c r="AL7" s="56"/>
      <c r="AM7" s="56"/>
      <c r="AN7" s="56"/>
      <c r="AO7" s="86"/>
      <c r="AP7" s="88"/>
      <c r="AQ7" s="86"/>
      <c r="AR7" s="86"/>
      <c r="AS7" s="86"/>
      <c r="CB7" s="17"/>
      <c r="CC7" s="17"/>
    </row>
    <row r="8" spans="1:81" ht="12.75" customHeight="1" x14ac:dyDescent="0.2">
      <c r="A8" s="97"/>
      <c r="B8" s="20" t="s">
        <v>351</v>
      </c>
      <c r="C8" s="99"/>
      <c r="D8" s="99"/>
      <c r="E8" s="4"/>
      <c r="F8" s="100">
        <f>C8-D8</f>
        <v>0</v>
      </c>
      <c r="G8" s="100" t="e">
        <f>NbreBovinsMâlesAuPré_0_3Mois</f>
        <v>#REF!</v>
      </c>
      <c r="H8" s="144"/>
      <c r="I8" s="47"/>
      <c r="J8" s="476"/>
      <c r="K8" s="477"/>
      <c r="L8" s="47"/>
      <c r="M8" s="226"/>
      <c r="N8" s="43"/>
      <c r="O8" s="96"/>
      <c r="P8" s="17"/>
      <c r="Q8" s="17"/>
      <c r="R8" s="17"/>
      <c r="S8" s="17"/>
      <c r="T8" s="59"/>
      <c r="U8" s="60"/>
      <c r="V8" s="60"/>
      <c r="W8" s="60"/>
      <c r="X8" s="60"/>
      <c r="Y8" s="60"/>
      <c r="Z8" s="90"/>
      <c r="AE8" s="58"/>
      <c r="AF8" s="58"/>
      <c r="AG8" s="58"/>
      <c r="AJ8" s="56"/>
      <c r="AK8" s="56"/>
      <c r="AL8" s="56"/>
      <c r="AM8" s="56"/>
      <c r="AN8" s="56"/>
      <c r="AO8" s="86"/>
      <c r="AP8" s="88"/>
      <c r="AQ8" s="86"/>
      <c r="AR8" s="86"/>
      <c r="AS8" s="86"/>
      <c r="CB8" s="17"/>
      <c r="CC8" s="17"/>
    </row>
    <row r="9" spans="1:81" ht="12.75" customHeight="1" thickBot="1" x14ac:dyDescent="0.25">
      <c r="A9" s="97"/>
      <c r="B9" s="21" t="s">
        <v>352</v>
      </c>
      <c r="C9" s="101"/>
      <c r="D9" s="101"/>
      <c r="E9" s="230"/>
      <c r="F9" s="102">
        <f t="shared" ref="F9:F21" si="0">C9-D9</f>
        <v>0</v>
      </c>
      <c r="G9" s="102" t="e">
        <f>NbreBovinsFemellesAuPré_0_3Mois</f>
        <v>#REF!</v>
      </c>
      <c r="H9" s="144"/>
      <c r="I9" s="47"/>
      <c r="J9" s="47"/>
      <c r="K9" s="47"/>
      <c r="L9" s="47"/>
      <c r="M9" s="47"/>
      <c r="N9" s="43"/>
      <c r="O9" s="96"/>
      <c r="P9" s="17"/>
      <c r="Q9" s="17"/>
      <c r="R9" s="17"/>
      <c r="S9" s="17"/>
      <c r="T9" s="59"/>
      <c r="U9" s="60"/>
      <c r="V9" s="60"/>
      <c r="W9" s="60"/>
      <c r="X9" s="60"/>
      <c r="Y9" s="60"/>
      <c r="Z9" s="90"/>
      <c r="AE9" s="58"/>
      <c r="AF9" s="58"/>
      <c r="AG9" s="58"/>
      <c r="AH9" s="90"/>
      <c r="AI9" s="90"/>
      <c r="AJ9" s="90"/>
      <c r="AK9" s="90"/>
      <c r="AL9" s="90"/>
      <c r="AM9" s="56"/>
      <c r="AN9" s="56"/>
      <c r="AO9" s="86"/>
      <c r="AP9" s="88"/>
      <c r="AQ9" s="86"/>
      <c r="AR9" s="86"/>
      <c r="AS9" s="86"/>
      <c r="CB9" s="17"/>
      <c r="CC9" s="17"/>
    </row>
    <row r="10" spans="1:81" ht="12.75" customHeight="1" x14ac:dyDescent="0.2">
      <c r="A10" s="97"/>
      <c r="B10" s="22" t="s">
        <v>353</v>
      </c>
      <c r="C10" s="104"/>
      <c r="D10" s="104"/>
      <c r="E10" s="4"/>
      <c r="F10" s="100">
        <f t="shared" si="0"/>
        <v>0</v>
      </c>
      <c r="G10" s="100" t="e">
        <f>NbreBovinsMâlesAuPré_3_6Mois</f>
        <v>#REF!</v>
      </c>
      <c r="H10" s="144"/>
      <c r="I10" s="47"/>
      <c r="J10" s="478" t="s">
        <v>348</v>
      </c>
      <c r="K10" s="479"/>
      <c r="L10" s="47"/>
      <c r="M10" s="98" t="s">
        <v>1025</v>
      </c>
      <c r="N10" s="43"/>
      <c r="O10" s="96"/>
      <c r="P10" s="17"/>
      <c r="Q10" s="17"/>
      <c r="R10" s="17"/>
      <c r="S10" s="17"/>
      <c r="T10" s="61"/>
      <c r="U10" s="60"/>
      <c r="V10" s="60"/>
      <c r="W10" s="60"/>
      <c r="X10" s="60"/>
      <c r="Y10" s="60"/>
      <c r="Z10" s="90"/>
      <c r="AE10" s="58"/>
      <c r="AF10" s="58"/>
      <c r="AG10" s="58"/>
      <c r="AH10" s="90"/>
      <c r="AI10" s="90"/>
      <c r="AJ10" s="90"/>
      <c r="AK10" s="90"/>
      <c r="AL10" s="90"/>
      <c r="AM10" s="56"/>
      <c r="AN10" s="56"/>
      <c r="AO10" s="86"/>
      <c r="AP10" s="88"/>
      <c r="AQ10" s="86"/>
      <c r="AR10" s="86"/>
      <c r="AS10" s="86"/>
      <c r="CB10" s="17"/>
      <c r="CC10" s="17"/>
    </row>
    <row r="11" spans="1:81" ht="12.75" customHeight="1" thickBot="1" x14ac:dyDescent="0.25">
      <c r="A11" s="97"/>
      <c r="B11" s="23" t="s">
        <v>354</v>
      </c>
      <c r="C11" s="105"/>
      <c r="D11" s="122"/>
      <c r="E11" s="230"/>
      <c r="F11" s="102">
        <f t="shared" si="0"/>
        <v>0</v>
      </c>
      <c r="G11" s="102" t="e">
        <f>NbreBovinsFemellesAuPré_3_6Mois</f>
        <v>#REF!</v>
      </c>
      <c r="H11" s="144"/>
      <c r="I11" s="47"/>
      <c r="J11" s="476"/>
      <c r="K11" s="477"/>
      <c r="L11" s="47"/>
      <c r="M11" s="2"/>
      <c r="N11" s="43"/>
      <c r="O11" s="96"/>
      <c r="P11" s="17"/>
      <c r="Q11" s="17"/>
      <c r="R11" s="17"/>
      <c r="S11" s="17"/>
      <c r="T11" s="61"/>
      <c r="U11" s="60"/>
      <c r="V11" s="60"/>
      <c r="W11" s="60"/>
      <c r="X11" s="60"/>
      <c r="Y11" s="60"/>
      <c r="Z11" s="90"/>
      <c r="AE11" s="58"/>
      <c r="AF11" s="58"/>
      <c r="AG11" s="58"/>
      <c r="AH11" s="90"/>
      <c r="AI11" s="90"/>
      <c r="AJ11" s="90"/>
      <c r="AK11" s="90"/>
      <c r="AL11" s="90"/>
      <c r="AM11" s="56"/>
      <c r="AN11" s="56"/>
      <c r="AO11" s="86"/>
      <c r="AP11" s="88"/>
      <c r="AQ11" s="86"/>
      <c r="AR11" s="86"/>
      <c r="AS11" s="86"/>
      <c r="CB11" s="17"/>
      <c r="CC11" s="17"/>
    </row>
    <row r="12" spans="1:81" ht="12.75" customHeight="1" x14ac:dyDescent="0.2">
      <c r="A12" s="97"/>
      <c r="B12" s="24" t="s">
        <v>355</v>
      </c>
      <c r="C12" s="99"/>
      <c r="D12" s="123"/>
      <c r="E12" s="4"/>
      <c r="F12" s="100">
        <f t="shared" si="0"/>
        <v>0</v>
      </c>
      <c r="G12" s="100" t="e">
        <f>NbreBovinsMâlesAuPré_6_12Mois</f>
        <v>#REF!</v>
      </c>
      <c r="H12" s="144"/>
      <c r="I12" s="47"/>
      <c r="J12" s="47"/>
      <c r="K12" s="47"/>
      <c r="L12" s="47"/>
      <c r="M12" s="103" t="str">
        <f>IF(M11=OUI,"Ration hivernale","")</f>
        <v/>
      </c>
      <c r="N12" s="43"/>
      <c r="O12" s="96"/>
      <c r="P12" s="17"/>
      <c r="Q12" s="17"/>
      <c r="R12" s="17"/>
      <c r="S12" s="17"/>
      <c r="T12" s="61"/>
      <c r="U12" s="60"/>
      <c r="V12" s="60"/>
      <c r="W12" s="60"/>
      <c r="X12" s="60"/>
      <c r="Y12" s="60"/>
      <c r="Z12" s="90"/>
      <c r="AE12" s="58"/>
      <c r="AF12" s="58"/>
      <c r="AG12" s="58"/>
      <c r="AH12" s="90"/>
      <c r="AI12" s="90"/>
      <c r="AJ12" s="90"/>
      <c r="AK12" s="90"/>
      <c r="AL12" s="90"/>
      <c r="AM12" s="56"/>
      <c r="AN12" s="56"/>
      <c r="AO12" s="86"/>
      <c r="AP12" s="88"/>
      <c r="AQ12" s="86"/>
      <c r="AR12" s="86"/>
      <c r="AS12" s="86"/>
      <c r="CB12" s="17"/>
      <c r="CC12" s="17"/>
    </row>
    <row r="13" spans="1:81" ht="12.75" customHeight="1" thickBot="1" x14ac:dyDescent="0.25">
      <c r="A13" s="97"/>
      <c r="B13" s="21" t="s">
        <v>356</v>
      </c>
      <c r="C13" s="101"/>
      <c r="D13" s="230"/>
      <c r="E13" s="230"/>
      <c r="F13" s="102">
        <f t="shared" si="0"/>
        <v>0</v>
      </c>
      <c r="G13" s="102" t="e">
        <f>NbreBovinsFemellesAuPré_6_12Mois</f>
        <v>#REF!</v>
      </c>
      <c r="H13" s="144"/>
      <c r="I13" s="47"/>
      <c r="J13" s="478" t="s">
        <v>1033</v>
      </c>
      <c r="K13" s="479"/>
      <c r="L13" s="47"/>
      <c r="M13" s="98" t="s">
        <v>915</v>
      </c>
      <c r="N13" s="43"/>
      <c r="O13" s="96"/>
      <c r="P13" s="17"/>
      <c r="Q13" s="17"/>
      <c r="R13" s="17"/>
      <c r="S13" s="17"/>
      <c r="T13" s="61"/>
      <c r="U13" s="60"/>
      <c r="V13" s="60"/>
      <c r="W13" s="60"/>
      <c r="X13" s="60"/>
      <c r="Y13" s="60"/>
      <c r="Z13" s="90"/>
      <c r="AE13" s="58"/>
      <c r="AF13" s="58"/>
      <c r="AG13" s="58"/>
      <c r="AH13" s="90"/>
      <c r="AI13" s="90"/>
      <c r="AJ13" s="90"/>
      <c r="AK13" s="90"/>
      <c r="AL13" s="90"/>
      <c r="AM13" s="56"/>
      <c r="AN13" s="56"/>
      <c r="AO13" s="86"/>
      <c r="AP13" s="88"/>
      <c r="AQ13" s="86"/>
      <c r="AR13" s="86"/>
      <c r="AS13" s="86"/>
      <c r="CB13" s="17"/>
      <c r="CC13" s="17"/>
    </row>
    <row r="14" spans="1:81" ht="12.75" customHeight="1" x14ac:dyDescent="0.2">
      <c r="A14" s="97"/>
      <c r="B14" s="22" t="s">
        <v>357</v>
      </c>
      <c r="C14" s="104"/>
      <c r="D14" s="121"/>
      <c r="E14" s="4"/>
      <c r="F14" s="100">
        <f t="shared" si="0"/>
        <v>0</v>
      </c>
      <c r="G14" s="100" t="e">
        <f>NbreBovinsMâlesAuPré_12_18Mois</f>
        <v>#REF!</v>
      </c>
      <c r="H14" s="144"/>
      <c r="I14" s="47"/>
      <c r="J14" s="476"/>
      <c r="K14" s="477"/>
      <c r="L14" s="47"/>
      <c r="M14" s="2"/>
      <c r="N14" s="43"/>
      <c r="O14" s="96"/>
      <c r="P14" s="17"/>
      <c r="Q14" s="17"/>
      <c r="R14" s="17"/>
      <c r="S14" s="17"/>
      <c r="T14" s="61"/>
      <c r="U14" s="60"/>
      <c r="V14" s="60"/>
      <c r="W14" s="60"/>
      <c r="X14" s="60"/>
      <c r="Y14" s="60"/>
      <c r="AH14" s="90"/>
      <c r="AI14" s="90"/>
      <c r="AJ14" s="90"/>
      <c r="AK14" s="90"/>
      <c r="AL14" s="90"/>
      <c r="AM14" s="56"/>
      <c r="AN14" s="56"/>
      <c r="AO14" s="86"/>
      <c r="AP14" s="88"/>
      <c r="AQ14" s="86"/>
      <c r="AR14" s="86"/>
      <c r="AS14" s="86"/>
      <c r="CB14" s="17"/>
      <c r="CC14" s="17"/>
    </row>
    <row r="15" spans="1:81" ht="12.75" customHeight="1" thickBot="1" x14ac:dyDescent="0.25">
      <c r="A15" s="97"/>
      <c r="B15" s="23" t="s">
        <v>358</v>
      </c>
      <c r="C15" s="105"/>
      <c r="D15" s="122"/>
      <c r="E15" s="230"/>
      <c r="F15" s="102">
        <f t="shared" si="0"/>
        <v>0</v>
      </c>
      <c r="G15" s="102" t="e">
        <f>NbreBovinsFemellesAuPré_12_18Mois</f>
        <v>#REF!</v>
      </c>
      <c r="H15" s="144"/>
      <c r="I15" s="47"/>
      <c r="J15" s="103"/>
      <c r="K15" s="47"/>
      <c r="L15" s="47"/>
      <c r="M15" s="103"/>
      <c r="N15" s="43"/>
      <c r="O15" s="96"/>
      <c r="P15" s="17"/>
      <c r="Q15" s="17"/>
      <c r="R15" s="17"/>
      <c r="S15" s="17"/>
      <c r="T15" s="61"/>
      <c r="U15" s="60"/>
      <c r="V15" s="60"/>
      <c r="W15" s="60"/>
      <c r="X15" s="60"/>
      <c r="Y15" s="60"/>
      <c r="AH15" s="90"/>
      <c r="AI15" s="90"/>
      <c r="AJ15" s="90"/>
      <c r="AK15" s="90"/>
      <c r="AL15" s="90"/>
      <c r="AM15" s="56"/>
      <c r="AN15" s="56"/>
      <c r="AO15" s="86"/>
      <c r="AP15" s="88"/>
      <c r="AQ15" s="86"/>
      <c r="AR15" s="86"/>
      <c r="AS15" s="86"/>
      <c r="CB15" s="17"/>
      <c r="CC15" s="17"/>
    </row>
    <row r="16" spans="1:81" ht="12.75" customHeight="1" x14ac:dyDescent="0.2">
      <c r="A16" s="97"/>
      <c r="B16" s="24" t="s">
        <v>359</v>
      </c>
      <c r="C16" s="99"/>
      <c r="D16" s="123"/>
      <c r="E16" s="4"/>
      <c r="F16" s="100">
        <f t="shared" si="0"/>
        <v>0</v>
      </c>
      <c r="G16" s="100" t="e">
        <f>NbreBovinsMâlesAuPré_18_24Mois</f>
        <v>#REF!</v>
      </c>
      <c r="H16" s="144"/>
      <c r="I16" s="47"/>
      <c r="J16" s="478" t="s">
        <v>1149</v>
      </c>
      <c r="K16" s="479"/>
      <c r="L16" s="47"/>
      <c r="M16" s="98" t="s">
        <v>1150</v>
      </c>
      <c r="N16" s="43"/>
      <c r="O16" s="96"/>
      <c r="P16" s="17"/>
      <c r="Q16" s="17"/>
      <c r="R16" s="17"/>
      <c r="S16" s="17"/>
      <c r="T16" s="61"/>
      <c r="U16" s="60"/>
      <c r="V16" s="60"/>
      <c r="W16" s="60"/>
      <c r="X16" s="60"/>
      <c r="Y16" s="60"/>
      <c r="AJ16" s="56"/>
      <c r="AK16" s="56"/>
      <c r="AL16" s="56"/>
      <c r="AM16" s="56"/>
      <c r="AN16" s="56"/>
      <c r="AO16" s="86"/>
      <c r="AP16" s="88"/>
      <c r="AQ16" s="86"/>
      <c r="AR16" s="86"/>
      <c r="AS16" s="86"/>
      <c r="CB16" s="17"/>
      <c r="CC16" s="17"/>
    </row>
    <row r="17" spans="1:81" ht="12.75" customHeight="1" thickBot="1" x14ac:dyDescent="0.25">
      <c r="A17" s="97"/>
      <c r="B17" s="21" t="s">
        <v>360</v>
      </c>
      <c r="C17" s="101"/>
      <c r="D17" s="230"/>
      <c r="E17" s="230"/>
      <c r="F17" s="102">
        <f t="shared" si="0"/>
        <v>0</v>
      </c>
      <c r="G17" s="102" t="e">
        <f>NbreBovinsFemellesAuPré_18_24Mois</f>
        <v>#REF!</v>
      </c>
      <c r="H17" s="144"/>
      <c r="I17" s="47"/>
      <c r="J17" s="476"/>
      <c r="K17" s="477"/>
      <c r="L17" s="47"/>
      <c r="M17" s="270"/>
      <c r="N17" s="43"/>
      <c r="O17" s="96"/>
      <c r="P17" s="17"/>
      <c r="Q17" s="17"/>
      <c r="R17" s="17"/>
      <c r="S17" s="17"/>
      <c r="T17" s="61"/>
      <c r="U17" s="60"/>
      <c r="V17" s="60"/>
      <c r="W17" s="60"/>
      <c r="X17" s="60"/>
      <c r="Y17" s="60"/>
      <c r="AJ17" s="56"/>
      <c r="AK17" s="56"/>
      <c r="AL17" s="56"/>
      <c r="AM17" s="56"/>
      <c r="AN17" s="56"/>
      <c r="AO17" s="86"/>
      <c r="AP17" s="88"/>
      <c r="AQ17" s="86"/>
      <c r="AR17" s="86"/>
      <c r="AS17" s="86"/>
      <c r="CB17" s="17"/>
      <c r="CC17" s="17"/>
    </row>
    <row r="18" spans="1:81" ht="12.75" customHeight="1" x14ac:dyDescent="0.2">
      <c r="A18" s="97"/>
      <c r="B18" s="22" t="s">
        <v>361</v>
      </c>
      <c r="C18" s="104"/>
      <c r="D18" s="104"/>
      <c r="E18" s="4"/>
      <c r="F18" s="100">
        <f t="shared" si="0"/>
        <v>0</v>
      </c>
      <c r="G18" s="100" t="e">
        <f>NbreBovinsMâlesAuPré_24_36Mois</f>
        <v>#REF!</v>
      </c>
      <c r="H18" s="144"/>
      <c r="I18" s="47"/>
      <c r="J18" s="103"/>
      <c r="K18" s="47"/>
      <c r="L18" s="47"/>
      <c r="M18" s="47"/>
      <c r="N18" s="43"/>
      <c r="O18" s="96"/>
      <c r="P18" s="17"/>
      <c r="Q18" s="17"/>
      <c r="R18" s="17"/>
      <c r="S18" s="17"/>
      <c r="T18" s="61"/>
      <c r="U18" s="60"/>
      <c r="V18" s="60"/>
      <c r="W18" s="60"/>
      <c r="X18" s="60"/>
      <c r="Y18" s="60"/>
      <c r="AJ18" s="56"/>
      <c r="AK18" s="56"/>
      <c r="AL18" s="56"/>
      <c r="AM18" s="56"/>
      <c r="AN18" s="56"/>
      <c r="AO18" s="86"/>
      <c r="AP18" s="88"/>
      <c r="AQ18" s="86"/>
      <c r="AR18" s="86"/>
      <c r="AS18" s="86"/>
      <c r="CB18" s="17"/>
      <c r="CC18" s="17"/>
    </row>
    <row r="19" spans="1:81" ht="12.75" customHeight="1" thickBot="1" x14ac:dyDescent="0.25">
      <c r="A19" s="97"/>
      <c r="B19" s="23" t="s">
        <v>362</v>
      </c>
      <c r="C19" s="105"/>
      <c r="D19" s="105"/>
      <c r="E19" s="230"/>
      <c r="F19" s="102">
        <f t="shared" si="0"/>
        <v>0</v>
      </c>
      <c r="G19" s="102" t="e">
        <f>NbreBovinsFemellesAuPré_24_36Mois</f>
        <v>#REF!</v>
      </c>
      <c r="H19" s="144"/>
      <c r="I19" s="47"/>
      <c r="J19" s="478" t="s">
        <v>349</v>
      </c>
      <c r="K19" s="479"/>
      <c r="L19" s="47"/>
      <c r="M19" s="47"/>
      <c r="N19" s="43"/>
      <c r="O19" s="96"/>
      <c r="P19" s="17"/>
      <c r="Q19" s="17"/>
      <c r="R19" s="17"/>
      <c r="S19" s="17"/>
      <c r="T19" s="61"/>
      <c r="U19" s="60"/>
      <c r="V19" s="60"/>
      <c r="W19" s="60"/>
      <c r="X19" s="60"/>
      <c r="Y19" s="60"/>
      <c r="AJ19" s="56"/>
      <c r="AK19" s="56"/>
      <c r="AL19" s="56"/>
      <c r="AM19" s="56"/>
      <c r="AN19" s="56"/>
      <c r="AO19" s="86"/>
      <c r="AP19" s="88"/>
      <c r="AQ19" s="86"/>
      <c r="AR19" s="86"/>
      <c r="AS19" s="86"/>
      <c r="CB19" s="17"/>
      <c r="CC19" s="17"/>
    </row>
    <row r="20" spans="1:81" ht="12.75" customHeight="1" x14ac:dyDescent="0.2">
      <c r="A20" s="97"/>
      <c r="B20" s="24" t="s">
        <v>363</v>
      </c>
      <c r="C20" s="99"/>
      <c r="D20" s="99"/>
      <c r="E20" s="4"/>
      <c r="F20" s="100">
        <f t="shared" si="0"/>
        <v>0</v>
      </c>
      <c r="G20" s="100" t="e">
        <f>NbreBovinsMâlesAuPré_3AnsEtPlus</f>
        <v>#REF!</v>
      </c>
      <c r="H20" s="144"/>
      <c r="I20" s="47"/>
      <c r="J20" s="476"/>
      <c r="K20" s="477"/>
      <c r="L20" s="47"/>
      <c r="M20" s="47"/>
      <c r="N20" s="43"/>
      <c r="O20" s="96"/>
      <c r="P20" s="17"/>
      <c r="Q20" s="17"/>
      <c r="R20" s="17"/>
      <c r="S20" s="17"/>
      <c r="T20" s="61"/>
      <c r="U20" s="60"/>
      <c r="V20" s="60"/>
      <c r="W20" s="60"/>
      <c r="X20" s="60"/>
      <c r="Y20" s="60"/>
      <c r="AJ20" s="56"/>
      <c r="AK20" s="56"/>
      <c r="AL20" s="56"/>
      <c r="AM20" s="56"/>
      <c r="AN20" s="56"/>
      <c r="AO20" s="86"/>
      <c r="AP20" s="88"/>
      <c r="AQ20" s="86"/>
      <c r="AR20" s="86"/>
      <c r="AS20" s="86"/>
      <c r="CB20" s="17"/>
      <c r="CC20" s="17"/>
    </row>
    <row r="21" spans="1:81" ht="12.75" customHeight="1" thickBot="1" x14ac:dyDescent="0.25">
      <c r="A21" s="97"/>
      <c r="B21" s="25" t="s">
        <v>364</v>
      </c>
      <c r="C21" s="105"/>
      <c r="D21" s="105"/>
      <c r="E21" s="230"/>
      <c r="F21" s="102">
        <f t="shared" si="0"/>
        <v>0</v>
      </c>
      <c r="G21" s="102" t="e">
        <f>NbreBovinsFemellesAuPré_3AnsEtPlus</f>
        <v>#REF!</v>
      </c>
      <c r="H21" s="144"/>
      <c r="I21" s="47"/>
      <c r="J21" s="476"/>
      <c r="K21" s="477"/>
      <c r="L21" s="47"/>
      <c r="M21" s="47"/>
      <c r="N21" s="43"/>
      <c r="O21" s="96"/>
      <c r="P21" s="17"/>
      <c r="Q21" s="17"/>
      <c r="R21" s="17"/>
      <c r="S21" s="17"/>
      <c r="T21" s="61"/>
      <c r="U21" s="60"/>
      <c r="V21" s="60"/>
      <c r="W21" s="60"/>
      <c r="X21" s="60"/>
      <c r="Y21" s="60"/>
      <c r="AJ21" s="56"/>
      <c r="AK21" s="56"/>
      <c r="AL21" s="56"/>
      <c r="AM21" s="56"/>
      <c r="AN21" s="56"/>
      <c r="AO21" s="86"/>
      <c r="AP21" s="88"/>
      <c r="AQ21" s="86"/>
      <c r="AR21" s="86"/>
      <c r="AS21" s="86"/>
      <c r="CB21" s="17"/>
      <c r="CC21" s="17"/>
    </row>
    <row r="22" spans="1:81" ht="12.75" customHeight="1" x14ac:dyDescent="0.2">
      <c r="A22" s="97"/>
      <c r="B22" s="144"/>
      <c r="C22" s="144"/>
      <c r="D22" s="144"/>
      <c r="E22" s="144"/>
      <c r="F22" s="144"/>
      <c r="G22" s="144"/>
      <c r="H22" s="144"/>
      <c r="I22" s="47"/>
      <c r="J22" s="144"/>
      <c r="K22" s="144"/>
      <c r="L22" s="47"/>
      <c r="M22" s="47"/>
      <c r="N22" s="43"/>
      <c r="O22" s="96"/>
      <c r="P22" s="17"/>
      <c r="Q22" s="17"/>
      <c r="R22" s="17"/>
      <c r="S22" s="17"/>
      <c r="T22" s="61"/>
      <c r="U22" s="60"/>
      <c r="V22" s="60"/>
      <c r="W22" s="60"/>
      <c r="X22" s="60"/>
      <c r="Y22" s="60"/>
      <c r="AJ22" s="56"/>
      <c r="AK22" s="56"/>
      <c r="AL22" s="56"/>
      <c r="AM22" s="56"/>
      <c r="AN22" s="56"/>
      <c r="AO22" s="86"/>
      <c r="AP22" s="88"/>
      <c r="AQ22" s="86"/>
      <c r="AR22" s="86"/>
      <c r="AS22" s="86"/>
      <c r="CB22" s="17"/>
      <c r="CC22" s="17"/>
    </row>
    <row r="23" spans="1:81" ht="12.75" customHeight="1" x14ac:dyDescent="0.2">
      <c r="A23" s="97"/>
      <c r="B23" s="144"/>
      <c r="C23" s="144"/>
      <c r="D23" s="144"/>
      <c r="E23" s="144"/>
      <c r="F23" s="144"/>
      <c r="G23" s="144"/>
      <c r="H23" s="144"/>
      <c r="I23" s="47"/>
      <c r="J23" s="18" t="s">
        <v>125</v>
      </c>
      <c r="K23" s="106"/>
      <c r="L23" s="47" t="str">
        <f>IF(OR(ChoixPaillageBovins="",ChoixPaillageBovins=NON),"","coût : "&amp;LitièreBovins[[#Totals],[Litière tout bovins]]*PrixPaille*84/1000&amp;"€/an (si pas de mise au pré l'été, sinon "&amp;(IF(ChoixBovinsPréHiver=OUI,(LitièreBovins[[#Totals],[litière races laitières]]*PrixPaille*(84-49))/1000,LitièreBovins[[#Totals],[Litière tout bovins]]*PrixPaille*(84-49)/1000)&amp;"€/an)"))</f>
        <v/>
      </c>
      <c r="M23" s="47"/>
      <c r="N23" s="43"/>
      <c r="O23" s="120"/>
      <c r="P23" s="115"/>
      <c r="Q23" s="115"/>
      <c r="R23" s="116"/>
      <c r="S23" s="58"/>
      <c r="T23" s="60"/>
      <c r="U23" s="60"/>
      <c r="V23" s="60"/>
      <c r="W23" s="60"/>
      <c r="AJ23" s="56"/>
      <c r="AK23" s="56"/>
      <c r="AL23" s="56"/>
      <c r="AN23" s="88"/>
      <c r="AO23" s="86"/>
      <c r="AP23" s="86"/>
      <c r="AQ23" s="86"/>
      <c r="CB23" s="17"/>
      <c r="CC23" s="17"/>
    </row>
    <row r="24" spans="1:81" ht="12.75" customHeight="1" x14ac:dyDescent="0.2">
      <c r="A24" s="97"/>
      <c r="B24" s="144"/>
      <c r="C24" s="144"/>
      <c r="D24" s="144"/>
      <c r="E24" s="144"/>
      <c r="F24" s="144"/>
      <c r="G24" s="144"/>
      <c r="H24" s="144"/>
      <c r="I24" s="47"/>
      <c r="J24" s="19" t="s">
        <v>124</v>
      </c>
      <c r="K24" s="106"/>
      <c r="L24" s="47" t="str">
        <f>IF(ChoixVaccinBovins=OUI,"coût : " &amp;SUM(TotalBovins)*PrixVaccinBovin &amp;"€/an","")</f>
        <v/>
      </c>
      <c r="M24" s="47"/>
      <c r="N24" s="43"/>
      <c r="O24" s="120"/>
      <c r="P24" s="115"/>
      <c r="Q24" s="115"/>
      <c r="R24" s="116"/>
      <c r="S24" s="58"/>
      <c r="T24" s="60"/>
      <c r="U24" s="60"/>
      <c r="V24" s="60"/>
      <c r="W24" s="60"/>
      <c r="AJ24" s="56"/>
      <c r="AK24" s="56"/>
      <c r="AL24" s="56"/>
      <c r="AN24" s="88"/>
      <c r="AO24" s="86"/>
      <c r="AP24" s="86"/>
      <c r="AQ24" s="86"/>
      <c r="CB24" s="17"/>
      <c r="CC24" s="17"/>
    </row>
    <row r="25" spans="1:81" ht="12.75" customHeight="1" thickBot="1" x14ac:dyDescent="0.25">
      <c r="A25" s="107"/>
      <c r="B25" s="38"/>
      <c r="C25" s="38"/>
      <c r="D25" s="108"/>
      <c r="E25" s="108"/>
      <c r="F25" s="108"/>
      <c r="G25" s="38"/>
      <c r="H25" s="38"/>
      <c r="I25" s="109"/>
      <c r="J25" s="109"/>
      <c r="K25" s="109"/>
      <c r="L25" s="109"/>
      <c r="M25" s="109"/>
      <c r="N25" s="110"/>
      <c r="O25" s="120"/>
      <c r="P25" s="115"/>
      <c r="Q25" s="115"/>
      <c r="R25" s="116"/>
      <c r="S25" s="58"/>
      <c r="T25" s="60"/>
      <c r="U25" s="60"/>
      <c r="V25" s="60"/>
      <c r="W25" s="60"/>
      <c r="AJ25" s="56"/>
      <c r="AK25" s="56"/>
      <c r="AL25" s="56"/>
      <c r="AN25" s="88"/>
      <c r="AO25" s="86"/>
      <c r="AP25" s="86"/>
      <c r="AQ25" s="86"/>
      <c r="CB25" s="17"/>
      <c r="CC25" s="17"/>
    </row>
    <row r="26" spans="1:81" ht="12.75" customHeight="1" thickBot="1" x14ac:dyDescent="0.25">
      <c r="A26" s="111" t="s">
        <v>338</v>
      </c>
      <c r="B26" s="112"/>
      <c r="C26" s="113"/>
      <c r="D26" s="113"/>
      <c r="E26" s="113"/>
      <c r="F26" s="113"/>
      <c r="G26" s="112"/>
      <c r="H26" s="112"/>
      <c r="I26" s="113"/>
      <c r="J26" s="113"/>
      <c r="K26" s="113"/>
      <c r="L26" s="113"/>
      <c r="M26" s="113"/>
      <c r="N26" s="114"/>
      <c r="O26" s="120"/>
      <c r="P26" s="115"/>
      <c r="Q26" s="115"/>
      <c r="R26" s="116"/>
      <c r="S26" s="58"/>
      <c r="T26" s="60"/>
      <c r="U26" s="60"/>
      <c r="V26" s="60"/>
      <c r="W26" s="60"/>
      <c r="AJ26" s="56"/>
      <c r="AK26" s="56"/>
      <c r="AL26" s="56"/>
      <c r="AN26" s="88"/>
      <c r="AO26" s="86"/>
      <c r="AP26" s="86"/>
      <c r="AQ26" s="86"/>
      <c r="CB26" s="17"/>
      <c r="CC26" s="17"/>
    </row>
    <row r="27" spans="1:81" ht="12.75" customHeight="1" thickBot="1" x14ac:dyDescent="0.25">
      <c r="A27" s="117" t="str">
        <f>"Total : "&amp;SUM(TotalBisons)</f>
        <v>Total : 0</v>
      </c>
      <c r="B27" s="51"/>
      <c r="C27" s="33" t="s">
        <v>350</v>
      </c>
      <c r="D27" s="78" t="s">
        <v>1108</v>
      </c>
      <c r="E27" s="78" t="s">
        <v>24</v>
      </c>
      <c r="F27" s="51"/>
      <c r="G27" s="51"/>
      <c r="H27" s="51"/>
      <c r="I27" s="118"/>
      <c r="J27" s="480" t="s">
        <v>348</v>
      </c>
      <c r="K27" s="480"/>
      <c r="L27" s="118"/>
      <c r="M27" s="118"/>
      <c r="N27" s="119"/>
      <c r="O27" s="120"/>
      <c r="P27" s="115"/>
      <c r="Q27" s="115"/>
      <c r="R27" s="116"/>
      <c r="S27" s="58"/>
      <c r="T27" s="60"/>
      <c r="U27" s="60"/>
      <c r="V27" s="60"/>
      <c r="W27" s="60"/>
      <c r="AJ27" s="56"/>
      <c r="AK27" s="56"/>
      <c r="AL27" s="56"/>
      <c r="AN27" s="88"/>
      <c r="AO27" s="86"/>
      <c r="AP27" s="86"/>
      <c r="AQ27" s="86"/>
      <c r="CB27" s="17"/>
      <c r="CC27" s="17"/>
    </row>
    <row r="28" spans="1:81" ht="12.75" customHeight="1" x14ac:dyDescent="0.2">
      <c r="A28" s="117"/>
      <c r="B28" s="26" t="s">
        <v>321</v>
      </c>
      <c r="C28" s="121"/>
      <c r="D28" s="4"/>
      <c r="E28" s="100" t="e">
        <f>NbreBisonsMâlesAuPré_0_3Mois</f>
        <v>#REF!</v>
      </c>
      <c r="F28" s="51"/>
      <c r="G28" s="51"/>
      <c r="H28" s="51"/>
      <c r="I28" s="118"/>
      <c r="J28" s="483"/>
      <c r="K28" s="483"/>
      <c r="L28" s="51"/>
      <c r="M28" s="51"/>
      <c r="N28" s="44"/>
      <c r="O28" s="120"/>
      <c r="P28" s="115"/>
      <c r="Q28" s="115"/>
      <c r="R28" s="116"/>
      <c r="S28" s="58"/>
      <c r="T28" s="60"/>
      <c r="U28" s="60"/>
      <c r="V28" s="60"/>
      <c r="W28" s="60"/>
      <c r="AJ28" s="56"/>
      <c r="AK28" s="56"/>
      <c r="AL28" s="56"/>
      <c r="AN28" s="88"/>
      <c r="AO28" s="86"/>
      <c r="AP28" s="86"/>
      <c r="AQ28" s="86"/>
      <c r="CB28" s="17"/>
      <c r="CC28" s="17"/>
    </row>
    <row r="29" spans="1:81" ht="12.75" customHeight="1" thickBot="1" x14ac:dyDescent="0.25">
      <c r="A29" s="117"/>
      <c r="B29" s="12" t="s">
        <v>219</v>
      </c>
      <c r="C29" s="122"/>
      <c r="D29" s="230"/>
      <c r="E29" s="102" t="e">
        <f>NbreBisonsFemellesAuPré_0_3Mois</f>
        <v>#REF!</v>
      </c>
      <c r="F29" s="51"/>
      <c r="G29" s="51"/>
      <c r="H29" s="51"/>
      <c r="I29" s="118"/>
      <c r="J29" s="51"/>
      <c r="K29" s="51"/>
      <c r="L29" s="118"/>
      <c r="M29" s="118"/>
      <c r="N29" s="119"/>
      <c r="O29" s="120"/>
      <c r="P29" s="115"/>
      <c r="Q29" s="115"/>
      <c r="R29" s="116"/>
      <c r="S29" s="58"/>
      <c r="T29" s="60"/>
      <c r="U29" s="60"/>
      <c r="V29" s="60"/>
      <c r="W29" s="60"/>
      <c r="AJ29" s="56"/>
      <c r="AK29" s="56"/>
      <c r="AL29" s="56"/>
      <c r="AN29" s="88"/>
      <c r="AO29" s="86"/>
      <c r="AP29" s="86"/>
      <c r="AQ29" s="86"/>
      <c r="CB29" s="17"/>
      <c r="CC29" s="17"/>
    </row>
    <row r="30" spans="1:81" ht="12.75" customHeight="1" x14ac:dyDescent="0.2">
      <c r="A30" s="117"/>
      <c r="B30" s="27" t="s">
        <v>322</v>
      </c>
      <c r="C30" s="123"/>
      <c r="D30" s="4"/>
      <c r="E30" s="100" t="e">
        <f>NbreBisonsMâlesAuPré_3_6Mois</f>
        <v>#REF!</v>
      </c>
      <c r="F30" s="51"/>
      <c r="G30" s="51"/>
      <c r="H30" s="51"/>
      <c r="I30" s="118"/>
      <c r="J30" s="478" t="s">
        <v>527</v>
      </c>
      <c r="K30" s="479"/>
      <c r="L30" s="118"/>
      <c r="M30" s="118"/>
      <c r="N30" s="119"/>
      <c r="O30" s="120"/>
      <c r="P30" s="115"/>
      <c r="Q30" s="115"/>
      <c r="R30" s="116"/>
      <c r="S30" s="58"/>
      <c r="T30" s="60"/>
      <c r="U30" s="60"/>
      <c r="V30" s="60"/>
      <c r="W30" s="60"/>
      <c r="AJ30" s="56"/>
      <c r="AK30" s="56"/>
      <c r="AL30" s="56"/>
      <c r="AN30" s="88"/>
      <c r="AO30" s="86"/>
      <c r="AP30" s="86"/>
      <c r="AQ30" s="86"/>
      <c r="CB30" s="17"/>
      <c r="CC30" s="17"/>
    </row>
    <row r="31" spans="1:81" ht="12.75" customHeight="1" thickBot="1" x14ac:dyDescent="0.25">
      <c r="A31" s="117"/>
      <c r="B31" s="14" t="s">
        <v>414</v>
      </c>
      <c r="C31" s="5"/>
      <c r="D31" s="230"/>
      <c r="E31" s="102" t="e">
        <f>NbreBisonsFemellesAuPré_3_6Mois</f>
        <v>#REF!</v>
      </c>
      <c r="F31" s="51"/>
      <c r="G31" s="51"/>
      <c r="H31" s="51"/>
      <c r="I31" s="118"/>
      <c r="J31" s="476"/>
      <c r="K31" s="477"/>
      <c r="L31" s="118"/>
      <c r="M31" s="118"/>
      <c r="N31" s="119"/>
      <c r="O31" s="120"/>
      <c r="P31" s="115"/>
      <c r="Q31" s="115"/>
      <c r="R31" s="116"/>
      <c r="S31" s="58"/>
      <c r="T31" s="60"/>
      <c r="U31" s="60"/>
      <c r="V31" s="60"/>
      <c r="W31" s="60"/>
      <c r="AJ31" s="56"/>
      <c r="AK31" s="56"/>
      <c r="AL31" s="56"/>
      <c r="AN31" s="88"/>
      <c r="AO31" s="86"/>
      <c r="AP31" s="86"/>
      <c r="AQ31" s="86"/>
      <c r="CB31" s="17"/>
      <c r="CC31" s="17"/>
    </row>
    <row r="32" spans="1:81" ht="12.75" customHeight="1" x14ac:dyDescent="0.2">
      <c r="A32" s="117"/>
      <c r="B32" s="28" t="s">
        <v>323</v>
      </c>
      <c r="C32" s="121"/>
      <c r="D32" s="4"/>
      <c r="E32" s="100" t="e">
        <f>NbreBisonsMâlesAuPré_6_12Mois</f>
        <v>#REF!</v>
      </c>
      <c r="F32" s="51"/>
      <c r="G32" s="51"/>
      <c r="H32" s="51"/>
      <c r="I32" s="118"/>
      <c r="J32" s="124" t="str">
        <f>IF(J31=OUI,"Ration complète","")</f>
        <v/>
      </c>
      <c r="K32" s="51"/>
      <c r="L32" s="118"/>
      <c r="M32" s="118"/>
      <c r="N32" s="119"/>
      <c r="O32" s="120"/>
      <c r="P32" s="115"/>
      <c r="Q32" s="115"/>
      <c r="R32" s="116"/>
      <c r="S32" s="58"/>
      <c r="T32" s="60"/>
      <c r="U32" s="60"/>
      <c r="V32" s="60"/>
      <c r="W32" s="60"/>
      <c r="AJ32" s="56"/>
      <c r="AK32" s="56"/>
      <c r="AL32" s="56"/>
      <c r="AN32" s="88"/>
      <c r="AO32" s="86"/>
      <c r="AP32" s="86"/>
      <c r="AQ32" s="86"/>
      <c r="CB32" s="17"/>
      <c r="CC32" s="17"/>
    </row>
    <row r="33" spans="1:81" ht="12.75" customHeight="1" thickBot="1" x14ac:dyDescent="0.25">
      <c r="A33" s="117"/>
      <c r="B33" s="12" t="s">
        <v>415</v>
      </c>
      <c r="C33" s="122"/>
      <c r="D33" s="230"/>
      <c r="E33" s="102" t="e">
        <f>NbreBisonsFemellesAuPré_6_12Mois</f>
        <v>#REF!</v>
      </c>
      <c r="F33" s="51"/>
      <c r="G33" s="51"/>
      <c r="H33" s="51"/>
      <c r="I33" s="118"/>
      <c r="J33" s="478" t="s">
        <v>1149</v>
      </c>
      <c r="K33" s="479"/>
      <c r="L33" s="118"/>
      <c r="M33" s="118"/>
      <c r="N33" s="119"/>
      <c r="O33" s="120"/>
      <c r="P33" s="115"/>
      <c r="Q33" s="115"/>
      <c r="R33" s="116"/>
      <c r="S33" s="58"/>
      <c r="T33" s="60"/>
      <c r="U33" s="60"/>
      <c r="V33" s="60"/>
      <c r="W33" s="60"/>
      <c r="AJ33" s="56"/>
      <c r="AK33" s="56"/>
      <c r="AL33" s="56"/>
      <c r="AN33" s="88"/>
      <c r="AO33" s="86"/>
      <c r="AP33" s="86"/>
      <c r="AQ33" s="86"/>
      <c r="CB33" s="17"/>
      <c r="CC33" s="17"/>
    </row>
    <row r="34" spans="1:81" ht="12.75" customHeight="1" x14ac:dyDescent="0.2">
      <c r="A34" s="117"/>
      <c r="B34" s="27" t="s">
        <v>341</v>
      </c>
      <c r="C34" s="123"/>
      <c r="D34" s="4"/>
      <c r="E34" s="100" t="e">
        <f>NbreBisonsMâlesAuPré_12_18Mois</f>
        <v>#REF!</v>
      </c>
      <c r="F34" s="51"/>
      <c r="G34" s="51"/>
      <c r="H34" s="51"/>
      <c r="I34" s="118"/>
      <c r="J34" s="476"/>
      <c r="K34" s="477"/>
      <c r="L34" s="118"/>
      <c r="M34" s="118"/>
      <c r="N34" s="119"/>
      <c r="O34" s="120"/>
      <c r="P34" s="115"/>
      <c r="Q34" s="115"/>
      <c r="R34" s="116"/>
      <c r="S34" s="58"/>
      <c r="T34" s="60"/>
      <c r="U34" s="60"/>
      <c r="V34" s="60"/>
      <c r="W34" s="60"/>
      <c r="AJ34" s="56"/>
      <c r="AK34" s="56"/>
      <c r="AL34" s="56"/>
      <c r="AN34" s="88"/>
      <c r="AO34" s="86"/>
      <c r="AP34" s="86"/>
      <c r="AQ34" s="86"/>
      <c r="CB34" s="17"/>
      <c r="CC34" s="17"/>
    </row>
    <row r="35" spans="1:81" ht="12.75" customHeight="1" thickBot="1" x14ac:dyDescent="0.25">
      <c r="A35" s="117"/>
      <c r="B35" s="14" t="s">
        <v>342</v>
      </c>
      <c r="C35" s="5"/>
      <c r="D35" s="230"/>
      <c r="E35" s="102" t="e">
        <f>NbreBisonsFemellesAuPré_12_18Mois</f>
        <v>#REF!</v>
      </c>
      <c r="F35" s="51"/>
      <c r="G35" s="51"/>
      <c r="H35" s="51"/>
      <c r="I35" s="118"/>
      <c r="J35" s="51"/>
      <c r="K35" s="51"/>
      <c r="L35" s="118"/>
      <c r="M35" s="118"/>
      <c r="N35" s="119"/>
      <c r="O35" s="120"/>
      <c r="P35" s="115"/>
      <c r="Q35" s="115"/>
      <c r="R35" s="116"/>
      <c r="S35" s="58"/>
      <c r="T35" s="60"/>
      <c r="U35" s="60"/>
      <c r="V35" s="60"/>
      <c r="W35" s="60"/>
      <c r="AJ35" s="56"/>
      <c r="AK35" s="56"/>
      <c r="AL35" s="56"/>
      <c r="AN35" s="88"/>
      <c r="AO35" s="86"/>
      <c r="AP35" s="86"/>
      <c r="AQ35" s="86"/>
      <c r="CB35" s="17"/>
      <c r="CC35" s="17"/>
    </row>
    <row r="36" spans="1:81" ht="12.75" customHeight="1" x14ac:dyDescent="0.2">
      <c r="A36" s="117"/>
      <c r="B36" s="28" t="s">
        <v>343</v>
      </c>
      <c r="C36" s="121"/>
      <c r="D36" s="4"/>
      <c r="E36" s="100" t="e">
        <f>NbreBisonsMâlesAuPré_18_24Mois</f>
        <v>#REF!</v>
      </c>
      <c r="F36" s="51"/>
      <c r="G36" s="51"/>
      <c r="H36" s="51"/>
      <c r="I36" s="118"/>
      <c r="J36" s="484" t="s">
        <v>349</v>
      </c>
      <c r="K36" s="485"/>
      <c r="L36" s="51" t="str">
        <f>IF(OR(ChoixVaccinBisons=NON,ChoixVaccinBisons=""),"","coût : "&amp;SUM(TotalBisons)*PrixVaccinBison&amp;"€/an")</f>
        <v/>
      </c>
      <c r="M36" s="51"/>
      <c r="N36" s="44"/>
      <c r="O36" s="120"/>
      <c r="P36" s="115"/>
      <c r="Q36" s="115"/>
      <c r="R36" s="116"/>
      <c r="S36" s="58"/>
      <c r="T36" s="60"/>
      <c r="U36" s="60"/>
      <c r="V36" s="60"/>
      <c r="W36" s="60"/>
      <c r="AJ36" s="56"/>
      <c r="AK36" s="56"/>
      <c r="AL36" s="56"/>
      <c r="AN36" s="88"/>
      <c r="AO36" s="86"/>
      <c r="AP36" s="86"/>
      <c r="AQ36" s="86"/>
      <c r="CB36" s="17"/>
      <c r="CC36" s="17"/>
    </row>
    <row r="37" spans="1:81" ht="12.75" customHeight="1" thickBot="1" x14ac:dyDescent="0.25">
      <c r="A37" s="117"/>
      <c r="B37" s="29" t="s">
        <v>212</v>
      </c>
      <c r="C37" s="122"/>
      <c r="D37" s="230"/>
      <c r="E37" s="102" t="e">
        <f>NbreBisonsFemellesAuPré_18_24Mois</f>
        <v>#REF!</v>
      </c>
      <c r="F37" s="51"/>
      <c r="G37" s="51"/>
      <c r="H37" s="51"/>
      <c r="I37" s="118"/>
      <c r="J37" s="476"/>
      <c r="K37" s="477"/>
      <c r="L37" s="118"/>
      <c r="M37" s="118"/>
      <c r="N37" s="119"/>
      <c r="O37" s="120"/>
      <c r="P37" s="115"/>
      <c r="Q37" s="115"/>
      <c r="R37" s="116"/>
      <c r="S37" s="58"/>
      <c r="T37" s="60"/>
      <c r="U37" s="60"/>
      <c r="V37" s="60"/>
      <c r="W37" s="60"/>
      <c r="AJ37" s="56"/>
      <c r="AK37" s="56"/>
      <c r="AL37" s="56"/>
      <c r="AN37" s="88"/>
      <c r="AO37" s="86"/>
      <c r="AP37" s="86"/>
      <c r="AQ37" s="86"/>
      <c r="CB37" s="17"/>
      <c r="CC37" s="17"/>
    </row>
    <row r="38" spans="1:81" ht="12.75" customHeight="1" x14ac:dyDescent="0.2">
      <c r="A38" s="117"/>
      <c r="B38" s="27" t="s">
        <v>213</v>
      </c>
      <c r="C38" s="123"/>
      <c r="D38" s="4"/>
      <c r="E38" s="100" t="e">
        <f>NbreBisonsMâlesAuPré_24_36Mois</f>
        <v>#REF!</v>
      </c>
      <c r="F38" s="118"/>
      <c r="G38" s="118"/>
      <c r="H38" s="118"/>
      <c r="I38" s="118"/>
      <c r="J38" s="51"/>
      <c r="K38" s="51"/>
      <c r="L38" s="118"/>
      <c r="M38" s="118"/>
      <c r="N38" s="119"/>
      <c r="O38" s="120"/>
      <c r="P38" s="115"/>
      <c r="Q38" s="115"/>
      <c r="R38" s="116"/>
      <c r="S38" s="58"/>
      <c r="T38" s="60"/>
      <c r="U38" s="60"/>
      <c r="V38" s="60"/>
      <c r="W38" s="60"/>
      <c r="AJ38" s="56"/>
      <c r="AK38" s="56"/>
      <c r="AL38" s="56"/>
      <c r="AN38" s="88"/>
      <c r="AO38" s="86"/>
      <c r="AP38" s="86"/>
      <c r="AQ38" s="86"/>
      <c r="CB38" s="17"/>
      <c r="CC38" s="17"/>
    </row>
    <row r="39" spans="1:81" ht="12.75" customHeight="1" thickBot="1" x14ac:dyDescent="0.25">
      <c r="A39" s="117"/>
      <c r="B39" s="14" t="s">
        <v>324</v>
      </c>
      <c r="C39" s="5"/>
      <c r="D39" s="230"/>
      <c r="E39" s="102" t="e">
        <f>NbreBisonsFemellesAuPré_24_36Mois</f>
        <v>#REF!</v>
      </c>
      <c r="F39" s="118"/>
      <c r="G39" s="118"/>
      <c r="H39" s="118"/>
      <c r="I39" s="118"/>
      <c r="J39" s="79" t="s">
        <v>124</v>
      </c>
      <c r="K39" s="106"/>
      <c r="L39" s="118"/>
      <c r="M39" s="118"/>
      <c r="N39" s="119"/>
      <c r="O39" s="120"/>
      <c r="P39" s="115"/>
      <c r="Q39" s="115"/>
      <c r="R39" s="116"/>
      <c r="S39" s="58"/>
      <c r="T39" s="60"/>
      <c r="U39" s="60"/>
      <c r="V39" s="60"/>
      <c r="W39" s="60"/>
      <c r="AJ39" s="56"/>
      <c r="AK39" s="56"/>
      <c r="AL39" s="56"/>
      <c r="AN39" s="88"/>
      <c r="AO39" s="86"/>
      <c r="AP39" s="86"/>
      <c r="AQ39" s="86"/>
      <c r="CB39" s="17"/>
      <c r="CC39" s="17"/>
    </row>
    <row r="40" spans="1:81" ht="12.75" customHeight="1" x14ac:dyDescent="0.2">
      <c r="A40" s="117"/>
      <c r="B40" s="28" t="s">
        <v>214</v>
      </c>
      <c r="C40" s="121"/>
      <c r="D40" s="4"/>
      <c r="E40" s="100" t="e">
        <f>NbreBisonsMâlesAuPré_3AnsEtPlus</f>
        <v>#REF!</v>
      </c>
      <c r="F40" s="118"/>
      <c r="G40" s="118"/>
      <c r="H40" s="118"/>
      <c r="I40" s="118"/>
      <c r="J40" s="51"/>
      <c r="K40" s="51"/>
      <c r="L40" s="118"/>
      <c r="M40" s="118"/>
      <c r="N40" s="119"/>
      <c r="O40" s="120"/>
      <c r="P40" s="115"/>
      <c r="Q40" s="115"/>
      <c r="R40" s="116"/>
      <c r="S40" s="58"/>
      <c r="T40" s="60"/>
      <c r="U40" s="60"/>
      <c r="V40" s="60"/>
      <c r="W40" s="60"/>
      <c r="AJ40" s="56"/>
      <c r="AK40" s="56"/>
      <c r="AL40" s="56"/>
      <c r="AN40" s="88"/>
      <c r="AO40" s="86"/>
      <c r="AP40" s="86"/>
      <c r="AQ40" s="86"/>
      <c r="CB40" s="17"/>
      <c r="CC40" s="17"/>
    </row>
    <row r="41" spans="1:81" ht="12.75" customHeight="1" thickBot="1" x14ac:dyDescent="0.25">
      <c r="A41" s="117"/>
      <c r="B41" s="25" t="s">
        <v>215</v>
      </c>
      <c r="C41" s="5"/>
      <c r="D41" s="230"/>
      <c r="E41" s="102" t="e">
        <f>NbreBisonsFemellesAuPré_3AnsEtPlus</f>
        <v>#REF!</v>
      </c>
      <c r="F41" s="118"/>
      <c r="G41" s="118"/>
      <c r="H41" s="118"/>
      <c r="I41" s="118"/>
      <c r="J41" s="118"/>
      <c r="K41" s="118"/>
      <c r="L41" s="118"/>
      <c r="M41" s="118"/>
      <c r="N41" s="119"/>
      <c r="O41" s="120"/>
      <c r="P41" s="115"/>
      <c r="Q41" s="115"/>
      <c r="R41" s="116"/>
      <c r="S41" s="58"/>
      <c r="T41" s="60"/>
      <c r="U41" s="60"/>
      <c r="V41" s="60"/>
      <c r="W41" s="60"/>
      <c r="AJ41" s="56"/>
      <c r="AK41" s="56"/>
      <c r="AL41" s="56"/>
      <c r="AN41" s="88"/>
      <c r="AO41" s="86"/>
      <c r="AP41" s="86"/>
      <c r="AQ41" s="86"/>
      <c r="CB41" s="17"/>
      <c r="CC41" s="17"/>
    </row>
    <row r="42" spans="1:81" ht="12.75" customHeight="1" thickBot="1" x14ac:dyDescent="0.25">
      <c r="A42" s="125"/>
      <c r="B42" s="37"/>
      <c r="C42" s="126"/>
      <c r="D42" s="126"/>
      <c r="E42" s="52"/>
      <c r="F42" s="127"/>
      <c r="G42" s="127"/>
      <c r="H42" s="127"/>
      <c r="I42" s="127"/>
      <c r="J42" s="127"/>
      <c r="K42" s="127"/>
      <c r="L42" s="127"/>
      <c r="M42" s="127"/>
      <c r="N42" s="128"/>
      <c r="O42" s="120"/>
      <c r="P42" s="115"/>
      <c r="Q42" s="115"/>
      <c r="R42" s="116"/>
      <c r="S42" s="58"/>
      <c r="T42" s="60"/>
      <c r="U42" s="60"/>
      <c r="V42" s="60"/>
      <c r="W42" s="60"/>
      <c r="AJ42" s="56"/>
      <c r="AK42" s="56"/>
      <c r="AL42" s="56"/>
      <c r="AN42" s="88"/>
      <c r="AO42" s="86"/>
      <c r="AP42" s="86"/>
      <c r="AQ42" s="86"/>
      <c r="CB42" s="17"/>
      <c r="CC42" s="17"/>
    </row>
    <row r="43" spans="1:81" ht="12.75" customHeight="1" thickBot="1" x14ac:dyDescent="0.25">
      <c r="A43" s="93" t="s">
        <v>51</v>
      </c>
      <c r="B43" s="94"/>
      <c r="C43" s="129"/>
      <c r="D43" s="129"/>
      <c r="E43" s="94"/>
      <c r="F43" s="129"/>
      <c r="G43" s="129"/>
      <c r="H43" s="129"/>
      <c r="I43" s="129"/>
      <c r="J43" s="129"/>
      <c r="K43" s="129"/>
      <c r="L43" s="129"/>
      <c r="M43" s="129"/>
      <c r="N43" s="130"/>
      <c r="O43" s="120"/>
      <c r="P43" s="115"/>
      <c r="Q43" s="115"/>
      <c r="R43" s="116"/>
      <c r="S43" s="58"/>
      <c r="T43" s="60"/>
      <c r="U43" s="60"/>
      <c r="V43" s="60"/>
      <c r="W43" s="60"/>
      <c r="AJ43" s="56"/>
      <c r="AK43" s="56"/>
      <c r="AL43" s="56"/>
      <c r="AN43" s="88"/>
      <c r="AO43" s="86"/>
      <c r="AP43" s="86"/>
      <c r="AQ43" s="86"/>
      <c r="CB43" s="17"/>
      <c r="CC43" s="17"/>
    </row>
    <row r="44" spans="1:81" ht="12.75" customHeight="1" thickBot="1" x14ac:dyDescent="0.25">
      <c r="A44" s="97" t="str">
        <f>"Total : "&amp;SUM(TotalCaprins)</f>
        <v>Total : 598</v>
      </c>
      <c r="B44" s="47"/>
      <c r="C44" s="3" t="s">
        <v>25</v>
      </c>
      <c r="D44" s="78" t="s">
        <v>1108</v>
      </c>
      <c r="E44" s="6" t="s">
        <v>24</v>
      </c>
      <c r="F44" s="131"/>
      <c r="G44" s="131"/>
      <c r="H44" s="131"/>
      <c r="I44" s="131"/>
      <c r="J44" s="480" t="s">
        <v>348</v>
      </c>
      <c r="K44" s="480"/>
      <c r="L44" s="131"/>
      <c r="M44" s="98" t="s">
        <v>1023</v>
      </c>
      <c r="N44" s="132"/>
      <c r="O44" s="120"/>
      <c r="P44" s="115"/>
      <c r="Q44" s="115"/>
      <c r="R44" s="116"/>
      <c r="S44" s="58"/>
      <c r="T44" s="60"/>
      <c r="U44" s="60"/>
      <c r="V44" s="60"/>
      <c r="W44" s="60"/>
      <c r="AJ44" s="56"/>
      <c r="AK44" s="56"/>
      <c r="AL44" s="56"/>
      <c r="AN44" s="88"/>
      <c r="AO44" s="86"/>
      <c r="AP44" s="86"/>
      <c r="AQ44" s="86"/>
      <c r="CB44" s="17"/>
      <c r="CC44" s="17"/>
    </row>
    <row r="45" spans="1:81" ht="12.75" customHeight="1" x14ac:dyDescent="0.2">
      <c r="A45" s="97"/>
      <c r="B45" s="26" t="s">
        <v>52</v>
      </c>
      <c r="C45" s="121">
        <v>66</v>
      </c>
      <c r="D45" s="4" t="s">
        <v>1109</v>
      </c>
      <c r="E45" s="133" t="e">
        <f>NbreCaprinsMâlesAuPré_0_3Mois</f>
        <v>#REF!</v>
      </c>
      <c r="F45" s="131"/>
      <c r="G45" s="131"/>
      <c r="H45" s="131"/>
      <c r="I45" s="131"/>
      <c r="J45" s="476" t="s">
        <v>168</v>
      </c>
      <c r="K45" s="477"/>
      <c r="L45" s="131"/>
      <c r="M45" s="226"/>
      <c r="N45" s="132"/>
      <c r="O45" s="120"/>
      <c r="P45" s="115"/>
      <c r="Q45" s="115"/>
      <c r="R45" s="116"/>
      <c r="S45" s="58"/>
      <c r="T45" s="60"/>
      <c r="U45" s="60"/>
      <c r="V45" s="60"/>
      <c r="W45" s="60"/>
      <c r="AJ45" s="56"/>
      <c r="AK45" s="56"/>
      <c r="AL45" s="56"/>
      <c r="AN45" s="88"/>
      <c r="AO45" s="86"/>
      <c r="AP45" s="86"/>
      <c r="AQ45" s="86"/>
      <c r="CB45" s="17"/>
      <c r="CC45" s="17"/>
    </row>
    <row r="46" spans="1:81" ht="12.75" customHeight="1" thickBot="1" x14ac:dyDescent="0.25">
      <c r="A46" s="97"/>
      <c r="B46" s="29" t="s">
        <v>53</v>
      </c>
      <c r="C46" s="122">
        <v>53</v>
      </c>
      <c r="D46" s="230" t="s">
        <v>1109</v>
      </c>
      <c r="E46" s="134" t="e">
        <f>NbreCaprinsFemellesAuPré_0_3Mois</f>
        <v>#REF!</v>
      </c>
      <c r="F46" s="131"/>
      <c r="G46" s="131"/>
      <c r="H46" s="131"/>
      <c r="I46" s="131"/>
      <c r="J46" s="47"/>
      <c r="K46" s="47"/>
      <c r="L46" s="131"/>
      <c r="M46" s="131"/>
      <c r="N46" s="132"/>
      <c r="O46" s="120"/>
      <c r="P46" s="115"/>
      <c r="Q46" s="115"/>
      <c r="R46" s="116"/>
      <c r="S46" s="58"/>
      <c r="T46" s="60"/>
      <c r="U46" s="60"/>
      <c r="V46" s="60"/>
      <c r="W46" s="60"/>
      <c r="AJ46" s="56"/>
      <c r="AK46" s="56"/>
      <c r="AL46" s="56"/>
      <c r="AN46" s="88"/>
      <c r="AO46" s="86"/>
      <c r="AP46" s="86"/>
      <c r="AQ46" s="86"/>
      <c r="CB46" s="17"/>
      <c r="CC46" s="17"/>
    </row>
    <row r="47" spans="1:81" ht="12.75" customHeight="1" x14ac:dyDescent="0.2">
      <c r="A47" s="97"/>
      <c r="B47" s="27" t="s">
        <v>54</v>
      </c>
      <c r="C47" s="123">
        <v>31</v>
      </c>
      <c r="D47" s="4" t="s">
        <v>1109</v>
      </c>
      <c r="E47" s="133" t="e">
        <f>NbreCaprinsMâlesAuPré_3_6Mois</f>
        <v>#REF!</v>
      </c>
      <c r="F47" s="131"/>
      <c r="G47" s="131"/>
      <c r="H47" s="131"/>
      <c r="I47" s="131"/>
      <c r="J47" s="478" t="s">
        <v>527</v>
      </c>
      <c r="K47" s="479"/>
      <c r="L47" s="131"/>
      <c r="M47" s="131"/>
      <c r="N47" s="132"/>
      <c r="O47" s="120"/>
      <c r="P47" s="115"/>
      <c r="Q47" s="115"/>
      <c r="R47" s="116"/>
      <c r="S47" s="58"/>
      <c r="T47" s="60"/>
      <c r="U47" s="60"/>
      <c r="V47" s="60"/>
      <c r="W47" s="60"/>
      <c r="AJ47" s="56"/>
      <c r="AK47" s="56"/>
      <c r="AL47" s="56"/>
      <c r="AN47" s="88"/>
      <c r="AO47" s="86"/>
      <c r="AP47" s="86"/>
      <c r="AQ47" s="86"/>
      <c r="CB47" s="17"/>
      <c r="CC47" s="17"/>
    </row>
    <row r="48" spans="1:81" ht="12.75" customHeight="1" thickBot="1" x14ac:dyDescent="0.25">
      <c r="A48" s="97"/>
      <c r="B48" s="14" t="s">
        <v>55</v>
      </c>
      <c r="C48" s="5">
        <v>33</v>
      </c>
      <c r="D48" s="230" t="s">
        <v>1109</v>
      </c>
      <c r="E48" s="134" t="e">
        <f>NbreCaprinsFemellesAuPré_3_6Mois</f>
        <v>#REF!</v>
      </c>
      <c r="F48" s="131"/>
      <c r="G48" s="131"/>
      <c r="H48" s="131"/>
      <c r="I48" s="131"/>
      <c r="J48" s="476" t="s">
        <v>23</v>
      </c>
      <c r="K48" s="477"/>
      <c r="L48" s="131"/>
      <c r="M48" s="131"/>
      <c r="N48" s="132"/>
      <c r="O48" s="96"/>
      <c r="P48" s="115"/>
      <c r="Q48" s="115"/>
      <c r="R48" s="116"/>
      <c r="S48" s="58"/>
      <c r="T48" s="60"/>
      <c r="U48" s="60"/>
      <c r="V48" s="60"/>
      <c r="W48" s="60"/>
      <c r="AJ48" s="56"/>
      <c r="AK48" s="56"/>
      <c r="AL48" s="56"/>
      <c r="AN48" s="88"/>
      <c r="AO48" s="86"/>
      <c r="AP48" s="86"/>
      <c r="AQ48" s="86"/>
      <c r="CB48" s="17"/>
      <c r="CC48" s="17"/>
    </row>
    <row r="49" spans="1:81" ht="12.75" customHeight="1" x14ac:dyDescent="0.2">
      <c r="A49" s="97"/>
      <c r="B49" s="28" t="s">
        <v>162</v>
      </c>
      <c r="C49" s="121">
        <v>77</v>
      </c>
      <c r="D49" s="4" t="s">
        <v>1109</v>
      </c>
      <c r="E49" s="133" t="e">
        <f>NbreCaprinsMâlesAuPré_6_12Mois</f>
        <v>#REF!</v>
      </c>
      <c r="F49" s="131"/>
      <c r="G49" s="131"/>
      <c r="H49" s="131"/>
      <c r="I49" s="131"/>
      <c r="J49" s="103"/>
      <c r="K49" s="47"/>
      <c r="L49" s="131"/>
      <c r="M49" s="131"/>
      <c r="N49" s="132"/>
      <c r="O49" s="96"/>
      <c r="P49" s="115"/>
      <c r="Q49" s="115"/>
      <c r="R49" s="116"/>
      <c r="S49" s="58"/>
      <c r="T49" s="60"/>
      <c r="U49" s="60"/>
      <c r="V49" s="60"/>
      <c r="W49" s="60"/>
      <c r="AJ49" s="56"/>
      <c r="AK49" s="56"/>
      <c r="AL49" s="56"/>
      <c r="AN49" s="88"/>
      <c r="AO49" s="86"/>
      <c r="AP49" s="86"/>
      <c r="AQ49" s="86"/>
      <c r="CB49" s="17"/>
      <c r="CC49" s="17"/>
    </row>
    <row r="50" spans="1:81" ht="12.75" customHeight="1" thickBot="1" x14ac:dyDescent="0.25">
      <c r="A50" s="97"/>
      <c r="B50" s="29" t="s">
        <v>183</v>
      </c>
      <c r="C50" s="122">
        <v>68</v>
      </c>
      <c r="D50" s="230" t="s">
        <v>1109</v>
      </c>
      <c r="E50" s="135" t="e">
        <f>NbreCaprinsFemellesAuPré_6_12Mois</f>
        <v>#REF!</v>
      </c>
      <c r="F50" s="131"/>
      <c r="G50" s="131"/>
      <c r="H50" s="131"/>
      <c r="I50" s="131"/>
      <c r="J50" s="478" t="s">
        <v>1151</v>
      </c>
      <c r="K50" s="479"/>
      <c r="L50" s="131"/>
      <c r="M50" s="131"/>
      <c r="N50" s="132"/>
      <c r="O50" s="138"/>
      <c r="P50" s="115"/>
      <c r="Q50" s="115"/>
      <c r="R50" s="116"/>
      <c r="S50" s="58"/>
      <c r="T50" s="60"/>
      <c r="U50" s="60"/>
      <c r="V50" s="60"/>
      <c r="W50" s="60"/>
      <c r="AJ50" s="56"/>
      <c r="AK50" s="56"/>
      <c r="AL50" s="56"/>
      <c r="AN50" s="88"/>
      <c r="AO50" s="86"/>
      <c r="AP50" s="86"/>
      <c r="AQ50" s="86"/>
      <c r="CB50" s="17"/>
      <c r="CC50" s="17"/>
    </row>
    <row r="51" spans="1:81" ht="12.75" customHeight="1" x14ac:dyDescent="0.2">
      <c r="A51" s="97"/>
      <c r="B51" s="27" t="s">
        <v>184</v>
      </c>
      <c r="C51" s="123">
        <v>13</v>
      </c>
      <c r="D51" s="4" t="s">
        <v>1111</v>
      </c>
      <c r="E51" s="133" t="e">
        <f>SUM(NbreCaprinsMâlesAuPré_12_18Mois+NbreCaprinsMâlesAuPré_18_24Mois+NbreCaprinsMâlesAuPré_24_36Mois+NbreCaprinsMâlesAuPré_3AnsEtPlus)</f>
        <v>#REF!</v>
      </c>
      <c r="F51" s="131"/>
      <c r="G51" s="131"/>
      <c r="H51" s="131"/>
      <c r="I51" s="131"/>
      <c r="J51" s="476"/>
      <c r="K51" s="477"/>
      <c r="L51" s="131"/>
      <c r="M51" s="131"/>
      <c r="N51" s="132"/>
      <c r="O51" s="96"/>
      <c r="P51" s="115"/>
      <c r="Q51" s="115"/>
      <c r="R51" s="116"/>
      <c r="S51" s="58"/>
      <c r="T51" s="60"/>
      <c r="U51" s="60"/>
      <c r="V51" s="60"/>
      <c r="W51" s="60"/>
      <c r="AJ51" s="56"/>
      <c r="AK51" s="56"/>
      <c r="AL51" s="56"/>
      <c r="AN51" s="88"/>
      <c r="AO51" s="86"/>
      <c r="AP51" s="86"/>
      <c r="AQ51" s="86"/>
      <c r="CB51" s="17"/>
      <c r="CC51" s="17"/>
    </row>
    <row r="52" spans="1:81" ht="12.75" customHeight="1" thickBot="1" x14ac:dyDescent="0.25">
      <c r="A52" s="97"/>
      <c r="B52" s="14" t="s">
        <v>185</v>
      </c>
      <c r="C52" s="5">
        <v>257</v>
      </c>
      <c r="D52" s="230" t="s">
        <v>1110</v>
      </c>
      <c r="E52" s="134" t="e">
        <f>SUM(NbreCaprinsFemellesAuPré_12_18Mois+NbreCaprinsFemellesAuPré_18_24Mois+NbreCaprinsFemellesAuPré_24_36Mois+NbreCaprinsFemellesAuPré_3AnsEtPlus)</f>
        <v>#REF!</v>
      </c>
      <c r="F52" s="131"/>
      <c r="G52" s="131"/>
      <c r="H52" s="131"/>
      <c r="I52" s="131"/>
      <c r="J52" s="103"/>
      <c r="K52" s="47"/>
      <c r="L52" s="131"/>
      <c r="M52" s="131"/>
      <c r="N52" s="132"/>
      <c r="O52" s="96"/>
      <c r="P52" s="115"/>
      <c r="Q52" s="115"/>
      <c r="R52" s="116"/>
      <c r="S52" s="58"/>
      <c r="T52" s="60"/>
      <c r="U52" s="60"/>
      <c r="V52" s="60"/>
      <c r="W52" s="60"/>
      <c r="AJ52" s="56"/>
      <c r="AK52" s="56"/>
      <c r="AL52" s="56"/>
      <c r="AN52" s="88"/>
      <c r="AO52" s="86"/>
      <c r="AP52" s="86"/>
      <c r="AQ52" s="86"/>
      <c r="CB52" s="17"/>
      <c r="CC52" s="17"/>
    </row>
    <row r="53" spans="1:81" ht="12.75" customHeight="1" x14ac:dyDescent="0.2">
      <c r="A53" s="97"/>
      <c r="B53" s="47"/>
      <c r="C53" s="131"/>
      <c r="D53" s="131"/>
      <c r="E53" s="47"/>
      <c r="F53" s="131"/>
      <c r="G53" s="131"/>
      <c r="H53" s="131"/>
      <c r="I53" s="131"/>
      <c r="J53" s="484" t="s">
        <v>349</v>
      </c>
      <c r="K53" s="485"/>
      <c r="L53" s="131"/>
      <c r="M53" s="55"/>
      <c r="N53" s="54"/>
      <c r="O53" s="120"/>
      <c r="P53" s="115"/>
      <c r="Q53" s="115"/>
      <c r="R53" s="116"/>
      <c r="S53" s="58"/>
      <c r="T53" s="60"/>
      <c r="U53" s="60"/>
      <c r="V53" s="60"/>
      <c r="W53" s="60"/>
      <c r="AJ53" s="56"/>
      <c r="AK53" s="56"/>
      <c r="AL53" s="56"/>
      <c r="AN53" s="88"/>
      <c r="AO53" s="86"/>
      <c r="AP53" s="86"/>
      <c r="AQ53" s="86"/>
      <c r="CB53" s="17"/>
      <c r="CC53" s="17"/>
    </row>
    <row r="54" spans="1:81" ht="12.75" customHeight="1" x14ac:dyDescent="0.2">
      <c r="A54" s="97"/>
      <c r="B54" s="47"/>
      <c r="C54" s="131"/>
      <c r="D54" s="131"/>
      <c r="E54" s="47"/>
      <c r="F54" s="131"/>
      <c r="G54" s="131"/>
      <c r="H54" s="131"/>
      <c r="I54" s="131"/>
      <c r="J54" s="476" t="s">
        <v>70</v>
      </c>
      <c r="K54" s="477"/>
      <c r="L54" s="131"/>
      <c r="M54" s="55"/>
      <c r="N54" s="54"/>
      <c r="O54" s="120"/>
      <c r="P54" s="115"/>
      <c r="Q54" s="115"/>
      <c r="R54" s="116"/>
      <c r="S54" s="58"/>
      <c r="T54" s="60"/>
      <c r="U54" s="60"/>
      <c r="V54" s="60"/>
      <c r="W54" s="60"/>
      <c r="AJ54" s="56"/>
      <c r="AK54" s="56"/>
      <c r="AL54" s="56"/>
      <c r="AN54" s="88"/>
      <c r="AO54" s="86"/>
      <c r="AP54" s="86"/>
      <c r="AQ54" s="86"/>
      <c r="CB54" s="17"/>
      <c r="CC54" s="17"/>
    </row>
    <row r="55" spans="1:81" ht="12.75" customHeight="1" x14ac:dyDescent="0.2">
      <c r="A55" s="97"/>
      <c r="B55" s="47"/>
      <c r="C55" s="131"/>
      <c r="D55" s="131"/>
      <c r="E55" s="47"/>
      <c r="F55" s="131"/>
      <c r="G55" s="131"/>
      <c r="H55" s="131"/>
      <c r="I55" s="131"/>
      <c r="J55" s="47"/>
      <c r="K55" s="47"/>
      <c r="L55" s="55"/>
      <c r="M55" s="55"/>
      <c r="N55" s="54"/>
      <c r="O55" s="120"/>
      <c r="P55" s="115"/>
      <c r="Q55" s="115"/>
      <c r="R55" s="116"/>
      <c r="S55" s="58"/>
      <c r="T55" s="60"/>
      <c r="U55" s="60"/>
      <c r="V55" s="60"/>
      <c r="W55" s="60"/>
      <c r="AJ55" s="56"/>
      <c r="AK55" s="56"/>
      <c r="AL55" s="56"/>
      <c r="AN55" s="88"/>
      <c r="AO55" s="86"/>
      <c r="AP55" s="86"/>
      <c r="AQ55" s="86"/>
      <c r="CB55" s="17"/>
      <c r="CC55" s="17"/>
    </row>
    <row r="56" spans="1:81" ht="12.75" customHeight="1" x14ac:dyDescent="0.2">
      <c r="A56" s="97"/>
      <c r="B56" s="47"/>
      <c r="C56" s="131"/>
      <c r="D56" s="131"/>
      <c r="E56" s="47"/>
      <c r="F56" s="131"/>
      <c r="G56" s="131"/>
      <c r="H56" s="131"/>
      <c r="I56" s="131"/>
      <c r="J56" s="18" t="s">
        <v>125</v>
      </c>
      <c r="K56" s="106" t="s">
        <v>22</v>
      </c>
      <c r="L56" s="48" t="str">
        <f>IF(OR(ChoixPaillageCaprins="",ChoixPaillageCaprins=NON),"","coût : "&amp;PrixPaille*84*SUM(TotalCaprins)/1000&amp;"€/an (si pas de mise au pré l'été, sinon "&amp;PrixPaille*(84-35)*SUM(TotalCaprins)/1000&amp;"€/an)")</f>
        <v>coût : 2938,572€/an (si pas de mise au pré l'été, sinon 1714,167€/an)</v>
      </c>
      <c r="M56" s="55"/>
      <c r="N56" s="54"/>
      <c r="O56" s="120"/>
      <c r="P56" s="115"/>
      <c r="Q56" s="115"/>
      <c r="R56" s="116"/>
      <c r="S56" s="58"/>
      <c r="T56" s="60"/>
      <c r="U56" s="60"/>
      <c r="V56" s="60"/>
      <c r="W56" s="60"/>
      <c r="AJ56" s="56"/>
      <c r="AK56" s="56"/>
      <c r="AL56" s="56"/>
      <c r="AN56" s="88"/>
      <c r="AO56" s="86"/>
      <c r="AP56" s="86"/>
      <c r="AQ56" s="86"/>
      <c r="CB56" s="17"/>
      <c r="CC56" s="17"/>
    </row>
    <row r="57" spans="1:81" ht="12.75" customHeight="1" x14ac:dyDescent="0.2">
      <c r="A57" s="97"/>
      <c r="B57" s="47"/>
      <c r="C57" s="131"/>
      <c r="D57" s="131"/>
      <c r="E57" s="47"/>
      <c r="F57" s="131"/>
      <c r="G57" s="131"/>
      <c r="H57" s="131"/>
      <c r="I57" s="131"/>
      <c r="J57" s="19" t="s">
        <v>124</v>
      </c>
      <c r="K57" s="106" t="s">
        <v>22</v>
      </c>
      <c r="L57" s="48" t="str">
        <f>IF(ChoixVaccinCaprins=OUI,"coût : " &amp;SUM(TotalCaprins)*PrixVaccinCaprin &amp;"€/an","")</f>
        <v>coût : 5980€/an</v>
      </c>
      <c r="M57" s="55"/>
      <c r="N57" s="54"/>
      <c r="O57" s="120"/>
      <c r="P57" s="115"/>
      <c r="Q57" s="115"/>
      <c r="R57" s="116"/>
      <c r="S57" s="58"/>
      <c r="T57" s="60"/>
      <c r="U57" s="60"/>
      <c r="V57" s="60"/>
      <c r="W57" s="60"/>
      <c r="AJ57" s="56"/>
      <c r="AK57" s="56"/>
      <c r="AL57" s="56"/>
      <c r="AN57" s="88"/>
      <c r="AO57" s="86"/>
      <c r="AP57" s="86"/>
      <c r="AQ57" s="86"/>
      <c r="CB57" s="17"/>
      <c r="CC57" s="17"/>
    </row>
    <row r="58" spans="1:81" ht="12.75" customHeight="1" thickBot="1" x14ac:dyDescent="0.25">
      <c r="A58" s="107"/>
      <c r="B58" s="109"/>
      <c r="C58" s="136"/>
      <c r="D58" s="136"/>
      <c r="E58" s="109"/>
      <c r="F58" s="136"/>
      <c r="G58" s="136"/>
      <c r="H58" s="136"/>
      <c r="I58" s="136"/>
      <c r="J58" s="136"/>
      <c r="K58" s="136"/>
      <c r="L58" s="136"/>
      <c r="M58" s="136"/>
      <c r="N58" s="137"/>
      <c r="O58" s="120"/>
      <c r="P58" s="115"/>
      <c r="Q58" s="115"/>
      <c r="R58" s="116"/>
      <c r="S58" s="58"/>
      <c r="T58" s="60"/>
      <c r="U58" s="60"/>
      <c r="V58" s="60"/>
      <c r="W58" s="60"/>
      <c r="AJ58" s="56"/>
      <c r="AK58" s="56"/>
      <c r="AL58" s="56"/>
      <c r="AN58" s="88"/>
      <c r="AO58" s="86"/>
      <c r="AP58" s="86"/>
      <c r="AQ58" s="86"/>
      <c r="CB58" s="17"/>
      <c r="CC58" s="17"/>
    </row>
    <row r="59" spans="1:81" ht="12.75" customHeight="1" thickBot="1" x14ac:dyDescent="0.25">
      <c r="A59" s="111" t="s">
        <v>186</v>
      </c>
      <c r="B59" s="112"/>
      <c r="C59" s="113"/>
      <c r="D59" s="113"/>
      <c r="E59" s="112"/>
      <c r="F59" s="113"/>
      <c r="G59" s="113"/>
      <c r="H59" s="113"/>
      <c r="I59" s="113"/>
      <c r="J59" s="113"/>
      <c r="K59" s="113"/>
      <c r="L59" s="113"/>
      <c r="M59" s="113"/>
      <c r="N59" s="114"/>
      <c r="O59" s="120"/>
      <c r="P59" s="115"/>
      <c r="Q59" s="115"/>
      <c r="R59" s="116"/>
      <c r="S59" s="58"/>
      <c r="T59" s="60"/>
      <c r="U59" s="60"/>
      <c r="V59" s="60"/>
      <c r="W59" s="60"/>
      <c r="AJ59" s="56"/>
      <c r="AK59" s="56"/>
      <c r="AL59" s="56"/>
      <c r="AN59" s="88"/>
      <c r="AO59" s="86"/>
      <c r="AP59" s="86"/>
      <c r="AQ59" s="86"/>
      <c r="CB59" s="17"/>
      <c r="CC59" s="17"/>
    </row>
    <row r="60" spans="1:81" ht="12.75" customHeight="1" thickBot="1" x14ac:dyDescent="0.25">
      <c r="A60" s="117" t="str">
        <f>"Total : "&amp;SUM(TotalPorcins)</f>
        <v>Total : 0</v>
      </c>
      <c r="B60" s="51"/>
      <c r="C60" s="33" t="s">
        <v>350</v>
      </c>
      <c r="D60" s="78" t="s">
        <v>1108</v>
      </c>
      <c r="E60" s="51"/>
      <c r="F60" s="118"/>
      <c r="G60" s="118"/>
      <c r="H60" s="118"/>
      <c r="I60" s="118"/>
      <c r="J60" s="480" t="s">
        <v>348</v>
      </c>
      <c r="K60" s="480"/>
      <c r="L60" s="49"/>
      <c r="M60" s="51"/>
      <c r="N60" s="44"/>
      <c r="O60" s="120"/>
      <c r="P60" s="115"/>
      <c r="Q60" s="115"/>
      <c r="R60" s="116"/>
      <c r="S60" s="58"/>
      <c r="T60" s="60"/>
      <c r="U60" s="60"/>
      <c r="V60" s="60"/>
      <c r="W60" s="60"/>
      <c r="AJ60" s="56"/>
      <c r="AK60" s="56"/>
      <c r="AL60" s="56"/>
      <c r="AN60" s="88"/>
      <c r="AO60" s="86"/>
      <c r="AP60" s="86"/>
      <c r="AQ60" s="86"/>
      <c r="CB60" s="17"/>
      <c r="CC60" s="17"/>
    </row>
    <row r="61" spans="1:81" ht="12.75" customHeight="1" x14ac:dyDescent="0.2">
      <c r="A61" s="117"/>
      <c r="B61" s="20" t="s">
        <v>304</v>
      </c>
      <c r="C61" s="123"/>
      <c r="D61" s="4"/>
      <c r="E61" s="51"/>
      <c r="F61" s="118"/>
      <c r="G61" s="118"/>
      <c r="H61" s="118"/>
      <c r="I61" s="118"/>
      <c r="J61" s="476"/>
      <c r="K61" s="477"/>
      <c r="L61" s="49"/>
      <c r="M61" s="51"/>
      <c r="N61" s="44"/>
      <c r="O61" s="120"/>
      <c r="P61" s="115"/>
      <c r="Q61" s="115"/>
      <c r="R61" s="116"/>
      <c r="S61" s="58"/>
      <c r="T61" s="60"/>
      <c r="U61" s="60"/>
      <c r="V61" s="60"/>
      <c r="W61" s="60"/>
      <c r="AJ61" s="56"/>
      <c r="AK61" s="56"/>
      <c r="AL61" s="56"/>
      <c r="AN61" s="88"/>
      <c r="AO61" s="86"/>
      <c r="AP61" s="86"/>
      <c r="AQ61" s="86"/>
      <c r="CB61" s="17"/>
      <c r="CC61" s="17"/>
    </row>
    <row r="62" spans="1:81" ht="12.75" customHeight="1" thickBot="1" x14ac:dyDescent="0.25">
      <c r="A62" s="117"/>
      <c r="B62" s="21" t="s">
        <v>83</v>
      </c>
      <c r="C62" s="5"/>
      <c r="D62" s="230"/>
      <c r="E62" s="51"/>
      <c r="F62" s="118"/>
      <c r="G62" s="118"/>
      <c r="H62" s="118"/>
      <c r="I62" s="118"/>
      <c r="J62" s="49"/>
      <c r="K62" s="49"/>
      <c r="L62" s="49"/>
      <c r="M62" s="49"/>
      <c r="N62" s="44"/>
      <c r="O62" s="120"/>
      <c r="P62" s="115"/>
      <c r="Q62" s="115"/>
      <c r="R62" s="116"/>
      <c r="S62" s="58"/>
      <c r="T62" s="60"/>
      <c r="U62" s="60"/>
      <c r="V62" s="60"/>
      <c r="W62" s="60"/>
      <c r="AJ62" s="56"/>
      <c r="AK62" s="56"/>
      <c r="AL62" s="56"/>
      <c r="AN62" s="88"/>
      <c r="AO62" s="86"/>
      <c r="AP62" s="86"/>
      <c r="AQ62" s="86"/>
      <c r="CB62" s="17"/>
      <c r="CC62" s="17"/>
    </row>
    <row r="63" spans="1:81" ht="12.75" customHeight="1" x14ac:dyDescent="0.2">
      <c r="A63" s="117"/>
      <c r="B63" s="22" t="s">
        <v>26</v>
      </c>
      <c r="C63" s="123"/>
      <c r="D63" s="4"/>
      <c r="E63" s="51"/>
      <c r="F63" s="118"/>
      <c r="G63" s="118"/>
      <c r="H63" s="118"/>
      <c r="I63" s="118"/>
      <c r="J63" s="484" t="s">
        <v>98</v>
      </c>
      <c r="K63" s="485"/>
      <c r="L63" s="51"/>
      <c r="M63" s="51"/>
      <c r="N63" s="44"/>
      <c r="O63" s="120"/>
      <c r="P63" s="115"/>
      <c r="Q63" s="115"/>
      <c r="R63" s="116"/>
      <c r="S63" s="58"/>
      <c r="T63" s="60"/>
      <c r="U63" s="60"/>
      <c r="V63" s="60"/>
      <c r="W63" s="60"/>
      <c r="AJ63" s="56"/>
      <c r="AK63" s="56"/>
      <c r="AL63" s="56"/>
      <c r="AN63" s="88"/>
      <c r="AO63" s="86"/>
      <c r="AP63" s="86"/>
      <c r="AQ63" s="86"/>
      <c r="CB63" s="17"/>
      <c r="CC63" s="17"/>
    </row>
    <row r="64" spans="1:81" ht="12.75" customHeight="1" thickBot="1" x14ac:dyDescent="0.25">
      <c r="A64" s="117"/>
      <c r="B64" s="23" t="s">
        <v>84</v>
      </c>
      <c r="C64" s="5"/>
      <c r="D64" s="230"/>
      <c r="E64" s="51"/>
      <c r="F64" s="118"/>
      <c r="G64" s="118"/>
      <c r="H64" s="118"/>
      <c r="I64" s="118"/>
      <c r="J64" s="476"/>
      <c r="K64" s="477"/>
      <c r="L64" s="51"/>
      <c r="M64" s="51"/>
      <c r="N64" s="44"/>
      <c r="O64" s="120"/>
      <c r="P64" s="115"/>
      <c r="Q64" s="115"/>
      <c r="R64" s="116"/>
      <c r="S64" s="58"/>
      <c r="T64" s="60"/>
      <c r="U64" s="60"/>
      <c r="V64" s="60"/>
      <c r="W64" s="60"/>
      <c r="AJ64" s="56"/>
      <c r="AK64" s="56"/>
      <c r="AL64" s="56"/>
      <c r="AN64" s="88"/>
      <c r="AO64" s="86"/>
      <c r="AP64" s="86"/>
      <c r="AQ64" s="86"/>
      <c r="CB64" s="17"/>
      <c r="CC64" s="17"/>
    </row>
    <row r="65" spans="1:81" ht="12.75" customHeight="1" x14ac:dyDescent="0.2">
      <c r="A65" s="117"/>
      <c r="B65" s="30" t="s">
        <v>85</v>
      </c>
      <c r="C65" s="123"/>
      <c r="D65" s="4"/>
      <c r="E65" s="51"/>
      <c r="F65" s="118"/>
      <c r="G65" s="118"/>
      <c r="H65" s="118"/>
      <c r="I65" s="118"/>
      <c r="J65" s="139"/>
      <c r="K65" s="140"/>
      <c r="L65" s="49"/>
      <c r="M65" s="118"/>
      <c r="N65" s="119"/>
      <c r="O65" s="120"/>
      <c r="P65" s="115"/>
      <c r="Q65" s="115"/>
      <c r="R65" s="116"/>
      <c r="S65" s="58"/>
      <c r="T65" s="60"/>
      <c r="U65" s="60"/>
      <c r="V65" s="60"/>
      <c r="W65" s="60"/>
      <c r="AJ65" s="56"/>
      <c r="AK65" s="56"/>
      <c r="AL65" s="56"/>
      <c r="AN65" s="88"/>
      <c r="AO65" s="86"/>
      <c r="AP65" s="86"/>
      <c r="AQ65" s="86"/>
      <c r="CB65" s="17"/>
      <c r="CC65" s="17"/>
    </row>
    <row r="66" spans="1:81" ht="12.75" customHeight="1" thickBot="1" x14ac:dyDescent="0.25">
      <c r="A66" s="117"/>
      <c r="B66" s="31" t="s">
        <v>86</v>
      </c>
      <c r="C66" s="5"/>
      <c r="D66" s="230"/>
      <c r="E66" s="51"/>
      <c r="F66" s="118"/>
      <c r="G66" s="118"/>
      <c r="H66" s="118"/>
      <c r="I66" s="118"/>
      <c r="J66" s="478" t="s">
        <v>527</v>
      </c>
      <c r="K66" s="479"/>
      <c r="L66" s="51"/>
      <c r="M66" s="51"/>
      <c r="N66" s="44"/>
      <c r="O66" s="120"/>
      <c r="P66" s="115"/>
      <c r="Q66" s="115"/>
      <c r="R66" s="116"/>
      <c r="S66" s="58"/>
      <c r="T66" s="60"/>
      <c r="U66" s="60"/>
      <c r="V66" s="60"/>
      <c r="W66" s="60"/>
      <c r="AJ66" s="56"/>
      <c r="AK66" s="56"/>
      <c r="AL66" s="56"/>
      <c r="AN66" s="88"/>
      <c r="AO66" s="86"/>
      <c r="AP66" s="86"/>
      <c r="AQ66" s="86"/>
      <c r="CB66" s="17"/>
      <c r="CC66" s="17"/>
    </row>
    <row r="67" spans="1:81" ht="12.75" customHeight="1" x14ac:dyDescent="0.2">
      <c r="A67" s="117"/>
      <c r="B67" s="22" t="s">
        <v>87</v>
      </c>
      <c r="C67" s="123"/>
      <c r="D67" s="4"/>
      <c r="E67" s="51"/>
      <c r="F67" s="118"/>
      <c r="G67" s="118"/>
      <c r="H67" s="118"/>
      <c r="I67" s="118"/>
      <c r="J67" s="476"/>
      <c r="K67" s="477"/>
      <c r="L67" s="51"/>
      <c r="M67" s="51"/>
      <c r="N67" s="44"/>
      <c r="O67" s="120"/>
      <c r="P67" s="115"/>
      <c r="Q67" s="115"/>
      <c r="R67" s="116"/>
      <c r="S67" s="58"/>
      <c r="T67" s="60"/>
      <c r="U67" s="60"/>
      <c r="V67" s="60"/>
      <c r="W67" s="60"/>
      <c r="AJ67" s="56"/>
      <c r="AK67" s="56"/>
      <c r="AL67" s="56"/>
      <c r="AN67" s="88"/>
      <c r="AO67" s="86"/>
      <c r="AP67" s="86"/>
      <c r="AQ67" s="86"/>
      <c r="CB67" s="17"/>
      <c r="CC67" s="17"/>
    </row>
    <row r="68" spans="1:81" ht="12.75" customHeight="1" thickBot="1" x14ac:dyDescent="0.25">
      <c r="A68" s="117"/>
      <c r="B68" s="23" t="s">
        <v>88</v>
      </c>
      <c r="C68" s="5"/>
      <c r="D68" s="230"/>
      <c r="E68" s="51"/>
      <c r="F68" s="118"/>
      <c r="G68" s="118"/>
      <c r="H68" s="118"/>
      <c r="I68" s="118"/>
      <c r="J68" s="124"/>
      <c r="K68" s="51"/>
      <c r="L68" s="118"/>
      <c r="M68" s="118"/>
      <c r="N68" s="119"/>
      <c r="O68" s="120"/>
      <c r="P68" s="115"/>
      <c r="Q68" s="115"/>
      <c r="R68" s="116"/>
      <c r="S68" s="58"/>
      <c r="T68" s="60"/>
      <c r="U68" s="60"/>
      <c r="V68" s="60"/>
      <c r="W68" s="60"/>
      <c r="AJ68" s="56"/>
      <c r="AK68" s="56"/>
      <c r="AL68" s="56"/>
      <c r="AN68" s="88"/>
      <c r="AO68" s="86"/>
      <c r="AP68" s="86"/>
      <c r="AQ68" s="86"/>
      <c r="CB68" s="17"/>
      <c r="CC68" s="17"/>
    </row>
    <row r="69" spans="1:81" ht="12.75" customHeight="1" x14ac:dyDescent="0.2">
      <c r="A69" s="117"/>
      <c r="B69" s="30" t="s">
        <v>89</v>
      </c>
      <c r="C69" s="123"/>
      <c r="D69" s="4"/>
      <c r="E69" s="51"/>
      <c r="F69" s="118"/>
      <c r="G69" s="118"/>
      <c r="H69" s="118"/>
      <c r="I69" s="118"/>
      <c r="J69" s="478" t="s">
        <v>1151</v>
      </c>
      <c r="K69" s="479"/>
      <c r="L69" s="51"/>
      <c r="M69" s="50"/>
      <c r="N69" s="40"/>
      <c r="O69" s="120"/>
      <c r="P69" s="115"/>
      <c r="Q69" s="115"/>
      <c r="R69" s="116"/>
      <c r="S69" s="58"/>
      <c r="T69" s="60"/>
      <c r="U69" s="60"/>
      <c r="V69" s="60"/>
      <c r="W69" s="60"/>
      <c r="AJ69" s="56"/>
      <c r="AK69" s="56"/>
      <c r="AL69" s="56"/>
      <c r="AN69" s="88"/>
      <c r="AO69" s="86"/>
      <c r="AP69" s="86"/>
      <c r="AQ69" s="86"/>
      <c r="CB69" s="17"/>
      <c r="CC69" s="17"/>
    </row>
    <row r="70" spans="1:81" ht="12.75" customHeight="1" thickBot="1" x14ac:dyDescent="0.25">
      <c r="A70" s="117"/>
      <c r="B70" s="32" t="s">
        <v>90</v>
      </c>
      <c r="C70" s="5"/>
      <c r="D70" s="230"/>
      <c r="E70" s="51"/>
      <c r="F70" s="118"/>
      <c r="G70" s="118"/>
      <c r="H70" s="118"/>
      <c r="I70" s="118"/>
      <c r="J70" s="476"/>
      <c r="K70" s="477"/>
      <c r="L70" s="51"/>
      <c r="M70" s="50"/>
      <c r="N70" s="40"/>
      <c r="O70" s="120"/>
      <c r="P70" s="115"/>
      <c r="Q70" s="115"/>
      <c r="R70" s="116"/>
      <c r="S70" s="58"/>
      <c r="T70" s="60"/>
      <c r="U70" s="60"/>
      <c r="V70" s="60"/>
      <c r="W70" s="60"/>
      <c r="AJ70" s="56"/>
      <c r="AK70" s="56"/>
      <c r="AL70" s="56"/>
      <c r="AN70" s="88"/>
      <c r="AO70" s="86"/>
      <c r="AP70" s="86"/>
      <c r="AQ70" s="86"/>
      <c r="CB70" s="17"/>
      <c r="CC70" s="17"/>
    </row>
    <row r="71" spans="1:81" ht="12.75" customHeight="1" x14ac:dyDescent="0.2">
      <c r="A71" s="117"/>
      <c r="B71" s="118"/>
      <c r="C71" s="118"/>
      <c r="D71" s="118"/>
      <c r="E71" s="118"/>
      <c r="F71" s="118"/>
      <c r="G71" s="118"/>
      <c r="H71" s="118"/>
      <c r="I71" s="118"/>
      <c r="J71" s="51"/>
      <c r="K71" s="51"/>
      <c r="L71" s="118"/>
      <c r="M71" s="118"/>
      <c r="N71" s="40"/>
      <c r="O71" s="120"/>
      <c r="P71" s="115"/>
      <c r="Q71" s="115"/>
      <c r="R71" s="116"/>
      <c r="S71" s="58"/>
      <c r="T71" s="60"/>
      <c r="U71" s="60"/>
      <c r="V71" s="60"/>
      <c r="W71" s="60"/>
      <c r="AJ71" s="56"/>
      <c r="AK71" s="56"/>
      <c r="AL71" s="56"/>
      <c r="AN71" s="88"/>
      <c r="AO71" s="86"/>
      <c r="AP71" s="86"/>
      <c r="AQ71" s="86"/>
      <c r="CB71" s="17"/>
      <c r="CC71" s="17"/>
    </row>
    <row r="72" spans="1:81" ht="12.75" customHeight="1" x14ac:dyDescent="0.2">
      <c r="A72" s="117"/>
      <c r="B72" s="118"/>
      <c r="C72" s="118"/>
      <c r="D72" s="118"/>
      <c r="E72" s="118"/>
      <c r="F72" s="118"/>
      <c r="G72" s="118"/>
      <c r="H72" s="118"/>
      <c r="I72" s="118"/>
      <c r="J72" s="484" t="s">
        <v>349</v>
      </c>
      <c r="K72" s="485"/>
      <c r="L72" s="51"/>
      <c r="M72" s="118"/>
      <c r="N72" s="40"/>
      <c r="O72" s="120"/>
      <c r="P72" s="115"/>
      <c r="Q72" s="115"/>
      <c r="R72" s="116"/>
      <c r="S72" s="58"/>
      <c r="T72" s="60"/>
      <c r="U72" s="60"/>
      <c r="V72" s="60"/>
      <c r="W72" s="60"/>
      <c r="AJ72" s="56"/>
      <c r="AK72" s="56"/>
      <c r="AL72" s="56"/>
      <c r="AN72" s="88"/>
      <c r="AO72" s="86"/>
      <c r="AP72" s="86"/>
      <c r="AQ72" s="86"/>
      <c r="CB72" s="17"/>
      <c r="CC72" s="17"/>
    </row>
    <row r="73" spans="1:81" ht="12.75" customHeight="1" x14ac:dyDescent="0.2">
      <c r="A73" s="117"/>
      <c r="B73" s="118"/>
      <c r="C73" s="118"/>
      <c r="D73" s="118"/>
      <c r="E73" s="118"/>
      <c r="F73" s="118"/>
      <c r="G73" s="118"/>
      <c r="H73" s="118"/>
      <c r="I73" s="118"/>
      <c r="J73" s="476"/>
      <c r="K73" s="477"/>
      <c r="L73" s="51"/>
      <c r="M73" s="118"/>
      <c r="N73" s="40"/>
      <c r="O73" s="120"/>
      <c r="P73" s="115"/>
      <c r="Q73" s="115"/>
      <c r="R73" s="116"/>
      <c r="S73" s="58"/>
      <c r="T73" s="60"/>
      <c r="U73" s="60"/>
      <c r="V73" s="60"/>
      <c r="W73" s="60"/>
      <c r="AJ73" s="56"/>
      <c r="AK73" s="56"/>
      <c r="AL73" s="56"/>
      <c r="AN73" s="88"/>
      <c r="AO73" s="86"/>
      <c r="AP73" s="86"/>
      <c r="AQ73" s="86"/>
      <c r="CB73" s="17"/>
      <c r="CC73" s="17"/>
    </row>
    <row r="74" spans="1:81" ht="12.75" customHeight="1" x14ac:dyDescent="0.2">
      <c r="A74" s="117"/>
      <c r="B74" s="118"/>
      <c r="C74" s="118"/>
      <c r="D74" s="118"/>
      <c r="E74" s="118"/>
      <c r="F74" s="118"/>
      <c r="G74" s="118"/>
      <c r="H74" s="118"/>
      <c r="I74" s="118"/>
      <c r="J74" s="118"/>
      <c r="K74" s="118"/>
      <c r="L74" s="50"/>
      <c r="M74" s="118"/>
      <c r="N74" s="40"/>
      <c r="O74" s="120"/>
      <c r="P74" s="115"/>
      <c r="Q74" s="115"/>
      <c r="R74" s="116"/>
      <c r="S74" s="58"/>
      <c r="T74" s="60"/>
      <c r="U74" s="60"/>
      <c r="V74" s="60"/>
      <c r="W74" s="60"/>
      <c r="AJ74" s="56"/>
      <c r="AK74" s="56"/>
      <c r="AL74" s="56"/>
      <c r="AN74" s="88"/>
      <c r="AO74" s="86"/>
      <c r="AP74" s="86"/>
      <c r="AQ74" s="86"/>
      <c r="CB74" s="17"/>
      <c r="CC74" s="17"/>
    </row>
    <row r="75" spans="1:81" ht="12.75" customHeight="1" x14ac:dyDescent="0.2">
      <c r="A75" s="117"/>
      <c r="B75" s="118"/>
      <c r="C75" s="118"/>
      <c r="D75" s="118"/>
      <c r="E75" s="118"/>
      <c r="F75" s="118"/>
      <c r="G75" s="118"/>
      <c r="H75" s="118"/>
      <c r="I75" s="118"/>
      <c r="J75" s="18" t="s">
        <v>125</v>
      </c>
      <c r="K75" s="106"/>
      <c r="L75" s="50" t="str">
        <f>IF(OR(ChoixPaillagePorcins="",ChoixPaillagePorcins=NON),"","coût : "&amp;PrixPaille*84*SUM(TotalPorcins)/1000&amp;"€/an")</f>
        <v/>
      </c>
      <c r="M75" s="118"/>
      <c r="N75" s="40"/>
      <c r="O75" s="120"/>
      <c r="P75" s="115"/>
      <c r="Q75" s="115"/>
      <c r="R75" s="116"/>
      <c r="S75" s="58"/>
      <c r="T75" s="60"/>
      <c r="U75" s="60"/>
      <c r="V75" s="60"/>
      <c r="W75" s="60"/>
      <c r="AJ75" s="56"/>
      <c r="AK75" s="56"/>
      <c r="AL75" s="56"/>
      <c r="AN75" s="88"/>
      <c r="AO75" s="86"/>
      <c r="AP75" s="86"/>
      <c r="AQ75" s="86"/>
      <c r="CB75" s="17"/>
      <c r="CC75" s="17"/>
    </row>
    <row r="76" spans="1:81" ht="12.75" customHeight="1" x14ac:dyDescent="0.2">
      <c r="A76" s="117"/>
      <c r="B76" s="118"/>
      <c r="C76" s="118"/>
      <c r="D76" s="118"/>
      <c r="E76" s="118"/>
      <c r="F76" s="118"/>
      <c r="G76" s="118"/>
      <c r="H76" s="118"/>
      <c r="I76" s="118"/>
      <c r="J76" s="19" t="s">
        <v>124</v>
      </c>
      <c r="K76" s="106"/>
      <c r="L76" s="50" t="str">
        <f>IF(ChoixVaccinPorcins=OUI,"coût : " &amp;SUM(TotalPorcins)*PrixVaccinPorcin &amp;"€/an","")</f>
        <v/>
      </c>
      <c r="M76" s="118"/>
      <c r="N76" s="40"/>
      <c r="O76" s="120"/>
      <c r="P76" s="115"/>
      <c r="Q76" s="115"/>
      <c r="R76" s="116"/>
      <c r="S76" s="58"/>
      <c r="T76" s="60"/>
      <c r="U76" s="60"/>
      <c r="V76" s="60"/>
      <c r="W76" s="60"/>
      <c r="AJ76" s="56"/>
      <c r="AK76" s="56"/>
      <c r="AL76" s="56"/>
      <c r="AN76" s="88"/>
      <c r="AO76" s="86"/>
      <c r="AP76" s="86"/>
      <c r="AQ76" s="86"/>
      <c r="CB76" s="17"/>
      <c r="CC76" s="17"/>
    </row>
    <row r="77" spans="1:81" ht="12.75" customHeight="1" thickBot="1" x14ac:dyDescent="0.25">
      <c r="A77" s="125"/>
      <c r="B77" s="52"/>
      <c r="C77" s="127"/>
      <c r="D77" s="127"/>
      <c r="E77" s="52"/>
      <c r="F77" s="127"/>
      <c r="G77" s="127"/>
      <c r="H77" s="127"/>
      <c r="I77" s="127"/>
      <c r="J77" s="127"/>
      <c r="K77" s="127"/>
      <c r="L77" s="127"/>
      <c r="M77" s="127"/>
      <c r="N77" s="128"/>
      <c r="O77" s="120"/>
      <c r="P77" s="115"/>
      <c r="Q77" s="115"/>
      <c r="R77" s="116"/>
      <c r="S77" s="58"/>
      <c r="T77" s="60"/>
      <c r="U77" s="60"/>
      <c r="V77" s="60"/>
      <c r="W77" s="60"/>
      <c r="AJ77" s="56"/>
      <c r="AK77" s="56"/>
      <c r="AL77" s="56"/>
      <c r="AN77" s="88"/>
      <c r="AO77" s="86"/>
      <c r="AP77" s="86"/>
      <c r="AQ77" s="86"/>
      <c r="CB77" s="17"/>
      <c r="CC77" s="17"/>
    </row>
    <row r="78" spans="1:81" ht="12.75" customHeight="1" thickBot="1" x14ac:dyDescent="0.25">
      <c r="A78" s="93" t="s">
        <v>839</v>
      </c>
      <c r="B78" s="94"/>
      <c r="C78" s="129"/>
      <c r="D78" s="129"/>
      <c r="E78" s="94"/>
      <c r="F78" s="129"/>
      <c r="G78" s="129"/>
      <c r="H78" s="129"/>
      <c r="I78" s="129"/>
      <c r="J78" s="129"/>
      <c r="K78" s="129"/>
      <c r="L78" s="129"/>
      <c r="M78" s="129"/>
      <c r="N78" s="130"/>
      <c r="O78" s="120"/>
      <c r="P78" s="115"/>
      <c r="Q78" s="115"/>
      <c r="R78" s="116"/>
      <c r="S78" s="58"/>
      <c r="T78" s="60"/>
      <c r="U78" s="60"/>
      <c r="V78" s="60"/>
      <c r="W78" s="60"/>
      <c r="AJ78" s="56"/>
      <c r="AK78" s="56"/>
      <c r="AL78" s="56"/>
      <c r="AN78" s="88"/>
      <c r="AO78" s="86"/>
      <c r="AP78" s="86"/>
      <c r="AQ78" s="86"/>
      <c r="CB78" s="17"/>
      <c r="CC78" s="17"/>
    </row>
    <row r="79" spans="1:81" ht="12.75" customHeight="1" thickBot="1" x14ac:dyDescent="0.25">
      <c r="A79" s="97" t="str">
        <f>"Total : "&amp;SUM(TotalVolailles)</f>
        <v>Total : 0</v>
      </c>
      <c r="B79" s="47"/>
      <c r="C79" s="33" t="s">
        <v>350</v>
      </c>
      <c r="D79" s="78" t="s">
        <v>1108</v>
      </c>
      <c r="E79" s="47"/>
      <c r="F79" s="131"/>
      <c r="G79" s="131"/>
      <c r="H79" s="131"/>
      <c r="I79" s="131"/>
      <c r="J79" s="480" t="s">
        <v>348</v>
      </c>
      <c r="K79" s="480"/>
      <c r="L79" s="47"/>
      <c r="M79" s="47"/>
      <c r="N79" s="43"/>
      <c r="O79" s="120"/>
      <c r="P79" s="115"/>
      <c r="Q79" s="115"/>
      <c r="R79" s="116"/>
      <c r="S79" s="58"/>
      <c r="T79" s="60"/>
      <c r="U79" s="60"/>
      <c r="V79" s="60"/>
      <c r="W79" s="60"/>
      <c r="AJ79" s="56"/>
      <c r="AK79" s="56"/>
      <c r="AL79" s="56"/>
      <c r="AN79" s="88"/>
      <c r="AO79" s="86"/>
      <c r="AP79" s="86"/>
      <c r="AQ79" s="86"/>
      <c r="CB79" s="17"/>
      <c r="CC79" s="17"/>
    </row>
    <row r="80" spans="1:81" ht="12.75" customHeight="1" x14ac:dyDescent="0.2">
      <c r="A80" s="97"/>
      <c r="B80" s="26" t="s">
        <v>416</v>
      </c>
      <c r="C80" s="141"/>
      <c r="D80" s="4"/>
      <c r="E80" s="47"/>
      <c r="F80" s="131"/>
      <c r="G80" s="131"/>
      <c r="H80" s="131"/>
      <c r="I80" s="131"/>
      <c r="J80" s="476"/>
      <c r="K80" s="477"/>
      <c r="L80" s="47"/>
      <c r="M80" s="47"/>
      <c r="N80" s="43"/>
      <c r="O80" s="120"/>
      <c r="P80" s="115"/>
      <c r="Q80" s="115"/>
      <c r="R80" s="116"/>
      <c r="S80" s="58"/>
      <c r="T80" s="60"/>
      <c r="U80" s="60"/>
      <c r="V80" s="60"/>
      <c r="W80" s="60"/>
      <c r="AJ80" s="56"/>
      <c r="AK80" s="56"/>
      <c r="AL80" s="56"/>
      <c r="AN80" s="88"/>
      <c r="AO80" s="86"/>
      <c r="AP80" s="86"/>
      <c r="AQ80" s="86"/>
      <c r="CB80" s="17"/>
      <c r="CC80" s="17"/>
    </row>
    <row r="81" spans="1:81" ht="12.75" customHeight="1" thickBot="1" x14ac:dyDescent="0.25">
      <c r="A81" s="97"/>
      <c r="B81" s="29" t="s">
        <v>29</v>
      </c>
      <c r="C81" s="142"/>
      <c r="D81" s="230"/>
      <c r="E81" s="47"/>
      <c r="F81" s="131"/>
      <c r="G81" s="131"/>
      <c r="H81" s="131"/>
      <c r="I81" s="131"/>
      <c r="J81" s="143"/>
      <c r="K81" s="144"/>
      <c r="L81" s="47"/>
      <c r="M81" s="47"/>
      <c r="N81" s="43"/>
      <c r="O81" s="64"/>
      <c r="P81" s="85"/>
      <c r="Q81" s="85"/>
      <c r="R81" s="147"/>
      <c r="S81" s="58"/>
      <c r="T81" s="60"/>
      <c r="U81" s="60"/>
      <c r="V81" s="60"/>
      <c r="W81" s="60"/>
      <c r="AJ81" s="56"/>
      <c r="AK81" s="56"/>
      <c r="AL81" s="56"/>
      <c r="AN81" s="88"/>
      <c r="AO81" s="86"/>
      <c r="AP81" s="86"/>
      <c r="AQ81" s="86"/>
      <c r="CB81" s="17"/>
      <c r="CC81" s="17"/>
    </row>
    <row r="82" spans="1:81" ht="12.75" customHeight="1" x14ac:dyDescent="0.2">
      <c r="A82" s="97"/>
      <c r="B82" s="27" t="s">
        <v>30</v>
      </c>
      <c r="C82" s="80"/>
      <c r="D82" s="4"/>
      <c r="E82" s="47"/>
      <c r="F82" s="131"/>
      <c r="G82" s="131"/>
      <c r="H82" s="131"/>
      <c r="I82" s="131"/>
      <c r="J82" s="480" t="s">
        <v>301</v>
      </c>
      <c r="K82" s="480"/>
      <c r="L82" s="47"/>
      <c r="M82" s="47"/>
      <c r="N82" s="43"/>
      <c r="O82" s="96"/>
      <c r="P82" s="85"/>
      <c r="Q82" s="85"/>
      <c r="R82" s="147"/>
      <c r="AJ82" s="56"/>
      <c r="AK82" s="56"/>
      <c r="AL82" s="56"/>
      <c r="AN82" s="88"/>
      <c r="AO82" s="86"/>
      <c r="AP82" s="86"/>
      <c r="AQ82" s="86"/>
      <c r="CB82" s="17"/>
      <c r="CC82" s="17"/>
    </row>
    <row r="83" spans="1:81" ht="12.75" customHeight="1" thickBot="1" x14ac:dyDescent="0.25">
      <c r="A83" s="97"/>
      <c r="B83" s="14" t="s">
        <v>31</v>
      </c>
      <c r="C83" s="42"/>
      <c r="D83" s="230"/>
      <c r="E83" s="47"/>
      <c r="F83" s="131"/>
      <c r="G83" s="131"/>
      <c r="H83" s="131"/>
      <c r="I83" s="131"/>
      <c r="J83" s="483"/>
      <c r="K83" s="483"/>
      <c r="L83" s="47"/>
      <c r="M83" s="47"/>
      <c r="N83" s="43"/>
      <c r="O83" s="96"/>
      <c r="P83" s="85"/>
      <c r="Q83" s="85"/>
      <c r="R83" s="147"/>
      <c r="AJ83" s="56"/>
      <c r="AK83" s="56"/>
      <c r="AL83" s="56"/>
      <c r="AN83" s="88"/>
      <c r="AO83" s="86"/>
      <c r="AP83" s="86"/>
      <c r="AQ83" s="86"/>
      <c r="CB83" s="17"/>
      <c r="CC83" s="17"/>
    </row>
    <row r="84" spans="1:81" ht="12.75" customHeight="1" x14ac:dyDescent="0.2">
      <c r="A84" s="97"/>
      <c r="B84" s="9" t="s">
        <v>32</v>
      </c>
      <c r="C84" s="41"/>
      <c r="D84" s="4"/>
      <c r="E84" s="47"/>
      <c r="F84" s="131"/>
      <c r="G84" s="131"/>
      <c r="H84" s="131"/>
      <c r="I84" s="131"/>
      <c r="J84" s="143"/>
      <c r="K84" s="144"/>
      <c r="L84" s="47"/>
      <c r="M84" s="47"/>
      <c r="N84" s="43"/>
      <c r="O84" s="150"/>
      <c r="P84" s="151"/>
      <c r="Q84" s="152"/>
      <c r="R84" s="153"/>
      <c r="S84" s="60"/>
      <c r="T84" s="60"/>
      <c r="U84" s="60"/>
      <c r="V84" s="60"/>
      <c r="W84" s="60"/>
      <c r="AJ84" s="56"/>
      <c r="AK84" s="56"/>
      <c r="AL84" s="56"/>
      <c r="AN84" s="88"/>
      <c r="AO84" s="86"/>
      <c r="AP84" s="86"/>
      <c r="AQ84" s="86"/>
      <c r="CB84" s="17"/>
      <c r="CC84" s="17"/>
    </row>
    <row r="85" spans="1:81" ht="12.75" customHeight="1" thickBot="1" x14ac:dyDescent="0.25">
      <c r="A85" s="97"/>
      <c r="B85" s="10" t="s">
        <v>33</v>
      </c>
      <c r="C85" s="42"/>
      <c r="D85" s="230"/>
      <c r="E85" s="47"/>
      <c r="F85" s="131"/>
      <c r="G85" s="131"/>
      <c r="H85" s="131"/>
      <c r="I85" s="131"/>
      <c r="J85" s="478" t="s">
        <v>527</v>
      </c>
      <c r="K85" s="479"/>
      <c r="L85" s="47"/>
      <c r="M85" s="47"/>
      <c r="N85" s="43"/>
      <c r="O85" s="150"/>
      <c r="P85" s="151"/>
      <c r="Q85" s="152"/>
      <c r="R85" s="153"/>
      <c r="S85" s="60"/>
      <c r="T85" s="60"/>
      <c r="U85" s="60"/>
      <c r="V85" s="60"/>
      <c r="W85" s="60"/>
      <c r="AJ85" s="56"/>
      <c r="AK85" s="56"/>
      <c r="AL85" s="56"/>
      <c r="AN85" s="88"/>
      <c r="AO85" s="86"/>
      <c r="AP85" s="86"/>
      <c r="AQ85" s="86"/>
      <c r="CB85" s="17"/>
      <c r="CC85" s="17"/>
    </row>
    <row r="86" spans="1:81" ht="12.75" customHeight="1" x14ac:dyDescent="0.2">
      <c r="A86" s="97"/>
      <c r="B86" s="47"/>
      <c r="C86" s="131"/>
      <c r="D86" s="131"/>
      <c r="E86" s="47"/>
      <c r="F86" s="131"/>
      <c r="G86" s="131"/>
      <c r="H86" s="131"/>
      <c r="I86" s="131"/>
      <c r="J86" s="476"/>
      <c r="K86" s="477"/>
      <c r="L86" s="47"/>
      <c r="M86" s="47"/>
      <c r="N86" s="43"/>
      <c r="O86" s="150"/>
      <c r="P86" s="151"/>
      <c r="Q86" s="152"/>
      <c r="R86" s="153"/>
      <c r="S86" s="60"/>
      <c r="T86" s="60"/>
      <c r="U86" s="60"/>
      <c r="V86" s="60"/>
      <c r="W86" s="60"/>
      <c r="AJ86" s="56"/>
      <c r="AK86" s="56"/>
      <c r="AM86" s="88"/>
      <c r="AO86" s="86"/>
      <c r="AP86" s="86"/>
      <c r="CB86" s="17"/>
      <c r="CC86" s="17"/>
    </row>
    <row r="87" spans="1:81" ht="12.75" customHeight="1" x14ac:dyDescent="0.2">
      <c r="A87" s="97"/>
      <c r="B87" s="47"/>
      <c r="C87" s="131"/>
      <c r="D87" s="131"/>
      <c r="E87" s="47"/>
      <c r="F87" s="131"/>
      <c r="G87" s="131"/>
      <c r="H87" s="131"/>
      <c r="I87" s="131"/>
      <c r="J87" s="103"/>
      <c r="K87" s="47"/>
      <c r="L87" s="47"/>
      <c r="M87" s="131"/>
      <c r="N87" s="132"/>
      <c r="O87" s="154"/>
      <c r="P87" s="151"/>
      <c r="Q87" s="152"/>
      <c r="R87" s="153"/>
      <c r="S87" s="60"/>
      <c r="T87" s="60"/>
      <c r="U87" s="60"/>
      <c r="V87" s="60"/>
      <c r="W87" s="60"/>
      <c r="Z87" s="58"/>
      <c r="AA87" s="58"/>
      <c r="AB87" s="58"/>
      <c r="AJ87" s="56"/>
      <c r="AK87" s="56"/>
      <c r="AM87" s="88"/>
      <c r="AO87" s="86"/>
      <c r="AP87" s="86"/>
      <c r="CB87" s="17"/>
      <c r="CC87" s="17"/>
    </row>
    <row r="88" spans="1:81" ht="12.75" customHeight="1" x14ac:dyDescent="0.2">
      <c r="A88" s="97"/>
      <c r="B88" s="47"/>
      <c r="C88" s="131"/>
      <c r="D88" s="131"/>
      <c r="E88" s="47"/>
      <c r="F88" s="131"/>
      <c r="G88" s="131"/>
      <c r="H88" s="131"/>
      <c r="I88" s="131"/>
      <c r="J88" s="478" t="s">
        <v>1151</v>
      </c>
      <c r="K88" s="479"/>
      <c r="L88" s="47"/>
      <c r="M88" s="47"/>
      <c r="N88" s="43"/>
      <c r="O88" s="154"/>
      <c r="P88" s="151"/>
      <c r="Q88" s="152"/>
      <c r="R88" s="153"/>
      <c r="S88" s="60"/>
      <c r="T88" s="60"/>
      <c r="U88" s="60"/>
      <c r="V88" s="60"/>
      <c r="W88" s="60"/>
      <c r="Z88" s="58"/>
      <c r="AA88" s="58"/>
      <c r="AB88" s="58"/>
      <c r="AJ88" s="56"/>
      <c r="AK88" s="56"/>
      <c r="AM88" s="88"/>
      <c r="AO88" s="86"/>
      <c r="AP88" s="86"/>
      <c r="CB88" s="17"/>
      <c r="CC88" s="17"/>
    </row>
    <row r="89" spans="1:81" ht="12.75" customHeight="1" x14ac:dyDescent="0.2">
      <c r="A89" s="97"/>
      <c r="B89" s="47"/>
      <c r="C89" s="131"/>
      <c r="D89" s="131"/>
      <c r="E89" s="47"/>
      <c r="F89" s="131"/>
      <c r="G89" s="131"/>
      <c r="H89" s="131"/>
      <c r="I89" s="131"/>
      <c r="J89" s="476"/>
      <c r="K89" s="477"/>
      <c r="L89" s="47"/>
      <c r="M89" s="47"/>
      <c r="N89" s="43"/>
      <c r="O89" s="154"/>
      <c r="P89" s="151"/>
      <c r="Q89" s="152"/>
      <c r="R89" s="153"/>
      <c r="S89" s="60"/>
      <c r="T89" s="60"/>
      <c r="U89" s="60"/>
      <c r="V89" s="60"/>
      <c r="W89" s="60"/>
      <c r="Z89" s="58"/>
      <c r="AA89" s="58"/>
      <c r="AB89" s="58"/>
      <c r="AJ89" s="56"/>
      <c r="AK89" s="56"/>
      <c r="AM89" s="88"/>
      <c r="AO89" s="86"/>
      <c r="AP89" s="86"/>
      <c r="CB89" s="17"/>
      <c r="CC89" s="17"/>
    </row>
    <row r="90" spans="1:81" ht="12.75" customHeight="1" x14ac:dyDescent="0.2">
      <c r="A90" s="97"/>
      <c r="B90" s="47"/>
      <c r="C90" s="131"/>
      <c r="D90" s="131"/>
      <c r="E90" s="47"/>
      <c r="F90" s="131"/>
      <c r="G90" s="131"/>
      <c r="H90" s="131"/>
      <c r="I90" s="131"/>
      <c r="J90" s="103"/>
      <c r="K90" s="47"/>
      <c r="L90" s="131"/>
      <c r="M90" s="47"/>
      <c r="N90" s="43"/>
      <c r="O90" s="154"/>
      <c r="P90" s="151"/>
      <c r="Q90" s="152"/>
      <c r="R90" s="153"/>
      <c r="S90" s="60"/>
      <c r="T90" s="60"/>
      <c r="U90" s="60"/>
      <c r="V90" s="60"/>
      <c r="W90" s="60"/>
      <c r="Z90" s="58"/>
      <c r="AA90" s="58"/>
      <c r="AB90" s="58"/>
      <c r="AJ90" s="56"/>
      <c r="AK90" s="56"/>
      <c r="AM90" s="88"/>
      <c r="AO90" s="86"/>
      <c r="AP90" s="86"/>
      <c r="CB90" s="17"/>
      <c r="CC90" s="17"/>
    </row>
    <row r="91" spans="1:81" ht="12.75" customHeight="1" x14ac:dyDescent="0.2">
      <c r="A91" s="97"/>
      <c r="B91" s="47"/>
      <c r="C91" s="131"/>
      <c r="D91" s="131"/>
      <c r="E91" s="47"/>
      <c r="F91" s="131"/>
      <c r="G91" s="131"/>
      <c r="H91" s="131"/>
      <c r="I91" s="131"/>
      <c r="J91" s="484" t="s">
        <v>349</v>
      </c>
      <c r="K91" s="485"/>
      <c r="L91" s="47"/>
      <c r="M91" s="47"/>
      <c r="N91" s="43"/>
      <c r="O91" s="154"/>
      <c r="P91" s="151"/>
      <c r="Q91" s="152"/>
      <c r="R91" s="153"/>
      <c r="S91" s="60"/>
      <c r="T91" s="60"/>
      <c r="U91" s="60"/>
      <c r="V91" s="60"/>
      <c r="W91" s="60"/>
      <c r="Z91" s="58"/>
      <c r="AA91" s="58"/>
      <c r="AB91" s="58"/>
      <c r="AJ91" s="56"/>
      <c r="AK91" s="56"/>
      <c r="AM91" s="88"/>
      <c r="AO91" s="86"/>
      <c r="AP91" s="86"/>
      <c r="CB91" s="17"/>
      <c r="CC91" s="17"/>
    </row>
    <row r="92" spans="1:81" ht="12.75" customHeight="1" x14ac:dyDescent="0.2">
      <c r="A92" s="97"/>
      <c r="B92" s="47"/>
      <c r="C92" s="131"/>
      <c r="D92" s="131"/>
      <c r="E92" s="47"/>
      <c r="F92" s="131"/>
      <c r="G92" s="131"/>
      <c r="H92" s="131"/>
      <c r="I92" s="131"/>
      <c r="J92" s="476"/>
      <c r="K92" s="477"/>
      <c r="L92" s="47"/>
      <c r="M92" s="47"/>
      <c r="N92" s="43"/>
      <c r="O92" s="154"/>
      <c r="P92" s="151"/>
      <c r="Q92" s="152"/>
      <c r="R92" s="153"/>
      <c r="S92" s="60"/>
      <c r="T92" s="60"/>
      <c r="U92" s="60"/>
      <c r="V92" s="60"/>
      <c r="W92" s="60"/>
      <c r="Z92" s="58"/>
      <c r="AA92" s="58"/>
      <c r="AB92" s="58"/>
      <c r="AJ92" s="56"/>
      <c r="AK92" s="56"/>
      <c r="AM92" s="88"/>
      <c r="AO92" s="86"/>
      <c r="AP92" s="86"/>
      <c r="CB92" s="17"/>
      <c r="CC92" s="17"/>
    </row>
    <row r="93" spans="1:81" ht="12.75" customHeight="1" x14ac:dyDescent="0.2">
      <c r="A93" s="97"/>
      <c r="B93" s="47"/>
      <c r="C93" s="131"/>
      <c r="D93" s="131"/>
      <c r="E93" s="47"/>
      <c r="F93" s="131"/>
      <c r="G93" s="131"/>
      <c r="H93" s="131"/>
      <c r="I93" s="131"/>
      <c r="J93" s="131"/>
      <c r="K93" s="131"/>
      <c r="L93" s="47"/>
      <c r="M93" s="47"/>
      <c r="N93" s="43"/>
      <c r="O93" s="154"/>
      <c r="P93" s="151"/>
      <c r="Q93" s="152"/>
      <c r="R93" s="153"/>
      <c r="S93" s="60"/>
      <c r="T93" s="60"/>
      <c r="U93" s="60"/>
      <c r="V93" s="60"/>
      <c r="W93" s="60"/>
      <c r="Z93" s="58"/>
      <c r="AA93" s="58"/>
      <c r="AB93" s="58"/>
      <c r="AJ93" s="56"/>
      <c r="AK93" s="56"/>
      <c r="AM93" s="88"/>
      <c r="AO93" s="86"/>
      <c r="AP93" s="86"/>
      <c r="CB93" s="17"/>
      <c r="CC93" s="17"/>
    </row>
    <row r="94" spans="1:81" ht="12.75" customHeight="1" x14ac:dyDescent="0.2">
      <c r="A94" s="97"/>
      <c r="B94" s="47"/>
      <c r="C94" s="131"/>
      <c r="D94" s="131"/>
      <c r="E94" s="47"/>
      <c r="F94" s="131"/>
      <c r="G94" s="131"/>
      <c r="H94" s="131"/>
      <c r="I94" s="131"/>
      <c r="J94" s="18" t="s">
        <v>125</v>
      </c>
      <c r="K94" s="106"/>
      <c r="L94" s="47" t="str">
        <f>IF(OR(ChoixPaillageVolailles="",ChoixPaillageVolailles=NON),"","coût : "&amp;PrixPaille*84*SUM(TotalVolailles)/1000&amp;"€/an")</f>
        <v/>
      </c>
      <c r="M94" s="47"/>
      <c r="N94" s="43"/>
      <c r="O94" s="155"/>
      <c r="P94" s="151"/>
      <c r="Q94" s="152"/>
      <c r="R94" s="153"/>
      <c r="S94" s="60"/>
      <c r="T94" s="60"/>
      <c r="U94" s="60"/>
      <c r="V94" s="60"/>
      <c r="W94" s="60"/>
      <c r="Z94" s="58"/>
      <c r="AA94" s="58"/>
      <c r="AB94" s="58"/>
      <c r="AJ94" s="56"/>
      <c r="AK94" s="56"/>
      <c r="AM94" s="88"/>
      <c r="AO94" s="86"/>
      <c r="AP94" s="86"/>
      <c r="CB94" s="17"/>
      <c r="CC94" s="17"/>
    </row>
    <row r="95" spans="1:81" ht="12.75" customHeight="1" x14ac:dyDescent="0.2">
      <c r="A95" s="97"/>
      <c r="B95" s="47"/>
      <c r="C95" s="131"/>
      <c r="D95" s="131"/>
      <c r="E95" s="47"/>
      <c r="F95" s="131"/>
      <c r="G95" s="131"/>
      <c r="H95" s="131"/>
      <c r="I95" s="131"/>
      <c r="J95" s="19" t="s">
        <v>124</v>
      </c>
      <c r="K95" s="106"/>
      <c r="L95" s="47" t="str">
        <f>IF(ChoixVaccinVolailles=OUI,"coût : " &amp;SUM(TotalVolailles)*PrixVaccinVolaille &amp;"€/an","")</f>
        <v/>
      </c>
      <c r="M95" s="47"/>
      <c r="N95" s="43"/>
      <c r="O95" s="150"/>
      <c r="P95" s="151"/>
      <c r="Q95" s="152"/>
      <c r="R95" s="153"/>
      <c r="S95" s="60"/>
      <c r="T95" s="60"/>
      <c r="U95" s="60"/>
      <c r="V95" s="60"/>
      <c r="W95" s="60"/>
      <c r="Z95" s="58"/>
      <c r="AA95" s="58"/>
      <c r="AB95" s="58"/>
      <c r="AJ95" s="56"/>
      <c r="AK95" s="56"/>
      <c r="AM95" s="88"/>
      <c r="AO95" s="86"/>
      <c r="AP95" s="86"/>
      <c r="CB95" s="17"/>
      <c r="CC95" s="17"/>
    </row>
    <row r="96" spans="1:81" ht="12.75" customHeight="1" thickBot="1" x14ac:dyDescent="0.25">
      <c r="A96" s="107"/>
      <c r="B96" s="109"/>
      <c r="C96" s="136"/>
      <c r="D96" s="136"/>
      <c r="E96" s="109"/>
      <c r="F96" s="136"/>
      <c r="G96" s="136"/>
      <c r="H96" s="136"/>
      <c r="I96" s="136"/>
      <c r="J96" s="136"/>
      <c r="K96" s="136"/>
      <c r="L96" s="136"/>
      <c r="M96" s="136"/>
      <c r="N96" s="137"/>
      <c r="O96" s="150"/>
      <c r="P96" s="152"/>
      <c r="Q96" s="152"/>
      <c r="R96" s="153"/>
      <c r="S96" s="60"/>
      <c r="T96" s="60"/>
      <c r="U96" s="60"/>
      <c r="V96" s="60"/>
      <c r="W96" s="60"/>
      <c r="Z96" s="58"/>
      <c r="AA96" s="58"/>
      <c r="AB96" s="58"/>
      <c r="AJ96" s="56"/>
      <c r="AK96" s="56"/>
      <c r="AM96" s="88"/>
      <c r="AO96" s="86"/>
      <c r="AP96" s="86"/>
      <c r="CB96" s="17"/>
      <c r="CC96" s="17"/>
    </row>
    <row r="97" spans="1:81" ht="12.75" customHeight="1" thickBot="1" x14ac:dyDescent="0.25">
      <c r="A97" s="111" t="s">
        <v>339</v>
      </c>
      <c r="B97" s="112"/>
      <c r="C97" s="113"/>
      <c r="D97" s="113"/>
      <c r="E97" s="112"/>
      <c r="F97" s="113"/>
      <c r="G97" s="113"/>
      <c r="H97" s="113"/>
      <c r="I97" s="113"/>
      <c r="J97" s="113"/>
      <c r="K97" s="113"/>
      <c r="L97" s="113"/>
      <c r="M97" s="113"/>
      <c r="N97" s="114"/>
      <c r="O97" s="150"/>
      <c r="P97" s="152"/>
      <c r="Q97" s="152"/>
      <c r="R97" s="153"/>
      <c r="S97" s="60"/>
      <c r="T97" s="60"/>
      <c r="U97" s="60"/>
      <c r="V97" s="60"/>
      <c r="W97" s="60"/>
      <c r="Z97" s="58"/>
      <c r="AA97" s="58"/>
      <c r="AB97" s="58"/>
      <c r="AJ97" s="56"/>
      <c r="AK97" s="56"/>
      <c r="AM97" s="88"/>
      <c r="AO97" s="86"/>
      <c r="AP97" s="86"/>
      <c r="CB97" s="17"/>
      <c r="CC97" s="17"/>
    </row>
    <row r="98" spans="1:81" ht="12.75" customHeight="1" thickBot="1" x14ac:dyDescent="0.25">
      <c r="A98" s="117" t="str">
        <f>"Total : "&amp;SUM(TotalPintades)</f>
        <v>Total : 0</v>
      </c>
      <c r="B98" s="51"/>
      <c r="C98" s="33" t="s">
        <v>350</v>
      </c>
      <c r="D98" s="78" t="s">
        <v>1108</v>
      </c>
      <c r="E98" s="51"/>
      <c r="F98" s="145"/>
      <c r="G98" s="146"/>
      <c r="H98" s="146"/>
      <c r="I98" s="118"/>
      <c r="J98" s="480" t="s">
        <v>348</v>
      </c>
      <c r="K98" s="480"/>
      <c r="L98" s="51"/>
      <c r="M98" s="51"/>
      <c r="N98" s="44"/>
      <c r="O98" s="150"/>
      <c r="P98" s="152"/>
      <c r="Q98" s="152"/>
      <c r="R98" s="153"/>
      <c r="S98" s="60"/>
      <c r="T98" s="60"/>
      <c r="U98" s="60"/>
      <c r="V98" s="60"/>
      <c r="W98" s="60"/>
      <c r="Z98" s="58"/>
      <c r="AA98" s="58"/>
      <c r="AB98" s="58"/>
      <c r="AJ98" s="56"/>
      <c r="AK98" s="56"/>
      <c r="AM98" s="88"/>
      <c r="AO98" s="86"/>
      <c r="AP98" s="86"/>
      <c r="CB98" s="17"/>
      <c r="CC98" s="17"/>
    </row>
    <row r="99" spans="1:81" ht="12.75" customHeight="1" x14ac:dyDescent="0.2">
      <c r="A99" s="117"/>
      <c r="B99" s="26" t="s">
        <v>325</v>
      </c>
      <c r="C99" s="121"/>
      <c r="D99" s="4"/>
      <c r="E99" s="51"/>
      <c r="F99" s="51"/>
      <c r="G99" s="51"/>
      <c r="H99" s="51"/>
      <c r="I99" s="51"/>
      <c r="J99" s="476"/>
      <c r="K99" s="477"/>
      <c r="L99" s="51"/>
      <c r="M99" s="51"/>
      <c r="N99" s="44"/>
      <c r="O99" s="150"/>
      <c r="P99" s="85"/>
      <c r="Q99" s="85"/>
      <c r="R99" s="147"/>
      <c r="S99" s="60"/>
      <c r="T99" s="60"/>
      <c r="U99" s="60"/>
      <c r="V99" s="60"/>
      <c r="W99" s="60"/>
      <c r="Z99" s="58"/>
      <c r="AA99" s="58"/>
      <c r="AB99" s="58"/>
      <c r="AJ99" s="56"/>
      <c r="AK99" s="56"/>
      <c r="AM99" s="88"/>
      <c r="AO99" s="86"/>
      <c r="AP99" s="86"/>
      <c r="CB99" s="17"/>
      <c r="CC99" s="17"/>
    </row>
    <row r="100" spans="1:81" ht="12.75" customHeight="1" thickBot="1" x14ac:dyDescent="0.25">
      <c r="A100" s="117"/>
      <c r="B100" s="29" t="s">
        <v>218</v>
      </c>
      <c r="C100" s="122"/>
      <c r="D100" s="230"/>
      <c r="E100" s="51"/>
      <c r="F100" s="51"/>
      <c r="G100" s="51"/>
      <c r="H100" s="51"/>
      <c r="I100" s="51"/>
      <c r="J100" s="148"/>
      <c r="K100" s="149"/>
      <c r="L100" s="51"/>
      <c r="M100" s="51"/>
      <c r="N100" s="44"/>
      <c r="O100" s="64"/>
      <c r="P100" s="62"/>
      <c r="Q100" s="62"/>
      <c r="R100" s="63"/>
      <c r="S100" s="60"/>
      <c r="T100" s="60"/>
      <c r="U100" s="60"/>
      <c r="V100" s="60"/>
      <c r="W100" s="60"/>
      <c r="Z100" s="58"/>
      <c r="AA100" s="58"/>
      <c r="AB100" s="58"/>
      <c r="AJ100" s="56"/>
      <c r="AK100" s="56"/>
      <c r="AM100" s="88"/>
      <c r="AO100" s="86"/>
      <c r="AP100" s="86"/>
      <c r="CB100" s="17"/>
      <c r="CC100" s="17"/>
    </row>
    <row r="101" spans="1:81" ht="12.75" customHeight="1" x14ac:dyDescent="0.2">
      <c r="A101" s="117"/>
      <c r="B101" s="27" t="s">
        <v>326</v>
      </c>
      <c r="C101" s="123"/>
      <c r="D101" s="4"/>
      <c r="E101" s="51"/>
      <c r="F101" s="51"/>
      <c r="G101" s="51"/>
      <c r="H101" s="51"/>
      <c r="I101" s="51"/>
      <c r="J101" s="480" t="s">
        <v>301</v>
      </c>
      <c r="K101" s="480"/>
      <c r="L101" s="51"/>
      <c r="M101" s="51"/>
      <c r="N101" s="44"/>
      <c r="O101" s="57"/>
      <c r="P101" s="62"/>
      <c r="Q101" s="62"/>
      <c r="R101" s="63"/>
      <c r="S101" s="60"/>
      <c r="T101" s="60"/>
      <c r="U101" s="60"/>
      <c r="V101" s="60"/>
      <c r="W101" s="60"/>
      <c r="Z101" s="58"/>
      <c r="AA101" s="58"/>
      <c r="AB101" s="58"/>
      <c r="AJ101" s="56"/>
      <c r="AK101" s="56"/>
      <c r="AM101" s="88"/>
      <c r="AO101" s="86"/>
      <c r="AP101" s="86"/>
      <c r="CB101" s="17"/>
      <c r="CC101" s="17"/>
    </row>
    <row r="102" spans="1:81" ht="12.75" customHeight="1" thickBot="1" x14ac:dyDescent="0.25">
      <c r="A102" s="117"/>
      <c r="B102" s="14" t="s">
        <v>216</v>
      </c>
      <c r="C102" s="5"/>
      <c r="D102" s="230"/>
      <c r="E102" s="51"/>
      <c r="F102" s="51"/>
      <c r="G102" s="51"/>
      <c r="H102" s="51"/>
      <c r="I102" s="51"/>
      <c r="J102" s="483"/>
      <c r="K102" s="483"/>
      <c r="L102" s="51"/>
      <c r="M102" s="51"/>
      <c r="N102" s="44"/>
      <c r="O102" s="64"/>
      <c r="P102" s="62"/>
      <c r="Q102" s="62"/>
      <c r="R102" s="63"/>
      <c r="S102" s="60"/>
      <c r="T102" s="60"/>
      <c r="U102" s="60"/>
      <c r="V102" s="60"/>
      <c r="W102" s="60"/>
      <c r="Z102" s="58"/>
      <c r="AA102" s="58"/>
      <c r="AB102" s="58"/>
      <c r="AJ102" s="56"/>
      <c r="AK102" s="56"/>
      <c r="AM102" s="88"/>
      <c r="AO102" s="86"/>
      <c r="AP102" s="86"/>
      <c r="CB102" s="17"/>
      <c r="CC102" s="17"/>
    </row>
    <row r="103" spans="1:81" ht="12.75" customHeight="1" x14ac:dyDescent="0.2">
      <c r="A103" s="117"/>
      <c r="B103" s="9" t="s">
        <v>327</v>
      </c>
      <c r="C103" s="4"/>
      <c r="D103" s="4"/>
      <c r="E103" s="51"/>
      <c r="F103" s="51"/>
      <c r="G103" s="51"/>
      <c r="H103" s="51"/>
      <c r="I103" s="51"/>
      <c r="J103" s="148"/>
      <c r="K103" s="149"/>
      <c r="L103" s="51"/>
      <c r="M103" s="51"/>
      <c r="N103" s="44"/>
      <c r="O103" s="64"/>
      <c r="P103" s="62"/>
      <c r="Q103" s="62"/>
      <c r="R103" s="63"/>
      <c r="S103" s="60"/>
      <c r="T103" s="60"/>
      <c r="U103" s="60"/>
      <c r="V103" s="60"/>
      <c r="W103" s="60"/>
      <c r="Z103" s="58"/>
      <c r="AA103" s="58"/>
      <c r="AB103" s="58"/>
      <c r="AJ103" s="56"/>
      <c r="AK103" s="56"/>
      <c r="AM103" s="88"/>
      <c r="AO103" s="86"/>
      <c r="AP103" s="86"/>
      <c r="CB103" s="17"/>
      <c r="CC103" s="17"/>
    </row>
    <row r="104" spans="1:81" ht="12.75" customHeight="1" thickBot="1" x14ac:dyDescent="0.25">
      <c r="A104" s="117"/>
      <c r="B104" s="10" t="s">
        <v>217</v>
      </c>
      <c r="C104" s="5"/>
      <c r="D104" s="230"/>
      <c r="E104" s="51"/>
      <c r="F104" s="51"/>
      <c r="G104" s="51"/>
      <c r="H104" s="51"/>
      <c r="I104" s="51"/>
      <c r="J104" s="478" t="s">
        <v>527</v>
      </c>
      <c r="K104" s="479"/>
      <c r="L104" s="51"/>
      <c r="M104" s="51"/>
      <c r="N104" s="44"/>
      <c r="O104" s="8"/>
      <c r="P104" s="62"/>
      <c r="Q104" s="62"/>
      <c r="R104" s="63"/>
      <c r="S104" s="58"/>
      <c r="T104" s="60"/>
      <c r="U104" s="60"/>
      <c r="V104" s="60"/>
      <c r="W104" s="60"/>
      <c r="Z104" s="58"/>
      <c r="AA104" s="58"/>
      <c r="AB104" s="58"/>
      <c r="AJ104" s="56"/>
      <c r="AK104" s="56"/>
      <c r="AM104" s="88"/>
      <c r="AO104" s="86"/>
      <c r="AP104" s="86"/>
      <c r="CB104" s="17"/>
      <c r="CC104" s="17"/>
    </row>
    <row r="105" spans="1:81" ht="12.75" customHeight="1" x14ac:dyDescent="0.2">
      <c r="A105" s="117"/>
      <c r="B105" s="51"/>
      <c r="C105" s="51"/>
      <c r="D105" s="51"/>
      <c r="E105" s="51"/>
      <c r="F105" s="51"/>
      <c r="G105" s="51"/>
      <c r="H105" s="51"/>
      <c r="I105" s="51"/>
      <c r="J105" s="476"/>
      <c r="K105" s="477"/>
      <c r="L105" s="51"/>
      <c r="M105" s="51"/>
      <c r="N105" s="44"/>
      <c r="O105" s="8"/>
      <c r="P105" s="62"/>
      <c r="Q105" s="62"/>
      <c r="R105" s="63"/>
      <c r="S105" s="58"/>
      <c r="T105" s="58"/>
      <c r="U105" s="58"/>
      <c r="V105" s="58"/>
      <c r="W105" s="60"/>
      <c r="Z105" s="58"/>
      <c r="AA105" s="58"/>
      <c r="AB105" s="58"/>
      <c r="AJ105" s="56"/>
      <c r="AK105" s="56"/>
      <c r="AM105" s="88"/>
      <c r="AO105" s="86"/>
      <c r="AP105" s="86"/>
      <c r="CB105" s="17"/>
      <c r="CC105" s="17"/>
    </row>
    <row r="106" spans="1:81" ht="12.75" customHeight="1" x14ac:dyDescent="0.2">
      <c r="A106" s="117"/>
      <c r="B106" s="51"/>
      <c r="C106" s="51"/>
      <c r="D106" s="51"/>
      <c r="E106" s="51"/>
      <c r="F106" s="51"/>
      <c r="G106" s="51"/>
      <c r="H106" s="51"/>
      <c r="I106" s="51"/>
      <c r="J106" s="124"/>
      <c r="K106" s="51"/>
      <c r="L106" s="51"/>
      <c r="M106" s="118"/>
      <c r="N106" s="119"/>
      <c r="O106" s="8"/>
      <c r="P106" s="62"/>
      <c r="Q106" s="62"/>
      <c r="R106" s="63"/>
      <c r="Z106" s="58"/>
      <c r="AA106" s="58"/>
      <c r="AB106" s="58"/>
      <c r="AJ106" s="56"/>
      <c r="AK106" s="56"/>
      <c r="AM106" s="88"/>
      <c r="AO106" s="86"/>
      <c r="AP106" s="86"/>
      <c r="CB106" s="17"/>
      <c r="CC106" s="17"/>
    </row>
    <row r="107" spans="1:81" ht="12.75" customHeight="1" x14ac:dyDescent="0.2">
      <c r="A107" s="117"/>
      <c r="B107" s="51"/>
      <c r="C107" s="51"/>
      <c r="D107" s="51"/>
      <c r="E107" s="51"/>
      <c r="F107" s="51"/>
      <c r="G107" s="51"/>
      <c r="H107" s="51"/>
      <c r="I107" s="51"/>
      <c r="J107" s="478" t="s">
        <v>1151</v>
      </c>
      <c r="K107" s="479"/>
      <c r="L107" s="51"/>
      <c r="M107" s="51"/>
      <c r="N107" s="44"/>
      <c r="O107" s="8"/>
      <c r="P107" s="62"/>
      <c r="Q107" s="62"/>
      <c r="R107" s="63"/>
      <c r="S107" s="60"/>
      <c r="Z107" s="58"/>
      <c r="AA107" s="58"/>
      <c r="AB107" s="58"/>
      <c r="AJ107" s="56"/>
      <c r="AK107" s="56"/>
      <c r="AM107" s="88"/>
      <c r="AO107" s="86"/>
      <c r="AP107" s="86"/>
      <c r="CB107" s="17"/>
      <c r="CC107" s="17"/>
    </row>
    <row r="108" spans="1:81" ht="12.75" customHeight="1" x14ac:dyDescent="0.2">
      <c r="A108" s="117"/>
      <c r="B108" s="51"/>
      <c r="C108" s="51"/>
      <c r="D108" s="51"/>
      <c r="E108" s="51"/>
      <c r="F108" s="51"/>
      <c r="G108" s="51"/>
      <c r="H108" s="51"/>
      <c r="I108" s="51"/>
      <c r="J108" s="476"/>
      <c r="K108" s="477"/>
      <c r="L108" s="51"/>
      <c r="M108" s="51"/>
      <c r="N108" s="44"/>
      <c r="O108" s="8"/>
      <c r="P108" s="62"/>
      <c r="Q108" s="62"/>
      <c r="R108" s="63"/>
      <c r="S108" s="60"/>
      <c r="Z108" s="58"/>
      <c r="AA108" s="58"/>
      <c r="AB108" s="58"/>
      <c r="AJ108" s="56"/>
      <c r="AK108" s="56"/>
      <c r="AM108" s="88"/>
      <c r="AO108" s="86"/>
      <c r="AP108" s="86"/>
      <c r="CB108" s="17"/>
      <c r="CC108" s="17"/>
    </row>
    <row r="109" spans="1:81" ht="12.75" customHeight="1" x14ac:dyDescent="0.2">
      <c r="A109" s="117"/>
      <c r="B109" s="51"/>
      <c r="C109" s="51"/>
      <c r="D109" s="51"/>
      <c r="E109" s="51"/>
      <c r="F109" s="51"/>
      <c r="G109" s="51"/>
      <c r="H109" s="51"/>
      <c r="I109" s="51"/>
      <c r="J109" s="51"/>
      <c r="K109" s="51"/>
      <c r="L109" s="118"/>
      <c r="M109" s="51"/>
      <c r="N109" s="44"/>
      <c r="O109" s="8"/>
      <c r="P109" s="62"/>
      <c r="Q109" s="62"/>
      <c r="R109" s="63"/>
      <c r="S109" s="60"/>
      <c r="Z109" s="58"/>
      <c r="AA109" s="58"/>
      <c r="AB109" s="58"/>
      <c r="AJ109" s="56"/>
      <c r="AK109" s="56"/>
      <c r="AM109" s="88"/>
      <c r="AO109" s="86"/>
      <c r="AP109" s="86"/>
      <c r="CB109" s="17"/>
      <c r="CC109" s="17"/>
    </row>
    <row r="110" spans="1:81" ht="12.75" customHeight="1" x14ac:dyDescent="0.2">
      <c r="A110" s="117"/>
      <c r="B110" s="51"/>
      <c r="C110" s="51"/>
      <c r="D110" s="51"/>
      <c r="E110" s="51"/>
      <c r="F110" s="51"/>
      <c r="G110" s="51"/>
      <c r="H110" s="51"/>
      <c r="I110" s="51"/>
      <c r="J110" s="484" t="s">
        <v>349</v>
      </c>
      <c r="K110" s="485"/>
      <c r="L110" s="51"/>
      <c r="M110" s="51"/>
      <c r="N110" s="44"/>
      <c r="O110" s="8"/>
      <c r="P110" s="62"/>
      <c r="Q110" s="62"/>
      <c r="R110" s="63"/>
      <c r="S110" s="60"/>
      <c r="Z110" s="58"/>
      <c r="AA110" s="58"/>
      <c r="AB110" s="58"/>
      <c r="AJ110" s="56"/>
      <c r="AK110" s="56"/>
      <c r="AM110" s="88"/>
      <c r="AO110" s="86"/>
      <c r="AP110" s="86"/>
      <c r="CB110" s="17"/>
      <c r="CC110" s="17"/>
    </row>
    <row r="111" spans="1:81" ht="12.75" customHeight="1" x14ac:dyDescent="0.2">
      <c r="A111" s="117"/>
      <c r="B111" s="51"/>
      <c r="C111" s="51"/>
      <c r="D111" s="51"/>
      <c r="E111" s="51"/>
      <c r="F111" s="51"/>
      <c r="G111" s="51"/>
      <c r="H111" s="51"/>
      <c r="I111" s="51"/>
      <c r="J111" s="476"/>
      <c r="K111" s="477"/>
      <c r="L111" s="51"/>
      <c r="M111" s="51"/>
      <c r="N111" s="44"/>
      <c r="O111" s="8"/>
      <c r="P111" s="62"/>
      <c r="Q111" s="62"/>
      <c r="R111" s="63"/>
      <c r="S111" s="60"/>
      <c r="Z111" s="58"/>
      <c r="AA111" s="58"/>
      <c r="AB111" s="58"/>
      <c r="AJ111" s="56"/>
      <c r="AK111" s="56"/>
      <c r="AM111" s="88"/>
      <c r="AO111" s="86"/>
      <c r="AP111" s="86"/>
      <c r="CB111" s="17"/>
      <c r="CC111" s="17"/>
    </row>
    <row r="112" spans="1:81" ht="12.75" customHeight="1" x14ac:dyDescent="0.2">
      <c r="A112" s="117"/>
      <c r="B112" s="51"/>
      <c r="C112" s="51"/>
      <c r="D112" s="51"/>
      <c r="E112" s="51"/>
      <c r="F112" s="51"/>
      <c r="G112" s="51"/>
      <c r="H112" s="51"/>
      <c r="I112" s="51"/>
      <c r="J112" s="118"/>
      <c r="K112" s="118"/>
      <c r="L112" s="51"/>
      <c r="M112" s="51"/>
      <c r="N112" s="44"/>
      <c r="O112" s="8"/>
      <c r="P112" s="62"/>
      <c r="Q112" s="62"/>
      <c r="R112" s="63"/>
      <c r="S112" s="60"/>
      <c r="Z112" s="58"/>
      <c r="AA112" s="58"/>
      <c r="AB112" s="58"/>
      <c r="AJ112" s="56"/>
      <c r="AK112" s="56"/>
      <c r="AM112" s="88"/>
      <c r="AO112" s="86"/>
      <c r="AP112" s="86"/>
      <c r="CB112" s="17"/>
      <c r="CC112" s="17"/>
    </row>
    <row r="113" spans="1:81" ht="12.75" customHeight="1" x14ac:dyDescent="0.2">
      <c r="A113" s="117"/>
      <c r="B113" s="51"/>
      <c r="C113" s="51"/>
      <c r="D113" s="51"/>
      <c r="E113" s="51"/>
      <c r="F113" s="51"/>
      <c r="G113" s="51"/>
      <c r="H113" s="51"/>
      <c r="I113" s="51"/>
      <c r="J113" s="18" t="s">
        <v>125</v>
      </c>
      <c r="K113" s="106"/>
      <c r="L113" s="51" t="str">
        <f>IF(OR(ChoixPaillagePintades="",ChoixPaillagePintades=NON),"","coût : "&amp;PrixPaille*84*SUM(TotalPintades)/1000&amp;"€/an")</f>
        <v/>
      </c>
      <c r="M113" s="51"/>
      <c r="N113" s="44"/>
      <c r="O113" s="8"/>
      <c r="P113" s="62"/>
      <c r="Q113" s="62"/>
      <c r="R113" s="63"/>
      <c r="S113" s="60"/>
      <c r="Z113" s="58"/>
      <c r="AA113" s="58"/>
      <c r="AB113" s="58"/>
      <c r="AJ113" s="56"/>
      <c r="AK113" s="56"/>
      <c r="AM113" s="88"/>
      <c r="AO113" s="86"/>
      <c r="AP113" s="86"/>
      <c r="CB113" s="17"/>
      <c r="CC113" s="17"/>
    </row>
    <row r="114" spans="1:81" ht="12.75" customHeight="1" x14ac:dyDescent="0.2">
      <c r="A114" s="117"/>
      <c r="B114" s="51"/>
      <c r="C114" s="51"/>
      <c r="D114" s="51"/>
      <c r="E114" s="51"/>
      <c r="F114" s="51"/>
      <c r="G114" s="51"/>
      <c r="H114" s="51"/>
      <c r="I114" s="51"/>
      <c r="J114" s="19" t="s">
        <v>124</v>
      </c>
      <c r="K114" s="106"/>
      <c r="L114" s="51" t="str">
        <f>IF(ChoixVaccinPintades=OUI,"coût : " &amp;SUM(TotalPintades)*PrixVaccinPintade &amp;"€/an","")</f>
        <v/>
      </c>
      <c r="M114" s="51"/>
      <c r="N114" s="44"/>
      <c r="O114" s="8"/>
      <c r="P114" s="62"/>
      <c r="Q114" s="62"/>
      <c r="R114" s="63"/>
      <c r="S114" s="60"/>
      <c r="Z114" s="58"/>
      <c r="AA114" s="58"/>
      <c r="AB114" s="58"/>
      <c r="AJ114" s="56"/>
      <c r="AK114" s="56"/>
      <c r="AM114" s="88"/>
      <c r="AO114" s="86"/>
      <c r="AP114" s="86"/>
      <c r="CB114" s="17"/>
      <c r="CC114" s="17"/>
    </row>
    <row r="115" spans="1:81" ht="12.75" customHeight="1" thickBot="1" x14ac:dyDescent="0.25">
      <c r="A115" s="125"/>
      <c r="B115" s="52"/>
      <c r="C115" s="52"/>
      <c r="D115" s="52"/>
      <c r="E115" s="52"/>
      <c r="F115" s="52"/>
      <c r="G115" s="52"/>
      <c r="H115" s="52"/>
      <c r="I115" s="52"/>
      <c r="J115" s="52"/>
      <c r="K115" s="52"/>
      <c r="L115" s="52"/>
      <c r="M115" s="52"/>
      <c r="N115" s="46"/>
      <c r="O115" s="8"/>
      <c r="P115" s="62"/>
      <c r="Q115" s="62"/>
      <c r="R115" s="63"/>
      <c r="S115" s="60"/>
      <c r="Z115" s="58"/>
      <c r="AA115" s="58"/>
      <c r="AB115" s="58"/>
      <c r="AJ115" s="56"/>
      <c r="AK115" s="56"/>
      <c r="AM115" s="88"/>
      <c r="AO115" s="86"/>
      <c r="AP115" s="86"/>
      <c r="CB115" s="17"/>
      <c r="CC115" s="17"/>
    </row>
    <row r="116" spans="1:81" ht="12.75" customHeight="1" thickBot="1" x14ac:dyDescent="0.25">
      <c r="A116" s="93" t="s">
        <v>91</v>
      </c>
      <c r="B116" s="94"/>
      <c r="C116" s="94"/>
      <c r="D116" s="94"/>
      <c r="E116" s="94"/>
      <c r="F116" s="94"/>
      <c r="G116" s="94"/>
      <c r="H116" s="94"/>
      <c r="I116" s="94"/>
      <c r="J116" s="94"/>
      <c r="K116" s="94"/>
      <c r="L116" s="94"/>
      <c r="M116" s="94"/>
      <c r="N116" s="95"/>
      <c r="O116" s="8"/>
      <c r="P116" s="62"/>
      <c r="Q116" s="62"/>
      <c r="R116" s="63"/>
      <c r="S116" s="60"/>
      <c r="Z116" s="58"/>
      <c r="AA116" s="58"/>
      <c r="AB116" s="58"/>
      <c r="AJ116" s="56"/>
      <c r="AK116" s="56"/>
      <c r="AM116" s="88"/>
      <c r="AO116" s="86"/>
      <c r="AP116" s="86"/>
      <c r="CB116" s="17"/>
      <c r="CC116" s="17"/>
    </row>
    <row r="117" spans="1:81" ht="12.75" customHeight="1" thickBot="1" x14ac:dyDescent="0.25">
      <c r="A117" s="97" t="str">
        <f>"Total : "&amp;SUM(TotalLapins)</f>
        <v>Total : 0</v>
      </c>
      <c r="B117" s="47"/>
      <c r="C117" s="33" t="s">
        <v>350</v>
      </c>
      <c r="D117" s="78" t="s">
        <v>1108</v>
      </c>
      <c r="E117" s="47"/>
      <c r="F117" s="47"/>
      <c r="G117" s="47"/>
      <c r="H117" s="47"/>
      <c r="I117" s="47"/>
      <c r="J117" s="480" t="s">
        <v>348</v>
      </c>
      <c r="K117" s="480"/>
      <c r="L117" s="47"/>
      <c r="M117" s="47"/>
      <c r="N117" s="43"/>
      <c r="O117" s="8"/>
      <c r="P117" s="62"/>
      <c r="Q117" s="62"/>
      <c r="R117" s="63"/>
      <c r="S117" s="60"/>
      <c r="Z117" s="58"/>
      <c r="AA117" s="58"/>
      <c r="AB117" s="58"/>
      <c r="AJ117" s="56"/>
      <c r="AK117" s="56"/>
      <c r="AM117" s="88"/>
      <c r="AO117" s="86"/>
      <c r="AP117" s="86"/>
      <c r="CB117" s="17"/>
      <c r="CC117" s="17"/>
    </row>
    <row r="118" spans="1:81" ht="12.75" customHeight="1" x14ac:dyDescent="0.2">
      <c r="A118" s="97"/>
      <c r="B118" s="26" t="s">
        <v>92</v>
      </c>
      <c r="C118" s="121"/>
      <c r="D118" s="4"/>
      <c r="E118" s="47"/>
      <c r="F118" s="47"/>
      <c r="G118" s="47"/>
      <c r="H118" s="47"/>
      <c r="I118" s="47"/>
      <c r="J118" s="476"/>
      <c r="K118" s="477"/>
      <c r="L118" s="47"/>
      <c r="M118" s="47"/>
      <c r="N118" s="43"/>
      <c r="O118" s="8"/>
      <c r="P118" s="85"/>
      <c r="Q118" s="85"/>
      <c r="R118" s="147"/>
      <c r="S118" s="60"/>
      <c r="AJ118" s="56"/>
      <c r="AK118" s="56"/>
      <c r="AM118" s="88"/>
      <c r="AO118" s="86"/>
      <c r="AP118" s="86"/>
      <c r="CB118" s="17"/>
      <c r="CC118" s="17"/>
    </row>
    <row r="119" spans="1:81" ht="12.75" customHeight="1" thickBot="1" x14ac:dyDescent="0.25">
      <c r="A119" s="97"/>
      <c r="B119" s="29" t="s">
        <v>93</v>
      </c>
      <c r="C119" s="122"/>
      <c r="D119" s="230"/>
      <c r="E119" s="47"/>
      <c r="F119" s="47"/>
      <c r="G119" s="47"/>
      <c r="H119" s="47"/>
      <c r="I119" s="47"/>
      <c r="J119" s="47"/>
      <c r="K119" s="47"/>
      <c r="L119" s="47"/>
      <c r="M119" s="47"/>
      <c r="N119" s="43"/>
      <c r="O119" s="96"/>
      <c r="P119" s="85"/>
      <c r="Q119" s="85"/>
      <c r="R119" s="147"/>
      <c r="S119" s="60"/>
      <c r="AJ119" s="56"/>
      <c r="AK119" s="56"/>
      <c r="AM119" s="88"/>
      <c r="AO119" s="86"/>
      <c r="AP119" s="86"/>
      <c r="CB119" s="17"/>
      <c r="CC119" s="17"/>
    </row>
    <row r="120" spans="1:81" ht="12.75" customHeight="1" x14ac:dyDescent="0.2">
      <c r="A120" s="97"/>
      <c r="B120" s="27" t="s">
        <v>94</v>
      </c>
      <c r="C120" s="123"/>
      <c r="D120" s="4"/>
      <c r="E120" s="47"/>
      <c r="F120" s="47"/>
      <c r="G120" s="47"/>
      <c r="H120" s="47"/>
      <c r="I120" s="47"/>
      <c r="J120" s="480" t="s">
        <v>301</v>
      </c>
      <c r="K120" s="480"/>
      <c r="L120" s="47"/>
      <c r="M120" s="47"/>
      <c r="N120" s="43"/>
      <c r="O120" s="96"/>
      <c r="P120" s="85"/>
      <c r="Q120" s="85"/>
      <c r="R120" s="147"/>
      <c r="S120" s="60"/>
      <c r="AJ120" s="56"/>
      <c r="AK120" s="56"/>
      <c r="AM120" s="88"/>
      <c r="AO120" s="86"/>
      <c r="AP120" s="86"/>
      <c r="CB120" s="17"/>
      <c r="CC120" s="17"/>
    </row>
    <row r="121" spans="1:81" ht="12.75" customHeight="1" thickBot="1" x14ac:dyDescent="0.25">
      <c r="A121" s="97"/>
      <c r="B121" s="14" t="s">
        <v>95</v>
      </c>
      <c r="C121" s="5"/>
      <c r="D121" s="230"/>
      <c r="E121" s="47"/>
      <c r="F121" s="47"/>
      <c r="G121" s="47"/>
      <c r="H121" s="47"/>
      <c r="I121" s="47"/>
      <c r="J121" s="483"/>
      <c r="K121" s="483"/>
      <c r="L121" s="47"/>
      <c r="M121" s="47"/>
      <c r="N121" s="43"/>
      <c r="O121" s="96"/>
      <c r="P121" s="85"/>
      <c r="Q121" s="85"/>
      <c r="R121" s="147"/>
      <c r="S121" s="60"/>
      <c r="AJ121" s="56"/>
      <c r="AK121" s="56"/>
      <c r="AM121" s="88"/>
      <c r="AO121" s="86"/>
      <c r="AP121" s="86"/>
      <c r="CB121" s="17"/>
      <c r="CC121" s="17"/>
    </row>
    <row r="122" spans="1:81" ht="12.75" customHeight="1" x14ac:dyDescent="0.2">
      <c r="A122" s="97"/>
      <c r="B122" s="34" t="s">
        <v>96</v>
      </c>
      <c r="C122" s="4"/>
      <c r="D122" s="4"/>
      <c r="E122" s="47"/>
      <c r="F122" s="47"/>
      <c r="G122" s="47"/>
      <c r="H122" s="47"/>
      <c r="I122" s="47"/>
      <c r="J122" s="47"/>
      <c r="K122" s="47"/>
      <c r="L122" s="47"/>
      <c r="M122" s="47"/>
      <c r="N122" s="43"/>
      <c r="O122" s="96"/>
      <c r="P122" s="85"/>
      <c r="Q122" s="85"/>
      <c r="R122" s="147"/>
      <c r="S122" s="60"/>
      <c r="AJ122" s="56"/>
      <c r="AK122" s="56"/>
      <c r="AM122" s="88"/>
      <c r="AO122" s="86"/>
      <c r="AP122" s="86"/>
      <c r="CB122" s="17"/>
      <c r="CC122" s="17"/>
    </row>
    <row r="123" spans="1:81" ht="12.75" customHeight="1" thickBot="1" x14ac:dyDescent="0.25">
      <c r="A123" s="97"/>
      <c r="B123" s="36" t="s">
        <v>1156</v>
      </c>
      <c r="C123" s="5"/>
      <c r="D123" s="230"/>
      <c r="E123" s="47"/>
      <c r="F123" s="47"/>
      <c r="G123" s="47"/>
      <c r="H123" s="47"/>
      <c r="I123" s="47"/>
      <c r="J123" s="478" t="s">
        <v>527</v>
      </c>
      <c r="K123" s="479"/>
      <c r="L123" s="47"/>
      <c r="M123" s="47"/>
      <c r="N123" s="43"/>
      <c r="O123" s="96"/>
      <c r="P123" s="85"/>
      <c r="Q123" s="85"/>
      <c r="R123" s="147"/>
      <c r="S123" s="60"/>
      <c r="AJ123" s="56"/>
      <c r="AK123" s="56"/>
      <c r="AM123" s="88"/>
      <c r="AO123" s="86"/>
      <c r="AP123" s="86"/>
      <c r="CB123" s="17"/>
      <c r="CC123" s="17"/>
    </row>
    <row r="124" spans="1:81" ht="12.75" customHeight="1" x14ac:dyDescent="0.2">
      <c r="A124" s="97"/>
      <c r="B124" s="47"/>
      <c r="C124" s="47"/>
      <c r="D124" s="47"/>
      <c r="E124" s="47"/>
      <c r="F124" s="47"/>
      <c r="G124" s="47"/>
      <c r="H124" s="47"/>
      <c r="I124" s="47"/>
      <c r="J124" s="476"/>
      <c r="K124" s="477"/>
      <c r="L124" s="47"/>
      <c r="M124" s="47"/>
      <c r="N124" s="43"/>
      <c r="O124" s="96"/>
      <c r="P124" s="85"/>
      <c r="Q124" s="85"/>
      <c r="R124" s="147"/>
      <c r="S124" s="60"/>
      <c r="AJ124" s="56"/>
      <c r="AK124" s="56"/>
      <c r="AM124" s="88"/>
      <c r="AO124" s="86"/>
      <c r="AP124" s="86"/>
      <c r="CB124" s="17"/>
      <c r="CC124" s="17"/>
    </row>
    <row r="125" spans="1:81" ht="12.75" customHeight="1" x14ac:dyDescent="0.2">
      <c r="A125" s="97"/>
      <c r="B125" s="47"/>
      <c r="C125" s="47"/>
      <c r="D125" s="47"/>
      <c r="E125" s="47"/>
      <c r="F125" s="47"/>
      <c r="G125" s="47"/>
      <c r="H125" s="47"/>
      <c r="I125" s="47"/>
      <c r="J125" s="103"/>
      <c r="K125" s="47"/>
      <c r="L125" s="47"/>
      <c r="M125" s="47"/>
      <c r="N125" s="43"/>
      <c r="O125" s="96"/>
      <c r="P125" s="85"/>
      <c r="Q125" s="85"/>
      <c r="R125" s="147"/>
      <c r="S125" s="60"/>
      <c r="AJ125" s="56"/>
      <c r="AK125" s="56"/>
      <c r="AM125" s="88"/>
      <c r="AO125" s="86"/>
      <c r="AP125" s="86"/>
      <c r="CB125" s="17"/>
      <c r="CC125" s="17"/>
    </row>
    <row r="126" spans="1:81" ht="12.75" customHeight="1" x14ac:dyDescent="0.2">
      <c r="A126" s="97"/>
      <c r="B126" s="47"/>
      <c r="C126" s="47"/>
      <c r="D126" s="47"/>
      <c r="E126" s="47"/>
      <c r="F126" s="47"/>
      <c r="G126" s="47"/>
      <c r="H126" s="47"/>
      <c r="I126" s="47"/>
      <c r="J126" s="478" t="s">
        <v>1151</v>
      </c>
      <c r="K126" s="479"/>
      <c r="L126" s="47"/>
      <c r="M126" s="47"/>
      <c r="N126" s="43"/>
      <c r="O126" s="96"/>
      <c r="P126" s="85"/>
      <c r="Q126" s="85"/>
      <c r="R126" s="147"/>
      <c r="S126" s="60"/>
      <c r="AJ126" s="56"/>
      <c r="AK126" s="56"/>
      <c r="AM126" s="88"/>
      <c r="AO126" s="86"/>
      <c r="AP126" s="86"/>
      <c r="CB126" s="17"/>
      <c r="CC126" s="17"/>
    </row>
    <row r="127" spans="1:81" ht="12.75" customHeight="1" x14ac:dyDescent="0.2">
      <c r="A127" s="97"/>
      <c r="B127" s="47"/>
      <c r="C127" s="47"/>
      <c r="D127" s="47"/>
      <c r="E127" s="47"/>
      <c r="F127" s="47"/>
      <c r="G127" s="47"/>
      <c r="H127" s="47"/>
      <c r="I127" s="47"/>
      <c r="J127" s="476"/>
      <c r="K127" s="477"/>
      <c r="L127" s="47"/>
      <c r="M127" s="47"/>
      <c r="N127" s="43"/>
      <c r="O127" s="96"/>
      <c r="P127" s="85"/>
      <c r="Q127" s="85"/>
      <c r="R127" s="147"/>
      <c r="S127" s="60"/>
      <c r="AJ127" s="56"/>
      <c r="AK127" s="56"/>
      <c r="AM127" s="88"/>
      <c r="AO127" s="86"/>
      <c r="AP127" s="86"/>
      <c r="CB127" s="17"/>
      <c r="CC127" s="17"/>
    </row>
    <row r="128" spans="1:81" ht="12.75" customHeight="1" x14ac:dyDescent="0.2">
      <c r="A128" s="97"/>
      <c r="B128" s="47"/>
      <c r="C128" s="47"/>
      <c r="D128" s="47"/>
      <c r="E128" s="47"/>
      <c r="F128" s="47"/>
      <c r="G128" s="47"/>
      <c r="H128" s="47"/>
      <c r="I128" s="47"/>
      <c r="J128" s="103"/>
      <c r="K128" s="47"/>
      <c r="L128" s="47"/>
      <c r="M128" s="47"/>
      <c r="N128" s="43"/>
      <c r="O128" s="96"/>
      <c r="P128" s="85"/>
      <c r="Q128" s="85"/>
      <c r="R128" s="147"/>
      <c r="AJ128" s="56"/>
      <c r="AK128" s="56"/>
      <c r="AM128" s="88"/>
      <c r="AO128" s="86"/>
      <c r="AP128" s="86"/>
      <c r="CB128" s="17"/>
      <c r="CC128" s="17"/>
    </row>
    <row r="129" spans="1:81" ht="12.75" customHeight="1" x14ac:dyDescent="0.2">
      <c r="A129" s="97"/>
      <c r="B129" s="47"/>
      <c r="C129" s="47"/>
      <c r="D129" s="47"/>
      <c r="E129" s="47"/>
      <c r="F129" s="47"/>
      <c r="G129" s="47"/>
      <c r="H129" s="47"/>
      <c r="I129" s="47"/>
      <c r="J129" s="484" t="s">
        <v>349</v>
      </c>
      <c r="K129" s="485"/>
      <c r="L129" s="47"/>
      <c r="M129" s="47"/>
      <c r="N129" s="43"/>
      <c r="O129" s="96"/>
      <c r="P129" s="85"/>
      <c r="Q129" s="85"/>
      <c r="R129" s="147"/>
      <c r="S129" s="58"/>
      <c r="AJ129" s="56"/>
      <c r="AK129" s="56"/>
      <c r="AM129" s="88"/>
      <c r="AO129" s="86"/>
      <c r="AP129" s="86"/>
      <c r="CB129" s="17"/>
      <c r="CC129" s="17"/>
    </row>
    <row r="130" spans="1:81" ht="12.75" customHeight="1" x14ac:dyDescent="0.2">
      <c r="A130" s="97"/>
      <c r="B130" s="47"/>
      <c r="C130" s="47"/>
      <c r="D130" s="47"/>
      <c r="E130" s="47"/>
      <c r="F130" s="47"/>
      <c r="G130" s="47"/>
      <c r="H130" s="47"/>
      <c r="I130" s="47"/>
      <c r="J130" s="476"/>
      <c r="K130" s="477"/>
      <c r="L130" s="47"/>
      <c r="M130" s="47"/>
      <c r="N130" s="43"/>
      <c r="O130" s="96"/>
      <c r="P130" s="85"/>
      <c r="Q130" s="85"/>
      <c r="R130" s="147"/>
      <c r="AJ130" s="56"/>
      <c r="AK130" s="56"/>
      <c r="AM130" s="88"/>
      <c r="AO130" s="86"/>
      <c r="AP130" s="86"/>
      <c r="CB130" s="17"/>
      <c r="CC130" s="17"/>
    </row>
    <row r="131" spans="1:81" ht="12.75" customHeight="1" x14ac:dyDescent="0.2">
      <c r="A131" s="97"/>
      <c r="B131" s="47"/>
      <c r="C131" s="47"/>
      <c r="D131" s="47"/>
      <c r="E131" s="47"/>
      <c r="F131" s="47"/>
      <c r="G131" s="47"/>
      <c r="H131" s="47"/>
      <c r="I131" s="47"/>
      <c r="J131" s="476"/>
      <c r="K131" s="477"/>
      <c r="L131" s="47"/>
      <c r="M131" s="47"/>
      <c r="N131" s="43"/>
      <c r="O131" s="96"/>
      <c r="P131" s="85"/>
      <c r="Q131" s="85"/>
      <c r="R131" s="147"/>
      <c r="AJ131" s="56"/>
      <c r="AK131" s="56"/>
      <c r="AM131" s="88"/>
      <c r="AO131" s="86"/>
      <c r="AP131" s="86"/>
      <c r="CB131" s="17"/>
      <c r="CC131" s="17"/>
    </row>
    <row r="132" spans="1:81" ht="12.75" customHeight="1" x14ac:dyDescent="0.2">
      <c r="A132" s="97"/>
      <c r="B132" s="47"/>
      <c r="C132" s="47"/>
      <c r="D132" s="47"/>
      <c r="E132" s="47"/>
      <c r="F132" s="47"/>
      <c r="G132" s="47"/>
      <c r="H132" s="47"/>
      <c r="I132" s="47"/>
      <c r="J132" s="47"/>
      <c r="K132" s="47"/>
      <c r="L132" s="47"/>
      <c r="M132" s="47"/>
      <c r="N132" s="43"/>
      <c r="O132" s="96"/>
      <c r="P132" s="85"/>
      <c r="Q132" s="85"/>
      <c r="R132" s="147"/>
      <c r="AJ132" s="56"/>
      <c r="AK132" s="56"/>
      <c r="AM132" s="88"/>
      <c r="AO132" s="86"/>
      <c r="AP132" s="86"/>
      <c r="CB132" s="17"/>
      <c r="CC132" s="17"/>
    </row>
    <row r="133" spans="1:81" ht="12.75" customHeight="1" x14ac:dyDescent="0.2">
      <c r="A133" s="97"/>
      <c r="B133" s="47"/>
      <c r="C133" s="47"/>
      <c r="D133" s="47"/>
      <c r="E133" s="47"/>
      <c r="F133" s="47"/>
      <c r="G133" s="47"/>
      <c r="H133" s="47"/>
      <c r="I133" s="47"/>
      <c r="J133" s="18" t="s">
        <v>125</v>
      </c>
      <c r="K133" s="106"/>
      <c r="L133" s="47" t="str">
        <f>IF(OR(ChoixPaillageLapins="",ChoixPaillageLapins=NON),"","coût : "&amp;PrixPaille*84*SUM(TotalLapins)/1000&amp;"€/an")</f>
        <v/>
      </c>
      <c r="M133" s="47"/>
      <c r="N133" s="43"/>
      <c r="O133" s="96"/>
      <c r="P133" s="85"/>
      <c r="Q133" s="85"/>
      <c r="R133" s="147"/>
      <c r="AJ133" s="56"/>
      <c r="AK133" s="56"/>
      <c r="AM133" s="88"/>
      <c r="AO133" s="86"/>
      <c r="AP133" s="86"/>
      <c r="CB133" s="17"/>
      <c r="CC133" s="17"/>
    </row>
    <row r="134" spans="1:81" ht="12.75" customHeight="1" x14ac:dyDescent="0.2">
      <c r="A134" s="97"/>
      <c r="B134" s="47"/>
      <c r="C134" s="47"/>
      <c r="D134" s="47"/>
      <c r="E134" s="47"/>
      <c r="F134" s="47"/>
      <c r="G134" s="47"/>
      <c r="H134" s="47"/>
      <c r="I134" s="47"/>
      <c r="J134" s="19" t="s">
        <v>124</v>
      </c>
      <c r="K134" s="106"/>
      <c r="L134" s="47" t="str">
        <f>IF(ChoixVaccinLapins=OUI,"coût : " &amp;SUM(TotalLapins)*PrixVaccinLapin &amp;"€/an","")</f>
        <v/>
      </c>
      <c r="M134" s="47"/>
      <c r="N134" s="43"/>
      <c r="O134" s="96"/>
      <c r="P134" s="85"/>
      <c r="Q134" s="85"/>
      <c r="R134" s="147"/>
      <c r="AJ134" s="56"/>
      <c r="AK134" s="56"/>
      <c r="AM134" s="88"/>
      <c r="AO134" s="86"/>
      <c r="AP134" s="86"/>
      <c r="CB134" s="17"/>
      <c r="CC134" s="17"/>
    </row>
    <row r="135" spans="1:81" ht="12.75" customHeight="1" thickBot="1" x14ac:dyDescent="0.25">
      <c r="A135" s="107"/>
      <c r="B135" s="109"/>
      <c r="C135" s="109"/>
      <c r="D135" s="109"/>
      <c r="E135" s="109"/>
      <c r="F135" s="109"/>
      <c r="G135" s="109"/>
      <c r="H135" s="109"/>
      <c r="I135" s="109"/>
      <c r="J135" s="109"/>
      <c r="K135" s="109"/>
      <c r="L135" s="109"/>
      <c r="M135" s="109"/>
      <c r="N135" s="110"/>
      <c r="O135" s="96"/>
      <c r="P135" s="85"/>
      <c r="Q135" s="85"/>
      <c r="R135" s="147"/>
      <c r="AJ135" s="56"/>
      <c r="AK135" s="56"/>
      <c r="AM135" s="88"/>
      <c r="AO135" s="86"/>
      <c r="AP135" s="86"/>
      <c r="CB135" s="17"/>
      <c r="CC135" s="17"/>
    </row>
    <row r="136" spans="1:81" ht="12.75" customHeight="1" thickBot="1" x14ac:dyDescent="0.25">
      <c r="A136" s="111" t="s">
        <v>406</v>
      </c>
      <c r="B136" s="112"/>
      <c r="C136" s="112"/>
      <c r="D136" s="112"/>
      <c r="E136" s="112"/>
      <c r="F136" s="112"/>
      <c r="G136" s="112"/>
      <c r="H136" s="112"/>
      <c r="I136" s="112"/>
      <c r="J136" s="112"/>
      <c r="K136" s="112"/>
      <c r="L136" s="112"/>
      <c r="M136" s="112"/>
      <c r="N136" s="156"/>
      <c r="O136" s="96"/>
      <c r="P136" s="85"/>
      <c r="Q136" s="85"/>
      <c r="R136" s="147"/>
      <c r="AJ136" s="56"/>
      <c r="AK136" s="56"/>
      <c r="AM136" s="88"/>
      <c r="AO136" s="86"/>
      <c r="AP136" s="86"/>
      <c r="CB136" s="17"/>
      <c r="CC136" s="17"/>
    </row>
    <row r="137" spans="1:81" ht="12.75" customHeight="1" thickBot="1" x14ac:dyDescent="0.25">
      <c r="A137" s="117" t="str">
        <f>"Total : "&amp;SUM(TotalOies)</f>
        <v>Total : 0</v>
      </c>
      <c r="B137" s="51"/>
      <c r="C137" s="33" t="s">
        <v>350</v>
      </c>
      <c r="D137" s="78" t="s">
        <v>1108</v>
      </c>
      <c r="E137" s="51"/>
      <c r="F137" s="51"/>
      <c r="G137" s="51"/>
      <c r="H137" s="51"/>
      <c r="I137" s="51"/>
      <c r="J137" s="480" t="s">
        <v>348</v>
      </c>
      <c r="K137" s="480"/>
      <c r="L137" s="51"/>
      <c r="M137" s="51"/>
      <c r="N137" s="44"/>
      <c r="O137" s="96"/>
      <c r="P137" s="85"/>
      <c r="Q137" s="85"/>
      <c r="R137" s="147"/>
      <c r="AJ137" s="56"/>
      <c r="AK137" s="56"/>
      <c r="AM137" s="88"/>
      <c r="AO137" s="86"/>
      <c r="AP137" s="86"/>
      <c r="CB137" s="17"/>
      <c r="CC137" s="17"/>
    </row>
    <row r="138" spans="1:81" ht="12.75" customHeight="1" x14ac:dyDescent="0.2">
      <c r="A138" s="117"/>
      <c r="B138" s="26" t="s">
        <v>122</v>
      </c>
      <c r="C138" s="121"/>
      <c r="D138" s="4"/>
      <c r="E138" s="51"/>
      <c r="F138" s="51"/>
      <c r="G138" s="51"/>
      <c r="H138" s="51"/>
      <c r="I138" s="51"/>
      <c r="J138" s="476"/>
      <c r="K138" s="477"/>
      <c r="L138" s="51"/>
      <c r="M138" s="51"/>
      <c r="N138" s="44"/>
      <c r="O138" s="8"/>
      <c r="P138" s="62"/>
      <c r="Q138" s="62"/>
      <c r="R138" s="63"/>
      <c r="S138" s="60"/>
      <c r="Z138" s="58"/>
      <c r="AA138" s="58"/>
      <c r="AB138" s="58"/>
      <c r="AJ138" s="56"/>
      <c r="AK138" s="56"/>
      <c r="AM138" s="88"/>
      <c r="AO138" s="86"/>
      <c r="AP138" s="86"/>
      <c r="CB138" s="17"/>
      <c r="CC138" s="17"/>
    </row>
    <row r="139" spans="1:81" ht="12.75" customHeight="1" thickBot="1" x14ac:dyDescent="0.25">
      <c r="A139" s="117"/>
      <c r="B139" s="29" t="s">
        <v>123</v>
      </c>
      <c r="C139" s="122"/>
      <c r="D139" s="230"/>
      <c r="E139" s="51"/>
      <c r="F139" s="51"/>
      <c r="G139" s="51"/>
      <c r="H139" s="51"/>
      <c r="I139" s="51"/>
      <c r="J139" s="124"/>
      <c r="K139" s="51"/>
      <c r="L139" s="51"/>
      <c r="M139" s="51"/>
      <c r="N139" s="44"/>
      <c r="O139" s="8"/>
      <c r="P139" s="62"/>
      <c r="Q139" s="62"/>
      <c r="R139" s="63"/>
      <c r="S139" s="60"/>
      <c r="Z139" s="58"/>
      <c r="AA139" s="58"/>
      <c r="AB139" s="58"/>
      <c r="AJ139" s="56"/>
      <c r="AK139" s="56"/>
      <c r="AM139" s="88"/>
      <c r="AO139" s="86"/>
      <c r="AP139" s="86"/>
      <c r="CB139" s="17"/>
      <c r="CC139" s="17"/>
    </row>
    <row r="140" spans="1:81" ht="12.75" customHeight="1" x14ac:dyDescent="0.2">
      <c r="A140" s="117"/>
      <c r="B140" s="27" t="s">
        <v>17</v>
      </c>
      <c r="C140" s="123"/>
      <c r="D140" s="4"/>
      <c r="E140" s="51"/>
      <c r="F140" s="51"/>
      <c r="G140" s="51"/>
      <c r="H140" s="51"/>
      <c r="I140" s="51"/>
      <c r="J140" s="478" t="s">
        <v>527</v>
      </c>
      <c r="K140" s="479"/>
      <c r="L140" s="51"/>
      <c r="M140" s="51"/>
      <c r="N140" s="44"/>
      <c r="O140" s="8"/>
      <c r="P140" s="62"/>
      <c r="Q140" s="62"/>
      <c r="R140" s="63"/>
      <c r="S140" s="60"/>
      <c r="Z140" s="58"/>
      <c r="AA140" s="58"/>
      <c r="AB140" s="58"/>
      <c r="AJ140" s="56"/>
      <c r="AK140" s="56"/>
      <c r="AM140" s="88"/>
      <c r="AO140" s="86"/>
      <c r="AP140" s="86"/>
      <c r="CB140" s="17"/>
      <c r="CC140" s="17"/>
    </row>
    <row r="141" spans="1:81" ht="12.75" customHeight="1" thickBot="1" x14ac:dyDescent="0.25">
      <c r="A141" s="117"/>
      <c r="B141" s="14" t="s">
        <v>18</v>
      </c>
      <c r="C141" s="5"/>
      <c r="D141" s="230"/>
      <c r="E141" s="51"/>
      <c r="F141" s="51"/>
      <c r="G141" s="51"/>
      <c r="H141" s="51"/>
      <c r="I141" s="51"/>
      <c r="J141" s="476"/>
      <c r="K141" s="477"/>
      <c r="L141" s="51"/>
      <c r="M141" s="51"/>
      <c r="N141" s="44"/>
      <c r="O141" s="8"/>
      <c r="P141" s="62"/>
      <c r="Q141" s="62"/>
      <c r="R141" s="63"/>
      <c r="S141" s="60"/>
      <c r="Z141" s="58"/>
      <c r="AA141" s="58"/>
      <c r="AB141" s="58"/>
      <c r="AJ141" s="56"/>
      <c r="AK141" s="56"/>
      <c r="AM141" s="88"/>
      <c r="AO141" s="86"/>
      <c r="AP141" s="86"/>
      <c r="CB141" s="17"/>
      <c r="CC141" s="17"/>
    </row>
    <row r="142" spans="1:81" ht="12.75" customHeight="1" x14ac:dyDescent="0.2">
      <c r="A142" s="117"/>
      <c r="B142" s="9" t="s">
        <v>407</v>
      </c>
      <c r="C142" s="4"/>
      <c r="D142" s="4"/>
      <c r="E142" s="51"/>
      <c r="F142" s="51"/>
      <c r="G142" s="51"/>
      <c r="H142" s="51"/>
      <c r="I142" s="51"/>
      <c r="J142" s="124"/>
      <c r="K142" s="51"/>
      <c r="L142" s="51"/>
      <c r="M142" s="118"/>
      <c r="N142" s="119"/>
      <c r="O142" s="8"/>
      <c r="P142" s="62"/>
      <c r="Q142" s="62"/>
      <c r="R142" s="63"/>
      <c r="S142" s="60"/>
      <c r="Z142" s="58"/>
      <c r="AA142" s="58"/>
      <c r="AB142" s="58"/>
      <c r="AJ142" s="56"/>
      <c r="AK142" s="56"/>
      <c r="AM142" s="88"/>
      <c r="AO142" s="86"/>
      <c r="AP142" s="86"/>
      <c r="CB142" s="17"/>
      <c r="CC142" s="17"/>
    </row>
    <row r="143" spans="1:81" ht="12.75" customHeight="1" thickBot="1" x14ac:dyDescent="0.25">
      <c r="A143" s="117"/>
      <c r="B143" s="10" t="s">
        <v>408</v>
      </c>
      <c r="C143" s="5"/>
      <c r="D143" s="230"/>
      <c r="E143" s="51"/>
      <c r="F143" s="51"/>
      <c r="G143" s="51"/>
      <c r="H143" s="51"/>
      <c r="I143" s="51"/>
      <c r="J143" s="478" t="s">
        <v>1151</v>
      </c>
      <c r="K143" s="479"/>
      <c r="L143" s="51"/>
      <c r="M143" s="51"/>
      <c r="N143" s="44"/>
      <c r="O143" s="8"/>
      <c r="P143" s="62"/>
      <c r="Q143" s="62"/>
      <c r="R143" s="63"/>
      <c r="S143" s="60"/>
      <c r="Z143" s="58"/>
      <c r="AA143" s="58"/>
      <c r="AB143" s="58"/>
      <c r="AJ143" s="56"/>
      <c r="AK143" s="56"/>
      <c r="AM143" s="88"/>
      <c r="AO143" s="86"/>
      <c r="AP143" s="86"/>
      <c r="CB143" s="17"/>
      <c r="CC143" s="17"/>
    </row>
    <row r="144" spans="1:81" ht="12.75" customHeight="1" x14ac:dyDescent="0.2">
      <c r="A144" s="117"/>
      <c r="B144" s="51"/>
      <c r="C144" s="51"/>
      <c r="D144" s="51"/>
      <c r="E144" s="51"/>
      <c r="F144" s="51"/>
      <c r="G144" s="51"/>
      <c r="H144" s="51"/>
      <c r="I144" s="51"/>
      <c r="J144" s="476"/>
      <c r="K144" s="477"/>
      <c r="L144" s="51"/>
      <c r="M144" s="51"/>
      <c r="N144" s="44"/>
      <c r="O144" s="8"/>
      <c r="P144" s="85"/>
      <c r="Q144" s="85"/>
      <c r="R144" s="147"/>
      <c r="S144" s="60"/>
      <c r="AJ144" s="56"/>
      <c r="AK144" s="56"/>
      <c r="AM144" s="88"/>
      <c r="AO144" s="86"/>
      <c r="AP144" s="86"/>
      <c r="CB144" s="17"/>
      <c r="CC144" s="17"/>
    </row>
    <row r="145" spans="1:81" ht="12.75" customHeight="1" x14ac:dyDescent="0.2">
      <c r="A145" s="117"/>
      <c r="B145" s="51"/>
      <c r="C145" s="51"/>
      <c r="D145" s="51"/>
      <c r="E145" s="51"/>
      <c r="F145" s="51"/>
      <c r="G145" s="51"/>
      <c r="H145" s="51"/>
      <c r="I145" s="51"/>
      <c r="J145" s="51"/>
      <c r="K145" s="51"/>
      <c r="L145" s="118"/>
      <c r="M145" s="51"/>
      <c r="N145" s="44"/>
      <c r="O145" s="96"/>
      <c r="P145" s="85"/>
      <c r="Q145" s="85"/>
      <c r="R145" s="147"/>
      <c r="S145" s="60"/>
      <c r="AJ145" s="56"/>
      <c r="AK145" s="56"/>
      <c r="AM145" s="88"/>
      <c r="AO145" s="86"/>
      <c r="AP145" s="86"/>
      <c r="CB145" s="17"/>
      <c r="CC145" s="17"/>
    </row>
    <row r="146" spans="1:81" ht="12.75" customHeight="1" x14ac:dyDescent="0.2">
      <c r="A146" s="117"/>
      <c r="B146" s="51"/>
      <c r="C146" s="51"/>
      <c r="D146" s="51"/>
      <c r="E146" s="51"/>
      <c r="F146" s="51"/>
      <c r="G146" s="51"/>
      <c r="H146" s="51"/>
      <c r="I146" s="51"/>
      <c r="J146" s="484" t="s">
        <v>349</v>
      </c>
      <c r="K146" s="485"/>
      <c r="L146" s="51"/>
      <c r="M146" s="51"/>
      <c r="N146" s="44"/>
      <c r="O146" s="96"/>
      <c r="P146" s="85"/>
      <c r="Q146" s="85"/>
      <c r="R146" s="147"/>
      <c r="S146" s="60"/>
      <c r="AJ146" s="56"/>
      <c r="AK146" s="56"/>
      <c r="AM146" s="88"/>
      <c r="AO146" s="86"/>
      <c r="AP146" s="86"/>
      <c r="CB146" s="17"/>
      <c r="CC146" s="17"/>
    </row>
    <row r="147" spans="1:81" ht="12.75" customHeight="1" x14ac:dyDescent="0.2">
      <c r="A147" s="117"/>
      <c r="B147" s="51"/>
      <c r="C147" s="51"/>
      <c r="D147" s="51"/>
      <c r="E147" s="51"/>
      <c r="F147" s="51"/>
      <c r="G147" s="51"/>
      <c r="H147" s="51"/>
      <c r="I147" s="51"/>
      <c r="J147" s="476"/>
      <c r="K147" s="477"/>
      <c r="L147" s="51"/>
      <c r="M147" s="51"/>
      <c r="N147" s="44"/>
      <c r="O147" s="96"/>
      <c r="P147" s="85"/>
      <c r="Q147" s="85"/>
      <c r="R147" s="147"/>
      <c r="S147" s="60"/>
      <c r="AJ147" s="56"/>
      <c r="AK147" s="56"/>
      <c r="AM147" s="88"/>
      <c r="AO147" s="86"/>
      <c r="AP147" s="86"/>
      <c r="CB147" s="17"/>
      <c r="CC147" s="17"/>
    </row>
    <row r="148" spans="1:81" ht="12.75" customHeight="1" x14ac:dyDescent="0.2">
      <c r="A148" s="117"/>
      <c r="B148" s="51"/>
      <c r="C148" s="51"/>
      <c r="D148" s="51"/>
      <c r="E148" s="51"/>
      <c r="F148" s="51"/>
      <c r="G148" s="51"/>
      <c r="H148" s="51"/>
      <c r="I148" s="51"/>
      <c r="J148" s="118"/>
      <c r="K148" s="118"/>
      <c r="L148" s="51"/>
      <c r="M148" s="51"/>
      <c r="N148" s="44"/>
      <c r="O148" s="96"/>
      <c r="P148" s="85"/>
      <c r="Q148" s="85"/>
      <c r="R148" s="147"/>
      <c r="S148" s="60"/>
      <c r="AJ148" s="56"/>
      <c r="AK148" s="56"/>
      <c r="AM148" s="88"/>
      <c r="AO148" s="86"/>
      <c r="AP148" s="86"/>
      <c r="CB148" s="17"/>
      <c r="CC148" s="17"/>
    </row>
    <row r="149" spans="1:81" ht="12.75" customHeight="1" x14ac:dyDescent="0.2">
      <c r="A149" s="117"/>
      <c r="B149" s="51"/>
      <c r="C149" s="51"/>
      <c r="D149" s="51"/>
      <c r="E149" s="51"/>
      <c r="F149" s="51"/>
      <c r="G149" s="51"/>
      <c r="H149" s="51"/>
      <c r="I149" s="51"/>
      <c r="J149" s="18" t="s">
        <v>125</v>
      </c>
      <c r="K149" s="106"/>
      <c r="L149" s="51" t="str">
        <f>IF(OR(ChoixPaillageOies="",ChoixPaillageOies=NON),"","coût : "&amp;PrixPaille*84*SUM(TotalOies)/1000&amp;"€/an")</f>
        <v/>
      </c>
      <c r="M149" s="51"/>
      <c r="N149" s="44"/>
      <c r="O149" s="96"/>
      <c r="P149" s="85"/>
      <c r="Q149" s="85"/>
      <c r="R149" s="147"/>
      <c r="S149" s="60"/>
      <c r="AJ149" s="56"/>
      <c r="AK149" s="56"/>
      <c r="AM149" s="88"/>
      <c r="AO149" s="86"/>
      <c r="AP149" s="86"/>
      <c r="CB149" s="17"/>
      <c r="CC149" s="17"/>
    </row>
    <row r="150" spans="1:81" ht="12.75" customHeight="1" x14ac:dyDescent="0.2">
      <c r="A150" s="117"/>
      <c r="B150" s="51"/>
      <c r="C150" s="51"/>
      <c r="D150" s="51"/>
      <c r="E150" s="51"/>
      <c r="F150" s="51"/>
      <c r="G150" s="51"/>
      <c r="H150" s="51"/>
      <c r="I150" s="51"/>
      <c r="J150" s="19" t="s">
        <v>124</v>
      </c>
      <c r="K150" s="106"/>
      <c r="L150" s="51" t="str">
        <f>IF(ChoixVaccinOies=OUI,"coût : " &amp;SUM(TotalOies)*PrixVaccinOie &amp;"€/an","")</f>
        <v/>
      </c>
      <c r="M150" s="51"/>
      <c r="N150" s="44"/>
      <c r="O150" s="96"/>
      <c r="P150" s="85"/>
      <c r="Q150" s="85"/>
      <c r="R150" s="147"/>
      <c r="S150" s="60"/>
      <c r="AJ150" s="56"/>
      <c r="AK150" s="56"/>
      <c r="AM150" s="88"/>
      <c r="AO150" s="86"/>
      <c r="AP150" s="86"/>
      <c r="CB150" s="17"/>
      <c r="CC150" s="17"/>
    </row>
    <row r="151" spans="1:81" ht="12.75" customHeight="1" thickBot="1" x14ac:dyDescent="0.25">
      <c r="A151" s="125"/>
      <c r="B151" s="52"/>
      <c r="C151" s="52"/>
      <c r="D151" s="52"/>
      <c r="E151" s="52"/>
      <c r="F151" s="52"/>
      <c r="G151" s="52"/>
      <c r="H151" s="52"/>
      <c r="I151" s="52"/>
      <c r="J151" s="45"/>
      <c r="K151" s="126"/>
      <c r="L151" s="52"/>
      <c r="M151" s="52"/>
      <c r="N151" s="46"/>
      <c r="O151" s="96"/>
      <c r="P151" s="85"/>
      <c r="Q151" s="85"/>
      <c r="R151" s="147"/>
      <c r="S151" s="60"/>
      <c r="AJ151" s="56"/>
      <c r="AK151" s="56"/>
      <c r="AM151" s="88"/>
      <c r="AO151" s="86"/>
      <c r="AP151" s="86"/>
      <c r="CB151" s="17"/>
      <c r="CC151" s="17"/>
    </row>
    <row r="152" spans="1:81" ht="12.75" customHeight="1" thickBot="1" x14ac:dyDescent="0.25">
      <c r="A152" s="93" t="s">
        <v>19</v>
      </c>
      <c r="B152" s="94"/>
      <c r="C152" s="94"/>
      <c r="D152" s="94"/>
      <c r="E152" s="94"/>
      <c r="F152" s="94"/>
      <c r="G152" s="94"/>
      <c r="H152" s="94"/>
      <c r="I152" s="94"/>
      <c r="J152" s="94"/>
      <c r="K152" s="94"/>
      <c r="L152" s="94"/>
      <c r="M152" s="94"/>
      <c r="N152" s="95"/>
      <c r="O152" s="96"/>
      <c r="P152" s="85"/>
      <c r="Q152" s="85"/>
      <c r="R152" s="147"/>
      <c r="S152" s="60"/>
      <c r="AJ152" s="56"/>
      <c r="AK152" s="56"/>
      <c r="AM152" s="88"/>
      <c r="AO152" s="86"/>
      <c r="AP152" s="86"/>
      <c r="CB152" s="17"/>
      <c r="CC152" s="17"/>
    </row>
    <row r="153" spans="1:81" ht="12.75" customHeight="1" thickBot="1" x14ac:dyDescent="0.25">
      <c r="A153" s="97" t="str">
        <f>"Total : "&amp;SUM(TotalCanards)</f>
        <v>Total : 0</v>
      </c>
      <c r="B153" s="47"/>
      <c r="C153" s="33" t="s">
        <v>350</v>
      </c>
      <c r="D153" s="78" t="s">
        <v>1108</v>
      </c>
      <c r="E153" s="47"/>
      <c r="F153" s="47"/>
      <c r="G153" s="47"/>
      <c r="H153" s="47"/>
      <c r="I153" s="47"/>
      <c r="J153" s="480" t="s">
        <v>348</v>
      </c>
      <c r="K153" s="480"/>
      <c r="L153" s="47"/>
      <c r="M153" s="47"/>
      <c r="N153" s="43"/>
      <c r="O153" s="96"/>
      <c r="P153" s="85"/>
      <c r="Q153" s="85"/>
      <c r="R153" s="147"/>
      <c r="S153" s="60"/>
      <c r="AJ153" s="56"/>
      <c r="AK153" s="56"/>
      <c r="AM153" s="88"/>
      <c r="AO153" s="86"/>
      <c r="AP153" s="86"/>
      <c r="CB153" s="17"/>
      <c r="CC153" s="17"/>
    </row>
    <row r="154" spans="1:81" ht="12.75" customHeight="1" x14ac:dyDescent="0.2">
      <c r="A154" s="97"/>
      <c r="B154" s="26" t="s">
        <v>253</v>
      </c>
      <c r="C154" s="121"/>
      <c r="D154" s="4"/>
      <c r="E154" s="47"/>
      <c r="F154" s="47"/>
      <c r="G154" s="47"/>
      <c r="H154" s="47"/>
      <c r="I154" s="47"/>
      <c r="J154" s="476"/>
      <c r="K154" s="477"/>
      <c r="L154" s="47"/>
      <c r="M154" s="47"/>
      <c r="N154" s="43"/>
      <c r="O154" s="96"/>
      <c r="P154" s="85"/>
      <c r="Q154" s="85"/>
      <c r="R154" s="147"/>
      <c r="AJ154" s="56"/>
      <c r="AK154" s="56"/>
      <c r="AM154" s="88"/>
      <c r="AO154" s="86"/>
      <c r="AP154" s="86"/>
      <c r="CB154" s="17"/>
      <c r="CC154" s="17"/>
    </row>
    <row r="155" spans="1:81" ht="12.75" customHeight="1" thickBot="1" x14ac:dyDescent="0.25">
      <c r="A155" s="97"/>
      <c r="B155" s="29" t="s">
        <v>254</v>
      </c>
      <c r="C155" s="122"/>
      <c r="D155" s="230"/>
      <c r="E155" s="47"/>
      <c r="F155" s="47"/>
      <c r="G155" s="47"/>
      <c r="H155" s="47"/>
      <c r="I155" s="47"/>
      <c r="J155" s="103"/>
      <c r="K155" s="47"/>
      <c r="L155" s="47"/>
      <c r="M155" s="47"/>
      <c r="N155" s="43"/>
      <c r="O155" s="96"/>
      <c r="P155" s="85"/>
      <c r="Q155" s="85"/>
      <c r="R155" s="147"/>
      <c r="S155" s="58"/>
      <c r="AJ155" s="56"/>
      <c r="AK155" s="56"/>
      <c r="AM155" s="88"/>
      <c r="AO155" s="86"/>
      <c r="AP155" s="86"/>
      <c r="CB155" s="17"/>
      <c r="CC155" s="17"/>
    </row>
    <row r="156" spans="1:81" ht="12.75" customHeight="1" x14ac:dyDescent="0.2">
      <c r="A156" s="97"/>
      <c r="B156" s="27" t="s">
        <v>255</v>
      </c>
      <c r="C156" s="123"/>
      <c r="D156" s="4"/>
      <c r="E156" s="47"/>
      <c r="F156" s="47"/>
      <c r="G156" s="47"/>
      <c r="H156" s="47"/>
      <c r="I156" s="47"/>
      <c r="J156" s="478" t="s">
        <v>527</v>
      </c>
      <c r="K156" s="479"/>
      <c r="L156" s="47"/>
      <c r="M156" s="47"/>
      <c r="N156" s="43"/>
      <c r="O156" s="96"/>
      <c r="P156" s="85"/>
      <c r="Q156" s="85"/>
      <c r="R156" s="147"/>
      <c r="AJ156" s="56"/>
      <c r="AK156" s="56"/>
      <c r="AM156" s="88"/>
      <c r="AO156" s="86"/>
      <c r="AP156" s="86"/>
      <c r="CB156" s="17"/>
      <c r="CC156" s="17"/>
    </row>
    <row r="157" spans="1:81" ht="12.75" customHeight="1" thickBot="1" x14ac:dyDescent="0.25">
      <c r="A157" s="97"/>
      <c r="B157" s="14" t="s">
        <v>256</v>
      </c>
      <c r="C157" s="5"/>
      <c r="D157" s="230"/>
      <c r="E157" s="47"/>
      <c r="F157" s="47"/>
      <c r="G157" s="47"/>
      <c r="H157" s="47"/>
      <c r="I157" s="47"/>
      <c r="J157" s="476"/>
      <c r="K157" s="477"/>
      <c r="L157" s="47"/>
      <c r="M157" s="47"/>
      <c r="N157" s="43"/>
      <c r="O157" s="96"/>
      <c r="P157" s="85"/>
      <c r="Q157" s="85"/>
      <c r="R157" s="147"/>
      <c r="AJ157" s="56"/>
      <c r="AK157" s="56"/>
      <c r="AM157" s="88"/>
      <c r="AO157" s="86"/>
      <c r="AP157" s="86"/>
      <c r="CB157" s="17"/>
      <c r="CC157" s="17"/>
    </row>
    <row r="158" spans="1:81" ht="12.75" customHeight="1" x14ac:dyDescent="0.2">
      <c r="A158" s="97"/>
      <c r="B158" s="9" t="s">
        <v>258</v>
      </c>
      <c r="C158" s="4"/>
      <c r="D158" s="4"/>
      <c r="E158" s="47"/>
      <c r="F158" s="47"/>
      <c r="G158" s="47"/>
      <c r="H158" s="47"/>
      <c r="I158" s="47"/>
      <c r="J158" s="103"/>
      <c r="K158" s="47"/>
      <c r="L158" s="47"/>
      <c r="M158" s="131"/>
      <c r="N158" s="132"/>
      <c r="O158" s="96"/>
      <c r="P158" s="85"/>
      <c r="Q158" s="85"/>
      <c r="R158" s="147"/>
      <c r="AJ158" s="56"/>
      <c r="AK158" s="56"/>
      <c r="AM158" s="88"/>
      <c r="AO158" s="86"/>
      <c r="AP158" s="86"/>
      <c r="CB158" s="17"/>
      <c r="CC158" s="17"/>
    </row>
    <row r="159" spans="1:81" ht="12.75" customHeight="1" thickBot="1" x14ac:dyDescent="0.25">
      <c r="A159" s="97"/>
      <c r="B159" s="10" t="s">
        <v>257</v>
      </c>
      <c r="C159" s="5"/>
      <c r="D159" s="230"/>
      <c r="E159" s="47"/>
      <c r="F159" s="47"/>
      <c r="G159" s="47"/>
      <c r="H159" s="47"/>
      <c r="I159" s="47"/>
      <c r="J159" s="478" t="s">
        <v>1151</v>
      </c>
      <c r="K159" s="479"/>
      <c r="L159" s="47"/>
      <c r="M159" s="47"/>
      <c r="N159" s="43"/>
      <c r="O159" s="96"/>
      <c r="P159" s="85"/>
      <c r="Q159" s="85"/>
      <c r="R159" s="147"/>
      <c r="AJ159" s="56"/>
      <c r="AK159" s="56"/>
      <c r="AM159" s="88"/>
      <c r="AO159" s="86"/>
      <c r="AP159" s="86"/>
      <c r="CB159" s="17"/>
      <c r="CC159" s="17"/>
    </row>
    <row r="160" spans="1:81" ht="12.75" customHeight="1" x14ac:dyDescent="0.2">
      <c r="A160" s="97"/>
      <c r="B160" s="47"/>
      <c r="C160" s="47"/>
      <c r="D160" s="47"/>
      <c r="E160" s="47"/>
      <c r="F160" s="47"/>
      <c r="G160" s="47"/>
      <c r="H160" s="47"/>
      <c r="I160" s="47"/>
      <c r="J160" s="476"/>
      <c r="K160" s="477"/>
      <c r="L160" s="47"/>
      <c r="M160" s="47"/>
      <c r="N160" s="43"/>
      <c r="O160" s="96"/>
      <c r="P160" s="85"/>
      <c r="Q160" s="85"/>
      <c r="R160" s="147"/>
      <c r="AJ160" s="56"/>
      <c r="AK160" s="56"/>
      <c r="AM160" s="88"/>
      <c r="AO160" s="86"/>
      <c r="AP160" s="86"/>
      <c r="CB160" s="17"/>
      <c r="CC160" s="17"/>
    </row>
    <row r="161" spans="1:81" ht="12.75" customHeight="1" x14ac:dyDescent="0.2">
      <c r="A161" s="97"/>
      <c r="B161" s="47"/>
      <c r="C161" s="47"/>
      <c r="D161" s="47"/>
      <c r="E161" s="47"/>
      <c r="F161" s="47"/>
      <c r="G161" s="47"/>
      <c r="H161" s="47"/>
      <c r="I161" s="47"/>
      <c r="J161" s="103"/>
      <c r="K161" s="47"/>
      <c r="L161" s="131"/>
      <c r="M161" s="47"/>
      <c r="N161" s="43"/>
      <c r="O161" s="96"/>
      <c r="P161" s="85"/>
      <c r="Q161" s="85"/>
      <c r="R161" s="147"/>
      <c r="AJ161" s="56"/>
      <c r="AK161" s="56"/>
      <c r="AM161" s="88"/>
      <c r="AO161" s="86"/>
      <c r="AP161" s="86"/>
      <c r="CB161" s="17"/>
      <c r="CC161" s="17"/>
    </row>
    <row r="162" spans="1:81" ht="12.75" customHeight="1" x14ac:dyDescent="0.2">
      <c r="A162" s="97"/>
      <c r="B162" s="47"/>
      <c r="C162" s="47"/>
      <c r="D162" s="47"/>
      <c r="E162" s="47"/>
      <c r="F162" s="47"/>
      <c r="G162" s="47"/>
      <c r="H162" s="47"/>
      <c r="I162" s="47"/>
      <c r="J162" s="484" t="s">
        <v>349</v>
      </c>
      <c r="K162" s="485"/>
      <c r="L162" s="47"/>
      <c r="M162" s="47"/>
      <c r="N162" s="43"/>
      <c r="O162" s="96"/>
      <c r="P162" s="85"/>
      <c r="Q162" s="85"/>
      <c r="R162" s="147"/>
      <c r="AJ162" s="56"/>
      <c r="AK162" s="56"/>
      <c r="AM162" s="88"/>
      <c r="AO162" s="86"/>
      <c r="AP162" s="86"/>
      <c r="CB162" s="17"/>
      <c r="CC162" s="17"/>
    </row>
    <row r="163" spans="1:81" ht="12.75" customHeight="1" x14ac:dyDescent="0.2">
      <c r="A163" s="97"/>
      <c r="B163" s="47"/>
      <c r="C163" s="47"/>
      <c r="D163" s="47"/>
      <c r="E163" s="47"/>
      <c r="F163" s="47"/>
      <c r="G163" s="47"/>
      <c r="H163" s="47"/>
      <c r="I163" s="47"/>
      <c r="J163" s="476"/>
      <c r="K163" s="477"/>
      <c r="L163" s="47"/>
      <c r="M163" s="47"/>
      <c r="N163" s="43"/>
      <c r="O163" s="96"/>
      <c r="P163" s="85"/>
      <c r="Q163" s="85"/>
      <c r="R163" s="147"/>
      <c r="AJ163" s="56"/>
      <c r="AK163" s="56"/>
      <c r="AM163" s="88"/>
      <c r="AO163" s="86"/>
      <c r="AP163" s="86"/>
      <c r="CB163" s="17"/>
      <c r="CC163" s="17"/>
    </row>
    <row r="164" spans="1:81" ht="12.75" customHeight="1" x14ac:dyDescent="0.2">
      <c r="A164" s="97"/>
      <c r="B164" s="47"/>
      <c r="C164" s="47"/>
      <c r="D164" s="47"/>
      <c r="E164" s="47"/>
      <c r="F164" s="47"/>
      <c r="G164" s="47"/>
      <c r="H164" s="47"/>
      <c r="I164" s="47"/>
      <c r="J164" s="131"/>
      <c r="K164" s="131"/>
      <c r="L164" s="47"/>
      <c r="M164" s="47"/>
      <c r="N164" s="43"/>
      <c r="O164" s="96"/>
      <c r="P164" s="85"/>
      <c r="Q164" s="85"/>
      <c r="R164" s="147"/>
      <c r="AJ164" s="56"/>
      <c r="AK164" s="56"/>
      <c r="AM164" s="88"/>
      <c r="AO164" s="86"/>
      <c r="AP164" s="86"/>
      <c r="CB164" s="17"/>
      <c r="CC164" s="17"/>
    </row>
    <row r="165" spans="1:81" ht="12.75" customHeight="1" x14ac:dyDescent="0.2">
      <c r="A165" s="97"/>
      <c r="B165" s="47"/>
      <c r="C165" s="47"/>
      <c r="D165" s="47"/>
      <c r="E165" s="47"/>
      <c r="F165" s="47"/>
      <c r="G165" s="47"/>
      <c r="H165" s="47"/>
      <c r="I165" s="47"/>
      <c r="J165" s="18" t="s">
        <v>125</v>
      </c>
      <c r="K165" s="106"/>
      <c r="L165" s="47" t="str">
        <f>IF(OR(ChoixPaillageCanards="",ChoixPaillageCanards=NON),"","coût : "&amp;PrixPaille*84*SUM(TotalCanards)/1000&amp;"€/an")</f>
        <v/>
      </c>
      <c r="M165" s="47"/>
      <c r="N165" s="43"/>
      <c r="O165" s="96"/>
      <c r="P165" s="85"/>
      <c r="Q165" s="85"/>
      <c r="R165" s="147"/>
      <c r="AJ165" s="56"/>
      <c r="AK165" s="56"/>
      <c r="AM165" s="88"/>
      <c r="AO165" s="86"/>
      <c r="AP165" s="86"/>
      <c r="CB165" s="17"/>
      <c r="CC165" s="17"/>
    </row>
    <row r="166" spans="1:81" ht="12.75" customHeight="1" x14ac:dyDescent="0.2">
      <c r="A166" s="97"/>
      <c r="B166" s="47"/>
      <c r="C166" s="47"/>
      <c r="D166" s="47"/>
      <c r="E166" s="47"/>
      <c r="F166" s="47"/>
      <c r="G166" s="47"/>
      <c r="H166" s="47"/>
      <c r="I166" s="47"/>
      <c r="J166" s="19" t="s">
        <v>124</v>
      </c>
      <c r="K166" s="106"/>
      <c r="L166" s="47" t="str">
        <f>IF(ChoixVaccinCanards=OUI,"coût : " &amp;SUM(TotalCanards)*PrixVaccinOie &amp;"€/an","")</f>
        <v/>
      </c>
      <c r="M166" s="47"/>
      <c r="N166" s="43"/>
      <c r="O166" s="96"/>
      <c r="P166" s="85"/>
      <c r="Q166" s="85"/>
      <c r="R166" s="147"/>
      <c r="AJ166" s="56"/>
      <c r="AK166" s="56"/>
      <c r="AM166" s="88"/>
      <c r="AO166" s="86"/>
      <c r="AP166" s="86"/>
      <c r="CB166" s="17"/>
      <c r="CC166" s="17"/>
    </row>
    <row r="167" spans="1:81" ht="12.75" customHeight="1" thickBot="1" x14ac:dyDescent="0.25">
      <c r="A167" s="107"/>
      <c r="B167" s="109"/>
      <c r="C167" s="109"/>
      <c r="D167" s="109"/>
      <c r="E167" s="109"/>
      <c r="F167" s="109"/>
      <c r="G167" s="109"/>
      <c r="H167" s="109"/>
      <c r="I167" s="109"/>
      <c r="J167" s="109"/>
      <c r="K167" s="109"/>
      <c r="L167" s="109"/>
      <c r="M167" s="109"/>
      <c r="N167" s="110"/>
      <c r="O167" s="96"/>
      <c r="P167" s="85"/>
      <c r="Q167" s="85"/>
      <c r="R167" s="147"/>
      <c r="AJ167" s="56"/>
      <c r="AK167" s="56"/>
      <c r="AM167" s="88"/>
      <c r="AO167" s="86"/>
      <c r="AP167" s="86"/>
      <c r="CB167" s="17"/>
      <c r="CC167" s="17"/>
    </row>
    <row r="168" spans="1:81" ht="12.75" customHeight="1" x14ac:dyDescent="0.2">
      <c r="A168" s="111" t="s">
        <v>876</v>
      </c>
      <c r="B168" s="112"/>
      <c r="C168" s="112"/>
      <c r="D168" s="112"/>
      <c r="E168" s="112"/>
      <c r="F168" s="112"/>
      <c r="G168" s="112"/>
      <c r="H168" s="112"/>
      <c r="I168" s="112"/>
      <c r="J168" s="112"/>
      <c r="K168" s="112"/>
      <c r="L168" s="112"/>
      <c r="M168" s="112"/>
      <c r="N168" s="156"/>
      <c r="O168" s="96"/>
      <c r="P168" s="85"/>
      <c r="Q168" s="85"/>
      <c r="R168" s="147"/>
      <c r="AJ168" s="56"/>
      <c r="AK168" s="56"/>
      <c r="AM168" s="88"/>
      <c r="AO168" s="86"/>
      <c r="AP168" s="86"/>
      <c r="CB168" s="17"/>
      <c r="CC168" s="17"/>
    </row>
    <row r="169" spans="1:81" ht="12.75" customHeight="1" thickBot="1" x14ac:dyDescent="0.25">
      <c r="A169" s="117" t="str">
        <f>"Total : "&amp;SUM(FoieGrasTotalOisons)+FoieGrasJeunesOies_3moisEtPlus</f>
        <v>Total : 0</v>
      </c>
      <c r="B169" s="51" t="s">
        <v>881</v>
      </c>
      <c r="C169" s="51"/>
      <c r="D169" s="51"/>
      <c r="E169" s="51"/>
      <c r="F169" s="51" t="s">
        <v>882</v>
      </c>
      <c r="G169" s="51"/>
      <c r="H169" s="51"/>
      <c r="I169" s="51"/>
      <c r="J169" s="480" t="s">
        <v>348</v>
      </c>
      <c r="K169" s="480"/>
      <c r="L169" s="51"/>
      <c r="M169" s="51"/>
      <c r="N169" s="44"/>
      <c r="O169" s="96"/>
      <c r="P169" s="85"/>
      <c r="Q169" s="85"/>
      <c r="R169" s="147"/>
      <c r="AJ169" s="56"/>
      <c r="AK169" s="56"/>
      <c r="AM169" s="88"/>
      <c r="AO169" s="86"/>
      <c r="AP169" s="86"/>
      <c r="CB169" s="17"/>
      <c r="CC169" s="17"/>
    </row>
    <row r="170" spans="1:81" ht="12.75" customHeight="1" thickBot="1" x14ac:dyDescent="0.25">
      <c r="A170" s="117"/>
      <c r="B170" s="51"/>
      <c r="C170" s="68" t="s">
        <v>350</v>
      </c>
      <c r="D170" s="238" t="s">
        <v>1108</v>
      </c>
      <c r="E170" s="51"/>
      <c r="F170" s="51"/>
      <c r="G170" s="68" t="s">
        <v>350</v>
      </c>
      <c r="H170" s="78" t="s">
        <v>1108</v>
      </c>
      <c r="I170" s="51"/>
      <c r="J170" s="476"/>
      <c r="K170" s="477"/>
      <c r="L170" s="51"/>
      <c r="M170" s="51"/>
      <c r="N170" s="44"/>
      <c r="O170" s="96"/>
      <c r="P170" s="85"/>
      <c r="Q170" s="85"/>
      <c r="R170" s="147"/>
      <c r="AJ170" s="56"/>
      <c r="AK170" s="56"/>
      <c r="AM170" s="88"/>
      <c r="AO170" s="86"/>
      <c r="AP170" s="86"/>
      <c r="CB170" s="17"/>
      <c r="CC170" s="17"/>
    </row>
    <row r="171" spans="1:81" ht="12.75" customHeight="1" thickBot="1" x14ac:dyDescent="0.25">
      <c r="A171" s="117"/>
      <c r="B171" s="26" t="s">
        <v>879</v>
      </c>
      <c r="C171" s="235"/>
      <c r="D171" s="123"/>
      <c r="E171" s="51"/>
      <c r="F171" s="70" t="s">
        <v>883</v>
      </c>
      <c r="G171" s="157"/>
      <c r="H171" s="234"/>
      <c r="I171" s="51"/>
      <c r="J171" s="124"/>
      <c r="K171" s="51"/>
      <c r="L171" s="51"/>
      <c r="M171" s="51"/>
      <c r="N171" s="44"/>
      <c r="O171" s="96"/>
      <c r="P171" s="85"/>
      <c r="Q171" s="85"/>
      <c r="R171" s="147"/>
      <c r="AJ171" s="56"/>
      <c r="AK171" s="56"/>
      <c r="AM171" s="88"/>
      <c r="AO171" s="86"/>
      <c r="AP171" s="86"/>
      <c r="CB171" s="17"/>
      <c r="CC171" s="17"/>
    </row>
    <row r="172" spans="1:81" ht="12.75" customHeight="1" x14ac:dyDescent="0.2">
      <c r="A172" s="117"/>
      <c r="B172" s="67" t="s">
        <v>880</v>
      </c>
      <c r="C172" s="236"/>
      <c r="D172" s="163"/>
      <c r="E172" s="51"/>
      <c r="F172" s="51"/>
      <c r="G172" s="51"/>
      <c r="H172" s="51"/>
      <c r="I172" s="51"/>
      <c r="J172" s="478" t="s">
        <v>527</v>
      </c>
      <c r="K172" s="479"/>
      <c r="L172" s="51"/>
      <c r="M172" s="51"/>
      <c r="N172" s="44"/>
      <c r="O172" s="96"/>
      <c r="P172" s="85"/>
      <c r="Q172" s="85"/>
      <c r="R172" s="147"/>
      <c r="AJ172" s="56"/>
      <c r="AK172" s="56"/>
      <c r="AM172" s="88"/>
      <c r="AO172" s="86"/>
      <c r="AP172" s="86"/>
      <c r="CB172" s="17"/>
      <c r="CC172" s="17"/>
    </row>
    <row r="173" spans="1:81" ht="12.75" customHeight="1" thickBot="1" x14ac:dyDescent="0.25">
      <c r="A173" s="117"/>
      <c r="B173" s="69" t="s">
        <v>878</v>
      </c>
      <c r="C173" s="237"/>
      <c r="D173" s="230"/>
      <c r="E173" s="51"/>
      <c r="F173" s="51"/>
      <c r="G173" s="51"/>
      <c r="H173" s="51"/>
      <c r="I173" s="51"/>
      <c r="J173" s="476"/>
      <c r="K173" s="477"/>
      <c r="L173" s="51"/>
      <c r="M173" s="51"/>
      <c r="N173" s="44"/>
      <c r="O173" s="96"/>
      <c r="P173" s="85"/>
      <c r="Q173" s="85"/>
      <c r="R173" s="147"/>
      <c r="AJ173" s="56"/>
      <c r="AK173" s="56"/>
      <c r="AM173" s="88"/>
      <c r="AO173" s="86"/>
      <c r="AP173" s="86"/>
      <c r="CB173" s="17"/>
      <c r="CC173" s="17"/>
    </row>
    <row r="174" spans="1:81" ht="12.75" customHeight="1" x14ac:dyDescent="0.2">
      <c r="A174" s="117"/>
      <c r="B174" s="51"/>
      <c r="C174" s="51"/>
      <c r="D174" s="51"/>
      <c r="E174" s="51"/>
      <c r="F174" s="51"/>
      <c r="G174" s="51"/>
      <c r="H174" s="51"/>
      <c r="I174" s="51"/>
      <c r="J174" s="124"/>
      <c r="K174" s="51"/>
      <c r="L174" s="51"/>
      <c r="M174" s="118"/>
      <c r="N174" s="119"/>
      <c r="O174" s="96"/>
      <c r="P174" s="85"/>
      <c r="Q174" s="85"/>
      <c r="R174" s="147"/>
      <c r="AJ174" s="56"/>
      <c r="AK174" s="56"/>
      <c r="AM174" s="88"/>
      <c r="AO174" s="86"/>
      <c r="AP174" s="86"/>
      <c r="CB174" s="17"/>
      <c r="CC174" s="17"/>
    </row>
    <row r="175" spans="1:81" ht="12.75" customHeight="1" x14ac:dyDescent="0.2">
      <c r="A175" s="117"/>
      <c r="B175" s="51"/>
      <c r="C175" s="51"/>
      <c r="D175" s="51"/>
      <c r="E175" s="51"/>
      <c r="F175" s="51"/>
      <c r="G175" s="51"/>
      <c r="H175" s="51"/>
      <c r="I175" s="51"/>
      <c r="J175" s="478" t="s">
        <v>1151</v>
      </c>
      <c r="K175" s="479"/>
      <c r="L175" s="51"/>
      <c r="M175" s="51"/>
      <c r="N175" s="44"/>
      <c r="O175" s="96"/>
      <c r="P175" s="85"/>
      <c r="Q175" s="85"/>
      <c r="R175" s="147"/>
      <c r="AJ175" s="56"/>
      <c r="AK175" s="56"/>
      <c r="AM175" s="88"/>
      <c r="AO175" s="86"/>
      <c r="AP175" s="86"/>
      <c r="CB175" s="17"/>
      <c r="CC175" s="17"/>
    </row>
    <row r="176" spans="1:81" ht="12.75" customHeight="1" x14ac:dyDescent="0.2">
      <c r="A176" s="117"/>
      <c r="B176" s="51"/>
      <c r="C176" s="51"/>
      <c r="D176" s="51"/>
      <c r="E176" s="51"/>
      <c r="F176" s="51"/>
      <c r="G176" s="51"/>
      <c r="H176" s="51"/>
      <c r="I176" s="51"/>
      <c r="J176" s="476"/>
      <c r="K176" s="477"/>
      <c r="L176" s="51"/>
      <c r="M176" s="51"/>
      <c r="N176" s="44"/>
      <c r="O176" s="96"/>
      <c r="P176" s="85"/>
      <c r="Q176" s="85"/>
      <c r="R176" s="147"/>
      <c r="AJ176" s="56"/>
      <c r="AK176" s="56"/>
      <c r="AM176" s="88"/>
      <c r="AO176" s="86"/>
      <c r="AP176" s="86"/>
      <c r="CB176" s="17"/>
      <c r="CC176" s="17"/>
    </row>
    <row r="177" spans="1:81" ht="12.75" customHeight="1" x14ac:dyDescent="0.2">
      <c r="A177" s="117"/>
      <c r="B177" s="51"/>
      <c r="C177" s="51"/>
      <c r="D177" s="51"/>
      <c r="E177" s="51"/>
      <c r="F177" s="51"/>
      <c r="G177" s="51"/>
      <c r="H177" s="51"/>
      <c r="I177" s="51"/>
      <c r="J177" s="51"/>
      <c r="K177" s="51"/>
      <c r="L177" s="118"/>
      <c r="M177" s="51"/>
      <c r="N177" s="44"/>
      <c r="O177" s="96"/>
      <c r="P177" s="85"/>
      <c r="Q177" s="85"/>
      <c r="R177" s="147"/>
      <c r="AJ177" s="56"/>
      <c r="AK177" s="56"/>
      <c r="AM177" s="88"/>
      <c r="AO177" s="86"/>
      <c r="AP177" s="86"/>
      <c r="CB177" s="17"/>
      <c r="CC177" s="17"/>
    </row>
    <row r="178" spans="1:81" ht="12.75" customHeight="1" x14ac:dyDescent="0.2">
      <c r="A178" s="117"/>
      <c r="B178" s="51"/>
      <c r="C178" s="51"/>
      <c r="D178" s="51"/>
      <c r="E178" s="51"/>
      <c r="F178" s="51"/>
      <c r="G178" s="51"/>
      <c r="H178" s="51"/>
      <c r="I178" s="51"/>
      <c r="J178" s="484" t="s">
        <v>349</v>
      </c>
      <c r="K178" s="485"/>
      <c r="L178" s="51"/>
      <c r="M178" s="51"/>
      <c r="N178" s="44"/>
      <c r="O178" s="96"/>
      <c r="P178" s="85"/>
      <c r="Q178" s="85"/>
      <c r="R178" s="147"/>
      <c r="AJ178" s="56"/>
      <c r="AK178" s="56"/>
      <c r="AM178" s="88"/>
      <c r="AO178" s="86"/>
      <c r="AP178" s="86"/>
      <c r="CB178" s="17"/>
      <c r="CC178" s="17"/>
    </row>
    <row r="179" spans="1:81" ht="12.75" customHeight="1" x14ac:dyDescent="0.2">
      <c r="A179" s="117"/>
      <c r="B179" s="51"/>
      <c r="C179" s="51"/>
      <c r="D179" s="51"/>
      <c r="E179" s="51"/>
      <c r="F179" s="51"/>
      <c r="G179" s="51"/>
      <c r="H179" s="51"/>
      <c r="I179" s="51"/>
      <c r="J179" s="476"/>
      <c r="K179" s="477"/>
      <c r="L179" s="51"/>
      <c r="M179" s="51"/>
      <c r="N179" s="44"/>
      <c r="O179" s="96"/>
      <c r="P179" s="85"/>
      <c r="Q179" s="85"/>
      <c r="R179" s="147"/>
      <c r="AJ179" s="56"/>
      <c r="AK179" s="56"/>
      <c r="AM179" s="88"/>
      <c r="AO179" s="86"/>
      <c r="AP179" s="86"/>
      <c r="CB179" s="17"/>
      <c r="CC179" s="17"/>
    </row>
    <row r="180" spans="1:81" ht="12.75" customHeight="1" x14ac:dyDescent="0.2">
      <c r="A180" s="117"/>
      <c r="B180" s="51"/>
      <c r="C180" s="51"/>
      <c r="D180" s="51"/>
      <c r="E180" s="51"/>
      <c r="F180" s="51"/>
      <c r="G180" s="51"/>
      <c r="H180" s="51"/>
      <c r="I180" s="51"/>
      <c r="J180" s="118"/>
      <c r="K180" s="118"/>
      <c r="L180" s="51"/>
      <c r="M180" s="51"/>
      <c r="N180" s="44"/>
      <c r="O180" s="96"/>
      <c r="P180" s="85"/>
      <c r="Q180" s="85"/>
      <c r="R180" s="147"/>
      <c r="AJ180" s="56"/>
      <c r="AK180" s="56"/>
      <c r="AM180" s="88"/>
      <c r="AO180" s="86"/>
      <c r="AP180" s="86"/>
      <c r="CB180" s="17"/>
      <c r="CC180" s="17"/>
    </row>
    <row r="181" spans="1:81" ht="12.75" customHeight="1" x14ac:dyDescent="0.2">
      <c r="A181" s="117"/>
      <c r="B181" s="51"/>
      <c r="C181" s="51"/>
      <c r="D181" s="51"/>
      <c r="E181" s="51"/>
      <c r="F181" s="51"/>
      <c r="G181" s="51"/>
      <c r="H181" s="51"/>
      <c r="I181" s="51"/>
      <c r="J181" s="51"/>
      <c r="K181" s="51"/>
      <c r="L181" s="51"/>
      <c r="M181" s="51"/>
      <c r="N181" s="44"/>
      <c r="O181" s="96"/>
      <c r="P181" s="85"/>
      <c r="Q181" s="85"/>
      <c r="R181" s="147"/>
      <c r="AJ181" s="56"/>
      <c r="AK181" s="56"/>
      <c r="AM181" s="88"/>
      <c r="AO181" s="86"/>
      <c r="AP181" s="86"/>
      <c r="CB181" s="17"/>
      <c r="CC181" s="17"/>
    </row>
    <row r="182" spans="1:81" ht="12.75" customHeight="1" x14ac:dyDescent="0.2">
      <c r="A182" s="117"/>
      <c r="B182" s="51"/>
      <c r="C182" s="51"/>
      <c r="D182" s="51"/>
      <c r="E182" s="51"/>
      <c r="F182" s="51"/>
      <c r="G182" s="51"/>
      <c r="H182" s="51"/>
      <c r="I182" s="51"/>
      <c r="J182" s="51"/>
      <c r="K182" s="51"/>
      <c r="L182" s="51"/>
      <c r="M182" s="51"/>
      <c r="N182" s="44"/>
      <c r="O182" s="96"/>
      <c r="P182" s="85"/>
      <c r="Q182" s="85"/>
      <c r="R182" s="147"/>
      <c r="AJ182" s="56"/>
      <c r="AK182" s="56"/>
      <c r="AM182" s="88"/>
      <c r="AO182" s="86"/>
      <c r="AP182" s="86"/>
      <c r="CB182" s="17"/>
      <c r="CC182" s="17"/>
    </row>
    <row r="183" spans="1:81" ht="12.75" customHeight="1" thickBot="1" x14ac:dyDescent="0.25">
      <c r="A183" s="125"/>
      <c r="B183" s="52"/>
      <c r="C183" s="52"/>
      <c r="D183" s="52"/>
      <c r="E183" s="52"/>
      <c r="F183" s="52"/>
      <c r="G183" s="52"/>
      <c r="H183" s="52"/>
      <c r="I183" s="52"/>
      <c r="J183" s="45"/>
      <c r="K183" s="126"/>
      <c r="L183" s="52"/>
      <c r="M183" s="52"/>
      <c r="N183" s="46"/>
      <c r="O183" s="96"/>
      <c r="P183" s="85"/>
      <c r="Q183" s="85"/>
      <c r="R183" s="147"/>
      <c r="AJ183" s="56"/>
      <c r="AK183" s="56"/>
      <c r="AM183" s="88"/>
      <c r="AO183" s="86"/>
      <c r="AP183" s="86"/>
      <c r="CB183" s="17"/>
      <c r="CC183" s="17"/>
    </row>
    <row r="184" spans="1:81" ht="12.75" customHeight="1" x14ac:dyDescent="0.2">
      <c r="A184" s="93" t="s">
        <v>877</v>
      </c>
      <c r="B184" s="94"/>
      <c r="C184" s="94"/>
      <c r="D184" s="94"/>
      <c r="E184" s="94"/>
      <c r="F184" s="94"/>
      <c r="G184" s="94"/>
      <c r="H184" s="94"/>
      <c r="I184" s="94"/>
      <c r="J184" s="94"/>
      <c r="K184" s="94"/>
      <c r="L184" s="94"/>
      <c r="M184" s="94"/>
      <c r="N184" s="95"/>
      <c r="O184" s="96"/>
      <c r="P184" s="85"/>
      <c r="Q184" s="85"/>
      <c r="R184" s="147"/>
      <c r="AJ184" s="56"/>
      <c r="AK184" s="56"/>
      <c r="AM184" s="88"/>
      <c r="AO184" s="86"/>
      <c r="AP184" s="86"/>
      <c r="CB184" s="17"/>
      <c r="CC184" s="17"/>
    </row>
    <row r="185" spans="1:81" ht="12.75" customHeight="1" thickBot="1" x14ac:dyDescent="0.25">
      <c r="A185" s="97" t="str">
        <f>"Total : "&amp;SUM(C187:C189)+TotalJeunesCanards_3moisEtPlus</f>
        <v>Total : 0</v>
      </c>
      <c r="B185" s="47" t="s">
        <v>881</v>
      </c>
      <c r="C185" s="47"/>
      <c r="D185" s="47"/>
      <c r="E185" s="47"/>
      <c r="F185" s="47" t="s">
        <v>882</v>
      </c>
      <c r="G185" s="47"/>
      <c r="H185" s="47"/>
      <c r="I185" s="47"/>
      <c r="J185" s="480" t="s">
        <v>348</v>
      </c>
      <c r="K185" s="480"/>
      <c r="L185" s="47"/>
      <c r="M185" s="47"/>
      <c r="N185" s="43"/>
      <c r="O185" s="96"/>
      <c r="P185" s="85"/>
      <c r="Q185" s="85"/>
      <c r="R185" s="147"/>
      <c r="AJ185" s="56"/>
      <c r="AK185" s="56"/>
      <c r="AM185" s="88"/>
      <c r="AO185" s="86"/>
      <c r="AP185" s="86"/>
      <c r="CB185" s="17"/>
      <c r="CC185" s="17"/>
    </row>
    <row r="186" spans="1:81" ht="12.75" customHeight="1" thickBot="1" x14ac:dyDescent="0.25">
      <c r="A186" s="97"/>
      <c r="B186" s="47"/>
      <c r="C186" s="68" t="s">
        <v>350</v>
      </c>
      <c r="D186" s="238" t="s">
        <v>1108</v>
      </c>
      <c r="E186" s="47"/>
      <c r="F186" s="47"/>
      <c r="G186" s="68" t="s">
        <v>350</v>
      </c>
      <c r="H186" s="78" t="s">
        <v>1108</v>
      </c>
      <c r="I186" s="47"/>
      <c r="J186" s="476"/>
      <c r="K186" s="477"/>
      <c r="L186" s="47"/>
      <c r="M186" s="47"/>
      <c r="N186" s="43"/>
      <c r="O186" s="96"/>
      <c r="P186" s="85"/>
      <c r="Q186" s="85"/>
      <c r="R186" s="147"/>
      <c r="AJ186" s="56"/>
      <c r="AK186" s="56"/>
      <c r="AM186" s="88"/>
      <c r="AO186" s="86"/>
      <c r="AP186" s="86"/>
      <c r="CB186" s="17"/>
      <c r="CC186" s="17"/>
    </row>
    <row r="187" spans="1:81" ht="12.75" customHeight="1" thickBot="1" x14ac:dyDescent="0.25">
      <c r="A187" s="97"/>
      <c r="B187" s="65" t="s">
        <v>982</v>
      </c>
      <c r="C187" s="235"/>
      <c r="D187" s="123"/>
      <c r="E187" s="47"/>
      <c r="F187" s="71" t="s">
        <v>883</v>
      </c>
      <c r="G187" s="157"/>
      <c r="H187" s="234"/>
      <c r="I187" s="47"/>
      <c r="J187" s="103"/>
      <c r="K187" s="47"/>
      <c r="L187" s="47"/>
      <c r="M187" s="47"/>
      <c r="N187" s="43"/>
      <c r="O187" s="96"/>
      <c r="P187" s="85"/>
      <c r="Q187" s="85"/>
      <c r="R187" s="147"/>
      <c r="AJ187" s="56"/>
      <c r="AK187" s="56"/>
      <c r="AM187" s="88"/>
      <c r="AO187" s="86"/>
      <c r="AP187" s="86"/>
      <c r="CB187" s="17"/>
      <c r="CC187" s="17"/>
    </row>
    <row r="188" spans="1:81" ht="12.75" customHeight="1" x14ac:dyDescent="0.2">
      <c r="A188" s="97"/>
      <c r="B188" s="66" t="s">
        <v>983</v>
      </c>
      <c r="C188" s="236"/>
      <c r="D188" s="163"/>
      <c r="E188" s="47"/>
      <c r="F188" s="47"/>
      <c r="G188" s="47"/>
      <c r="H188" s="47"/>
      <c r="I188" s="47"/>
      <c r="J188" s="478" t="s">
        <v>527</v>
      </c>
      <c r="K188" s="479"/>
      <c r="L188" s="47"/>
      <c r="M188" s="47"/>
      <c r="N188" s="43"/>
      <c r="O188" s="96"/>
      <c r="P188" s="85"/>
      <c r="Q188" s="85"/>
      <c r="R188" s="147"/>
      <c r="AJ188" s="56"/>
      <c r="AK188" s="56"/>
      <c r="AM188" s="88"/>
      <c r="AO188" s="86"/>
      <c r="AP188" s="86"/>
      <c r="CB188" s="17"/>
      <c r="CC188" s="17"/>
    </row>
    <row r="189" spans="1:81" ht="12.75" customHeight="1" thickBot="1" x14ac:dyDescent="0.25">
      <c r="A189" s="97"/>
      <c r="B189" s="72" t="s">
        <v>984</v>
      </c>
      <c r="C189" s="237"/>
      <c r="D189" s="230"/>
      <c r="E189" s="47"/>
      <c r="F189" s="47"/>
      <c r="G189" s="47"/>
      <c r="H189" s="47"/>
      <c r="I189" s="47"/>
      <c r="J189" s="476"/>
      <c r="K189" s="477"/>
      <c r="L189" s="47"/>
      <c r="M189" s="47"/>
      <c r="N189" s="43"/>
      <c r="O189" s="96"/>
      <c r="P189" s="85"/>
      <c r="Q189" s="85"/>
      <c r="R189" s="147"/>
      <c r="AJ189" s="56"/>
      <c r="AK189" s="56"/>
      <c r="AM189" s="88"/>
      <c r="AO189" s="86"/>
      <c r="AP189" s="86"/>
      <c r="CB189" s="17"/>
      <c r="CC189" s="17"/>
    </row>
    <row r="190" spans="1:81" ht="12.75" customHeight="1" x14ac:dyDescent="0.2">
      <c r="A190" s="97"/>
      <c r="B190" s="47"/>
      <c r="C190" s="47"/>
      <c r="D190" s="47"/>
      <c r="E190" s="47"/>
      <c r="F190" s="47"/>
      <c r="G190" s="47"/>
      <c r="H190" s="47"/>
      <c r="I190" s="47"/>
      <c r="J190" s="103"/>
      <c r="K190" s="47"/>
      <c r="L190" s="47"/>
      <c r="M190" s="131"/>
      <c r="N190" s="132"/>
      <c r="O190" s="96"/>
      <c r="P190" s="85"/>
      <c r="Q190" s="85"/>
      <c r="R190" s="147"/>
      <c r="AJ190" s="56"/>
      <c r="AK190" s="56"/>
      <c r="AM190" s="88"/>
      <c r="AO190" s="86"/>
      <c r="AP190" s="86"/>
      <c r="CB190" s="17"/>
      <c r="CC190" s="17"/>
    </row>
    <row r="191" spans="1:81" ht="12.75" customHeight="1" x14ac:dyDescent="0.2">
      <c r="A191" s="97"/>
      <c r="B191" s="47"/>
      <c r="C191" s="47"/>
      <c r="D191" s="47"/>
      <c r="E191" s="47"/>
      <c r="F191" s="47"/>
      <c r="G191" s="47"/>
      <c r="H191" s="47"/>
      <c r="I191" s="47"/>
      <c r="J191" s="478" t="s">
        <v>1151</v>
      </c>
      <c r="K191" s="479"/>
      <c r="L191" s="47"/>
      <c r="M191" s="47"/>
      <c r="N191" s="43"/>
      <c r="O191" s="96"/>
      <c r="P191" s="85"/>
      <c r="Q191" s="85"/>
      <c r="R191" s="147"/>
      <c r="AJ191" s="56"/>
      <c r="AK191" s="56"/>
      <c r="AM191" s="88"/>
      <c r="AO191" s="86"/>
      <c r="AP191" s="86"/>
      <c r="CB191" s="17"/>
      <c r="CC191" s="17"/>
    </row>
    <row r="192" spans="1:81" ht="12.75" customHeight="1" x14ac:dyDescent="0.2">
      <c r="A192" s="97"/>
      <c r="B192" s="47"/>
      <c r="C192" s="47"/>
      <c r="D192" s="47"/>
      <c r="E192" s="47"/>
      <c r="F192" s="47"/>
      <c r="G192" s="47"/>
      <c r="H192" s="47"/>
      <c r="I192" s="47"/>
      <c r="J192" s="476"/>
      <c r="K192" s="477"/>
      <c r="L192" s="47"/>
      <c r="M192" s="47"/>
      <c r="N192" s="43"/>
      <c r="O192" s="96"/>
      <c r="P192" s="85"/>
      <c r="Q192" s="85"/>
      <c r="R192" s="147"/>
      <c r="AJ192" s="56"/>
      <c r="AK192" s="56"/>
      <c r="AM192" s="88"/>
      <c r="AO192" s="86"/>
      <c r="AP192" s="86"/>
      <c r="CB192" s="17"/>
      <c r="CC192" s="17"/>
    </row>
    <row r="193" spans="1:81" ht="12.75" customHeight="1" x14ac:dyDescent="0.2">
      <c r="A193" s="97"/>
      <c r="B193" s="47"/>
      <c r="C193" s="47"/>
      <c r="D193" s="47"/>
      <c r="E193" s="47"/>
      <c r="F193" s="47"/>
      <c r="G193" s="47"/>
      <c r="H193" s="47"/>
      <c r="I193" s="47"/>
      <c r="J193" s="103"/>
      <c r="K193" s="47"/>
      <c r="L193" s="131"/>
      <c r="M193" s="47"/>
      <c r="N193" s="43"/>
      <c r="O193" s="96"/>
      <c r="P193" s="85"/>
      <c r="Q193" s="85"/>
      <c r="R193" s="147"/>
      <c r="AJ193" s="56"/>
      <c r="AK193" s="56"/>
      <c r="AM193" s="88"/>
      <c r="AO193" s="86"/>
      <c r="AP193" s="86"/>
      <c r="CB193" s="17"/>
      <c r="CC193" s="17"/>
    </row>
    <row r="194" spans="1:81" ht="12.75" customHeight="1" x14ac:dyDescent="0.2">
      <c r="A194" s="97"/>
      <c r="B194" s="47"/>
      <c r="C194" s="47"/>
      <c r="D194" s="47"/>
      <c r="E194" s="47"/>
      <c r="F194" s="47"/>
      <c r="G194" s="47"/>
      <c r="H194" s="47"/>
      <c r="I194" s="47"/>
      <c r="J194" s="484" t="s">
        <v>349</v>
      </c>
      <c r="K194" s="485"/>
      <c r="L194" s="47"/>
      <c r="M194" s="47"/>
      <c r="N194" s="43"/>
      <c r="O194" s="96"/>
      <c r="P194" s="85"/>
      <c r="Q194" s="85"/>
      <c r="R194" s="147"/>
      <c r="AJ194" s="56"/>
      <c r="AK194" s="56"/>
      <c r="AM194" s="88"/>
      <c r="AO194" s="86"/>
      <c r="AP194" s="86"/>
      <c r="CB194" s="17"/>
      <c r="CC194" s="17"/>
    </row>
    <row r="195" spans="1:81" ht="12.75" customHeight="1" x14ac:dyDescent="0.2">
      <c r="A195" s="97"/>
      <c r="B195" s="47"/>
      <c r="C195" s="47"/>
      <c r="D195" s="47"/>
      <c r="E195" s="47"/>
      <c r="F195" s="47"/>
      <c r="G195" s="47"/>
      <c r="H195" s="47"/>
      <c r="I195" s="47"/>
      <c r="J195" s="476"/>
      <c r="K195" s="477"/>
      <c r="L195" s="47"/>
      <c r="M195" s="47"/>
      <c r="N195" s="43"/>
      <c r="O195" s="96"/>
      <c r="P195" s="85"/>
      <c r="Q195" s="85"/>
      <c r="R195" s="147"/>
      <c r="AJ195" s="56"/>
      <c r="AK195" s="56"/>
      <c r="AM195" s="88"/>
      <c r="AO195" s="86"/>
      <c r="AP195" s="86"/>
      <c r="CB195" s="17"/>
      <c r="CC195" s="17"/>
    </row>
    <row r="196" spans="1:81" ht="12.75" customHeight="1" thickBot="1" x14ac:dyDescent="0.25">
      <c r="A196" s="107"/>
      <c r="B196" s="109"/>
      <c r="C196" s="109"/>
      <c r="D196" s="109"/>
      <c r="E196" s="109"/>
      <c r="F196" s="109"/>
      <c r="G196" s="109"/>
      <c r="H196" s="109"/>
      <c r="I196" s="109"/>
      <c r="J196" s="109"/>
      <c r="K196" s="109"/>
      <c r="L196" s="109"/>
      <c r="M196" s="109"/>
      <c r="N196" s="110"/>
      <c r="O196" s="96"/>
      <c r="P196" s="85"/>
      <c r="Q196" s="85"/>
      <c r="AJ196" s="56"/>
      <c r="AK196" s="56"/>
      <c r="AM196" s="88"/>
      <c r="AO196" s="86"/>
      <c r="AP196" s="86"/>
      <c r="CB196" s="17"/>
      <c r="CC196" s="17"/>
    </row>
    <row r="197" spans="1:81" ht="12.75" customHeight="1" thickBot="1" x14ac:dyDescent="0.25">
      <c r="A197" s="111" t="s">
        <v>34</v>
      </c>
      <c r="B197" s="112"/>
      <c r="C197" s="112"/>
      <c r="D197" s="112"/>
      <c r="E197" s="112"/>
      <c r="F197" s="112"/>
      <c r="G197" s="112"/>
      <c r="H197" s="112"/>
      <c r="I197" s="112"/>
      <c r="J197" s="112"/>
      <c r="K197" s="112"/>
      <c r="L197" s="112"/>
      <c r="M197" s="112"/>
      <c r="N197" s="156"/>
      <c r="O197" s="96"/>
      <c r="P197" s="85"/>
      <c r="Q197" s="85"/>
      <c r="AJ197" s="56"/>
      <c r="AK197" s="56"/>
      <c r="AM197" s="88"/>
      <c r="AO197" s="86"/>
      <c r="AP197" s="86"/>
      <c r="CB197" s="17"/>
      <c r="CC197" s="17"/>
    </row>
    <row r="198" spans="1:81" ht="12.75" customHeight="1" thickBot="1" x14ac:dyDescent="0.25">
      <c r="A198" s="117" t="str">
        <f>"Total : "&amp;SUM(TotalOvins)</f>
        <v>Total : 0</v>
      </c>
      <c r="B198" s="158"/>
      <c r="C198" s="6" t="s">
        <v>25</v>
      </c>
      <c r="D198" s="78" t="s">
        <v>528</v>
      </c>
      <c r="E198" s="78" t="s">
        <v>1108</v>
      </c>
      <c r="F198" s="78" t="s">
        <v>529</v>
      </c>
      <c r="G198" s="6" t="s">
        <v>24</v>
      </c>
      <c r="H198" s="233"/>
      <c r="I198" s="51"/>
      <c r="J198" s="480" t="s">
        <v>348</v>
      </c>
      <c r="K198" s="480"/>
      <c r="L198" s="118"/>
      <c r="M198" s="98" t="s">
        <v>1026</v>
      </c>
      <c r="N198" s="119"/>
      <c r="O198" s="96"/>
      <c r="P198" s="85"/>
      <c r="Q198" s="85"/>
      <c r="AJ198" s="56"/>
      <c r="AK198" s="56"/>
      <c r="AM198" s="88"/>
      <c r="AO198" s="86"/>
      <c r="AP198" s="86"/>
      <c r="CB198" s="17"/>
      <c r="CC198" s="17"/>
    </row>
    <row r="199" spans="1:81" ht="12.75" customHeight="1" x14ac:dyDescent="0.2">
      <c r="A199" s="117"/>
      <c r="B199" s="26" t="s">
        <v>35</v>
      </c>
      <c r="C199" s="99"/>
      <c r="D199" s="99"/>
      <c r="E199" s="4"/>
      <c r="F199" s="100">
        <f>C199-D199</f>
        <v>0</v>
      </c>
      <c r="G199" s="133" t="e">
        <f>NbreOvinsMâlesAuPré_0_3Mois</f>
        <v>#REF!</v>
      </c>
      <c r="H199" s="149"/>
      <c r="I199" s="51"/>
      <c r="J199" s="476"/>
      <c r="K199" s="477"/>
      <c r="L199" s="118"/>
      <c r="M199" s="226"/>
      <c r="N199" s="119"/>
      <c r="O199" s="96"/>
      <c r="P199" s="85"/>
      <c r="Q199" s="85"/>
      <c r="AJ199" s="56"/>
      <c r="AK199" s="56"/>
      <c r="AM199" s="88"/>
      <c r="AO199" s="86"/>
      <c r="AP199" s="86"/>
      <c r="CB199" s="17"/>
      <c r="CC199" s="17"/>
    </row>
    <row r="200" spans="1:81" ht="12.75" customHeight="1" thickBot="1" x14ac:dyDescent="0.25">
      <c r="A200" s="117"/>
      <c r="B200" s="29" t="s">
        <v>36</v>
      </c>
      <c r="C200" s="101"/>
      <c r="D200" s="101"/>
      <c r="E200" s="230"/>
      <c r="F200" s="102">
        <f t="shared" ref="F200:F206" si="1">C200-D200</f>
        <v>0</v>
      </c>
      <c r="G200" s="134" t="e">
        <f>NbreOvinsFemellesAuPré_0_3Mois</f>
        <v>#REF!</v>
      </c>
      <c r="H200" s="149"/>
      <c r="I200" s="51"/>
      <c r="J200" s="51"/>
      <c r="K200" s="51"/>
      <c r="L200" s="118"/>
      <c r="M200" s="118"/>
      <c r="N200" s="119"/>
      <c r="O200" s="96"/>
      <c r="P200" s="85"/>
      <c r="Q200" s="85"/>
      <c r="AJ200" s="56"/>
      <c r="AK200" s="56"/>
      <c r="AM200" s="88"/>
      <c r="AO200" s="86"/>
      <c r="AP200" s="86"/>
      <c r="CB200" s="17"/>
      <c r="CC200" s="17"/>
    </row>
    <row r="201" spans="1:81" ht="12.75" customHeight="1" x14ac:dyDescent="0.2">
      <c r="A201" s="117"/>
      <c r="B201" s="27" t="s">
        <v>37</v>
      </c>
      <c r="C201" s="104"/>
      <c r="D201" s="104"/>
      <c r="E201" s="4"/>
      <c r="F201" s="100">
        <f>C201-D201</f>
        <v>0</v>
      </c>
      <c r="G201" s="133" t="e">
        <f>NbreOvinsMâlesAuPré_3_6Mois</f>
        <v>#REF!</v>
      </c>
      <c r="H201" s="149"/>
      <c r="I201" s="51"/>
      <c r="J201" s="478" t="s">
        <v>1033</v>
      </c>
      <c r="K201" s="479"/>
      <c r="L201" s="118"/>
      <c r="M201" s="98" t="s">
        <v>1027</v>
      </c>
      <c r="N201" s="119"/>
      <c r="O201" s="96"/>
      <c r="P201" s="85"/>
      <c r="Q201" s="85"/>
      <c r="AJ201" s="56"/>
      <c r="AK201" s="56"/>
      <c r="AM201" s="88"/>
      <c r="AO201" s="86"/>
      <c r="AP201" s="86"/>
      <c r="CB201" s="17"/>
      <c r="CC201" s="17"/>
    </row>
    <row r="202" spans="1:81" ht="12.75" customHeight="1" thickBot="1" x14ac:dyDescent="0.25">
      <c r="A202" s="117"/>
      <c r="B202" s="14" t="s">
        <v>38</v>
      </c>
      <c r="C202" s="105"/>
      <c r="D202" s="105"/>
      <c r="E202" s="230"/>
      <c r="F202" s="102">
        <f t="shared" si="1"/>
        <v>0</v>
      </c>
      <c r="G202" s="134" t="e">
        <f>NbreOvinsFemellesAuPré_3_6Mois</f>
        <v>#REF!</v>
      </c>
      <c r="H202" s="149"/>
      <c r="I202" s="51"/>
      <c r="J202" s="476"/>
      <c r="K202" s="477"/>
      <c r="L202" s="118"/>
      <c r="M202" s="2"/>
      <c r="N202" s="119"/>
      <c r="O202" s="96"/>
      <c r="P202" s="85"/>
      <c r="Q202" s="85"/>
      <c r="AJ202" s="56"/>
      <c r="AK202" s="56"/>
      <c r="AM202" s="88"/>
      <c r="AO202" s="86"/>
      <c r="AP202" s="86"/>
      <c r="CB202" s="17"/>
      <c r="CC202" s="17"/>
    </row>
    <row r="203" spans="1:81" ht="12.75" customHeight="1" x14ac:dyDescent="0.2">
      <c r="A203" s="117"/>
      <c r="B203" s="11" t="s">
        <v>39</v>
      </c>
      <c r="C203" s="104"/>
      <c r="D203" s="104"/>
      <c r="E203" s="4"/>
      <c r="F203" s="100">
        <f>C203-D203</f>
        <v>0</v>
      </c>
      <c r="G203" s="133" t="e">
        <f>NbreOvinsMâlesAuPré_6_12Mois</f>
        <v>#REF!</v>
      </c>
      <c r="H203" s="149"/>
      <c r="I203" s="51"/>
      <c r="J203" s="124"/>
      <c r="K203" s="51"/>
      <c r="L203" s="118"/>
      <c r="M203" s="159" t="str">
        <f>IF(M202=OUI,"Ration hivernale","")</f>
        <v/>
      </c>
      <c r="N203" s="119"/>
      <c r="O203" s="96"/>
      <c r="P203" s="85"/>
      <c r="Q203" s="85"/>
      <c r="AJ203" s="56"/>
      <c r="AK203" s="56"/>
      <c r="AM203" s="88"/>
      <c r="AO203" s="86"/>
      <c r="AP203" s="86"/>
      <c r="CB203" s="17"/>
      <c r="CC203" s="17"/>
    </row>
    <row r="204" spans="1:81" ht="12.75" customHeight="1" thickBot="1" x14ac:dyDescent="0.25">
      <c r="A204" s="117"/>
      <c r="B204" s="12" t="s">
        <v>179</v>
      </c>
      <c r="C204" s="105"/>
      <c r="D204" s="105"/>
      <c r="E204" s="230"/>
      <c r="F204" s="102">
        <f t="shared" si="1"/>
        <v>0</v>
      </c>
      <c r="G204" s="135" t="e">
        <f>NbreOvinsFemellesAuPré_6_12Mois</f>
        <v>#REF!</v>
      </c>
      <c r="H204" s="149"/>
      <c r="I204" s="51"/>
      <c r="J204" s="478" t="s">
        <v>1149</v>
      </c>
      <c r="K204" s="479"/>
      <c r="L204" s="118"/>
      <c r="M204" s="98" t="s">
        <v>915</v>
      </c>
      <c r="N204" s="119"/>
      <c r="O204" s="96"/>
      <c r="P204" s="85"/>
      <c r="Q204" s="85"/>
      <c r="AJ204" s="56"/>
      <c r="AK204" s="56"/>
      <c r="AM204" s="88"/>
      <c r="AO204" s="86"/>
      <c r="AP204" s="86"/>
      <c r="CB204" s="17"/>
      <c r="CC204" s="17"/>
    </row>
    <row r="205" spans="1:81" ht="12.75" customHeight="1" x14ac:dyDescent="0.2">
      <c r="A205" s="117"/>
      <c r="B205" s="13" t="s">
        <v>180</v>
      </c>
      <c r="C205" s="104"/>
      <c r="D205" s="104"/>
      <c r="E205" s="4"/>
      <c r="F205" s="100">
        <f>C205-D205</f>
        <v>0</v>
      </c>
      <c r="G205" s="133" t="e">
        <f>SUM(NbreOvinsMâlesAuPré_12_18Mois+NbreOvinsMâlesAuPré_18_24Mois+NbreOvinsMâlesAuPré_24_36Mois+NbreOvinsMâlesAuPré_3AnsEtPlus)</f>
        <v>#REF!</v>
      </c>
      <c r="H205" s="149"/>
      <c r="I205" s="51"/>
      <c r="J205" s="476"/>
      <c r="K205" s="477"/>
      <c r="L205" s="118"/>
      <c r="M205" s="2"/>
      <c r="N205" s="119"/>
      <c r="O205" s="96"/>
      <c r="P205" s="85"/>
      <c r="Q205" s="85"/>
      <c r="AJ205" s="56"/>
      <c r="AK205" s="56"/>
      <c r="AM205" s="88"/>
      <c r="AO205" s="86"/>
      <c r="AP205" s="86"/>
      <c r="CB205" s="17"/>
      <c r="CC205" s="17"/>
    </row>
    <row r="206" spans="1:81" ht="12.75" customHeight="1" thickBot="1" x14ac:dyDescent="0.25">
      <c r="A206" s="117"/>
      <c r="B206" s="14" t="s">
        <v>181</v>
      </c>
      <c r="C206" s="105"/>
      <c r="D206" s="105"/>
      <c r="E206" s="230"/>
      <c r="F206" s="102">
        <f t="shared" si="1"/>
        <v>0</v>
      </c>
      <c r="G206" s="134" t="e">
        <f>SUM(NbreOvinsFemellesAuPré_12_18Mois+NbreOvinsFemellesAuPré_18_24Mois+NbreOvinsFemellesAuPré_24_36Mois+NbreOvinsFemellesAuPré_3AnsEtPlus)</f>
        <v>#REF!</v>
      </c>
      <c r="H206" s="149"/>
      <c r="I206" s="51"/>
      <c r="J206" s="51"/>
      <c r="K206" s="51"/>
      <c r="L206" s="118"/>
      <c r="M206" s="118"/>
      <c r="N206" s="119"/>
      <c r="O206" s="96"/>
      <c r="P206" s="85"/>
      <c r="Q206" s="85"/>
      <c r="AJ206" s="56"/>
      <c r="AK206" s="56"/>
      <c r="AM206" s="88"/>
      <c r="AO206" s="86"/>
      <c r="AP206" s="86"/>
      <c r="CB206" s="17"/>
      <c r="CC206" s="17"/>
    </row>
    <row r="207" spans="1:81" ht="12.75" customHeight="1" x14ac:dyDescent="0.2">
      <c r="A207" s="117"/>
      <c r="B207" s="51"/>
      <c r="C207" s="51"/>
      <c r="D207" s="51"/>
      <c r="E207" s="51"/>
      <c r="F207" s="51"/>
      <c r="G207" s="51"/>
      <c r="H207" s="51"/>
      <c r="I207" s="51"/>
      <c r="J207" s="484" t="s">
        <v>349</v>
      </c>
      <c r="K207" s="485"/>
      <c r="L207" s="118"/>
      <c r="M207" s="98" t="s">
        <v>1150</v>
      </c>
      <c r="N207" s="40"/>
      <c r="O207" s="96"/>
      <c r="P207" s="85"/>
      <c r="Q207" s="85"/>
      <c r="AJ207" s="56"/>
      <c r="AK207" s="56"/>
      <c r="AM207" s="88"/>
      <c r="AO207" s="86"/>
      <c r="AP207" s="86"/>
      <c r="CB207" s="17"/>
      <c r="CC207" s="17"/>
    </row>
    <row r="208" spans="1:81" ht="12.75" customHeight="1" x14ac:dyDescent="0.2">
      <c r="A208" s="117"/>
      <c r="B208" s="51"/>
      <c r="C208" s="51"/>
      <c r="D208" s="51"/>
      <c r="E208" s="51"/>
      <c r="F208" s="51"/>
      <c r="G208" s="51"/>
      <c r="H208" s="51"/>
      <c r="I208" s="51"/>
      <c r="J208" s="476"/>
      <c r="K208" s="477"/>
      <c r="L208" s="118"/>
      <c r="M208" s="271"/>
      <c r="N208" s="40"/>
      <c r="O208" s="96"/>
      <c r="P208" s="85"/>
      <c r="Q208" s="85"/>
      <c r="AJ208" s="56"/>
      <c r="AK208" s="56"/>
      <c r="AM208" s="88"/>
      <c r="AO208" s="86"/>
      <c r="AP208" s="86"/>
      <c r="CB208" s="17"/>
      <c r="CC208" s="17"/>
    </row>
    <row r="209" spans="1:81" ht="12.75" customHeight="1" x14ac:dyDescent="0.2">
      <c r="A209" s="117"/>
      <c r="B209" s="51"/>
      <c r="C209" s="51"/>
      <c r="D209" s="51"/>
      <c r="E209" s="51"/>
      <c r="F209" s="51"/>
      <c r="G209" s="51"/>
      <c r="H209" s="51"/>
      <c r="I209" s="51"/>
      <c r="J209" s="51"/>
      <c r="K209" s="51"/>
      <c r="L209" s="50"/>
      <c r="M209" s="50"/>
      <c r="N209" s="40"/>
      <c r="O209" s="96"/>
      <c r="P209" s="85"/>
      <c r="Q209" s="85"/>
      <c r="AJ209" s="56"/>
      <c r="AK209" s="56"/>
      <c r="AM209" s="88"/>
      <c r="AO209" s="86"/>
      <c r="AP209" s="86"/>
      <c r="CB209" s="17"/>
      <c r="CC209" s="17"/>
    </row>
    <row r="210" spans="1:81" ht="12.75" customHeight="1" x14ac:dyDescent="0.2">
      <c r="A210" s="117"/>
      <c r="B210" s="51"/>
      <c r="C210" s="51"/>
      <c r="D210" s="51"/>
      <c r="E210" s="51"/>
      <c r="F210" s="51"/>
      <c r="G210" s="51"/>
      <c r="H210" s="51"/>
      <c r="I210" s="51"/>
      <c r="J210" s="81" t="s">
        <v>125</v>
      </c>
      <c r="K210" s="106"/>
      <c r="L210" s="53" t="str">
        <f>IF(OR(ChoixPaillageOvins="",ChoixPaillageOvins=NON),"","coût : "&amp;PrixPaille*84*SUM(LitièreOvins[litière tout ovins])/1000&amp;"€/an (si pas de mise au pré l'été, sinon "&amp;(IF(ChoixOvinsPréHiver=OUI,LitièreOvins[[#Totals],[litière ovins races laitières]]*PrixPaille*(84-35)/1000&amp;"€/an)",LitièreOvins[[#Totals],[litière tout ovins]]*PrixPaille*(84-35)/1000&amp;"€/an)")))</f>
        <v/>
      </c>
      <c r="M210" s="50"/>
      <c r="N210" s="40"/>
      <c r="O210" s="96"/>
      <c r="P210" s="85"/>
      <c r="Q210" s="85"/>
      <c r="AJ210" s="56"/>
      <c r="AK210" s="56"/>
      <c r="AM210" s="88"/>
      <c r="AO210" s="86"/>
      <c r="AP210" s="86"/>
      <c r="CB210" s="17"/>
      <c r="CC210" s="17"/>
    </row>
    <row r="211" spans="1:81" ht="12.75" customHeight="1" x14ac:dyDescent="0.2">
      <c r="A211" s="117"/>
      <c r="B211" s="51"/>
      <c r="C211" s="51"/>
      <c r="D211" s="51"/>
      <c r="E211" s="51"/>
      <c r="F211" s="51"/>
      <c r="G211" s="51"/>
      <c r="H211" s="51"/>
      <c r="I211" s="51"/>
      <c r="J211" s="73" t="s">
        <v>124</v>
      </c>
      <c r="K211" s="106"/>
      <c r="L211" s="53" t="str">
        <f>IF(ChoixVaccinOvins=OUI,"coût : " &amp;SUM(TotalOvins)*PrixVaccinOvin &amp;"€/an","")</f>
        <v/>
      </c>
      <c r="M211" s="50"/>
      <c r="N211" s="40"/>
      <c r="O211" s="96"/>
      <c r="P211" s="85"/>
      <c r="Q211" s="85"/>
      <c r="AJ211" s="56"/>
      <c r="AK211" s="56"/>
      <c r="AM211" s="88"/>
      <c r="AO211" s="86"/>
      <c r="AP211" s="86"/>
      <c r="CB211" s="17"/>
      <c r="CC211" s="17"/>
    </row>
    <row r="212" spans="1:81" ht="12.75" customHeight="1" thickBot="1" x14ac:dyDescent="0.25">
      <c r="A212" s="125"/>
      <c r="B212" s="52"/>
      <c r="C212" s="52"/>
      <c r="D212" s="52"/>
      <c r="E212" s="52"/>
      <c r="F212" s="52"/>
      <c r="G212" s="52"/>
      <c r="H212" s="52"/>
      <c r="I212" s="52"/>
      <c r="J212" s="52"/>
      <c r="K212" s="52"/>
      <c r="L212" s="52"/>
      <c r="M212" s="52"/>
      <c r="N212" s="46"/>
      <c r="O212" s="96"/>
      <c r="P212" s="85"/>
      <c r="Q212" s="85"/>
      <c r="AJ212" s="56"/>
      <c r="AK212" s="56"/>
      <c r="AM212" s="88"/>
      <c r="AO212" s="86"/>
      <c r="AP212" s="86"/>
      <c r="CB212" s="17"/>
      <c r="CC212" s="17"/>
    </row>
    <row r="213" spans="1:81" ht="12.75" customHeight="1" thickBot="1" x14ac:dyDescent="0.25">
      <c r="A213" s="93" t="s">
        <v>460</v>
      </c>
      <c r="B213" s="94"/>
      <c r="C213" s="94"/>
      <c r="D213" s="94"/>
      <c r="E213" s="94"/>
      <c r="F213" s="94"/>
      <c r="G213" s="94"/>
      <c r="H213" s="94"/>
      <c r="I213" s="94"/>
      <c r="J213" s="94"/>
      <c r="K213" s="94"/>
      <c r="L213" s="94"/>
      <c r="M213" s="94"/>
      <c r="N213" s="95"/>
      <c r="O213" s="96"/>
      <c r="P213" s="85"/>
      <c r="Q213" s="85"/>
      <c r="AJ213" s="56"/>
      <c r="AK213" s="56"/>
      <c r="AM213" s="88"/>
      <c r="AO213" s="86"/>
      <c r="AP213" s="86"/>
      <c r="CB213" s="17"/>
      <c r="CC213" s="17"/>
    </row>
    <row r="214" spans="1:81" ht="12.75" customHeight="1" thickBot="1" x14ac:dyDescent="0.25">
      <c r="A214" s="97" t="str">
        <f>"Total : "&amp;SUM(TotalDaims)</f>
        <v>Total : 0</v>
      </c>
      <c r="B214" s="47"/>
      <c r="C214" s="33" t="s">
        <v>350</v>
      </c>
      <c r="D214" s="78" t="s">
        <v>1108</v>
      </c>
      <c r="E214" s="78" t="s">
        <v>24</v>
      </c>
      <c r="F214" s="47"/>
      <c r="G214" s="47"/>
      <c r="H214" s="47"/>
      <c r="I214" s="47"/>
      <c r="J214" s="480" t="s">
        <v>348</v>
      </c>
      <c r="K214" s="480"/>
      <c r="L214" s="47"/>
      <c r="M214" s="47"/>
      <c r="N214" s="43"/>
      <c r="O214" s="96"/>
      <c r="P214" s="85"/>
      <c r="Q214" s="85"/>
      <c r="AJ214" s="56"/>
      <c r="AK214" s="56"/>
      <c r="AM214" s="88"/>
      <c r="AO214" s="86"/>
      <c r="AP214" s="86"/>
      <c r="CB214" s="17"/>
      <c r="CC214" s="17"/>
    </row>
    <row r="215" spans="1:81" ht="12.75" customHeight="1" x14ac:dyDescent="0.2">
      <c r="A215" s="97"/>
      <c r="B215" s="26" t="s">
        <v>461</v>
      </c>
      <c r="C215" s="121"/>
      <c r="D215" s="4"/>
      <c r="E215" s="100" t="e">
        <f>NbreDaimsMâlesAuPré_0_3Mois</f>
        <v>#REF!</v>
      </c>
      <c r="F215" s="47"/>
      <c r="G215" s="47"/>
      <c r="H215" s="47"/>
      <c r="I215" s="47"/>
      <c r="J215" s="476"/>
      <c r="K215" s="477"/>
      <c r="L215" s="47"/>
      <c r="M215" s="47"/>
      <c r="N215" s="43"/>
      <c r="O215" s="96"/>
      <c r="P215" s="85"/>
      <c r="Q215" s="85"/>
      <c r="AJ215" s="56"/>
      <c r="AK215" s="56"/>
      <c r="AM215" s="88"/>
      <c r="AO215" s="86"/>
      <c r="AP215" s="86"/>
      <c r="CB215" s="17"/>
      <c r="CC215" s="17"/>
    </row>
    <row r="216" spans="1:81" ht="12.75" customHeight="1" thickBot="1" x14ac:dyDescent="0.25">
      <c r="A216" s="97"/>
      <c r="B216" s="12" t="s">
        <v>462</v>
      </c>
      <c r="C216" s="122"/>
      <c r="D216" s="230"/>
      <c r="E216" s="102" t="e">
        <f>NbreDaimsFemellesAuPré_0_3Mois</f>
        <v>#REF!</v>
      </c>
      <c r="F216" s="47"/>
      <c r="G216" s="47"/>
      <c r="H216" s="47"/>
      <c r="I216" s="47"/>
      <c r="J216" s="47"/>
      <c r="K216" s="47"/>
      <c r="L216" s="47"/>
      <c r="M216" s="47"/>
      <c r="N216" s="43"/>
      <c r="O216" s="96"/>
      <c r="P216" s="85"/>
      <c r="Q216" s="85"/>
      <c r="AJ216" s="56"/>
      <c r="AK216" s="56"/>
      <c r="AM216" s="88"/>
      <c r="AO216" s="86"/>
      <c r="AP216" s="86"/>
      <c r="CB216" s="17"/>
      <c r="CC216" s="17"/>
    </row>
    <row r="217" spans="1:81" ht="12.75" customHeight="1" x14ac:dyDescent="0.2">
      <c r="A217" s="97"/>
      <c r="B217" s="27" t="s">
        <v>463</v>
      </c>
      <c r="C217" s="123"/>
      <c r="D217" s="4"/>
      <c r="E217" s="100" t="e">
        <f>NbreDaimsMâlesAuPré_3_6Mois</f>
        <v>#REF!</v>
      </c>
      <c r="F217" s="47"/>
      <c r="G217" s="47"/>
      <c r="H217" s="47"/>
      <c r="I217" s="47"/>
      <c r="J217" s="478" t="s">
        <v>527</v>
      </c>
      <c r="K217" s="479"/>
      <c r="L217" s="47"/>
      <c r="M217" s="47"/>
      <c r="N217" s="43"/>
      <c r="O217" s="96"/>
      <c r="P217" s="85"/>
      <c r="Q217" s="85"/>
      <c r="AJ217" s="56"/>
      <c r="AK217" s="56"/>
      <c r="AM217" s="88"/>
      <c r="AO217" s="86"/>
      <c r="AP217" s="86"/>
      <c r="CB217" s="17"/>
      <c r="CC217" s="17"/>
    </row>
    <row r="218" spans="1:81" ht="12.75" customHeight="1" thickBot="1" x14ac:dyDescent="0.25">
      <c r="A218" s="97"/>
      <c r="B218" s="14" t="s">
        <v>464</v>
      </c>
      <c r="C218" s="5"/>
      <c r="D218" s="230"/>
      <c r="E218" s="102" t="e">
        <f>NbreDaimsFemellesAuPré_3_6Mois</f>
        <v>#REF!</v>
      </c>
      <c r="F218" s="47"/>
      <c r="G218" s="47"/>
      <c r="H218" s="47"/>
      <c r="I218" s="47"/>
      <c r="J218" s="476"/>
      <c r="K218" s="477"/>
      <c r="L218" s="47"/>
      <c r="M218" s="47"/>
      <c r="N218" s="43"/>
      <c r="O218" s="96"/>
      <c r="P218" s="85"/>
      <c r="Q218" s="85"/>
      <c r="AJ218" s="56"/>
      <c r="AK218" s="56"/>
      <c r="AM218" s="88"/>
      <c r="AO218" s="86"/>
      <c r="AP218" s="86"/>
      <c r="CB218" s="17"/>
      <c r="CC218" s="17"/>
    </row>
    <row r="219" spans="1:81" ht="12.75" customHeight="1" x14ac:dyDescent="0.2">
      <c r="A219" s="97"/>
      <c r="B219" s="28" t="s">
        <v>465</v>
      </c>
      <c r="C219" s="121"/>
      <c r="D219" s="4"/>
      <c r="E219" s="100" t="e">
        <f>NbreDaimsMâlesAuPré_6_12Mois</f>
        <v>#REF!</v>
      </c>
      <c r="F219" s="47"/>
      <c r="G219" s="47"/>
      <c r="H219" s="47"/>
      <c r="I219" s="47"/>
      <c r="J219" s="103"/>
      <c r="K219" s="47"/>
      <c r="L219" s="47"/>
      <c r="M219" s="47"/>
      <c r="N219" s="43"/>
      <c r="O219" s="96"/>
      <c r="P219" s="85"/>
      <c r="Q219" s="85"/>
      <c r="AJ219" s="56"/>
      <c r="AK219" s="56"/>
      <c r="AM219" s="88"/>
      <c r="AO219" s="86"/>
      <c r="AP219" s="86"/>
      <c r="CB219" s="17"/>
      <c r="CC219" s="17"/>
    </row>
    <row r="220" spans="1:81" ht="12.75" customHeight="1" thickBot="1" x14ac:dyDescent="0.25">
      <c r="A220" s="97"/>
      <c r="B220" s="12" t="s">
        <v>466</v>
      </c>
      <c r="C220" s="122"/>
      <c r="D220" s="230"/>
      <c r="E220" s="102" t="e">
        <f>NbreDaimsFemellesAuPré_6_12Mois</f>
        <v>#REF!</v>
      </c>
      <c r="F220" s="47"/>
      <c r="G220" s="47"/>
      <c r="H220" s="47"/>
      <c r="I220" s="47"/>
      <c r="J220" s="478" t="s">
        <v>1150</v>
      </c>
      <c r="K220" s="479"/>
      <c r="L220" s="47"/>
      <c r="M220" s="47"/>
      <c r="N220" s="43"/>
      <c r="O220" s="96"/>
      <c r="P220" s="85"/>
      <c r="Q220" s="85"/>
      <c r="AJ220" s="56"/>
      <c r="AK220" s="56"/>
      <c r="AM220" s="88"/>
      <c r="AO220" s="86"/>
      <c r="AP220" s="86"/>
      <c r="CB220" s="17"/>
      <c r="CC220" s="17"/>
    </row>
    <row r="221" spans="1:81" ht="12.75" customHeight="1" x14ac:dyDescent="0.2">
      <c r="A221" s="97"/>
      <c r="B221" s="27" t="s">
        <v>467</v>
      </c>
      <c r="C221" s="123"/>
      <c r="D221" s="4"/>
      <c r="E221" s="100" t="e">
        <f>NbreDaimsMâlesAuPré_12_18Mois</f>
        <v>#REF!</v>
      </c>
      <c r="F221" s="47"/>
      <c r="G221" s="47"/>
      <c r="H221" s="47"/>
      <c r="I221" s="47"/>
      <c r="J221" s="476" t="s">
        <v>1109</v>
      </c>
      <c r="K221" s="477"/>
      <c r="L221" s="47"/>
      <c r="M221" s="47"/>
      <c r="N221" s="43"/>
      <c r="O221" s="96"/>
      <c r="P221" s="85"/>
      <c r="Q221" s="85"/>
      <c r="R221" s="147"/>
      <c r="AJ221" s="56"/>
      <c r="AK221" s="56"/>
      <c r="AM221" s="88"/>
      <c r="AO221" s="86"/>
      <c r="AP221" s="86"/>
      <c r="CB221" s="17"/>
      <c r="CC221" s="17"/>
    </row>
    <row r="222" spans="1:81" ht="12.75" customHeight="1" thickBot="1" x14ac:dyDescent="0.25">
      <c r="A222" s="97"/>
      <c r="B222" s="14" t="s">
        <v>468</v>
      </c>
      <c r="C222" s="5"/>
      <c r="D222" s="230"/>
      <c r="E222" s="102" t="e">
        <f>NbreDaimsFemellesAuPré_12_18Mois</f>
        <v>#REF!</v>
      </c>
      <c r="F222" s="47"/>
      <c r="G222" s="47"/>
      <c r="H222" s="47"/>
      <c r="I222" s="47"/>
      <c r="J222" s="103"/>
      <c r="K222" s="47"/>
      <c r="L222" s="47"/>
      <c r="M222" s="47"/>
      <c r="N222" s="43"/>
      <c r="O222" s="96"/>
      <c r="P222" s="85"/>
      <c r="Q222" s="85"/>
      <c r="R222" s="147"/>
      <c r="AJ222" s="56"/>
      <c r="AK222" s="56"/>
      <c r="AM222" s="88"/>
      <c r="AO222" s="86"/>
      <c r="AP222" s="86"/>
      <c r="CB222" s="17"/>
      <c r="CC222" s="17"/>
    </row>
    <row r="223" spans="1:81" ht="12.75" customHeight="1" x14ac:dyDescent="0.2">
      <c r="A223" s="97"/>
      <c r="B223" s="28" t="s">
        <v>469</v>
      </c>
      <c r="C223" s="121"/>
      <c r="D223" s="4"/>
      <c r="E223" s="100" t="e">
        <f>NbreDaimsMâlesAuPré_18_24Mois</f>
        <v>#REF!</v>
      </c>
      <c r="F223" s="47"/>
      <c r="G223" s="47"/>
      <c r="H223" s="47"/>
      <c r="I223" s="47"/>
      <c r="J223" s="484" t="s">
        <v>349</v>
      </c>
      <c r="K223" s="485"/>
      <c r="L223" s="47"/>
      <c r="M223" s="47"/>
      <c r="N223" s="43"/>
      <c r="O223" s="96"/>
      <c r="P223" s="85"/>
      <c r="Q223" s="85"/>
      <c r="R223" s="147"/>
      <c r="AJ223" s="56"/>
      <c r="AK223" s="56"/>
      <c r="AM223" s="88"/>
      <c r="AO223" s="86"/>
      <c r="AP223" s="86"/>
      <c r="CB223" s="17"/>
      <c r="CC223" s="17"/>
    </row>
    <row r="224" spans="1:81" ht="13.5" thickBot="1" x14ac:dyDescent="0.25">
      <c r="A224" s="97"/>
      <c r="B224" s="29" t="s">
        <v>470</v>
      </c>
      <c r="C224" s="122"/>
      <c r="D224" s="230"/>
      <c r="E224" s="102" t="e">
        <f>NbreDaimsFemellesAuPré_18_24Mois</f>
        <v>#REF!</v>
      </c>
      <c r="F224" s="47"/>
      <c r="G224" s="47"/>
      <c r="H224" s="47"/>
      <c r="I224" s="47"/>
      <c r="J224" s="476"/>
      <c r="K224" s="477"/>
      <c r="L224" s="47"/>
      <c r="M224" s="47"/>
      <c r="N224" s="43"/>
      <c r="O224" s="17"/>
      <c r="P224" s="85"/>
      <c r="Q224" s="85"/>
      <c r="R224" s="147"/>
      <c r="AJ224" s="56"/>
      <c r="AK224" s="56"/>
      <c r="AM224" s="88"/>
      <c r="AO224" s="86"/>
      <c r="AP224" s="86"/>
      <c r="CB224" s="17"/>
      <c r="CC224" s="17"/>
    </row>
    <row r="225" spans="1:81" x14ac:dyDescent="0.2">
      <c r="A225" s="97"/>
      <c r="B225" s="27" t="s">
        <v>471</v>
      </c>
      <c r="C225" s="123"/>
      <c r="D225" s="4"/>
      <c r="E225" s="100" t="e">
        <f>NbreDaimsMâlesAuPré_24_36Mois</f>
        <v>#REF!</v>
      </c>
      <c r="F225" s="47"/>
      <c r="G225" s="47"/>
      <c r="H225" s="47"/>
      <c r="I225" s="47"/>
      <c r="J225" s="476"/>
      <c r="K225" s="477"/>
      <c r="L225" s="47"/>
      <c r="M225" s="47"/>
      <c r="N225" s="43"/>
      <c r="O225" s="17"/>
      <c r="P225" s="85"/>
      <c r="Q225" s="85"/>
      <c r="R225" s="147"/>
      <c r="AJ225" s="56"/>
      <c r="AK225" s="56"/>
      <c r="AM225" s="88"/>
      <c r="AO225" s="86"/>
      <c r="AP225" s="86"/>
      <c r="CB225" s="17"/>
      <c r="CC225" s="17"/>
    </row>
    <row r="226" spans="1:81" ht="13.5" thickBot="1" x14ac:dyDescent="0.25">
      <c r="A226" s="97"/>
      <c r="B226" s="14" t="s">
        <v>472</v>
      </c>
      <c r="C226" s="5"/>
      <c r="D226" s="230"/>
      <c r="E226" s="102" t="e">
        <f>NbreDaimsFemellesAuPré_24_36Mois</f>
        <v>#REF!</v>
      </c>
      <c r="F226" s="47"/>
      <c r="G226" s="47"/>
      <c r="H226" s="47"/>
      <c r="I226" s="47"/>
      <c r="J226" s="47"/>
      <c r="K226" s="47"/>
      <c r="L226" s="47"/>
      <c r="M226" s="47"/>
      <c r="N226" s="43"/>
      <c r="O226" s="17"/>
      <c r="P226" s="85"/>
      <c r="Q226" s="85"/>
      <c r="R226" s="147"/>
      <c r="AJ226" s="56"/>
      <c r="AK226" s="56"/>
      <c r="AM226" s="88"/>
      <c r="AO226" s="86"/>
      <c r="AP226" s="86"/>
      <c r="CB226" s="17"/>
      <c r="CC226" s="17"/>
    </row>
    <row r="227" spans="1:81" x14ac:dyDescent="0.2">
      <c r="A227" s="97"/>
      <c r="B227" s="28" t="s">
        <v>473</v>
      </c>
      <c r="C227" s="121"/>
      <c r="D227" s="4"/>
      <c r="E227" s="100" t="e">
        <f>NbreDaimsMâlesAuPré_3AnsEtPlus</f>
        <v>#REF!</v>
      </c>
      <c r="F227" s="47"/>
      <c r="G227" s="47"/>
      <c r="H227" s="47"/>
      <c r="I227" s="47"/>
      <c r="J227" s="79" t="s">
        <v>124</v>
      </c>
      <c r="K227" s="106"/>
      <c r="L227" s="47" t="str">
        <f>IF(ChoixVaccinDaims=OUI,"coût : " &amp;SUM(TotalDaims)*PrixVaccinDaim &amp;"€/an","")</f>
        <v/>
      </c>
      <c r="M227" s="47"/>
      <c r="N227" s="43"/>
      <c r="O227" s="17"/>
      <c r="P227" s="85"/>
      <c r="Q227" s="85"/>
      <c r="R227" s="147"/>
      <c r="AJ227" s="56"/>
      <c r="AK227" s="56"/>
      <c r="AM227" s="88"/>
      <c r="AO227" s="86"/>
      <c r="AP227" s="86"/>
      <c r="CB227" s="17"/>
      <c r="CC227" s="17"/>
    </row>
    <row r="228" spans="1:81" ht="13.5" thickBot="1" x14ac:dyDescent="0.25">
      <c r="A228" s="97"/>
      <c r="B228" s="25" t="s">
        <v>474</v>
      </c>
      <c r="C228" s="5"/>
      <c r="D228" s="230"/>
      <c r="E228" s="102" t="e">
        <f>NbreDaimsFemellesAuPré_3AnsEtPlus</f>
        <v>#REF!</v>
      </c>
      <c r="F228" s="47"/>
      <c r="G228" s="47"/>
      <c r="H228" s="47"/>
      <c r="I228" s="47"/>
      <c r="J228" s="47"/>
      <c r="K228" s="47"/>
      <c r="L228" s="47"/>
      <c r="M228" s="47"/>
      <c r="N228" s="43"/>
      <c r="O228" s="17"/>
      <c r="P228" s="85"/>
      <c r="Q228" s="85"/>
      <c r="R228" s="147"/>
      <c r="AJ228" s="56"/>
      <c r="AK228" s="56"/>
      <c r="AM228" s="88"/>
      <c r="AO228" s="86"/>
      <c r="AP228" s="86"/>
      <c r="CB228" s="17"/>
      <c r="CC228" s="17"/>
    </row>
    <row r="229" spans="1:81" hidden="1" x14ac:dyDescent="0.2">
      <c r="A229" s="97"/>
      <c r="B229" s="47"/>
      <c r="C229" s="47"/>
      <c r="D229" s="47"/>
      <c r="E229" s="47"/>
      <c r="F229" s="47"/>
      <c r="G229" s="47"/>
      <c r="H229" s="47"/>
      <c r="I229" s="47"/>
      <c r="J229" s="47"/>
      <c r="K229" s="47"/>
      <c r="L229" s="47"/>
      <c r="M229" s="47"/>
      <c r="N229" s="43"/>
      <c r="O229" s="17"/>
      <c r="P229" s="85"/>
      <c r="Q229" s="85"/>
      <c r="R229" s="147"/>
      <c r="AJ229" s="56"/>
      <c r="AK229" s="56"/>
      <c r="AM229" s="88"/>
      <c r="AO229" s="86"/>
      <c r="AP229" s="86"/>
      <c r="CB229" s="17"/>
      <c r="CC229" s="17"/>
    </row>
    <row r="230" spans="1:81" hidden="1" x14ac:dyDescent="0.2">
      <c r="A230" s="97"/>
      <c r="B230" s="47"/>
      <c r="C230" s="47"/>
      <c r="D230" s="47"/>
      <c r="E230" s="47"/>
      <c r="F230" s="47"/>
      <c r="G230" s="47"/>
      <c r="H230" s="47"/>
      <c r="I230" s="47"/>
      <c r="J230" s="47"/>
      <c r="K230" s="47"/>
      <c r="L230" s="47"/>
      <c r="M230" s="47"/>
      <c r="N230" s="43"/>
    </row>
    <row r="231" spans="1:81" hidden="1" x14ac:dyDescent="0.2">
      <c r="A231" s="97"/>
      <c r="B231" s="47"/>
      <c r="C231" s="47"/>
      <c r="D231" s="47"/>
      <c r="E231" s="47"/>
      <c r="F231" s="47"/>
      <c r="G231" s="47"/>
      <c r="H231" s="47"/>
      <c r="I231" s="47"/>
      <c r="J231" s="47"/>
      <c r="K231" s="47"/>
      <c r="L231" s="47"/>
      <c r="M231" s="47"/>
      <c r="N231" s="43"/>
    </row>
    <row r="232" spans="1:81" ht="13.5" thickBot="1" x14ac:dyDescent="0.25">
      <c r="A232" s="107"/>
      <c r="B232" s="109"/>
      <c r="C232" s="109"/>
      <c r="D232" s="109"/>
      <c r="E232" s="109"/>
      <c r="F232" s="109"/>
      <c r="G232" s="109"/>
      <c r="H232" s="109"/>
      <c r="I232" s="109"/>
      <c r="J232" s="109"/>
      <c r="K232" s="109"/>
      <c r="L232" s="109"/>
      <c r="M232" s="109"/>
      <c r="N232" s="110"/>
    </row>
    <row r="233" spans="1:81" ht="13.5" thickBot="1" x14ac:dyDescent="0.25">
      <c r="A233" s="111" t="s">
        <v>478</v>
      </c>
      <c r="B233" s="112"/>
      <c r="C233" s="112"/>
      <c r="D233" s="112"/>
      <c r="E233" s="112"/>
      <c r="F233" s="112"/>
      <c r="G233" s="112"/>
      <c r="H233" s="112"/>
      <c r="I233" s="112"/>
      <c r="J233" s="112"/>
      <c r="K233" s="112"/>
      <c r="L233" s="112"/>
      <c r="M233" s="112"/>
      <c r="N233" s="156"/>
    </row>
    <row r="234" spans="1:81" ht="13.5" thickBot="1" x14ac:dyDescent="0.25">
      <c r="A234" s="117" t="str">
        <f>"Total : "&amp;SUM(TotalChevauxSelle)</f>
        <v>Total : 0</v>
      </c>
      <c r="B234" s="51"/>
      <c r="C234" s="6" t="s">
        <v>25</v>
      </c>
      <c r="D234" s="78" t="s">
        <v>1108</v>
      </c>
      <c r="E234" s="6" t="s">
        <v>24</v>
      </c>
      <c r="F234" s="51"/>
      <c r="G234" s="51"/>
      <c r="H234" s="51"/>
      <c r="I234" s="51"/>
      <c r="J234" s="478" t="s">
        <v>869</v>
      </c>
      <c r="K234" s="479"/>
      <c r="L234" s="51"/>
      <c r="M234" s="98" t="s">
        <v>1028</v>
      </c>
      <c r="N234" s="44"/>
    </row>
    <row r="235" spans="1:81" x14ac:dyDescent="0.2">
      <c r="A235" s="117"/>
      <c r="B235" s="20" t="s">
        <v>479</v>
      </c>
      <c r="C235" s="160"/>
      <c r="D235" s="4"/>
      <c r="E235" s="100" t="e">
        <f>SUM(NbreChevauxSelleMâlesAuPré_0_3Mois+NbreChevauxSelleMâlesAuPré_3_6Mois+NbreChevauxSelleMâlesAuPré_6_12Mois)</f>
        <v>#REF!</v>
      </c>
      <c r="F235" s="51"/>
      <c r="G235" s="51"/>
      <c r="H235" s="51"/>
      <c r="I235" s="51"/>
      <c r="J235" s="476"/>
      <c r="K235" s="477"/>
      <c r="L235" s="51"/>
      <c r="M235" s="226"/>
      <c r="N235" s="44"/>
    </row>
    <row r="236" spans="1:81" ht="13.5" thickBot="1" x14ac:dyDescent="0.25">
      <c r="A236" s="117"/>
      <c r="B236" s="21" t="s">
        <v>480</v>
      </c>
      <c r="C236" s="101"/>
      <c r="D236" s="230"/>
      <c r="E236" s="102" t="e">
        <f>SUM(NbreChevauxSelleFemellesAuPré_0_3Mois+NbreChevauxSelleFemellesAuPré_3_6Mois+NbreChevauxSelleFemellesAuPré_6_12Mois)</f>
        <v>#REF!</v>
      </c>
      <c r="F236" s="51"/>
      <c r="G236" s="51"/>
      <c r="H236" s="51"/>
      <c r="I236" s="51"/>
      <c r="J236" s="124" t="str">
        <f>RationDansPréChevauxSelle</f>
        <v>Ration hivernale dans pré</v>
      </c>
      <c r="K236" s="51"/>
      <c r="L236" s="51"/>
      <c r="M236" s="124" t="str">
        <f>RationDansEcurieChevauxSelle</f>
        <v>Ration dans écurie</v>
      </c>
      <c r="N236" s="44"/>
    </row>
    <row r="237" spans="1:81" x14ac:dyDescent="0.2">
      <c r="A237" s="117"/>
      <c r="B237" s="22" t="s">
        <v>481</v>
      </c>
      <c r="C237" s="161"/>
      <c r="D237" s="4"/>
      <c r="E237" s="100" t="e">
        <f>SUM(NbreChevauxSelleMâlesAuPré_12_18Mois+NbreChevauxSelleMâlesAuPré_18_24Mois)</f>
        <v>#REF!</v>
      </c>
      <c r="F237" s="51"/>
      <c r="G237" s="51"/>
      <c r="H237" s="51"/>
      <c r="I237" s="51"/>
      <c r="J237" s="478" t="s">
        <v>1033</v>
      </c>
      <c r="K237" s="479"/>
      <c r="L237" s="51"/>
      <c r="M237" s="98" t="s">
        <v>915</v>
      </c>
      <c r="N237" s="44"/>
    </row>
    <row r="238" spans="1:81" ht="13.5" thickBot="1" x14ac:dyDescent="0.25">
      <c r="A238" s="117"/>
      <c r="B238" s="23" t="s">
        <v>484</v>
      </c>
      <c r="C238" s="105"/>
      <c r="D238" s="230"/>
      <c r="E238" s="102" t="e">
        <f>SUM(NbreChevauxSelleFemellesAuPré_12_18Mois+NbreChevauxSelleFemellesAuPré_18_24Mois)</f>
        <v>#REF!</v>
      </c>
      <c r="F238" s="51"/>
      <c r="G238" s="51"/>
      <c r="H238" s="51"/>
      <c r="I238" s="51"/>
      <c r="J238" s="476"/>
      <c r="K238" s="477"/>
      <c r="L238" s="51"/>
      <c r="M238" s="227"/>
      <c r="N238" s="44"/>
    </row>
    <row r="239" spans="1:81" x14ac:dyDescent="0.2">
      <c r="A239" s="117"/>
      <c r="B239" s="24" t="s">
        <v>482</v>
      </c>
      <c r="C239" s="160"/>
      <c r="D239" s="4"/>
      <c r="E239" s="100" t="e">
        <f>NbreChevauxSelleMâlesAuPré_24_36Mois</f>
        <v>#REF!</v>
      </c>
      <c r="F239" s="51"/>
      <c r="G239" s="51"/>
      <c r="H239" s="51"/>
      <c r="I239" s="51"/>
      <c r="J239" s="51"/>
      <c r="K239" s="51"/>
      <c r="L239" s="51"/>
      <c r="M239" s="51"/>
      <c r="N239" s="44"/>
    </row>
    <row r="240" spans="1:81" ht="13.5" thickBot="1" x14ac:dyDescent="0.25">
      <c r="A240" s="117"/>
      <c r="B240" s="21" t="s">
        <v>483</v>
      </c>
      <c r="C240" s="101"/>
      <c r="D240" s="230"/>
      <c r="E240" s="102" t="e">
        <f>NbreChevauxSelleFemellesAuPré_24_36Mois</f>
        <v>#REF!</v>
      </c>
      <c r="F240" s="51"/>
      <c r="G240" s="51"/>
      <c r="H240" s="51"/>
      <c r="I240" s="51"/>
      <c r="J240" s="478" t="s">
        <v>1149</v>
      </c>
      <c r="K240" s="479"/>
      <c r="L240" s="51"/>
      <c r="M240" s="98" t="s">
        <v>1150</v>
      </c>
      <c r="N240" s="44"/>
    </row>
    <row r="241" spans="1:14" x14ac:dyDescent="0.2">
      <c r="A241" s="117"/>
      <c r="B241" s="22" t="s">
        <v>485</v>
      </c>
      <c r="C241" s="161"/>
      <c r="D241" s="4"/>
      <c r="E241" s="100" t="e">
        <f>NbreChevauxSelleMâlesAuPré_3AnsEtPlus</f>
        <v>#REF!</v>
      </c>
      <c r="F241" s="51"/>
      <c r="G241" s="51"/>
      <c r="H241" s="51"/>
      <c r="I241" s="51"/>
      <c r="J241" s="476"/>
      <c r="K241" s="477"/>
      <c r="L241" s="51"/>
      <c r="M241" s="271"/>
      <c r="N241" s="44"/>
    </row>
    <row r="242" spans="1:14" ht="13.5" thickBot="1" x14ac:dyDescent="0.25">
      <c r="A242" s="117"/>
      <c r="B242" s="23" t="s">
        <v>486</v>
      </c>
      <c r="C242" s="105"/>
      <c r="D242" s="230"/>
      <c r="E242" s="102" t="e">
        <f>NbreChevauxSelleFemellesAuPré_3AnsEtPlus</f>
        <v>#REF!</v>
      </c>
      <c r="F242" s="51"/>
      <c r="G242" s="51"/>
      <c r="H242" s="51"/>
      <c r="I242" s="51"/>
      <c r="J242" s="51"/>
      <c r="K242" s="51"/>
      <c r="L242" s="51"/>
      <c r="M242" s="51"/>
      <c r="N242" s="44"/>
    </row>
    <row r="243" spans="1:14" x14ac:dyDescent="0.2">
      <c r="A243" s="117"/>
      <c r="B243" s="51"/>
      <c r="C243" s="51"/>
      <c r="D243" s="51"/>
      <c r="E243" s="51"/>
      <c r="F243" s="51"/>
      <c r="G243" s="51"/>
      <c r="H243" s="51"/>
      <c r="I243" s="51"/>
      <c r="J243" s="18" t="s">
        <v>125</v>
      </c>
      <c r="K243" s="106"/>
      <c r="L243" s="51" t="str">
        <f>IF(ChoixChevauxSellePréHiver=OUI,"coût : 0€/an",IF(OR(ChoixPaillageChevauxSelle="",ChoixPaillageChevauxSelle=NON),"","coût : "&amp;PrixPaille*84*SUM(TotalChevauxSelle)/1000&amp;"€/an (si pas de mise au pré l'été, sinon "&amp;(IF(ChoixChevauxSellePréHiver=OUI,"coût : 0€/an",PrixPaille*(84-35)*SUM(TotalChevauxSelle)/1000&amp;"€/an)"))))</f>
        <v/>
      </c>
      <c r="M243" s="51"/>
      <c r="N243" s="44"/>
    </row>
    <row r="244" spans="1:14" x14ac:dyDescent="0.2">
      <c r="A244" s="117"/>
      <c r="B244" s="51"/>
      <c r="C244" s="51"/>
      <c r="D244" s="51"/>
      <c r="E244" s="51"/>
      <c r="F244" s="51"/>
      <c r="G244" s="51"/>
      <c r="H244" s="51"/>
      <c r="I244" s="51"/>
      <c r="J244" s="19" t="s">
        <v>124</v>
      </c>
      <c r="K244" s="106"/>
      <c r="L244" s="51" t="str">
        <f>IF(ChoixVaccinChevauxSelle=OUI,"coût : " &amp;SUM(TotalChevauxSelle)*PrixVaccinChevauxSelle &amp;"€/an","")</f>
        <v/>
      </c>
      <c r="M244" s="51"/>
      <c r="N244" s="44"/>
    </row>
    <row r="245" spans="1:14" hidden="1" x14ac:dyDescent="0.2">
      <c r="A245" s="117"/>
      <c r="B245" s="51"/>
      <c r="C245" s="51"/>
      <c r="D245" s="51"/>
      <c r="E245" s="51"/>
      <c r="F245" s="51"/>
      <c r="G245" s="51"/>
      <c r="H245" s="51"/>
      <c r="I245" s="51"/>
      <c r="J245" s="51"/>
      <c r="K245" s="51"/>
      <c r="L245" s="51"/>
      <c r="M245" s="51"/>
      <c r="N245" s="44"/>
    </row>
    <row r="246" spans="1:14" ht="13.5" thickBot="1" x14ac:dyDescent="0.25">
      <c r="A246" s="125"/>
      <c r="B246" s="52"/>
      <c r="C246" s="52"/>
      <c r="D246" s="52"/>
      <c r="E246" s="52"/>
      <c r="F246" s="52"/>
      <c r="G246" s="52"/>
      <c r="H246" s="52"/>
      <c r="I246" s="52"/>
      <c r="J246" s="52"/>
      <c r="K246" s="52"/>
      <c r="L246" s="52"/>
      <c r="M246" s="52"/>
      <c r="N246" s="46"/>
    </row>
    <row r="247" spans="1:14" ht="13.5" thickBot="1" x14ac:dyDescent="0.25">
      <c r="A247" s="93" t="s">
        <v>840</v>
      </c>
      <c r="B247" s="94"/>
      <c r="C247" s="94"/>
      <c r="D247" s="94"/>
      <c r="E247" s="94"/>
      <c r="F247" s="94"/>
      <c r="G247" s="94"/>
      <c r="H247" s="94"/>
      <c r="I247" s="94"/>
      <c r="J247" s="94"/>
      <c r="K247" s="94"/>
      <c r="L247" s="94"/>
      <c r="M247" s="94"/>
      <c r="N247" s="95"/>
    </row>
    <row r="248" spans="1:14" ht="13.5" thickBot="1" x14ac:dyDescent="0.25">
      <c r="A248" s="97" t="str">
        <f>"Total : "&amp;SUM(TotalChevauxTrait)</f>
        <v>Total : 0</v>
      </c>
      <c r="B248" s="47"/>
      <c r="C248" s="6" t="s">
        <v>25</v>
      </c>
      <c r="D248" s="78" t="s">
        <v>1108</v>
      </c>
      <c r="E248" s="6" t="s">
        <v>24</v>
      </c>
      <c r="F248" s="47"/>
      <c r="G248" s="47"/>
      <c r="H248" s="47"/>
      <c r="I248" s="47"/>
      <c r="J248" s="478" t="s">
        <v>870</v>
      </c>
      <c r="K248" s="479"/>
      <c r="L248" s="47"/>
      <c r="M248" s="98" t="s">
        <v>1028</v>
      </c>
      <c r="N248" s="43"/>
    </row>
    <row r="249" spans="1:14" x14ac:dyDescent="0.2">
      <c r="A249" s="97"/>
      <c r="B249" s="20" t="s">
        <v>479</v>
      </c>
      <c r="C249" s="160"/>
      <c r="D249" s="4"/>
      <c r="E249" s="100" t="e">
        <f>SUM(NbreChevauxTraitMâlesAuPré_0_3Mois+NbreChevauxTraitMâlesAuPré_3_6Mois+NbreChevauxTraitMâlesAuPré_6_12Mois)</f>
        <v>#REF!</v>
      </c>
      <c r="F249" s="47"/>
      <c r="G249" s="47"/>
      <c r="H249" s="47"/>
      <c r="I249" s="47"/>
      <c r="J249" s="476"/>
      <c r="K249" s="477"/>
      <c r="L249" s="47"/>
      <c r="M249" s="226"/>
      <c r="N249" s="43"/>
    </row>
    <row r="250" spans="1:14" ht="13.5" thickBot="1" x14ac:dyDescent="0.25">
      <c r="A250" s="97"/>
      <c r="B250" s="21" t="s">
        <v>480</v>
      </c>
      <c r="C250" s="101"/>
      <c r="D250" s="230"/>
      <c r="E250" s="102" t="e">
        <f>SUM(NbreChevauxTraitFemellesAuPré_0_3Mois+NbreChevauxTraitFemellesAuPré_3_6Mois+NbreChevauxTraitFemellesAuPré_6_12Mois)</f>
        <v>#REF!</v>
      </c>
      <c r="F250" s="47"/>
      <c r="G250" s="47"/>
      <c r="H250" s="47"/>
      <c r="I250" s="47"/>
      <c r="J250" s="103" t="str">
        <f>RationDansPréChevauxTrait</f>
        <v>Ration hivernale dans pré</v>
      </c>
      <c r="K250" s="47"/>
      <c r="L250" s="47"/>
      <c r="M250" s="103" t="str">
        <f>RationDansEcurieChevauxTrait</f>
        <v>Ration dans écurie</v>
      </c>
      <c r="N250" s="43"/>
    </row>
    <row r="251" spans="1:14" x14ac:dyDescent="0.2">
      <c r="A251" s="97"/>
      <c r="B251" s="22" t="s">
        <v>481</v>
      </c>
      <c r="C251" s="161"/>
      <c r="D251" s="4"/>
      <c r="E251" s="100" t="e">
        <f>SUM(NbreChevauxTraitMâlesAuPré_12_18Mois+NbreChevauxTraitMâlesAuPré_18_24Mois)</f>
        <v>#REF!</v>
      </c>
      <c r="F251" s="47"/>
      <c r="G251" s="47"/>
      <c r="H251" s="47"/>
      <c r="I251" s="47"/>
      <c r="J251" s="478" t="s">
        <v>1033</v>
      </c>
      <c r="K251" s="479"/>
      <c r="L251" s="47"/>
      <c r="M251" s="98" t="s">
        <v>915</v>
      </c>
      <c r="N251" s="43"/>
    </row>
    <row r="252" spans="1:14" ht="13.5" thickBot="1" x14ac:dyDescent="0.25">
      <c r="A252" s="97"/>
      <c r="B252" s="23" t="s">
        <v>484</v>
      </c>
      <c r="C252" s="105"/>
      <c r="D252" s="230"/>
      <c r="E252" s="102" t="e">
        <f>SUM(NbreChevauxTraitFemellesAuPré_12_18Mois+NbreChevauxTraitFemellesAuPré_18_24Mois)</f>
        <v>#REF!</v>
      </c>
      <c r="F252" s="47"/>
      <c r="G252" s="47"/>
      <c r="H252" s="47"/>
      <c r="I252" s="47"/>
      <c r="J252" s="476"/>
      <c r="K252" s="477"/>
      <c r="L252" s="47"/>
      <c r="M252" s="227"/>
      <c r="N252" s="43"/>
    </row>
    <row r="253" spans="1:14" x14ac:dyDescent="0.2">
      <c r="A253" s="97"/>
      <c r="B253" s="24" t="s">
        <v>482</v>
      </c>
      <c r="C253" s="160"/>
      <c r="D253" s="4"/>
      <c r="E253" s="100" t="e">
        <f>NbreChevauxTraitMâlesAuPré_24_36Mois</f>
        <v>#REF!</v>
      </c>
      <c r="F253" s="47"/>
      <c r="G253" s="47"/>
      <c r="H253" s="47"/>
      <c r="I253" s="47"/>
      <c r="J253" s="47"/>
      <c r="K253" s="47"/>
      <c r="L253" s="47"/>
      <c r="M253" s="47"/>
      <c r="N253" s="43"/>
    </row>
    <row r="254" spans="1:14" ht="13.5" thickBot="1" x14ac:dyDescent="0.25">
      <c r="A254" s="97"/>
      <c r="B254" s="21" t="s">
        <v>483</v>
      </c>
      <c r="C254" s="101"/>
      <c r="D254" s="230"/>
      <c r="E254" s="102" t="e">
        <f>NbreChevauxTraitFemellesAuPré_24_36Mois</f>
        <v>#REF!</v>
      </c>
      <c r="F254" s="47"/>
      <c r="G254" s="47"/>
      <c r="H254" s="47"/>
      <c r="I254" s="47"/>
      <c r="J254" s="478" t="s">
        <v>1149</v>
      </c>
      <c r="K254" s="479"/>
      <c r="L254" s="47"/>
      <c r="M254" s="98" t="s">
        <v>1150</v>
      </c>
      <c r="N254" s="43"/>
    </row>
    <row r="255" spans="1:14" x14ac:dyDescent="0.2">
      <c r="A255" s="97"/>
      <c r="B255" s="22" t="s">
        <v>485</v>
      </c>
      <c r="C255" s="161"/>
      <c r="D255" s="4"/>
      <c r="E255" s="100" t="e">
        <f>NbreChevauxTraitMâlesAuPré_3AnsEtPlus</f>
        <v>#REF!</v>
      </c>
      <c r="F255" s="47"/>
      <c r="G255" s="47"/>
      <c r="H255" s="47"/>
      <c r="I255" s="47"/>
      <c r="J255" s="476"/>
      <c r="K255" s="477"/>
      <c r="L255" s="47"/>
      <c r="M255" s="271"/>
      <c r="N255" s="43"/>
    </row>
    <row r="256" spans="1:14" ht="13.5" thickBot="1" x14ac:dyDescent="0.25">
      <c r="A256" s="97"/>
      <c r="B256" s="23" t="s">
        <v>486</v>
      </c>
      <c r="C256" s="105"/>
      <c r="D256" s="230"/>
      <c r="E256" s="102" t="e">
        <f>NbreChevauxTraitFemellesAuPré_3AnsEtPlus</f>
        <v>#REF!</v>
      </c>
      <c r="F256" s="47"/>
      <c r="G256" s="47"/>
      <c r="H256" s="47"/>
      <c r="I256" s="47"/>
      <c r="J256" s="103"/>
      <c r="K256" s="47"/>
      <c r="L256" s="47"/>
      <c r="M256" s="47"/>
      <c r="N256" s="43"/>
    </row>
    <row r="257" spans="1:14" x14ac:dyDescent="0.2">
      <c r="A257" s="97"/>
      <c r="B257" s="47"/>
      <c r="C257" s="47"/>
      <c r="D257" s="47"/>
      <c r="E257" s="47"/>
      <c r="F257" s="47"/>
      <c r="G257" s="47"/>
      <c r="H257" s="47"/>
      <c r="I257" s="47"/>
      <c r="J257" s="18" t="s">
        <v>125</v>
      </c>
      <c r="K257" s="106"/>
      <c r="L257" s="47" t="str">
        <f>IF(ChoixChevauxTraitPréHiver=OUI,"coût : 0€/an",IF(OR(ChoixPaillageChevauxTrait="",ChoixPaillageChevauxTrait=NON),"","coût : "&amp;PrixPaille*84*SUM(TotalChevauxTrait)/1000&amp;"€/an (si pas de mise au pré l'été, sinon "&amp;(IF(ChoixChevauxTraitPréHiver=OUI,"coût : 0€/an",PrixPaille*(84-35)*SUM(TotalChevauxTrait)/1000&amp;"€/an)"))))</f>
        <v/>
      </c>
      <c r="M257" s="47"/>
      <c r="N257" s="43"/>
    </row>
    <row r="258" spans="1:14" x14ac:dyDescent="0.2">
      <c r="A258" s="97"/>
      <c r="B258" s="47"/>
      <c r="C258" s="47"/>
      <c r="D258" s="47"/>
      <c r="E258" s="47"/>
      <c r="F258" s="47"/>
      <c r="G258" s="47"/>
      <c r="H258" s="47"/>
      <c r="I258" s="47"/>
      <c r="J258" s="19" t="s">
        <v>124</v>
      </c>
      <c r="K258" s="106"/>
      <c r="L258" s="47" t="str">
        <f>IF(ChoixVaccinChevauxTrait=OUI,"coût : " &amp;SUM(TotalChevauxTrait)*PrixVaccinChevauxTrait &amp;"€/an","")</f>
        <v/>
      </c>
      <c r="M258" s="47"/>
      <c r="N258" s="43"/>
    </row>
    <row r="259" spans="1:14" hidden="1" x14ac:dyDescent="0.2">
      <c r="A259" s="97"/>
      <c r="B259" s="47"/>
      <c r="C259" s="47"/>
      <c r="D259" s="47"/>
      <c r="E259" s="47"/>
      <c r="F259" s="47"/>
      <c r="G259" s="47"/>
      <c r="H259" s="47"/>
      <c r="I259" s="47"/>
      <c r="J259" s="47"/>
      <c r="K259" s="47"/>
      <c r="L259" s="47"/>
      <c r="M259" s="47"/>
      <c r="N259" s="43"/>
    </row>
    <row r="260" spans="1:14" ht="13.5" thickBot="1" x14ac:dyDescent="0.25">
      <c r="A260" s="107"/>
      <c r="B260" s="109"/>
      <c r="C260" s="109"/>
      <c r="D260" s="109"/>
      <c r="E260" s="109"/>
      <c r="F260" s="109"/>
      <c r="G260" s="109"/>
      <c r="H260" s="109"/>
      <c r="I260" s="109"/>
      <c r="J260" s="109"/>
      <c r="K260" s="109"/>
      <c r="L260" s="109"/>
      <c r="M260" s="109"/>
      <c r="N260" s="110"/>
    </row>
    <row r="261" spans="1:14" ht="13.5" thickBot="1" x14ac:dyDescent="0.25">
      <c r="A261" s="111" t="s">
        <v>841</v>
      </c>
      <c r="B261" s="112"/>
      <c r="C261" s="112"/>
      <c r="D261" s="112"/>
      <c r="E261" s="112"/>
      <c r="F261" s="112"/>
      <c r="G261" s="112"/>
      <c r="H261" s="112"/>
      <c r="I261" s="112"/>
      <c r="J261" s="112"/>
      <c r="K261" s="112"/>
      <c r="L261" s="112"/>
      <c r="M261" s="112"/>
      <c r="N261" s="156"/>
    </row>
    <row r="262" spans="1:14" ht="13.5" thickBot="1" x14ac:dyDescent="0.25">
      <c r="A262" s="117" t="str">
        <f>"Total : "&amp;SUM(TotalPoneys)</f>
        <v>Total : 0</v>
      </c>
      <c r="B262" s="51"/>
      <c r="C262" s="6" t="s">
        <v>25</v>
      </c>
      <c r="D262" s="78" t="s">
        <v>1108</v>
      </c>
      <c r="E262" s="6" t="s">
        <v>24</v>
      </c>
      <c r="F262" s="51"/>
      <c r="G262" s="51"/>
      <c r="H262" s="51"/>
      <c r="I262" s="51"/>
      <c r="J262" s="478" t="s">
        <v>871</v>
      </c>
      <c r="K262" s="479"/>
      <c r="L262" s="51"/>
      <c r="M262" s="98" t="s">
        <v>1029</v>
      </c>
      <c r="N262" s="44"/>
    </row>
    <row r="263" spans="1:14" x14ac:dyDescent="0.2">
      <c r="A263" s="117"/>
      <c r="B263" s="20" t="s">
        <v>479</v>
      </c>
      <c r="C263" s="160"/>
      <c r="D263" s="4"/>
      <c r="E263" s="100" t="e">
        <f>SUM(NbrePoneysMâlesAuPré_0_3Mois+NbrePoneysMâlesAuPré_3_6Mois+NbrePoneysMâlesAuPré_6_12Mois)</f>
        <v>#REF!</v>
      </c>
      <c r="F263" s="51"/>
      <c r="G263" s="51"/>
      <c r="H263" s="51"/>
      <c r="I263" s="51"/>
      <c r="J263" s="476"/>
      <c r="K263" s="477"/>
      <c r="L263" s="51"/>
      <c r="M263" s="226"/>
      <c r="N263" s="44"/>
    </row>
    <row r="264" spans="1:14" ht="13.5" thickBot="1" x14ac:dyDescent="0.25">
      <c r="A264" s="117"/>
      <c r="B264" s="21" t="s">
        <v>480</v>
      </c>
      <c r="C264" s="101"/>
      <c r="D264" s="230"/>
      <c r="E264" s="102" t="e">
        <f>SUM(NbrePoneysFemellesAuPré_0_3Mois+NbrePoneysFemellesAuPré_3_6Mois+NbrePoneysFemellesAuPré_6_12Mois)</f>
        <v>#REF!</v>
      </c>
      <c r="F264" s="51"/>
      <c r="G264" s="51"/>
      <c r="H264" s="51"/>
      <c r="I264" s="51"/>
      <c r="J264" s="124" t="str">
        <f>RationDansPréPoneys</f>
        <v>Ration hivernale dans pré</v>
      </c>
      <c r="K264" s="51"/>
      <c r="L264" s="51"/>
      <c r="M264" s="124" t="str">
        <f>RationDansEcuriePoneys</f>
        <v>Ration dans écurie</v>
      </c>
      <c r="N264" s="44"/>
    </row>
    <row r="265" spans="1:14" x14ac:dyDescent="0.2">
      <c r="A265" s="117"/>
      <c r="B265" s="22" t="s">
        <v>481</v>
      </c>
      <c r="C265" s="161"/>
      <c r="D265" s="4"/>
      <c r="E265" s="100" t="e">
        <f>SUM(NbrePoneysMâlesAuPré_12_18Mois+NbrePoneysMâlesAuPré_18_24Mois)</f>
        <v>#REF!</v>
      </c>
      <c r="F265" s="51"/>
      <c r="G265" s="51"/>
      <c r="H265" s="51"/>
      <c r="I265" s="51"/>
      <c r="J265" s="478" t="s">
        <v>1033</v>
      </c>
      <c r="K265" s="479"/>
      <c r="L265" s="51"/>
      <c r="M265" s="98" t="s">
        <v>915</v>
      </c>
      <c r="N265" s="44"/>
    </row>
    <row r="266" spans="1:14" ht="13.5" thickBot="1" x14ac:dyDescent="0.25">
      <c r="A266" s="117"/>
      <c r="B266" s="23" t="s">
        <v>484</v>
      </c>
      <c r="C266" s="105"/>
      <c r="D266" s="230"/>
      <c r="E266" s="102" t="e">
        <f>SUM(NbrePoneysFemellesAuPré_12_18Mois+NbrePoneysFemellesAuPré_18_24Mois)</f>
        <v>#REF!</v>
      </c>
      <c r="F266" s="51"/>
      <c r="G266" s="51"/>
      <c r="H266" s="51"/>
      <c r="I266" s="51"/>
      <c r="J266" s="476"/>
      <c r="K266" s="477"/>
      <c r="L266" s="51"/>
      <c r="M266" s="227"/>
      <c r="N266" s="44"/>
    </row>
    <row r="267" spans="1:14" x14ac:dyDescent="0.2">
      <c r="A267" s="117"/>
      <c r="B267" s="24" t="s">
        <v>482</v>
      </c>
      <c r="C267" s="160"/>
      <c r="D267" s="4"/>
      <c r="E267" s="100" t="e">
        <f>NbrePoneysMâlesAuPré_24_36Mois</f>
        <v>#REF!</v>
      </c>
      <c r="F267" s="51"/>
      <c r="G267" s="51"/>
      <c r="H267" s="51"/>
      <c r="I267" s="51"/>
      <c r="J267" s="51"/>
      <c r="K267" s="51"/>
      <c r="L267" s="51"/>
      <c r="M267" s="51"/>
      <c r="N267" s="44"/>
    </row>
    <row r="268" spans="1:14" ht="13.5" thickBot="1" x14ac:dyDescent="0.25">
      <c r="A268" s="117"/>
      <c r="B268" s="21" t="s">
        <v>483</v>
      </c>
      <c r="C268" s="101"/>
      <c r="D268" s="230"/>
      <c r="E268" s="102" t="e">
        <f>NbrePoneysFemellesAuPré_24_36Mois</f>
        <v>#REF!</v>
      </c>
      <c r="F268" s="51"/>
      <c r="G268" s="51"/>
      <c r="H268" s="51"/>
      <c r="I268" s="51"/>
      <c r="J268" s="478" t="s">
        <v>1149</v>
      </c>
      <c r="K268" s="479"/>
      <c r="L268" s="51"/>
      <c r="M268" s="98" t="s">
        <v>1150</v>
      </c>
      <c r="N268" s="44"/>
    </row>
    <row r="269" spans="1:14" x14ac:dyDescent="0.2">
      <c r="A269" s="117"/>
      <c r="B269" s="22" t="s">
        <v>485</v>
      </c>
      <c r="C269" s="161"/>
      <c r="D269" s="4"/>
      <c r="E269" s="100" t="e">
        <f>NbrePoneysMâlesAuPré_3AnsEtPlus</f>
        <v>#REF!</v>
      </c>
      <c r="F269" s="51"/>
      <c r="G269" s="51"/>
      <c r="H269" s="51"/>
      <c r="I269" s="51"/>
      <c r="J269" s="476"/>
      <c r="K269" s="477"/>
      <c r="L269" s="51"/>
      <c r="M269" s="271"/>
      <c r="N269" s="44"/>
    </row>
    <row r="270" spans="1:14" ht="13.5" thickBot="1" x14ac:dyDescent="0.25">
      <c r="A270" s="117"/>
      <c r="B270" s="23" t="s">
        <v>486</v>
      </c>
      <c r="C270" s="105"/>
      <c r="D270" s="230"/>
      <c r="E270" s="102" t="e">
        <f>NbrePoneysFemellesAuPré_3AnsEtPlus</f>
        <v>#REF!</v>
      </c>
      <c r="F270" s="51"/>
      <c r="G270" s="51"/>
      <c r="H270" s="51"/>
      <c r="I270" s="51"/>
      <c r="J270" s="51"/>
      <c r="K270" s="51"/>
      <c r="L270" s="51"/>
      <c r="M270" s="51"/>
      <c r="N270" s="44"/>
    </row>
    <row r="271" spans="1:14" x14ac:dyDescent="0.2">
      <c r="A271" s="117"/>
      <c r="B271" s="51"/>
      <c r="C271" s="51"/>
      <c r="D271" s="51"/>
      <c r="E271" s="51"/>
      <c r="F271" s="51"/>
      <c r="G271" s="51"/>
      <c r="H271" s="51"/>
      <c r="I271" s="51"/>
      <c r="J271" s="18" t="s">
        <v>125</v>
      </c>
      <c r="K271" s="106"/>
      <c r="L271" s="51" t="str">
        <f>IF(ChoixPoneysPréHiver=OUI,"coût : 0€/an",IF(OR(ChoixPaillagePoneys="",ChoixPaillagePoneys=NON),"","coût : "&amp;PrixPaille*84*SUM(TotalPoneys)/1000&amp;"€/an (si pas de mise au pré l'été, sinon "&amp;(IF(ChoixPoneysPréHiver=OUI,"coût : 0€/an",PrixPaille*(84-35)*SUM(TotalPoneys)/1000&amp;"€/an)"))))</f>
        <v/>
      </c>
      <c r="M271" s="51"/>
      <c r="N271" s="44"/>
    </row>
    <row r="272" spans="1:14" x14ac:dyDescent="0.2">
      <c r="A272" s="117"/>
      <c r="B272" s="51"/>
      <c r="C272" s="51"/>
      <c r="D272" s="51"/>
      <c r="E272" s="51"/>
      <c r="F272" s="51"/>
      <c r="G272" s="51"/>
      <c r="H272" s="51"/>
      <c r="I272" s="51"/>
      <c r="J272" s="19" t="s">
        <v>124</v>
      </c>
      <c r="K272" s="106"/>
      <c r="L272" s="51" t="str">
        <f>IF(ChoixVaccinPoneys=OUI,"coût : " &amp;SUM(TotalPoneys)*prixVaccinPoney &amp;"€/an","")</f>
        <v/>
      </c>
      <c r="M272" s="51"/>
      <c r="N272" s="44"/>
    </row>
    <row r="273" spans="1:14" hidden="1" x14ac:dyDescent="0.2">
      <c r="A273" s="117"/>
      <c r="B273" s="51"/>
      <c r="C273" s="51"/>
      <c r="D273" s="51"/>
      <c r="E273" s="51"/>
      <c r="F273" s="51"/>
      <c r="G273" s="51"/>
      <c r="H273" s="51"/>
      <c r="I273" s="51"/>
      <c r="J273" s="51"/>
      <c r="K273" s="51"/>
      <c r="L273" s="51"/>
      <c r="M273" s="51"/>
      <c r="N273" s="44"/>
    </row>
    <row r="274" spans="1:14" ht="13.5" thickBot="1" x14ac:dyDescent="0.25">
      <c r="A274" s="125"/>
      <c r="B274" s="52"/>
      <c r="C274" s="52"/>
      <c r="D274" s="52"/>
      <c r="E274" s="52"/>
      <c r="F274" s="52"/>
      <c r="G274" s="52"/>
      <c r="H274" s="52"/>
      <c r="I274" s="52"/>
      <c r="J274" s="52"/>
      <c r="K274" s="52"/>
      <c r="L274" s="52"/>
      <c r="M274" s="52"/>
      <c r="N274" s="46"/>
    </row>
    <row r="275" spans="1:14" x14ac:dyDescent="0.2">
      <c r="A275" s="220"/>
      <c r="B275" s="221"/>
      <c r="C275" s="221"/>
      <c r="D275" s="221"/>
      <c r="E275" s="221"/>
      <c r="F275" s="221"/>
      <c r="G275" s="221"/>
      <c r="H275" s="221"/>
      <c r="I275" s="221"/>
      <c r="J275" s="221"/>
      <c r="K275" s="221"/>
      <c r="L275" s="221"/>
      <c r="M275" s="221"/>
      <c r="N275" s="222"/>
    </row>
    <row r="276" spans="1:14" x14ac:dyDescent="0.2">
      <c r="A276" s="220"/>
      <c r="B276" s="474" t="s">
        <v>1014</v>
      </c>
      <c r="C276" s="475"/>
      <c r="D276" s="475"/>
      <c r="E276" s="228" t="s">
        <v>129</v>
      </c>
      <c r="F276" s="221"/>
      <c r="G276" s="221"/>
      <c r="H276" s="221"/>
      <c r="I276" s="221"/>
      <c r="J276" s="221"/>
      <c r="K276" s="221"/>
      <c r="L276" s="221"/>
      <c r="M276" s="221"/>
      <c r="N276" s="222"/>
    </row>
    <row r="277" spans="1:14" x14ac:dyDescent="0.2">
      <c r="A277" s="220"/>
      <c r="B277" s="474" t="s">
        <v>1017</v>
      </c>
      <c r="C277" s="475"/>
      <c r="D277" s="475"/>
      <c r="E277" s="228" t="s">
        <v>129</v>
      </c>
      <c r="F277" s="221"/>
      <c r="G277" s="221"/>
      <c r="H277" s="221"/>
      <c r="I277" s="221"/>
      <c r="J277" s="221"/>
      <c r="K277" s="221"/>
      <c r="L277" s="221"/>
      <c r="M277" s="221"/>
      <c r="N277" s="222"/>
    </row>
    <row r="278" spans="1:14" x14ac:dyDescent="0.2">
      <c r="A278" s="220"/>
      <c r="B278" s="474" t="s">
        <v>1015</v>
      </c>
      <c r="C278" s="475"/>
      <c r="D278" s="475"/>
      <c r="E278" s="228" t="s">
        <v>129</v>
      </c>
      <c r="F278" s="221"/>
      <c r="G278" s="221"/>
      <c r="H278" s="221"/>
      <c r="I278" s="221"/>
      <c r="J278" s="221"/>
      <c r="K278" s="221"/>
      <c r="L278" s="221"/>
      <c r="M278" s="221"/>
      <c r="N278" s="222"/>
    </row>
    <row r="279" spans="1:14" x14ac:dyDescent="0.2">
      <c r="A279" s="220"/>
      <c r="B279" s="474" t="s">
        <v>1016</v>
      </c>
      <c r="C279" s="475"/>
      <c r="D279" s="475"/>
      <c r="E279" s="228" t="s">
        <v>129</v>
      </c>
      <c r="F279" s="221"/>
      <c r="G279" s="221"/>
      <c r="H279" s="221"/>
      <c r="I279" s="221"/>
      <c r="J279" s="221"/>
      <c r="K279" s="221"/>
      <c r="L279" s="221"/>
      <c r="M279" s="221"/>
      <c r="N279" s="222"/>
    </row>
    <row r="280" spans="1:14" ht="13.5" thickBot="1" x14ac:dyDescent="0.25">
      <c r="A280" s="223"/>
      <c r="B280" s="224"/>
      <c r="C280" s="224"/>
      <c r="D280" s="224"/>
      <c r="E280" s="224"/>
      <c r="F280" s="224"/>
      <c r="G280" s="224"/>
      <c r="H280" s="224"/>
      <c r="I280" s="224"/>
      <c r="J280" s="224"/>
      <c r="K280" s="224"/>
      <c r="L280" s="224"/>
      <c r="M280" s="224"/>
      <c r="N280" s="225"/>
    </row>
  </sheetData>
  <sheetProtection pivotTables="0"/>
  <mergeCells count="140">
    <mergeCell ref="J204:K204"/>
    <mergeCell ref="J88:K88"/>
    <mergeCell ref="J89:K89"/>
    <mergeCell ref="J126:K126"/>
    <mergeCell ref="J127:K127"/>
    <mergeCell ref="J159:K159"/>
    <mergeCell ref="J160:K160"/>
    <mergeCell ref="J191:K191"/>
    <mergeCell ref="J192:K192"/>
    <mergeCell ref="J154:K154"/>
    <mergeCell ref="J91:K91"/>
    <mergeCell ref="J195:K195"/>
    <mergeCell ref="J156:K156"/>
    <mergeCell ref="J185:K185"/>
    <mergeCell ref="J186:K186"/>
    <mergeCell ref="J188:K188"/>
    <mergeCell ref="J189:K189"/>
    <mergeCell ref="J178:K178"/>
    <mergeCell ref="J179:K179"/>
    <mergeCell ref="J194:K194"/>
    <mergeCell ref="J69:K69"/>
    <mergeCell ref="J70:K70"/>
    <mergeCell ref="J107:K107"/>
    <mergeCell ref="J108:K108"/>
    <mergeCell ref="J143:K143"/>
    <mergeCell ref="J144:K144"/>
    <mergeCell ref="J175:K175"/>
    <mergeCell ref="J176:K176"/>
    <mergeCell ref="J73:K73"/>
    <mergeCell ref="J79:K79"/>
    <mergeCell ref="J80:K80"/>
    <mergeCell ref="J235:K235"/>
    <mergeCell ref="J248:K248"/>
    <mergeCell ref="J249:K249"/>
    <mergeCell ref="J218:K218"/>
    <mergeCell ref="J208:K208"/>
    <mergeCell ref="J217:K217"/>
    <mergeCell ref="J225:K225"/>
    <mergeCell ref="J214:K214"/>
    <mergeCell ref="J215:K215"/>
    <mergeCell ref="J223:K223"/>
    <mergeCell ref="J224:K224"/>
    <mergeCell ref="J220:K220"/>
    <mergeCell ref="J221:K221"/>
    <mergeCell ref="J234:K234"/>
    <mergeCell ref="J67:K67"/>
    <mergeCell ref="J54:K54"/>
    <mergeCell ref="J63:K63"/>
    <mergeCell ref="J60:K60"/>
    <mergeCell ref="J61:K61"/>
    <mergeCell ref="J153:K153"/>
    <mergeCell ref="J124:K124"/>
    <mergeCell ref="J130:K130"/>
    <mergeCell ref="J131:K131"/>
    <mergeCell ref="J146:K146"/>
    <mergeCell ref="J147:K147"/>
    <mergeCell ref="J137:K137"/>
    <mergeCell ref="J138:K138"/>
    <mergeCell ref="J140:K140"/>
    <mergeCell ref="J141:K141"/>
    <mergeCell ref="J92:K92"/>
    <mergeCell ref="J110:K110"/>
    <mergeCell ref="J111:K111"/>
    <mergeCell ref="J82:K82"/>
    <mergeCell ref="J83:K83"/>
    <mergeCell ref="J101:K101"/>
    <mergeCell ref="J102:K102"/>
    <mergeCell ref="J118:K118"/>
    <mergeCell ref="J129:K129"/>
    <mergeCell ref="J157:K157"/>
    <mergeCell ref="J162:K162"/>
    <mergeCell ref="J202:K202"/>
    <mergeCell ref="J207:K207"/>
    <mergeCell ref="J163:K163"/>
    <mergeCell ref="J98:K98"/>
    <mergeCell ref="J99:K99"/>
    <mergeCell ref="J120:K120"/>
    <mergeCell ref="J72:K72"/>
    <mergeCell ref="J123:K123"/>
    <mergeCell ref="J121:K121"/>
    <mergeCell ref="J85:K85"/>
    <mergeCell ref="J86:K86"/>
    <mergeCell ref="J104:K104"/>
    <mergeCell ref="J105:K105"/>
    <mergeCell ref="J117:K117"/>
    <mergeCell ref="J205:K205"/>
    <mergeCell ref="J201:K201"/>
    <mergeCell ref="J198:K198"/>
    <mergeCell ref="J199:K199"/>
    <mergeCell ref="J169:K169"/>
    <mergeCell ref="J170:K170"/>
    <mergeCell ref="J172:K172"/>
    <mergeCell ref="J173:K173"/>
    <mergeCell ref="J48:K48"/>
    <mergeCell ref="J53:K53"/>
    <mergeCell ref="J31:K31"/>
    <mergeCell ref="J36:K36"/>
    <mergeCell ref="J37:K37"/>
    <mergeCell ref="J44:K44"/>
    <mergeCell ref="J45:K45"/>
    <mergeCell ref="J66:K66"/>
    <mergeCell ref="J64:K64"/>
    <mergeCell ref="J50:K50"/>
    <mergeCell ref="J51:K51"/>
    <mergeCell ref="J27:K27"/>
    <mergeCell ref="C1:D1"/>
    <mergeCell ref="J7:K7"/>
    <mergeCell ref="J10:K10"/>
    <mergeCell ref="J8:K8"/>
    <mergeCell ref="J11:K11"/>
    <mergeCell ref="J28:K28"/>
    <mergeCell ref="J30:K30"/>
    <mergeCell ref="J47:K47"/>
    <mergeCell ref="J16:K16"/>
    <mergeCell ref="J17:K17"/>
    <mergeCell ref="J33:K33"/>
    <mergeCell ref="J34:K34"/>
    <mergeCell ref="J13:K13"/>
    <mergeCell ref="J14:K14"/>
    <mergeCell ref="J19:K19"/>
    <mergeCell ref="J20:K20"/>
    <mergeCell ref="J21:K21"/>
    <mergeCell ref="B276:D276"/>
    <mergeCell ref="B277:D277"/>
    <mergeCell ref="B278:D278"/>
    <mergeCell ref="B279:D279"/>
    <mergeCell ref="J266:K266"/>
    <mergeCell ref="J237:K237"/>
    <mergeCell ref="J238:K238"/>
    <mergeCell ref="J251:K251"/>
    <mergeCell ref="J252:K252"/>
    <mergeCell ref="J265:K265"/>
    <mergeCell ref="J262:K262"/>
    <mergeCell ref="J263:K263"/>
    <mergeCell ref="J254:K254"/>
    <mergeCell ref="J255:K255"/>
    <mergeCell ref="J240:K240"/>
    <mergeCell ref="J241:K241"/>
    <mergeCell ref="J268:K268"/>
    <mergeCell ref="J269:K269"/>
  </mergeCells>
  <conditionalFormatting sqref="O104:O118">
    <cfRule type="expression" dxfId="1048" priority="205" stopIfTrue="1">
      <formula>IF(OR(#REF!="",#REF!=$O$2),TRUE,FALSE)</formula>
    </cfRule>
  </conditionalFormatting>
  <conditionalFormatting sqref="M10">
    <cfRule type="cellIs" dxfId="1047" priority="77" operator="equal">
      <formula>0</formula>
    </cfRule>
  </conditionalFormatting>
  <conditionalFormatting sqref="O138:O144">
    <cfRule type="expression" dxfId="1046" priority="72" stopIfTrue="1">
      <formula>IF(OR(#REF!="",#REF!=$O$2),TRUE,FALSE)</formula>
    </cfRule>
  </conditionalFormatting>
  <conditionalFormatting sqref="M13">
    <cfRule type="cellIs" dxfId="1045" priority="71" operator="equal">
      <formula>0</formula>
    </cfRule>
  </conditionalFormatting>
  <conditionalFormatting sqref="J234">
    <cfRule type="cellIs" dxfId="1044" priority="66" operator="equal">
      <formula>0</formula>
    </cfRule>
  </conditionalFormatting>
  <conditionalFormatting sqref="J237">
    <cfRule type="cellIs" dxfId="1043" priority="65" operator="equal">
      <formula>0</formula>
    </cfRule>
  </conditionalFormatting>
  <conditionalFormatting sqref="J248">
    <cfRule type="cellIs" dxfId="1042" priority="64" operator="equal">
      <formula>0</formula>
    </cfRule>
  </conditionalFormatting>
  <conditionalFormatting sqref="J262">
    <cfRule type="cellIs" dxfId="1041" priority="62" operator="equal">
      <formula>0</formula>
    </cfRule>
  </conditionalFormatting>
  <conditionalFormatting sqref="M201">
    <cfRule type="cellIs" dxfId="1040" priority="60" operator="equal">
      <formula>0</formula>
    </cfRule>
  </conditionalFormatting>
  <conditionalFormatting sqref="M204">
    <cfRule type="cellIs" dxfId="1039" priority="59" operator="equal">
      <formula>0</formula>
    </cfRule>
  </conditionalFormatting>
  <conditionalFormatting sqref="M7">
    <cfRule type="cellIs" dxfId="1038" priority="58" operator="equal">
      <formula>0</formula>
    </cfRule>
  </conditionalFormatting>
  <conditionalFormatting sqref="M44">
    <cfRule type="cellIs" dxfId="1037" priority="56" operator="equal">
      <formula>0</formula>
    </cfRule>
  </conditionalFormatting>
  <conditionalFormatting sqref="M198">
    <cfRule type="cellIs" dxfId="1036" priority="55" operator="equal">
      <formula>0</formula>
    </cfRule>
  </conditionalFormatting>
  <conditionalFormatting sqref="M234">
    <cfRule type="cellIs" dxfId="1035" priority="54" operator="equal">
      <formula>0</formula>
    </cfRule>
  </conditionalFormatting>
  <conditionalFormatting sqref="M248">
    <cfRule type="cellIs" dxfId="1034" priority="53" operator="equal">
      <formula>0</formula>
    </cfRule>
  </conditionalFormatting>
  <conditionalFormatting sqref="M262">
    <cfRule type="cellIs" dxfId="1033" priority="52" operator="equal">
      <formula>0</formula>
    </cfRule>
  </conditionalFormatting>
  <conditionalFormatting sqref="M16">
    <cfRule type="cellIs" dxfId="1032" priority="46" operator="equal">
      <formula>0</formula>
    </cfRule>
  </conditionalFormatting>
  <conditionalFormatting sqref="M237">
    <cfRule type="cellIs" dxfId="1031" priority="18" operator="equal">
      <formula>0</formula>
    </cfRule>
  </conditionalFormatting>
  <conditionalFormatting sqref="M251">
    <cfRule type="cellIs" dxfId="1030" priority="17" operator="equal">
      <formula>0</formula>
    </cfRule>
  </conditionalFormatting>
  <conditionalFormatting sqref="M265">
    <cfRule type="cellIs" dxfId="1029" priority="16" operator="equal">
      <formula>0</formula>
    </cfRule>
  </conditionalFormatting>
  <conditionalFormatting sqref="J251">
    <cfRule type="cellIs" dxfId="1028" priority="14" operator="equal">
      <formula>0</formula>
    </cfRule>
  </conditionalFormatting>
  <conditionalFormatting sqref="J265">
    <cfRule type="cellIs" dxfId="1027" priority="13" operator="equal">
      <formula>0</formula>
    </cfRule>
  </conditionalFormatting>
  <conditionalFormatting sqref="J19:K21">
    <cfRule type="expression" dxfId="1026" priority="12">
      <formula>IF(OR($J$14="",$J$14=OUI),TRUE,FALSE)</formula>
    </cfRule>
  </conditionalFormatting>
  <conditionalFormatting sqref="J36:K37">
    <cfRule type="expression" dxfId="1025" priority="11">
      <formula>IF(OR($J$31="",$J$31=OUI),TRUE,FALSE)</formula>
    </cfRule>
  </conditionalFormatting>
  <conditionalFormatting sqref="J53:K54">
    <cfRule type="expression" dxfId="1024" priority="10">
      <formula>IF(OR($J$48="",$J$48=OUI),TRUE,FALSE)</formula>
    </cfRule>
  </conditionalFormatting>
  <conditionalFormatting sqref="J72:K73">
    <cfRule type="expression" dxfId="1023" priority="9">
      <formula>IF(OR($J$67="",$J$67=OUI),TRUE,FALSE)</formula>
    </cfRule>
  </conditionalFormatting>
  <conditionalFormatting sqref="J91:K92">
    <cfRule type="expression" dxfId="1022" priority="8">
      <formula>IF(OR($J$86="",$J$86=OUI),TRUE,FALSE)</formula>
    </cfRule>
  </conditionalFormatting>
  <conditionalFormatting sqref="J110:K111">
    <cfRule type="expression" dxfId="1021" priority="7">
      <formula>IF(OR($J$105="",$J$105=OUI),TRUE,FALSE)</formula>
    </cfRule>
  </conditionalFormatting>
  <conditionalFormatting sqref="J129:K131">
    <cfRule type="expression" dxfId="1020" priority="6">
      <formula>IF(OR($J$124="",$J$124=OUI),TRUE,FALSE)</formula>
    </cfRule>
  </conditionalFormatting>
  <conditionalFormatting sqref="J146:K147">
    <cfRule type="expression" dxfId="1019" priority="5">
      <formula>IF(OR($J$141="",$J$141=OUI),TRUE,FALSE)</formula>
    </cfRule>
  </conditionalFormatting>
  <conditionalFormatting sqref="J162:K163">
    <cfRule type="expression" dxfId="1018" priority="4">
      <formula>IF(OR($J$157="",$J$157=OUI),TRUE,FALSE)</formula>
    </cfRule>
  </conditionalFormatting>
  <conditionalFormatting sqref="J178:K179">
    <cfRule type="expression" dxfId="1017" priority="3">
      <formula>IF(OR($J$173="",$J$173=OUI),TRUE,FALSE)</formula>
    </cfRule>
  </conditionalFormatting>
  <conditionalFormatting sqref="J194:K195">
    <cfRule type="expression" dxfId="1016" priority="2">
      <formula>IF(OR($J$189="",$J$189=OUI),TRUE,FALSE)</formula>
    </cfRule>
  </conditionalFormatting>
  <conditionalFormatting sqref="J207:K208">
    <cfRule type="expression" dxfId="1015" priority="1">
      <formula>IF(OR($J$202="",$J$202=OUI),TRUE,FALSE)</formula>
    </cfRule>
  </conditionalFormatting>
  <dataValidations count="2">
    <dataValidation type="list" allowBlank="1" showInputMessage="1" showErrorMessage="1" sqref="K151 K183">
      <formula1>$Y$2:$Y$3</formula1>
    </dataValidation>
    <dataValidation type="list" allowBlank="1" showInputMessage="1" showErrorMessage="1" sqref="J195:K195">
      <formula1>$FO$11:$FO$12</formula1>
    </dataValidation>
  </dataValidations>
  <hyperlinks>
    <hyperlink ref="C1:D1" location="notice!A1" display="Cliques → ICI ←"/>
    <hyperlink ref="E276" location="silos!A1" display="Cliques → ICI ←"/>
    <hyperlink ref="E278" location="'bâtiments d''élevage'!A1" display="Cliques → ICI ←"/>
    <hyperlink ref="E279" location="'pâtures et foin'!A1" display="Cliques → ICI ←"/>
    <hyperlink ref="E277" location="'entrepôts et local phyto'!A1" display="Cliques → ICI ←"/>
  </hyperlinks>
  <pageMargins left="0.78740157499999996" right="0.78740157499999996" top="0.984251969" bottom="0.984251969" header="0.5" footer="0.5"/>
  <pageSetup paperSize="9" orientation="portrait" r:id="rId1"/>
  <headerFooter alignWithMargins="0"/>
  <ignoredErrors>
    <ignoredError sqref="M203" unlockedFormula="1"/>
  </ignoredErrors>
  <legacyDrawing r:id="rId2"/>
  <extLst>
    <ext xmlns:x14="http://schemas.microsoft.com/office/spreadsheetml/2009/9/main" uri="{78C0D931-6437-407d-A8EE-F0AAD7539E65}">
      <x14:conditionalFormattings>
        <x14:conditionalFormatting xmlns:xm="http://schemas.microsoft.com/office/excel/2006/main">
          <x14:cfRule type="expression" priority="44" id="{C56A9A7A-E580-4A1A-8504-5A8D98314786}">
            <xm:f>IF(OR($J$14=BDD!$M$3,$J$14=""),TRUE,FALSE)</xm:f>
            <x14:dxf>
              <font>
                <strike val="0"/>
                <color theme="6" tint="0.59996337778862885"/>
              </font>
              <fill>
                <patternFill>
                  <bgColor theme="6" tint="0.59996337778862885"/>
                </patternFill>
              </fill>
              <border>
                <left/>
                <right/>
                <top/>
                <bottom/>
                <vertical/>
                <horizontal/>
              </border>
            </x14:dxf>
          </x14:cfRule>
          <xm:sqref>J16:K17</xm:sqref>
        </x14:conditionalFormatting>
        <x14:conditionalFormatting xmlns:xm="http://schemas.microsoft.com/office/excel/2006/main">
          <x14:cfRule type="expression" priority="43" id="{3E48648E-A698-498F-8D4D-3F2172EF62E4}">
            <xm:f>IF($J$14=BDD!$M$2,TRUE,FALSE)</xm:f>
            <x14:dxf>
              <font>
                <color rgb="FF00FFFF"/>
              </font>
              <fill>
                <patternFill patternType="lightUp">
                  <bgColor rgb="FF00FFFF"/>
                </patternFill>
              </fill>
            </x14:dxf>
          </x14:cfRule>
          <xm:sqref>E8:E21</xm:sqref>
        </x14:conditionalFormatting>
        <x14:conditionalFormatting xmlns:xm="http://schemas.microsoft.com/office/excel/2006/main">
          <x14:cfRule type="expression" priority="42" id="{9E3E0AAC-3AE5-49DB-B6AD-C1E3A67FEB85}">
            <xm:f>IF(OR($M$14=BDD!$M$3,$M$14=""),TRUE,FALSE)</xm:f>
            <x14:dxf>
              <font>
                <strike val="0"/>
                <color theme="6" tint="0.59996337778862885"/>
              </font>
              <fill>
                <patternFill>
                  <bgColor theme="6" tint="0.59996337778862885"/>
                </patternFill>
              </fill>
              <border>
                <left/>
                <right/>
                <top/>
                <bottom/>
                <vertical/>
                <horizontal/>
              </border>
            </x14:dxf>
          </x14:cfRule>
          <xm:sqref>M16:M17</xm:sqref>
        </x14:conditionalFormatting>
        <x14:conditionalFormatting xmlns:xm="http://schemas.microsoft.com/office/excel/2006/main">
          <x14:cfRule type="expression" priority="41" id="{6792E0A6-9A62-4738-BC99-6C0FBB0F4130}">
            <xm:f>IF(OR($J$48=BDD!$M$3,$J$48=""),TRUE,FALSE)</xm:f>
            <x14:dxf>
              <font>
                <strike val="0"/>
                <color theme="6" tint="0.59996337778862885"/>
              </font>
              <fill>
                <patternFill>
                  <bgColor theme="6" tint="0.59996337778862885"/>
                </patternFill>
              </fill>
              <border>
                <left/>
                <right/>
                <top/>
                <bottom/>
                <vertical/>
                <horizontal/>
              </border>
            </x14:dxf>
          </x14:cfRule>
          <xm:sqref>J50:K51</xm:sqref>
        </x14:conditionalFormatting>
        <x14:conditionalFormatting xmlns:xm="http://schemas.microsoft.com/office/excel/2006/main">
          <x14:cfRule type="expression" priority="40" id="{8C064AA5-1077-4761-9E35-9B6BBC5288AB}">
            <xm:f>IF(OR($J$86=BDD!$M$3,$J$86=""),TRUE,FALSE)</xm:f>
            <x14:dxf>
              <font>
                <strike val="0"/>
                <color theme="6" tint="0.59996337778862885"/>
              </font>
              <fill>
                <patternFill>
                  <bgColor theme="6" tint="0.59996337778862885"/>
                </patternFill>
              </fill>
              <border>
                <left/>
                <right/>
                <top/>
                <bottom/>
                <vertical/>
                <horizontal/>
              </border>
            </x14:dxf>
          </x14:cfRule>
          <xm:sqref>J88:K89</xm:sqref>
        </x14:conditionalFormatting>
        <x14:conditionalFormatting xmlns:xm="http://schemas.microsoft.com/office/excel/2006/main">
          <x14:cfRule type="expression" priority="39" id="{261F8F70-FC12-40C0-8192-3147F56E400F}">
            <xm:f>IF(OR($J$124=BDD!$M$3,$J$124=""),TRUE,FALSE)</xm:f>
            <x14:dxf>
              <font>
                <strike val="0"/>
                <color theme="6" tint="0.59996337778862885"/>
              </font>
              <fill>
                <patternFill>
                  <bgColor theme="6" tint="0.59996337778862885"/>
                </patternFill>
              </fill>
              <border>
                <left/>
                <right/>
                <top/>
                <bottom/>
                <vertical/>
                <horizontal/>
              </border>
            </x14:dxf>
          </x14:cfRule>
          <xm:sqref>J126:K127</xm:sqref>
        </x14:conditionalFormatting>
        <x14:conditionalFormatting xmlns:xm="http://schemas.microsoft.com/office/excel/2006/main">
          <x14:cfRule type="expression" priority="38" id="{033F59C3-7461-40D9-B2A8-DA2B503FC848}">
            <xm:f>IF(OR($J$157=BDD!$M$3,$J$157=""),TRUE,FALSE)</xm:f>
            <x14:dxf>
              <font>
                <strike val="0"/>
                <color theme="6" tint="0.59996337778862885"/>
              </font>
              <fill>
                <patternFill>
                  <bgColor theme="6" tint="0.59996337778862885"/>
                </patternFill>
              </fill>
              <border>
                <left/>
                <right/>
                <top/>
                <bottom/>
                <vertical/>
                <horizontal/>
              </border>
            </x14:dxf>
          </x14:cfRule>
          <xm:sqref>J159:K160</xm:sqref>
        </x14:conditionalFormatting>
        <x14:conditionalFormatting xmlns:xm="http://schemas.microsoft.com/office/excel/2006/main">
          <x14:cfRule type="expression" priority="37" id="{C8940A27-F334-4DE2-82DC-5C44E0470435}">
            <xm:f>IF(OR($J$189=BDD!$M$3,$J$189=""),TRUE,FALSE)</xm:f>
            <x14:dxf>
              <font>
                <strike val="0"/>
                <color theme="6" tint="0.59996337778862885"/>
              </font>
              <fill>
                <patternFill>
                  <bgColor theme="6" tint="0.59996337778862885"/>
                </patternFill>
              </fill>
              <border>
                <left/>
                <right/>
                <top/>
                <bottom/>
                <vertical/>
                <horizontal/>
              </border>
            </x14:dxf>
          </x14:cfRule>
          <xm:sqref>J191:K192</xm:sqref>
        </x14:conditionalFormatting>
        <x14:conditionalFormatting xmlns:xm="http://schemas.microsoft.com/office/excel/2006/main">
          <x14:cfRule type="expression" priority="36" id="{41023355-87A1-4D6E-A3E7-EC8E4297BAB7}">
            <xm:f>IF(OR($J$218=BDD!$M$3,$J$218=""),TRUE,FALSE)</xm:f>
            <x14:dxf>
              <font>
                <strike val="0"/>
                <color theme="6" tint="0.59996337778862885"/>
              </font>
              <fill>
                <patternFill>
                  <bgColor theme="6" tint="0.59996337778862885"/>
                </patternFill>
              </fill>
              <border>
                <left/>
                <right/>
                <top/>
                <bottom/>
                <vertical/>
                <horizontal/>
              </border>
            </x14:dxf>
          </x14:cfRule>
          <xm:sqref>J220:K221</xm:sqref>
        </x14:conditionalFormatting>
        <x14:conditionalFormatting xmlns:xm="http://schemas.microsoft.com/office/excel/2006/main">
          <x14:cfRule type="expression" priority="35" id="{1C72769A-1B38-47DA-B743-6A7EA6C9C5D2}">
            <xm:f>IF(OR($J$252=BDD!$M$3,$J$252=""),TRUE,FALSE)</xm:f>
            <x14:dxf>
              <font>
                <strike val="0"/>
                <color theme="6" tint="0.59996337778862885"/>
              </font>
              <fill>
                <patternFill>
                  <bgColor theme="6" tint="0.59996337778862885"/>
                </patternFill>
              </fill>
              <border>
                <left/>
                <right/>
                <top/>
                <bottom/>
                <vertical/>
                <horizontal/>
              </border>
            </x14:dxf>
          </x14:cfRule>
          <xm:sqref>J254:K255</xm:sqref>
        </x14:conditionalFormatting>
        <x14:conditionalFormatting xmlns:xm="http://schemas.microsoft.com/office/excel/2006/main">
          <x14:cfRule type="expression" priority="34" id="{47FDFBAA-1280-4C70-9309-878E17BB1EAB}">
            <xm:f>IF(OR($J$31="",$J$31=BDD!$M$3),TRUE,FALSE)</xm:f>
            <x14:dxf>
              <font>
                <color theme="9" tint="0.79998168889431442"/>
              </font>
              <fill>
                <patternFill>
                  <bgColor theme="9" tint="0.79998168889431442"/>
                </patternFill>
              </fill>
              <border>
                <left/>
                <right/>
                <top/>
                <bottom/>
                <vertical/>
                <horizontal/>
              </border>
            </x14:dxf>
          </x14:cfRule>
          <xm:sqref>J33:K34</xm:sqref>
        </x14:conditionalFormatting>
        <x14:conditionalFormatting xmlns:xm="http://schemas.microsoft.com/office/excel/2006/main">
          <x14:cfRule type="expression" priority="33" id="{A922C8FF-1E70-4760-8391-7CDFC7D0E727}">
            <xm:f>IF(OR($J$67="",$J$67=BDD!$M$3),TRUE,FALSE)</xm:f>
            <x14:dxf>
              <font>
                <color theme="9" tint="0.79998168889431442"/>
              </font>
              <fill>
                <patternFill>
                  <bgColor theme="9" tint="0.79998168889431442"/>
                </patternFill>
              </fill>
              <border>
                <left/>
                <right/>
                <top/>
                <bottom/>
                <vertical/>
                <horizontal/>
              </border>
            </x14:dxf>
          </x14:cfRule>
          <xm:sqref>J69:K70</xm:sqref>
        </x14:conditionalFormatting>
        <x14:conditionalFormatting xmlns:xm="http://schemas.microsoft.com/office/excel/2006/main">
          <x14:cfRule type="expression" priority="32" id="{A69918AD-EDE4-4428-81F9-E7189FD1412D}">
            <xm:f>IF(OR($J$105="",$J$105=BDD!$M$3),TRUE,FALSE)</xm:f>
            <x14:dxf>
              <font>
                <color theme="9" tint="0.79998168889431442"/>
              </font>
              <fill>
                <patternFill>
                  <bgColor theme="9" tint="0.79998168889431442"/>
                </patternFill>
              </fill>
              <border>
                <left/>
                <right/>
                <top/>
                <bottom/>
                <vertical/>
                <horizontal/>
              </border>
            </x14:dxf>
          </x14:cfRule>
          <xm:sqref>J107:K108</xm:sqref>
        </x14:conditionalFormatting>
        <x14:conditionalFormatting xmlns:xm="http://schemas.microsoft.com/office/excel/2006/main">
          <x14:cfRule type="expression" priority="31" id="{95477A86-126C-493E-A546-F36B4D15C7DB}">
            <xm:f>IF(OR($J$141="",$J$141=BDD!$M$3),TRUE,FALSE)</xm:f>
            <x14:dxf>
              <font>
                <color theme="9" tint="0.79998168889431442"/>
              </font>
              <fill>
                <patternFill>
                  <bgColor theme="9" tint="0.79998168889431442"/>
                </patternFill>
              </fill>
              <border>
                <left/>
                <right/>
                <top/>
                <bottom/>
                <vertical/>
                <horizontal/>
              </border>
            </x14:dxf>
          </x14:cfRule>
          <xm:sqref>J143:K144</xm:sqref>
        </x14:conditionalFormatting>
        <x14:conditionalFormatting xmlns:xm="http://schemas.microsoft.com/office/excel/2006/main">
          <x14:cfRule type="expression" priority="30" id="{2A11C264-A640-4189-9A54-855B1B3933DE}">
            <xm:f>IF(OR($J$173="",$J$173=BDD!$M$3),TRUE,FALSE)</xm:f>
            <x14:dxf>
              <font>
                <color theme="9" tint="0.79998168889431442"/>
              </font>
              <fill>
                <patternFill>
                  <bgColor theme="9" tint="0.79998168889431442"/>
                </patternFill>
              </fill>
              <border>
                <left/>
                <right/>
                <top/>
                <bottom/>
                <vertical/>
                <horizontal/>
              </border>
            </x14:dxf>
          </x14:cfRule>
          <xm:sqref>J175:K176</xm:sqref>
        </x14:conditionalFormatting>
        <x14:conditionalFormatting xmlns:xm="http://schemas.microsoft.com/office/excel/2006/main">
          <x14:cfRule type="expression" priority="29" id="{A224484C-F344-4862-B07C-F1FBE4F3D090}">
            <xm:f>IF(OR($J$202="",$J$202=BDD!$M$3),TRUE,FALSE)</xm:f>
            <x14:dxf>
              <font>
                <color theme="9" tint="0.79998168889431442"/>
              </font>
              <fill>
                <patternFill>
                  <bgColor theme="9" tint="0.79998168889431442"/>
                </patternFill>
              </fill>
              <border>
                <left/>
                <right/>
                <top/>
                <bottom/>
                <vertical/>
                <horizontal/>
              </border>
            </x14:dxf>
          </x14:cfRule>
          <xm:sqref>J204:K205</xm:sqref>
        </x14:conditionalFormatting>
        <x14:conditionalFormatting xmlns:xm="http://schemas.microsoft.com/office/excel/2006/main">
          <x14:cfRule type="expression" priority="28" id="{307AFBAD-D60D-4AB8-8C36-D8259FC0D16E}">
            <xm:f>IF(OR($J$238="",$J$238=BDD!$M$3),TRUE,FALSE)</xm:f>
            <x14:dxf>
              <font>
                <color theme="9" tint="0.79998168889431442"/>
              </font>
              <fill>
                <patternFill>
                  <bgColor theme="9" tint="0.79998168889431442"/>
                </patternFill>
              </fill>
              <border>
                <left/>
                <right/>
                <top/>
                <bottom/>
                <vertical/>
                <horizontal/>
              </border>
            </x14:dxf>
          </x14:cfRule>
          <xm:sqref>J240:K241</xm:sqref>
        </x14:conditionalFormatting>
        <x14:conditionalFormatting xmlns:xm="http://schemas.microsoft.com/office/excel/2006/main">
          <x14:cfRule type="expression" priority="27" id="{F1FD6968-AAF9-4E45-9979-91740A0AE4A2}">
            <xm:f>IF(OR($J$266="",$J$266=BDD!$M$3),TRUE,FALSE)</xm:f>
            <x14:dxf>
              <font>
                <color theme="9" tint="0.79998168889431442"/>
              </font>
              <fill>
                <patternFill>
                  <bgColor theme="9" tint="0.79998168889431442"/>
                </patternFill>
              </fill>
              <border>
                <left/>
                <right/>
                <top/>
                <bottom/>
                <vertical/>
                <horizontal/>
              </border>
            </x14:dxf>
          </x14:cfRule>
          <xm:sqref>J268:K269</xm:sqref>
        </x14:conditionalFormatting>
        <x14:conditionalFormatting xmlns:xm="http://schemas.microsoft.com/office/excel/2006/main">
          <x14:cfRule type="expression" priority="22" id="{E850422A-BE1D-42F7-BAD6-03317A28A1EF}">
            <xm:f>IF(OR($M$205=BDD!$M$3,$M$205=""),TRUE,FALSE)</xm:f>
            <x14:dxf>
              <font>
                <strike val="0"/>
                <color theme="9" tint="0.79998168889431442"/>
              </font>
              <fill>
                <patternFill>
                  <bgColor theme="9" tint="0.79998168889431442"/>
                </patternFill>
              </fill>
              <border>
                <left/>
                <right/>
                <top/>
                <bottom/>
                <vertical/>
                <horizontal/>
              </border>
            </x14:dxf>
          </x14:cfRule>
          <xm:sqref>M207:M208</xm:sqref>
        </x14:conditionalFormatting>
        <x14:conditionalFormatting xmlns:xm="http://schemas.microsoft.com/office/excel/2006/main">
          <x14:cfRule type="expression" priority="21" id="{5DCF4396-D486-42F3-AA65-DC44A00EDB42}">
            <xm:f>IF(OR($M$238=BDD!$M$3,$M$238=""),TRUE,FALSE)</xm:f>
            <x14:dxf>
              <font>
                <strike val="0"/>
                <color theme="9" tint="0.79998168889431442"/>
              </font>
              <fill>
                <patternFill>
                  <bgColor theme="9" tint="0.79998168889431442"/>
                </patternFill>
              </fill>
              <border>
                <left/>
                <right/>
                <top/>
                <bottom/>
                <vertical/>
                <horizontal/>
              </border>
            </x14:dxf>
          </x14:cfRule>
          <xm:sqref>M240:M241</xm:sqref>
        </x14:conditionalFormatting>
        <x14:conditionalFormatting xmlns:xm="http://schemas.microsoft.com/office/excel/2006/main">
          <x14:cfRule type="expression" priority="20" id="{F67C8A10-CB1A-4AE5-A619-627D33B1833E}">
            <xm:f>IF(OR($M$252=BDD!$M$3,$M$252=""),TRUE,FALSE)</xm:f>
            <x14:dxf>
              <font>
                <strike val="0"/>
                <color theme="6" tint="0.59996337778862885"/>
              </font>
              <fill>
                <patternFill>
                  <bgColor theme="6" tint="0.59996337778862885"/>
                </patternFill>
              </fill>
              <border>
                <left/>
                <right/>
                <top/>
                <bottom/>
                <vertical/>
                <horizontal/>
              </border>
            </x14:dxf>
          </x14:cfRule>
          <xm:sqref>M254:M255</xm:sqref>
        </x14:conditionalFormatting>
        <x14:conditionalFormatting xmlns:xm="http://schemas.microsoft.com/office/excel/2006/main">
          <x14:cfRule type="expression" priority="19" id="{EB81D420-BE72-4A0F-8EE9-54432ACB70BB}">
            <xm:f>IF(OR($M$266=BDD!$M$3,$M$266=""),TRUE,FALSE)</xm:f>
            <x14:dxf>
              <font>
                <strike val="0"/>
                <color theme="9" tint="0.79998168889431442"/>
              </font>
              <fill>
                <patternFill>
                  <bgColor theme="9" tint="0.79998168889431442"/>
                </patternFill>
              </fill>
              <border>
                <left/>
                <right/>
                <top/>
                <bottom/>
                <vertical/>
                <horizontal/>
              </border>
            </x14:dxf>
          </x14:cfRule>
          <xm:sqref>M268:M269</xm:sqref>
        </x14:conditionalFormatting>
        <x14:conditionalFormatting xmlns:xm="http://schemas.microsoft.com/office/excel/2006/main">
          <x14:cfRule type="expression" priority="15" id="{E20A252B-4519-48DF-A5F9-A88BF8A9F752}">
            <xm:f>IF(OR($J$218="",$J$218=BDD!$M$3),TRUE,FALSE)</xm:f>
            <x14:dxf>
              <font>
                <color theme="6" tint="0.59996337778862885"/>
              </font>
              <fill>
                <patternFill>
                  <bgColor theme="6" tint="0.59996337778862885"/>
                </patternFill>
              </fill>
              <border>
                <left/>
                <right/>
                <top/>
                <bottom/>
                <vertical/>
                <horizontal/>
              </border>
            </x14:dxf>
          </x14:cfRule>
          <xm:sqref>J223:K225</xm:sqref>
        </x14:conditionalFormatting>
      </x14:conditionalFormattings>
    </ext>
    <ext xmlns:x14="http://schemas.microsoft.com/office/spreadsheetml/2009/9/main" uri="{CCE6A557-97BC-4b89-ADB6-D9C93CAAB3DF}">
      <x14:dataValidations xmlns:xm="http://schemas.microsoft.com/office/excel/2006/main" count="36">
        <x14:dataValidation type="list" allowBlank="1" showInputMessage="1" showErrorMessage="1">
          <x14:formula1>
            <xm:f>BDD!$DZ$8</xm:f>
          </x14:formula1>
          <xm:sqref>J215:K215</xm:sqref>
        </x14:dataValidation>
        <x14:dataValidation type="list" allowBlank="1" showInputMessage="1" showErrorMessage="1">
          <x14:formula1>
            <xm:f>BDD!$M$6:$M$10</xm:f>
          </x14:formula1>
          <xm:sqref>D4</xm:sqref>
        </x14:dataValidation>
        <x14:dataValidation type="list" allowBlank="1" showInputMessage="1" showErrorMessage="1">
          <x14:formula1>
            <xm:f>BDD!$DN$8:$DN$14</xm:f>
          </x14:formula1>
          <xm:sqref>J199:K199</xm:sqref>
        </x14:dataValidation>
        <x14:dataValidation type="list" allowBlank="1" showInputMessage="1" showErrorMessage="1">
          <x14:formula1>
            <xm:f>BDD!$BC$4:$BC$5</xm:f>
          </x14:formula1>
          <xm:sqref>J8:K8</xm:sqref>
        </x14:dataValidation>
        <x14:dataValidation type="list" allowBlank="1" showInputMessage="1" showErrorMessage="1">
          <x14:formula1>
            <xm:f>BDD!$CB$17:$CB$22</xm:f>
          </x14:formula1>
          <xm:sqref>J45:K45</xm:sqref>
        </x14:dataValidation>
        <x14:dataValidation type="list" allowBlank="1" showInputMessage="1" showErrorMessage="1">
          <x14:formula1>
            <xm:f>BDD!$CJ$4:$CJ$6</xm:f>
          </x14:formula1>
          <xm:sqref>J64:K64</xm:sqref>
        </x14:dataValidation>
        <x14:dataValidation type="list" allowBlank="1" showInputMessage="1" showErrorMessage="1">
          <x14:formula1>
            <xm:f>BDD!$CZ$4:$CZ$5</xm:f>
          </x14:formula1>
          <xm:sqref>J83:K83</xm:sqref>
        </x14:dataValidation>
        <x14:dataValidation type="list" allowBlank="1" showInputMessage="1" showErrorMessage="1">
          <x14:formula1>
            <xm:f>BDD!$DG$4:$DG$5</xm:f>
          </x14:formula1>
          <xm:sqref>J102:K102</xm:sqref>
        </x14:dataValidation>
        <x14:dataValidation type="list" allowBlank="1" showInputMessage="1" showErrorMessage="1">
          <x14:formula1>
            <xm:f>BDD!$M$2:$M$3</xm:f>
          </x14:formula1>
          <xm:sqref>J14:K14 K23:K24 J31:K31 J48:K48 K75:K76 K257:K258 K94:K95 K113:K114 J238 K165:K166 J202:K202 J266 M11 M202 J249 J252 J218 J263 M14 K39 K56:K57 K271:K272 J67 J86 J105 J124 J141:K141 J157:K157 J173:K173 K210:K211 K227 K243:K244 K133:K134 J189:K189 M205 J235 K149:K150 M8 M45 M199 M235 M249 M263 M238 M252 M266</xm:sqref>
        </x14:dataValidation>
        <x14:dataValidation type="list" allowBlank="1" showInputMessage="1" showErrorMessage="1">
          <x14:formula1>
            <xm:f>BDD!$BG$9:$BG$11</xm:f>
          </x14:formula1>
          <xm:sqref>J20:K20</xm:sqref>
        </x14:dataValidation>
        <x14:dataValidation type="list" allowBlank="1" showInputMessage="1" showErrorMessage="1">
          <x14:formula1>
            <xm:f>BDD!$BR$6:$BR$7</xm:f>
          </x14:formula1>
          <xm:sqref>J37:K37</xm:sqref>
        </x14:dataValidation>
        <x14:dataValidation type="list" allowBlank="1" showInputMessage="1" showErrorMessage="1">
          <x14:formula1>
            <xm:f>BDD!$CA$17:$CA$18</xm:f>
          </x14:formula1>
          <xm:sqref>J54:K54</xm:sqref>
        </x14:dataValidation>
        <x14:dataValidation type="list" allowBlank="1" showInputMessage="1" showErrorMessage="1">
          <x14:formula1>
            <xm:f>BDD!$CL$4:$CL$6</xm:f>
          </x14:formula1>
          <xm:sqref>J73</xm:sqref>
        </x14:dataValidation>
        <x14:dataValidation type="list" allowBlank="1" showInputMessage="1" showErrorMessage="1">
          <x14:formula1>
            <xm:f>BDD!$DB$4:$DB$5</xm:f>
          </x14:formula1>
          <xm:sqref>J92</xm:sqref>
        </x14:dataValidation>
        <x14:dataValidation type="list" allowBlank="1" showInputMessage="1" showErrorMessage="1">
          <x14:formula1>
            <xm:f>BDD!$DI$4:$DI$5</xm:f>
          </x14:formula1>
          <xm:sqref>J111</xm:sqref>
        </x14:dataValidation>
        <x14:dataValidation type="list" allowBlank="1" showInputMessage="1" showErrorMessage="1">
          <x14:formula1>
            <xm:f>BDD!$CV$4:$CV$5</xm:f>
          </x14:formula1>
          <xm:sqref>J130</xm:sqref>
        </x14:dataValidation>
        <x14:dataValidation type="list" allowBlank="1" showInputMessage="1" showErrorMessage="1">
          <x14:formula1>
            <xm:f>BDD!$CW$4:$CW$5</xm:f>
          </x14:formula1>
          <xm:sqref>J131</xm:sqref>
        </x14:dataValidation>
        <x14:dataValidation type="list" allowBlank="1" showInputMessage="1" showErrorMessage="1">
          <x14:formula1>
            <xm:f>BDD!$EI$4:$EI$5</xm:f>
          </x14:formula1>
          <xm:sqref>J147</xm:sqref>
        </x14:dataValidation>
        <x14:dataValidation type="list" allowBlank="1" showInputMessage="1" showErrorMessage="1">
          <x14:formula1>
            <xm:f>BDD!$EP$4:$EP$5</xm:f>
          </x14:formula1>
          <xm:sqref>J163</xm:sqref>
        </x14:dataValidation>
        <x14:dataValidation type="list" allowBlank="1" showInputMessage="1" showErrorMessage="1">
          <x14:formula1>
            <xm:f>BDD!$DQ$8:$DQ$10</xm:f>
          </x14:formula1>
          <xm:sqref>J208:K208</xm:sqref>
        </x14:dataValidation>
        <x14:dataValidation type="list" allowBlank="1" showInputMessage="1" showErrorMessage="1">
          <x14:formula1>
            <xm:f>BDD!$BS$4</xm:f>
          </x14:formula1>
          <xm:sqref>J28:K28</xm:sqref>
        </x14:dataValidation>
        <x14:dataValidation type="list" allowBlank="1" showInputMessage="1" showErrorMessage="1">
          <x14:formula1>
            <xm:f>BDD!$BI$9:$BI$17</xm:f>
          </x14:formula1>
          <xm:sqref>J11:K11</xm:sqref>
        </x14:dataValidation>
        <x14:dataValidation type="list" allowBlank="1" showInputMessage="1" showErrorMessage="1">
          <x14:formula1>
            <xm:f>BDD!$CM$4</xm:f>
          </x14:formula1>
          <xm:sqref>J61:K61</xm:sqref>
        </x14:dataValidation>
        <x14:dataValidation type="list" allowBlank="1" showInputMessage="1" showErrorMessage="1">
          <x14:formula1>
            <xm:f>BDD!$CW$13:$CW$14</xm:f>
          </x14:formula1>
          <xm:sqref>J121:K121</xm:sqref>
        </x14:dataValidation>
        <x14:dataValidation type="list" allowBlank="1" showInputMessage="1" showErrorMessage="1">
          <x14:formula1>
            <xm:f>BDD!$CW$8</xm:f>
          </x14:formula1>
          <xm:sqref>J118:K118</xm:sqref>
        </x14:dataValidation>
        <x14:dataValidation type="list" allowBlank="1" showInputMessage="1" showErrorMessage="1">
          <x14:formula1>
            <xm:f>BDD!$DC$4</xm:f>
          </x14:formula1>
          <xm:sqref>J80:K80</xm:sqref>
        </x14:dataValidation>
        <x14:dataValidation type="list" allowBlank="1" showInputMessage="1" showErrorMessage="1">
          <x14:formula1>
            <xm:f>BDD!$DJ$4</xm:f>
          </x14:formula1>
          <xm:sqref>J99:K99</xm:sqref>
        </x14:dataValidation>
        <x14:dataValidation type="list" allowBlank="1" showInputMessage="1" showErrorMessage="1">
          <x14:formula1>
            <xm:f>BDD!$DZ$4:$DZ$5</xm:f>
          </x14:formula1>
          <xm:sqref>J224</xm:sqref>
        </x14:dataValidation>
        <x14:dataValidation type="list" allowBlank="1" showInputMessage="1" showErrorMessage="1">
          <x14:formula1>
            <xm:f>BDD!$EA$4:$EA$5</xm:f>
          </x14:formula1>
          <xm:sqref>J225</xm:sqref>
        </x14:dataValidation>
        <x14:dataValidation type="list" allowBlank="1" showInputMessage="1" showErrorMessage="1">
          <x14:formula1>
            <xm:f>BDD!$EK$4</xm:f>
          </x14:formula1>
          <xm:sqref>J138:K138</xm:sqref>
        </x14:dataValidation>
        <x14:dataValidation type="list" allowBlank="1" showInputMessage="1" showErrorMessage="1">
          <x14:formula1>
            <xm:f>BDD!$EQ$4</xm:f>
          </x14:formula1>
          <xm:sqref>J154:K154</xm:sqref>
        </x14:dataValidation>
        <x14:dataValidation type="list" allowBlank="1" showInputMessage="1" showErrorMessage="1">
          <x14:formula1>
            <xm:f>BDD!$GB$3</xm:f>
          </x14:formula1>
          <xm:sqref>J170:K170</xm:sqref>
        </x14:dataValidation>
        <x14:dataValidation type="list" allowBlank="1" showInputMessage="1" showErrorMessage="1">
          <x14:formula1>
            <xm:f>BDD!$GB$4</xm:f>
          </x14:formula1>
          <xm:sqref>J186:K186</xm:sqref>
        </x14:dataValidation>
        <x14:dataValidation type="list" allowBlank="1" showInputMessage="1" showErrorMessage="1">
          <x14:formula1>
            <xm:f>BDD!$GA$11:$GA$12</xm:f>
          </x14:formula1>
          <xm:sqref>J179:K179</xm:sqref>
        </x14:dataValidation>
        <x14:dataValidation type="list" allowBlank="1" showInputMessage="1" showErrorMessage="1">
          <x14:formula1>
            <xm:f>BDD!$J$2:$J$4</xm:f>
          </x14:formula1>
          <xm:sqref>H187 D45:D52 D61:D70 D80:D85 D99:D104 D118:D123 D138:D143 D154:D159 E199:E206 D171:D173 D187:D189 H171 M269 J17:K17 M17 J34:K34 D28:D41 J51:K51 J89:K89 J127:K127 J160:K160 J192:K192 J221:K221 J255:K255 J241:K241 J70:K70 J108:K108 J144:K144 J176:K176 J205:K205 J269:K269 D235:D242 D249:D256 D263:D270 D215:D228 M208 M241 M255 E8:E21</xm:sqref>
        </x14:dataValidation>
        <x14:dataValidation type="list" allowBlank="1" showInputMessage="1" showErrorMessage="1">
          <x14:formula1>
            <xm:f>BDD!$BG$15:$BG$16</xm:f>
          </x14:formula1>
          <xm:sqref>J21:K21</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Z120"/>
  <sheetViews>
    <sheetView tabSelected="1" zoomScaleNormal="100" workbookViewId="0">
      <selection activeCell="B6" sqref="B6"/>
    </sheetView>
  </sheetViews>
  <sheetFormatPr baseColWidth="10" defaultColWidth="9.140625" defaultRowHeight="12.75" x14ac:dyDescent="0.2"/>
  <cols>
    <col min="1" max="1" width="6.28515625" style="89" customWidth="1"/>
    <col min="2" max="2" width="42" style="89" bestFit="1" customWidth="1"/>
    <col min="3" max="4" width="14.7109375" style="89" customWidth="1"/>
    <col min="5" max="5" width="15.7109375" style="89" customWidth="1"/>
    <col min="6" max="8" width="14.7109375" style="89" customWidth="1"/>
    <col min="9" max="9" width="16.5703125" style="89" customWidth="1"/>
    <col min="10" max="10" width="10.85546875" style="89" customWidth="1"/>
    <col min="11" max="11" width="15.85546875" style="89" customWidth="1"/>
    <col min="12" max="12" width="20.42578125" style="89" customWidth="1"/>
    <col min="13" max="13" width="16.42578125" style="89" customWidth="1"/>
    <col min="14" max="14" width="9" style="15" customWidth="1"/>
    <col min="15" max="15" width="9.140625" style="15"/>
    <col min="16" max="18" width="11.28515625" style="15" bestFit="1" customWidth="1"/>
    <col min="19" max="19" width="10.140625" style="15" customWidth="1"/>
    <col min="20" max="26" width="10.140625" style="89" bestFit="1" customWidth="1"/>
    <col min="27" max="48" width="9.140625" style="89"/>
    <col min="49" max="49" width="20.7109375" style="89" bestFit="1" customWidth="1"/>
    <col min="50" max="51" width="9.140625" style="89"/>
    <col min="52" max="52" width="11.5703125" style="89" bestFit="1" customWidth="1"/>
    <col min="53" max="53" width="13.85546875" style="89" bestFit="1" customWidth="1"/>
    <col min="54" max="55" width="9.140625" style="89"/>
    <col min="56" max="56" width="12.5703125" style="89" customWidth="1"/>
    <col min="57" max="57" width="12" style="89" customWidth="1"/>
    <col min="58" max="58" width="12.5703125" style="89" customWidth="1"/>
    <col min="59" max="59" width="16.7109375" style="89" bestFit="1" customWidth="1"/>
    <col min="60" max="60" width="9.28515625" style="89" bestFit="1" customWidth="1"/>
    <col min="61" max="16384" width="9.140625" style="89"/>
  </cols>
  <sheetData>
    <row r="1" spans="1:26" s="15" customFormat="1" x14ac:dyDescent="0.2">
      <c r="A1" s="167"/>
      <c r="B1" s="75" t="s">
        <v>530</v>
      </c>
      <c r="C1" s="486" t="s">
        <v>129</v>
      </c>
      <c r="D1" s="487"/>
      <c r="E1" s="168"/>
      <c r="F1" s="169"/>
      <c r="G1" s="168"/>
      <c r="H1" s="168"/>
      <c r="I1" s="168"/>
      <c r="J1" s="170"/>
      <c r="K1" s="168"/>
      <c r="L1" s="168"/>
      <c r="M1" s="171"/>
      <c r="N1" s="171"/>
      <c r="O1" s="171"/>
      <c r="P1" s="171"/>
      <c r="Q1" s="171"/>
      <c r="R1" s="171"/>
      <c r="S1" s="171"/>
      <c r="T1" s="172"/>
      <c r="U1" s="173"/>
      <c r="V1" s="173"/>
      <c r="W1" s="173"/>
      <c r="X1" s="173"/>
      <c r="Y1" s="173"/>
      <c r="Z1" s="173"/>
    </row>
    <row r="2" spans="1:26" s="15" customFormat="1" x14ac:dyDescent="0.2">
      <c r="A2" s="174"/>
      <c r="B2" s="171"/>
      <c r="C2" s="171"/>
      <c r="D2" s="171"/>
      <c r="E2" s="171"/>
      <c r="F2" s="175"/>
      <c r="G2" s="171"/>
      <c r="H2" s="171"/>
      <c r="I2" s="171"/>
      <c r="J2" s="171"/>
      <c r="K2" s="171"/>
      <c r="L2" s="171"/>
      <c r="M2" s="171"/>
      <c r="N2" s="171"/>
      <c r="O2" s="171"/>
      <c r="P2" s="171"/>
      <c r="Q2" s="171"/>
      <c r="R2" s="171"/>
      <c r="S2" s="171"/>
      <c r="T2" s="176"/>
      <c r="U2" s="173"/>
      <c r="V2" s="173"/>
      <c r="W2" s="173"/>
      <c r="X2" s="173"/>
      <c r="Y2" s="173"/>
      <c r="Z2" s="173"/>
    </row>
    <row r="3" spans="1:26" s="15" customFormat="1" ht="12.75" customHeight="1" x14ac:dyDescent="0.2">
      <c r="A3" s="174"/>
      <c r="B3" s="488" t="s">
        <v>365</v>
      </c>
      <c r="C3" s="489"/>
      <c r="D3" s="490"/>
      <c r="E3" s="171"/>
      <c r="F3" s="177"/>
      <c r="G3" s="171"/>
      <c r="H3" s="171"/>
      <c r="I3" s="171"/>
      <c r="J3" s="171"/>
      <c r="K3" s="171"/>
      <c r="L3" s="171"/>
      <c r="M3" s="171"/>
      <c r="N3" s="171"/>
      <c r="O3" s="171"/>
      <c r="P3" s="171"/>
      <c r="Q3" s="171"/>
      <c r="R3" s="171"/>
      <c r="S3" s="171"/>
      <c r="T3" s="176"/>
      <c r="U3" s="173"/>
      <c r="V3" s="173"/>
      <c r="W3" s="173"/>
      <c r="X3" s="173"/>
      <c r="Y3" s="173"/>
      <c r="Z3" s="173"/>
    </row>
    <row r="4" spans="1:26" s="15" customFormat="1" x14ac:dyDescent="0.2">
      <c r="A4" s="174"/>
      <c r="B4" s="171"/>
      <c r="C4" s="171"/>
      <c r="D4" s="171"/>
      <c r="E4" s="171"/>
      <c r="F4" s="177"/>
      <c r="G4" s="171"/>
      <c r="H4" s="171"/>
      <c r="I4" s="171"/>
      <c r="J4" s="171"/>
      <c r="K4" s="171"/>
      <c r="L4" s="171"/>
      <c r="M4" s="171"/>
      <c r="N4" s="171"/>
      <c r="O4" s="171"/>
      <c r="P4" s="171"/>
      <c r="Q4" s="171"/>
      <c r="R4" s="171"/>
      <c r="S4" s="171"/>
      <c r="T4" s="176"/>
      <c r="U4" s="173"/>
      <c r="V4" s="173"/>
      <c r="W4" s="173"/>
      <c r="X4" s="173"/>
      <c r="Y4" s="173"/>
      <c r="Z4" s="173"/>
    </row>
    <row r="5" spans="1:26" s="15" customFormat="1" x14ac:dyDescent="0.2">
      <c r="A5" s="174"/>
      <c r="B5" s="253" t="s">
        <v>1140</v>
      </c>
      <c r="C5" s="171"/>
      <c r="D5" s="171"/>
      <c r="E5" s="74"/>
      <c r="F5" s="171"/>
      <c r="G5" s="171"/>
      <c r="H5" s="171"/>
      <c r="I5" s="171"/>
      <c r="J5" s="171"/>
      <c r="K5" s="171"/>
      <c r="L5" s="171"/>
      <c r="M5" s="171"/>
      <c r="N5" s="171"/>
      <c r="O5" s="171"/>
      <c r="P5" s="171"/>
      <c r="Q5" s="171"/>
      <c r="R5" s="171"/>
      <c r="S5" s="171"/>
      <c r="T5" s="176"/>
      <c r="U5" s="173"/>
      <c r="V5" s="173"/>
      <c r="W5" s="173"/>
      <c r="X5" s="173"/>
      <c r="Y5" s="173"/>
      <c r="Z5" s="173"/>
    </row>
    <row r="6" spans="1:26" s="15" customFormat="1" ht="13.5" thickBot="1" x14ac:dyDescent="0.25">
      <c r="A6" s="174"/>
      <c r="B6" s="254" t="s">
        <v>1115</v>
      </c>
      <c r="C6" s="171"/>
      <c r="D6" s="179"/>
      <c r="E6" s="179"/>
      <c r="F6" s="171"/>
      <c r="G6" s="171"/>
      <c r="H6" s="171"/>
      <c r="I6" s="171"/>
      <c r="J6" s="171"/>
      <c r="K6" s="171"/>
      <c r="L6" s="171"/>
      <c r="M6" s="171"/>
      <c r="N6" s="178"/>
      <c r="O6" s="171"/>
      <c r="P6" s="171"/>
      <c r="Q6" s="171"/>
      <c r="R6" s="171"/>
      <c r="S6" s="171"/>
      <c r="T6" s="176"/>
      <c r="U6" s="173"/>
      <c r="V6" s="173"/>
      <c r="W6" s="173"/>
      <c r="X6" s="173"/>
      <c r="Y6" s="173"/>
      <c r="Z6" s="173"/>
    </row>
    <row r="7" spans="1:26" s="15" customFormat="1" ht="13.5" thickBot="1" x14ac:dyDescent="0.25">
      <c r="A7" s="174"/>
      <c r="B7" s="179"/>
      <c r="C7" s="500" t="s">
        <v>872</v>
      </c>
      <c r="D7" s="501"/>
      <c r="E7" s="502"/>
      <c r="F7" s="503" t="s">
        <v>873</v>
      </c>
      <c r="G7" s="504"/>
      <c r="H7" s="505"/>
      <c r="I7" s="171"/>
      <c r="J7" s="171"/>
      <c r="K7" s="171"/>
      <c r="L7" s="171"/>
      <c r="M7" s="171"/>
      <c r="N7" s="178"/>
      <c r="O7" s="171"/>
      <c r="P7" s="171"/>
      <c r="Q7" s="171"/>
      <c r="R7" s="171"/>
      <c r="S7" s="171"/>
      <c r="T7" s="176"/>
      <c r="U7" s="173"/>
      <c r="V7" s="173"/>
      <c r="W7" s="173"/>
      <c r="X7" s="173"/>
      <c r="Y7" s="173"/>
      <c r="Z7" s="173"/>
    </row>
    <row r="8" spans="1:26" s="15" customFormat="1" ht="36" customHeight="1" thickBot="1" x14ac:dyDescent="0.25">
      <c r="A8" s="174"/>
      <c r="B8" s="180"/>
      <c r="C8" s="275" t="s">
        <v>1112</v>
      </c>
      <c r="D8" s="275" t="s">
        <v>1113</v>
      </c>
      <c r="E8" s="252" t="s">
        <v>1114</v>
      </c>
      <c r="F8" s="251" t="s">
        <v>1112</v>
      </c>
      <c r="G8" s="251" t="s">
        <v>1113</v>
      </c>
      <c r="H8" s="252" t="s">
        <v>1114</v>
      </c>
      <c r="I8" s="181"/>
      <c r="J8" s="7" t="s">
        <v>273</v>
      </c>
      <c r="K8" s="35" t="s">
        <v>274</v>
      </c>
      <c r="L8" s="74"/>
      <c r="M8" s="74"/>
      <c r="N8" s="171"/>
      <c r="O8" s="178"/>
      <c r="P8" s="178"/>
      <c r="Q8" s="178"/>
      <c r="R8" s="178"/>
      <c r="S8" s="178"/>
      <c r="T8" s="176"/>
      <c r="U8" s="173"/>
      <c r="V8" s="173"/>
      <c r="W8" s="173"/>
      <c r="X8" s="173"/>
      <c r="Y8" s="173"/>
      <c r="Z8" s="173"/>
    </row>
    <row r="9" spans="1:26" s="15" customFormat="1" x14ac:dyDescent="0.2">
      <c r="A9" s="174"/>
      <c r="B9" s="182" t="str">
        <f>IF(AND(AvoineNécessaireBQ=0,AvoineNécessaireMoQ=0,AvoineNécessaireMaQ=0),"","avoine (t)")</f>
        <v/>
      </c>
      <c r="C9" s="272">
        <f>(VLOOKUP("Avoine",AlimentsBovins,2,FALSE)+VLOOKUP("Avoine",AlimentsPorcins,2,FALSE)+VLOOKUP("Avoine",AlimentsCaprins,2,FALSE)+VLOOKUP("Avoine",AlimentsOvins,2,FALSE)+VLOOKUP("Avoine",AlimentsLapins,2,FALSE)+VLOOKUP("Avoine",AlimentsVolailles,2,FALSE)+VLOOKUP("Avoine",AlimentsPintades,2,FALSE)+VLOOKUP("Avoine",AlimentsOies,2,FALSE)+VLOOKUP("Avoine",AlimentsCanards,2,FALSE)+VLOOKUP("Avoine",AlimentsGavageOiesEtCanards,2,FALSE)+VLOOKUP("Avoine",AlimentsBisons,2,FALSE)+VLOOKUP("Avoine",AlimentsDaims,2,FALSE)+VLOOKUP("Avoine",AlimentsChevauxSelle,2,FALSE)+VLOOKUP("Avoine",AlimentsChevauxTrait,2,FALSE)+VLOOKUP("Avoine",AlimentsPoneys,2,FALSE))/1000</f>
        <v>0</v>
      </c>
      <c r="D9" s="273">
        <f>(VLOOKUP("Avoine",AlimentsBovins,3,FALSE)+VLOOKUP("Avoine",AlimentsPorcins,3,FALSE)+VLOOKUP("Avoine",AlimentsCaprins,3,FALSE)+VLOOKUP("Avoine",AlimentsOvins,3,FALSE)+VLOOKUP("Avoine",AlimentsLapins,3,FALSE)+VLOOKUP("Avoine",AlimentsVolailles,3,FALSE)+VLOOKUP("Avoine",AlimentsPintades,3,FALSE)+VLOOKUP("Avoine",AlimentsOies,3,FALSE)+VLOOKUP("Avoine",AlimentsCanards,3,FALSE)+VLOOKUP("Avoine",AlimentsGavageOiesEtCanards,3,FALSE)+VLOOKUP("Avoine",AlimentsBisons,3,FALSE)+VLOOKUP("Avoine",AlimentsDaims,3,FALSE)+VLOOKUP("Avoine",AlimentsChevauxSelle,3,FALSE)+VLOOKUP("Avoine",AlimentsChevauxTrait,3,FALSE)+VLOOKUP("Avoine",AlimentsPoneys,3,FALSE))/1000</f>
        <v>0</v>
      </c>
      <c r="E9" s="274">
        <f>(VLOOKUP("Avoine",AlimentsBovins,4,FALSE)+VLOOKUP("Avoine",AlimentsPorcins,4,FALSE)+VLOOKUP("Avoine",AlimentsCaprins,4,FALSE)+VLOOKUP("Avoine",AlimentsOvins,4,FALSE)+VLOOKUP("Avoine",AlimentsLapins,4,FALSE)+VLOOKUP("Avoine",AlimentsVolailles,4,FALSE)+VLOOKUP("Avoine",AlimentsPintades,4,FALSE)+VLOOKUP("Avoine",AlimentsOies,4,FALSE)+VLOOKUP("Avoine",AlimentsCanards,4,FALSE)+VLOOKUP("Avoine",AlimentsGavageOiesEtCanards,4,FALSE)+VLOOKUP("Avoine",AlimentsBisons,4,FALSE)+VLOOKUP("Avoine",AlimentsDaims,4,FALSE)+VLOOKUP("Avoine",AlimentsChevauxSelle,4,FALSE)+VLOOKUP("Avoine",AlimentsChevauxTrait,4,FALSE)+VLOOKUP("Avoine",AlimentsPoneys,4,FALSE))/1000</f>
        <v>0</v>
      </c>
      <c r="F9" s="241">
        <f>IF(AvoineNécessaireBQ=0,,IF(AvoineNécessaireBQ-VLOOKUP(Avoine,StockDansSilos,3,FALSE)&lt;=0,0,ROUNDUP(AvoineNécessaireBQ-VLOOKUP(Avoine,StockDansSilos,3,FALSE),0)))</f>
        <v>0</v>
      </c>
      <c r="G9" s="242">
        <f>IF(AvoineNécessaireMoQ=0,,IF(AvoineNécessaireMoQ-VLOOKUP(Avoine,StockDansSilos,3,FALSE)&lt;=0,0,ROUNDUP(AvoineNécessaireMoQ-VLOOKUP(Avoine,StockDansSilos,3,FALSE),0)))</f>
        <v>0</v>
      </c>
      <c r="H9" s="243">
        <f>IF(AvoineNécessaireMaQ=0,,IF(AvoineNécessaireMaQ-VLOOKUP(Avoine,StockDansSilos,3,FALSE)&lt;0,0,ROUNDUP(AvoineNécessaireMaQ-VLOOKUP(Avoine,StockDansSilos,3,FALSE),0)))</f>
        <v>0</v>
      </c>
      <c r="I9" s="181"/>
      <c r="J9" s="183"/>
      <c r="K9" s="184" t="str">
        <f>IF(AND(CommandeAvoineBQ=0,CommandeAvoineMoQ=0,CommandeAvoineMaQ=0),"",((PrixAvoine*CommandeAvoineBQ)+(PrixAvoine*CommandeAvoineMoQ*0.9)+(PrixAvoine*CommandeAvoineMaQ*0.8)))</f>
        <v/>
      </c>
      <c r="L9" s="181"/>
      <c r="M9" s="181"/>
      <c r="N9" s="171"/>
      <c r="O9" s="178"/>
      <c r="P9" s="178"/>
      <c r="Q9" s="178"/>
      <c r="R9" s="178"/>
      <c r="S9" s="178"/>
      <c r="T9" s="176"/>
      <c r="U9" s="173"/>
      <c r="V9" s="173"/>
      <c r="W9" s="173"/>
      <c r="X9" s="173"/>
      <c r="Y9" s="173"/>
      <c r="Z9" s="173"/>
    </row>
    <row r="10" spans="1:26" s="15" customFormat="1" x14ac:dyDescent="0.2">
      <c r="A10" s="174"/>
      <c r="B10" s="185" t="str">
        <f>IF(AND(BetteraveNécessaireBQ=0,BetteraveNécessaireMoQ=0,BetteraveNécessaireMaQ=0),"","betterave (t)")</f>
        <v/>
      </c>
      <c r="C10" s="255">
        <f>(VLOOKUP("Betterave",AlimentsBovins,2,FALSE)+VLOOKUP("Betterave",AlimentsPorcins,2,FALSE)+VLOOKUP("Betterave",AlimentsCaprins,2,FALSE)+VLOOKUP("Betterave",AlimentsOvins,2,FALSE)+VLOOKUP("Betterave",AlimentsLapins,2,FALSE)+VLOOKUP("Betterave",AlimentsVolailles,2,FALSE)+VLOOKUP("Betterave",AlimentsPintades,2,FALSE)+VLOOKUP("Betterave",AlimentsOies,2,FALSE)+VLOOKUP("Betterave",AlimentsCanards,2,FALSE)+VLOOKUP("Betterave",AlimentsGavageOiesEtCanards,2,FALSE)+VLOOKUP("Betterave",AlimentsBisons,2,FALSE)+VLOOKUP("Betterave",AlimentsDaims,2,FALSE)+VLOOKUP("Betterave",AlimentsChevauxSelle,2,FALSE)+VLOOKUP("Betterave",AlimentsChevauxTrait,2,FALSE)+VLOOKUP("Betterave",AlimentsPoneys,2,FALSE))/1000</f>
        <v>0</v>
      </c>
      <c r="D10" s="260">
        <f>(VLOOKUP("Betterave",AlimentsBovins,3,FALSE)+VLOOKUP("Betterave",AlimentsPorcins,3,FALSE)+VLOOKUP("Betterave",AlimentsCaprins,3,FALSE)+VLOOKUP("Betterave",AlimentsOvins,3,FALSE)+VLOOKUP("Betterave",AlimentsLapins,3,FALSE)+VLOOKUP("Betterave",AlimentsVolailles,3,FALSE)+VLOOKUP("Betterave",AlimentsPintades,3,FALSE)+VLOOKUP("Betterave",AlimentsOies,3,FALSE)+VLOOKUP("Betterave",AlimentsCanards,3,FALSE)+VLOOKUP("Betterave",AlimentsGavageOiesEtCanards,3,FALSE)+VLOOKUP("Betterave",AlimentsBisons,3,FALSE)+VLOOKUP("Betterave",AlimentsDaims,3,FALSE)+VLOOKUP("Betterave",AlimentsChevauxSelle,3,FALSE)+VLOOKUP("Betterave",AlimentsChevauxTrait,3,FALSE)+VLOOKUP("Betterave",AlimentsPoneys,3,FALSE))/1000</f>
        <v>0</v>
      </c>
      <c r="E10" s="261">
        <f>(VLOOKUP("Betterave",AlimentsBovins,4,FALSE)+VLOOKUP("Betterave",AlimentsPorcins,4,FALSE)+VLOOKUP("Betterave",AlimentsCaprins,4,FALSE)+VLOOKUP("Betterave",AlimentsOvins,4,FALSE)+VLOOKUP("Betterave",AlimentsLapins,4,FALSE)+VLOOKUP("Betterave",AlimentsVolailles,4,FALSE)+VLOOKUP("Betterave",AlimentsPintades,4,FALSE)+VLOOKUP("Betterave",AlimentsOies,4,FALSE)+VLOOKUP("Betterave",AlimentsCanards,4,FALSE)+VLOOKUP("Betterave",AlimentsGavageOiesEtCanards,4,FALSE)+VLOOKUP("Betterave",AlimentsBisons,4,FALSE)+VLOOKUP("Betterave",AlimentsDaims,4,FALSE)+VLOOKUP("Betterave",AlimentsChevauxSelle,4,FALSE)+VLOOKUP("Betterave",AlimentsChevauxTrait,4,FALSE)+VLOOKUP("Betterave",AlimentsPoneys,4,FALSE))/1000</f>
        <v>0</v>
      </c>
      <c r="F10" s="244">
        <f>IF(BetteraveNécessaireBQ=0,,IF(BetteraveNécessaireBQ-VLOOKUP(Betterave,StockDansSilos,3,FALSE)&lt;=0,0,ROUNDUP(BetteraveNécessaireBQ-VLOOKUP(Betterave,StockDansSilos,3,FALSE),0)))</f>
        <v>0</v>
      </c>
      <c r="G10" s="240">
        <f>IF(BetteraveNécessaireMoQ=0,,IF(BetteraveNécessaireMoQ-VLOOKUP(Betterave,StockDansSilos,3,FALSE)&lt;=0,0,ROUNDUP(BetteraveNécessaireMoQ-VLOOKUP(Betterave,StockDansSilos,3,FALSE),0)))</f>
        <v>0</v>
      </c>
      <c r="H10" s="245">
        <f>IF(BetteraveNécessaireMaQ=0,,IF(BetteraveNécessaireMaQ-VLOOKUP(Betterave,StockDansSilos,3,FALSE)&lt;0,0,ROUNDUP(BetteraveNécessaireMaQ-VLOOKUP(Betterave,StockDansSilos,3,FALSE),0)))</f>
        <v>0</v>
      </c>
      <c r="I10" s="181"/>
      <c r="J10" s="186"/>
      <c r="K10" s="165" t="str">
        <f>IF(AND(CommandeBetteraveBQ=0,CommandeBetteraveMoQ=0,CommandeBetteraveMaQ=0),"",((PrixBetterave*CommandeBetteraveBQ)+(PrixBetterave*CommandeBetteraveMoQ*0.9)+(PrixBetterave*CommandeBetteraveMaQ*0.8)))</f>
        <v/>
      </c>
      <c r="L10" s="181"/>
      <c r="M10" s="181"/>
      <c r="N10" s="171"/>
      <c r="O10" s="178"/>
      <c r="P10" s="178"/>
      <c r="Q10" s="178"/>
      <c r="R10" s="178"/>
      <c r="S10" s="178"/>
      <c r="T10" s="176"/>
      <c r="U10" s="173"/>
      <c r="V10" s="173"/>
      <c r="W10" s="173"/>
      <c r="X10" s="173"/>
      <c r="Y10" s="173"/>
      <c r="Z10" s="173"/>
    </row>
    <row r="11" spans="1:26" s="15" customFormat="1" x14ac:dyDescent="0.2">
      <c r="A11" s="174"/>
      <c r="B11" s="187" t="str">
        <f>IF(AND(BléNécessaireBQ=0,BléNécessaireMoQ=0,BléNécessaireMaQ=0),"","blé (t)")</f>
        <v/>
      </c>
      <c r="C11" s="256">
        <f>(VLOOKUP("Blé",AlimentsBovins,2,FALSE)+VLOOKUP("Blé",AlimentsPorcins,2,FALSE)+VLOOKUP("Blé",AlimentsCaprins,2,FALSE)+VLOOKUP("Blé",AlimentsOvins,2,FALSE)+VLOOKUP("Blé",AlimentsLapins,2,FALSE)+VLOOKUP("Blé",AlimentsVolailles,2,FALSE)+VLOOKUP("Blé",AlimentsPintades,2,FALSE)+VLOOKUP("Blé",AlimentsOies,2,FALSE)+VLOOKUP("Blé",AlimentsCanards,2,FALSE)+VLOOKUP("Blé",AlimentsGavageOiesEtCanards,2,FALSE)+VLOOKUP("Blé",AlimentsBisons,2,FALSE)+VLOOKUP("Blé",AlimentsDaims,2,FALSE)+VLOOKUP("Blé",AlimentsChevauxSelle,2,FALSE)+VLOOKUP("Blé",AlimentsChevauxTrait,2,FALSE)+VLOOKUP("Blé",AlimentsPoneys,2,FALSE))/1000</f>
        <v>0</v>
      </c>
      <c r="D11" s="262">
        <f>(VLOOKUP("Blé",AlimentsBovins,3,FALSE)+VLOOKUP("Blé",AlimentsPorcins,3,FALSE)+VLOOKUP("Blé",AlimentsCaprins,3,FALSE)+VLOOKUP("Blé",AlimentsOvins,3,FALSE)+VLOOKUP("Blé",AlimentsLapins,3,FALSE)+VLOOKUP("Blé",AlimentsVolailles,3,FALSE)+VLOOKUP("Blé",AlimentsPintades,3,FALSE)+VLOOKUP("Blé",AlimentsOies,3,FALSE)+VLOOKUP("Blé",AlimentsCanards,3,FALSE)+VLOOKUP("Blé",AlimentsGavageOiesEtCanards,3,FALSE)+VLOOKUP("Blé",AlimentsBisons,3,FALSE)+VLOOKUP("Blé",AlimentsDaims,3,FALSE)+VLOOKUP("Blé",AlimentsChevauxSelle,3,FALSE)+VLOOKUP("Blé",AlimentsChevauxTrait,3,FALSE)+VLOOKUP("Blé",AlimentsPoneys,3,FALSE))/1000</f>
        <v>0</v>
      </c>
      <c r="E11" s="263">
        <f>(VLOOKUP("Blé",AlimentsBovins,4,FALSE)+VLOOKUP("Blé",AlimentsPorcins,4,FALSE)+VLOOKUP("Blé",AlimentsCaprins,4,FALSE)+VLOOKUP("Blé",AlimentsOvins,4,FALSE)+VLOOKUP("Blé",AlimentsLapins,4,FALSE)+VLOOKUP("Blé",AlimentsVolailles,4,FALSE)+VLOOKUP("Blé",AlimentsPintades,4,FALSE)+VLOOKUP("Blé",AlimentsOies,4,FALSE)+VLOOKUP("Blé",AlimentsCanards,4,FALSE)+VLOOKUP("Blé",AlimentsGavageOiesEtCanards,4,FALSE)+VLOOKUP("Blé",AlimentsBisons,4,FALSE)+VLOOKUP("Blé",AlimentsDaims,4,FALSE)+VLOOKUP("Blé",AlimentsChevauxSelle,4,FALSE)+VLOOKUP("Blé",AlimentsChevauxTrait,4,FALSE)+VLOOKUP("Blé",AlimentsPoneys,4,FALSE))/1000</f>
        <v>0</v>
      </c>
      <c r="F11" s="246">
        <f>IF(BléNécessaireBQ=0,,IF(BléNécessaireBQ-VLOOKUP(Blé,StockDansSilos,3,FALSE)&lt;=0,0,ROUNDUP(BléNécessaireBQ-VLOOKUP(Blé,StockDansSilos,3,FALSE),0)))</f>
        <v>0</v>
      </c>
      <c r="G11" s="239">
        <f>IF(BléNécessaireMoQ=0,,IF(BléNécessaireMoQ-VLOOKUP(Blé,StockDansSilos,3,FALSE)&lt;=0,0,ROUNDUP(BléNécessaireMoQ-VLOOKUP(Blé,StockDansSilos,3,FALSE),0)))</f>
        <v>0</v>
      </c>
      <c r="H11" s="247">
        <f>IF(BléNécessaireMaQ=0,,IF(BléNécessaireMaQ-VLOOKUP(Blé,StockDansSilos,3,FALSE)&lt;=0,0,ROUNDUP(BléNécessaireMaQ-VLOOKUP(Blé,StockDansSilos,3,FALSE),0)))</f>
        <v>0</v>
      </c>
      <c r="I11" s="181"/>
      <c r="J11" s="188"/>
      <c r="K11" s="189" t="str">
        <f>IF(AND(CommandeBléBQ=0,CommandeBléMoQ=0,CommandeBléMaQ=0),"",((PrixBlé*CommandeBléBQ)+(PrixBlé*CommandeBléMoQ*0.9)+(PrixBlé*CommandeBléMaQ*0.8)))</f>
        <v/>
      </c>
      <c r="L11" s="181"/>
      <c r="M11" s="181"/>
      <c r="N11" s="171"/>
      <c r="O11" s="178"/>
      <c r="P11" s="178"/>
      <c r="Q11" s="178"/>
      <c r="R11" s="178"/>
      <c r="S11" s="178"/>
      <c r="T11" s="176"/>
      <c r="U11" s="173"/>
      <c r="V11" s="173"/>
      <c r="W11" s="173"/>
      <c r="X11" s="173"/>
      <c r="Y11" s="173"/>
      <c r="Z11" s="173"/>
    </row>
    <row r="12" spans="1:26" s="15" customFormat="1" x14ac:dyDescent="0.2">
      <c r="A12" s="174"/>
      <c r="B12" s="185" t="str">
        <f>IF(AND(BouchonsLuzerneNécessaireBQ=0,BouchonsLuzerneNécessaireMoQ=0,BouchonsLuzerneNécessaireMaQ=0),"","bouchons de luzerne (t)")</f>
        <v/>
      </c>
      <c r="C12" s="255">
        <f>(VLOOKUP("Bouchons luzerne",AlimentsBovins,2,FALSE)+VLOOKUP("Bouchons luzerne",AlimentsPorcins,2,FALSE)+VLOOKUP("Bouchons luzerne",AlimentsCaprins,2,FALSE)+VLOOKUP("Bouchons luzerne",AlimentsOvins,2,FALSE)+VLOOKUP("Bouchons luzerne",AlimentsLapins,2,FALSE)+VLOOKUP("Bouchons luzerne",AlimentsVolailles,2,FALSE)+VLOOKUP("Bouchons luzerne",AlimentsPintades,2,FALSE)+VLOOKUP("Bouchons luzerne",AlimentsOies,2,FALSE)+VLOOKUP("Bouchons luzerne",AlimentsCanards,2,FALSE)+VLOOKUP("Bouchons luzerne",AlimentsGavageOiesEtCanards,2,FALSE)+VLOOKUP("Bouchons luzerne",AlimentsBisons,2,FALSE)+VLOOKUP("Bouchons luzerne",AlimentsDaims,2,FALSE)+VLOOKUP("Bouchons luzerne",AlimentsChevauxSelle,2,FALSE)+VLOOKUP("Bouchons luzerne",AlimentsChevauxTrait,2,FALSE)+VLOOKUP("Bouchons luzerne",AlimentsPoneys,2,FALSE))/1000</f>
        <v>0</v>
      </c>
      <c r="D12" s="260">
        <f>(VLOOKUP("Bouchons luzerne",AlimentsBovins,3,FALSE)+VLOOKUP("Bouchons luzerne",AlimentsPorcins,3,FALSE)+VLOOKUP("Bouchons luzerne",AlimentsCaprins,3,FALSE)+VLOOKUP("Bouchons luzerne",AlimentsOvins,3,FALSE)+VLOOKUP("Bouchons luzerne",AlimentsLapins,3,FALSE)+VLOOKUP("Bouchons luzerne",AlimentsVolailles,3,FALSE)+VLOOKUP("Bouchons luzerne",AlimentsPintades,3,FALSE)+VLOOKUP("Bouchons luzerne",AlimentsOies,3,FALSE)+VLOOKUP("Bouchons luzerne",AlimentsCanards,3,FALSE)+VLOOKUP("Bouchons luzerne",AlimentsGavageOiesEtCanards,3,FALSE)+VLOOKUP("Bouchons luzerne",AlimentsBisons,3,FALSE)+VLOOKUP("Bouchons luzerne",AlimentsDaims,3,FALSE)+VLOOKUP("Bouchons luzerne",AlimentsChevauxSelle,3,FALSE)+VLOOKUP("Bouchons luzerne",AlimentsChevauxTrait,3,FALSE)+VLOOKUP("Bouchons luzerne",AlimentsPoneys,3,FALSE))/1000</f>
        <v>0</v>
      </c>
      <c r="E12" s="261">
        <f>(VLOOKUP("Bouchons luzerne",AlimentsBovins,4,FALSE)+VLOOKUP("Bouchons luzerne",AlimentsPorcins,4,FALSE)+VLOOKUP("Bouchons luzerne",AlimentsCaprins,4,FALSE)+VLOOKUP("Bouchons luzerne",AlimentsOvins,4,FALSE)+VLOOKUP("Bouchons luzerne",AlimentsLapins,4,FALSE)+VLOOKUP("Bouchons luzerne",AlimentsVolailles,4,FALSE)+VLOOKUP("Bouchons luzerne",AlimentsPintades,4,FALSE)+VLOOKUP("Bouchons luzerne",AlimentsOies,4,FALSE)+VLOOKUP("Bouchons luzerne",AlimentsCanards,4,FALSE)+VLOOKUP("Bouchons luzerne",AlimentsGavageOiesEtCanards,4,FALSE)+VLOOKUP("Bouchons luzerne",AlimentsBisons,4,FALSE)+VLOOKUP("Bouchons luzerne",AlimentsDaims,4,FALSE)+VLOOKUP("Bouchons luzerne",AlimentsChevauxSelle,4,FALSE)+VLOOKUP("Bouchons luzerne",AlimentsChevauxTrait,4,FALSE)+VLOOKUP("Bouchons luzerne",AlimentsPoneys,4,FALSE))/1000</f>
        <v>0</v>
      </c>
      <c r="F12" s="244">
        <f>IF(BouchonsLuzerneNécessaireBQ=0,,IF(BouchonsLuzerneNécessaireBQ-VLOOKUP(BouchonsLuzerne,StockDansSilos,3,FALSE)&lt;=0,0,ROUNDUP(BouchonsLuzerneNécessaireBQ-VLOOKUP(BouchonsLuzerne,StockDansSilos,3,FALSE),0)))</f>
        <v>0</v>
      </c>
      <c r="G12" s="240">
        <f>IF(BouchonsLuzerneNécessaireMoQ=0,,IF(BouchonsLuzerneNécessaireMoQ-VLOOKUP(BouchonsLuzerne,StockDansSilos,3,FALSE)&lt;=0,0,ROUNDUP(BouchonsLuzerneNécessaireMoQ-VLOOKUP(BouchonsLuzerne,StockDansSilos,3,FALSE),0)))</f>
        <v>0</v>
      </c>
      <c r="H12" s="245">
        <f>IF(BouchonsLuzerneNécessaireMaQ=0,,IF(BouchonsLuzerneNécessaireMaQ-VLOOKUP(BouchonsLuzerne,StockDansSilos,3,FALSE)&lt;=0,0,ROUNDUP(BouchonsLuzerneNécessaireMaQ-VLOOKUP(BouchonsLuzerne,StockDansSilos,3,FALSE),0)))</f>
        <v>0</v>
      </c>
      <c r="I12" s="181"/>
      <c r="J12" s="186"/>
      <c r="K12" s="165" t="str">
        <f>IF(AND(CommandeBouchonLuzerneBQ=0,CommandeBouchonLuzerneMoQ=0,CommandeBouchonLuzerneMaQ=0),"",((PrixBouchonLuzerne*CommandeBouchonLuzerneBQ)+(PrixBouchonLuzerne*CommandeBouchonLuzerneMoQ*0.9)+(PrixBouchonLuzerne*CommandeBouchonLuzerneMaQ*0.8)))</f>
        <v/>
      </c>
      <c r="L12" s="181"/>
      <c r="M12" s="181"/>
      <c r="N12" s="171"/>
      <c r="O12" s="178"/>
      <c r="P12" s="178"/>
      <c r="Q12" s="178"/>
      <c r="R12" s="178"/>
      <c r="S12" s="178"/>
      <c r="T12" s="176"/>
      <c r="U12" s="173"/>
      <c r="V12" s="173"/>
      <c r="W12" s="173"/>
      <c r="X12" s="173"/>
      <c r="Y12" s="173"/>
      <c r="Z12" s="173"/>
    </row>
    <row r="13" spans="1:26" s="15" customFormat="1" x14ac:dyDescent="0.2">
      <c r="A13" s="174"/>
      <c r="B13" s="187" t="str">
        <f>IF(AND(CanolaNécessaireBQ=0,CanolaNécessaireMoQ=0,CanolaNécessaireMaQ=0),"","canola (t)")</f>
        <v/>
      </c>
      <c r="C13" s="256">
        <f>(VLOOKUP("Canola",AlimentsBovins,2,FALSE)+VLOOKUP("Canola",AlimentsPorcins,2,FALSE)+VLOOKUP("Canola",AlimentsCaprins,2,FALSE)+VLOOKUP("Canola",AlimentsOvins,2,FALSE)+VLOOKUP("Canola",AlimentsLapins,2,FALSE)+VLOOKUP("Canola",AlimentsVolailles,2,FALSE)+VLOOKUP("Canola",AlimentsPintades,2,FALSE)+VLOOKUP("Canola",AlimentsOies,2,FALSE)+VLOOKUP("Canola",AlimentsCanards,2,FALSE)+VLOOKUP("Canola",AlimentsGavageOiesEtCanards,2,FALSE)+VLOOKUP("Canola",AlimentsBisons,2,FALSE)+VLOOKUP("Canola",AlimentsDaims,2,FALSE)+VLOOKUP("Canola",AlimentsChevauxSelle,2,FALSE)+VLOOKUP("Canola",AlimentsChevauxTrait,2,FALSE)+VLOOKUP("Canola",AlimentsPoneys,2,FALSE))/1000</f>
        <v>0</v>
      </c>
      <c r="D13" s="262">
        <f>(VLOOKUP("Canola",AlimentsBovins,3,FALSE)+VLOOKUP("Canola",AlimentsPorcins,3,FALSE)+VLOOKUP("Canola",AlimentsCaprins,3,FALSE)+VLOOKUP("Canola",AlimentsOvins,3,FALSE)+VLOOKUP("Canola",AlimentsLapins,3,FALSE)+VLOOKUP("Canola",AlimentsVolailles,3,FALSE)+VLOOKUP("Canola",AlimentsPintades,3,FALSE)+VLOOKUP("Canola",AlimentsOies,3,FALSE)+VLOOKUP("Canola",AlimentsCanards,3,FALSE)+VLOOKUP("Canola",AlimentsGavageOiesEtCanards,3,FALSE)+VLOOKUP("Canola",AlimentsBisons,3,FALSE)+VLOOKUP("Canola",AlimentsDaims,3,FALSE)+VLOOKUP("Canola",AlimentsChevauxSelle,3,FALSE)+VLOOKUP("Canola",AlimentsChevauxTrait,3,FALSE)+VLOOKUP("Canola",AlimentsPoneys,3,FALSE))/1000</f>
        <v>0</v>
      </c>
      <c r="E13" s="263">
        <f>(VLOOKUP("Canola",AlimentsBovins,4,FALSE)+VLOOKUP("Canola",AlimentsPorcins,4,FALSE)+VLOOKUP("Canola",AlimentsCaprins,4,FALSE)+VLOOKUP("Canola",AlimentsOvins,4,FALSE)+VLOOKUP("Canola",AlimentsLapins,4,FALSE)+VLOOKUP("Canola",AlimentsVolailles,4,FALSE)+VLOOKUP("Canola",AlimentsPintades,4,FALSE)+VLOOKUP("Canola",AlimentsOies,4,FALSE)+VLOOKUP("Canola",AlimentsCanards,4,FALSE)+VLOOKUP("Canola",AlimentsGavageOiesEtCanards,4,FALSE)+VLOOKUP("Canola",AlimentsBisons,4,FALSE)+VLOOKUP("Canola",AlimentsDaims,4,FALSE)+VLOOKUP("Canola",AlimentsChevauxSelle,4,FALSE)+VLOOKUP("Canola",AlimentsChevauxTrait,4,FALSE)+VLOOKUP("Canola",AlimentsPoneys,4,FALSE))/1000</f>
        <v>0</v>
      </c>
      <c r="F13" s="246">
        <f>IF(CanolaNécessaireBQ=0,,IF(CanolaNécessaireBQ-VLOOKUP(Canola,StockDansSilos,3,FALSE)&lt;=0,0,ROUNDUP(CanolaNécessaireBQ-VLOOKUP(Canola,StockDansSilos,3,FALSE),0)))</f>
        <v>0</v>
      </c>
      <c r="G13" s="239">
        <f>IF(CanolaNécessaireMoQ=0,,IF(CanolaNécessaireMoQ-VLOOKUP(Canola,StockDansSilos,3,FALSE)&lt;=0,0,ROUNDUP(CanolaNécessaireMoQ-VLOOKUP(Canola,StockDansSilos,3,FALSE),0)))</f>
        <v>0</v>
      </c>
      <c r="H13" s="247">
        <f>IF(CanolaNécessaireMaQ=0,,IF(CanolaNécessaireMaQ-VLOOKUP(Canola,StockDansSilos,3,FALSE)&lt;=0,0,ROUNDUP(CanolaNécessaireMaQ-VLOOKUP(Canola,StockDansSilos,3,FALSE),0)))</f>
        <v>0</v>
      </c>
      <c r="I13" s="181"/>
      <c r="J13" s="188"/>
      <c r="K13" s="189" t="str">
        <f>IF(AND(CommandeCanolaBQ=0,CommandeCanolaMoQ=0,CommandeCanolaMaQ=0),"",((PrixCanola*CommandeCanolaBQ)+(PrixCanola*CommandeCanolaMoQ*0.9)+(PrixCanola*CommandeCanolaMaQ*0.8)))</f>
        <v/>
      </c>
      <c r="L13" s="181"/>
      <c r="M13" s="181"/>
      <c r="N13" s="171"/>
      <c r="O13" s="178"/>
      <c r="P13" s="178"/>
      <c r="Q13" s="178"/>
      <c r="R13" s="178"/>
      <c r="S13" s="178"/>
      <c r="T13" s="176"/>
      <c r="U13" s="173"/>
      <c r="V13" s="173"/>
      <c r="W13" s="173"/>
      <c r="X13" s="173"/>
      <c r="Y13" s="173"/>
      <c r="Z13" s="173"/>
    </row>
    <row r="14" spans="1:26" s="15" customFormat="1" x14ac:dyDescent="0.2">
      <c r="A14" s="174"/>
      <c r="B14" s="185" t="str">
        <f>IF(AND(ColzaNécessaireBQ=0,ColzaNécessaireMoQ=0,ColzaNécessaireMaQ=0),"","colza (t)")</f>
        <v/>
      </c>
      <c r="C14" s="255">
        <f>(VLOOKUP("Colza",AlimentsBovins,2,FALSE)+VLOOKUP("Colza",AlimentsPorcins,2,FALSE)+VLOOKUP("Colza",AlimentsCaprins,2,FALSE)+VLOOKUP("Colza",AlimentsOvins,2,FALSE)+VLOOKUP("Colza",AlimentsLapins,2,FALSE)+VLOOKUP("Colza",AlimentsVolailles,2,FALSE)+VLOOKUP("Colza",AlimentsPintades,2,FALSE)+VLOOKUP("Colza",AlimentsOies,2,FALSE)+VLOOKUP("Colza",AlimentsCanards,2,FALSE)+VLOOKUP("Colza",AlimentsGavageOiesEtCanards,2,FALSE)+VLOOKUP("Colza",AlimentsBisons,2,FALSE)+VLOOKUP("Colza",AlimentsDaims,2,FALSE)+VLOOKUP("Colza",AlimentsChevauxSelle,2,FALSE)+VLOOKUP("Colza",AlimentsChevauxTrait,2,FALSE)+VLOOKUP("Colza",AlimentsPoneys,2,FALSE))/1000</f>
        <v>0</v>
      </c>
      <c r="D14" s="260">
        <f>(VLOOKUP("Colza",AlimentsBovins,3,FALSE)+VLOOKUP("Colza",AlimentsPorcins,3,FALSE)+VLOOKUP("Colza",AlimentsCaprins,3,FALSE)+VLOOKUP("Colza",AlimentsOvins,3,FALSE)+VLOOKUP("Colza",AlimentsLapins,3,FALSE)+VLOOKUP("Colza",AlimentsVolailles,3,FALSE)+VLOOKUP("Colza",AlimentsPintades,3,FALSE)+VLOOKUP("Colza",AlimentsOies,3,FALSE)+VLOOKUP("Colza",AlimentsCanards,3,FALSE)+VLOOKUP("Colza",AlimentsGavageOiesEtCanards,3,FALSE)+VLOOKUP("Colza",AlimentsBisons,3,FALSE)+VLOOKUP("Colza",AlimentsDaims,3,FALSE)+VLOOKUP("Colza",AlimentsChevauxSelle,3,FALSE)+VLOOKUP("Colza",AlimentsChevauxTrait,3,FALSE)+VLOOKUP("Colza",AlimentsPoneys,3,FALSE))/1000</f>
        <v>0</v>
      </c>
      <c r="E14" s="261">
        <f>(VLOOKUP("Colza",AlimentsBovins,4,FALSE)+VLOOKUP("Colza",AlimentsPorcins,4,FALSE)+VLOOKUP("Colza",AlimentsCaprins,4,FALSE)+VLOOKUP("Colza",AlimentsOvins,4,FALSE)+VLOOKUP("Colza",AlimentsLapins,4,FALSE)+VLOOKUP("Colza",AlimentsVolailles,4,FALSE)+VLOOKUP("Colza",AlimentsPintades,4,FALSE)+VLOOKUP("Colza",AlimentsOies,4,FALSE)+VLOOKUP("Colza",AlimentsCanards,4,FALSE)+VLOOKUP("Colza",AlimentsGavageOiesEtCanards,4,FALSE)+VLOOKUP("Colza",AlimentsBisons,4,FALSE)+VLOOKUP("Colza",AlimentsDaims,4,FALSE)+VLOOKUP("Colza",AlimentsChevauxSelle,4,FALSE)+VLOOKUP("Colza",AlimentsChevauxTrait,4,FALSE)+VLOOKUP("Colza",AlimentsPoneys,4,FALSE))/1000</f>
        <v>0</v>
      </c>
      <c r="F14" s="244">
        <f>IF(ColzaNécessaireBQ=0,,IF(ColzaNécessaireBQ-VLOOKUP(Colza,StockDansSilos,3,FALSE)&lt;=0,0,ROUNDUP(ColzaNécessaireBQ-VLOOKUP(Colza,StockDansSilos,3,FALSE),0)))</f>
        <v>0</v>
      </c>
      <c r="G14" s="240">
        <f>IF(ColzaNécessaireMoQ=0,,IF(ColzaNécessaireMoQ-VLOOKUP(Colza,StockDansSilos,3,FALSE)&lt;=0,0,ROUNDUP(ColzaNécessaireMoQ-VLOOKUP(Colza,StockDansSilos,3,FALSE),0)))</f>
        <v>0</v>
      </c>
      <c r="H14" s="245">
        <f>IF(ColzaNécessaireMaQ=0,,IF(ColzaNécessaireMaQ-VLOOKUP(Colza,StockDansSilos,3,FALSE)&lt;=0,0,ROUNDUP(ColzaNécessaireMaQ-VLOOKUP(Colza,StockDansSilos,3,FALSE),0)))</f>
        <v>0</v>
      </c>
      <c r="I14" s="181"/>
      <c r="J14" s="186"/>
      <c r="K14" s="165" t="str">
        <f>IF(AND(CommandeColzaBQ=0,CommandeColzaMoQ=0,CommandeColzaMaQ=0),"",((PrixColza*CommandeColzaBQ)+(PrixColza*CommandeColzaMoQ*0.9)+(PrixColza*CommandeColzaMaQ*0.8)))</f>
        <v/>
      </c>
      <c r="L14" s="181"/>
      <c r="M14" s="181"/>
      <c r="N14" s="171"/>
      <c r="O14" s="178"/>
      <c r="P14" s="178"/>
      <c r="Q14" s="178"/>
      <c r="R14" s="178"/>
      <c r="S14" s="178"/>
      <c r="T14" s="176"/>
      <c r="U14" s="173"/>
      <c r="V14" s="173"/>
      <c r="W14" s="173"/>
      <c r="X14" s="173"/>
      <c r="Y14" s="173"/>
      <c r="Z14" s="173"/>
    </row>
    <row r="15" spans="1:26" s="15" customFormat="1" x14ac:dyDescent="0.2">
      <c r="A15" s="174"/>
      <c r="B15" s="187" t="str">
        <f>IF(AND(ConcentréBovinsNécessaireBQ=0,ConcentréBovinsNécessaireMoQ=0,ConcentréBovinsNécessaireMaQ=0),"","concentré jeunes bovins (kg)")</f>
        <v/>
      </c>
      <c r="C15" s="256">
        <f>(VLOOKUP("Concentré jeunes bovins",AlimentsBovins,2,FALSE)+VLOOKUP("Concentré jeunes bovins",AlimentsPorcins,2,FALSE)+VLOOKUP("Concentré jeunes bovins",AlimentsCaprins,2,FALSE)+VLOOKUP("Concentré jeunes bovins",AlimentsOvins,2,FALSE)+VLOOKUP("Concentré jeunes bovins",AlimentsLapins,2,FALSE)+VLOOKUP("Concentré jeunes bovins",AlimentsVolailles,2,FALSE)+VLOOKUP("Concentré jeunes bovins",AlimentsPintades,2,FALSE)+VLOOKUP("Concentré jeunes bovins",AlimentsOies,2,FALSE)+VLOOKUP("Concentré jeunes bovins",AlimentsCanards,2,FALSE)+VLOOKUP("Concentré jeunes bovins",AlimentsGavageOiesEtCanards,2,FALSE)+VLOOKUP("Concentré jeunes bovins",AlimentsBisons,2,FALSE)+VLOOKUP("Concentré jeunes bovins",AlimentsDaims,2,FALSE)+VLOOKUP("Concentré jeunes bovins",AlimentsChevauxSelle,2,FALSE)+VLOOKUP("Concentré jeunes bovins",AlimentsChevauxTrait,2,FALSE)+VLOOKUP("Concentré jeunes bovins",AlimentsPoneys,2,FALSE))/1000</f>
        <v>0</v>
      </c>
      <c r="D15" s="262">
        <f>(VLOOKUP("Concentré jeunes bovins",AlimentsBovins,3,FALSE)+VLOOKUP("Concentré jeunes bovins",AlimentsPorcins,3,FALSE)+VLOOKUP("Concentré jeunes bovins",AlimentsCaprins,3,FALSE)+VLOOKUP("Concentré jeunes bovins",AlimentsOvins,3,FALSE)+VLOOKUP("Concentré jeunes bovins",AlimentsLapins,3,FALSE)+VLOOKUP("Concentré jeunes bovins",AlimentsVolailles,3,FALSE)+VLOOKUP("Concentré jeunes bovins",AlimentsPintades,3,FALSE)+VLOOKUP("Concentré jeunes bovins",AlimentsOies,3,FALSE)+VLOOKUP("Concentré jeunes bovins",AlimentsCanards,3,FALSE)+VLOOKUP("Concentré jeunes bovins",AlimentsGavageOiesEtCanards,3,FALSE)+VLOOKUP("Concentré jeunes bovins",AlimentsBisons,3,FALSE)+VLOOKUP("Concentré jeunes bovins",AlimentsDaims,3,FALSE)+VLOOKUP("Concentré jeunes bovins",AlimentsChevauxSelle,3,FALSE)+VLOOKUP("Concentré jeunes bovins",AlimentsChevauxTrait,3,FALSE)+VLOOKUP("Concentré jeunes bovins",AlimentsPoneys,3,FALSE))/1000</f>
        <v>0</v>
      </c>
      <c r="E15" s="263">
        <f>(VLOOKUP("Concentré jeunes bovins",AlimentsBovins,4,FALSE)+VLOOKUP("Concentré jeunes bovins",AlimentsPorcins,4,FALSE)+VLOOKUP("Concentré jeunes bovins",AlimentsCaprins,4,FALSE)+VLOOKUP("Concentré jeunes bovins",AlimentsOvins,4,FALSE)+VLOOKUP("Concentré jeunes bovins",AlimentsLapins,4,FALSE)+VLOOKUP("Concentré jeunes bovins",AlimentsVolailles,4,FALSE)+VLOOKUP("Concentré jeunes bovins",AlimentsPintades,4,FALSE)+VLOOKUP("Concentré jeunes bovins",AlimentsOies,4,FALSE)+VLOOKUP("Concentré jeunes bovins",AlimentsCanards,4,FALSE)+VLOOKUP("Concentré jeunes bovins",AlimentsGavageOiesEtCanards,4,FALSE)+VLOOKUP("Concentré jeunes bovins",AlimentsBisons,4,FALSE)+VLOOKUP("Concentré jeunes bovins",AlimentsDaims,4,FALSE)+VLOOKUP("Concentré jeunes bovins",AlimentsChevauxSelle,4,FALSE)+VLOOKUP("Concentré jeunes bovins",AlimentsChevauxTrait,4,FALSE)+VLOOKUP("Concentré jeunes bovins",AlimentsPoneys,4,FALSE))/1000</f>
        <v>0</v>
      </c>
      <c r="F15" s="246">
        <f>IF(ConcentréBovinsNécessaireBQ=0,,IF(ConcentréBovinsNécessaireBQ-VLOOKUP(Concentré jeunes Bovins,StockDansSilos,3,FALSE)&lt;=0,0,ROUNDUP(ConcentréBovinsNécessaireBQ-VLOOKUP(Concentré jeunes Bovins,StockDansSilos,3,FALSE),0)))</f>
        <v>0</v>
      </c>
      <c r="G15" s="239">
        <f>IF(ConcentréBovinsNécessaireMoQ=0,,IF(ConcentréBovinsNécessaireMoQ-VLOOKUP(Concentré jeunes Bovins,StockDansSilos,3,FALSE)&lt;=0,0,ROUNDUP(ConcentréBovinsNécessaireMoQ-VLOOKUP(Concentré jeunes Bovins,StockDansSilos,3,FALSE),0)))</f>
        <v>0</v>
      </c>
      <c r="H15" s="247">
        <f>IF(ConcentréBovinsNécessaireMaQ=0,,IF(ConcentréBovinsNécessaireMaQ-VLOOKUP(Concentré jeunes Bovins,StockDansSilos,3,FALSE)&lt;=0,0,ROUNDUP(ConcentréBovinsNécessaireMaQ-VLOOKUP(Concentré jeunes Bovins,StockDansSilos,3,FALSE),0)))</f>
        <v>0</v>
      </c>
      <c r="I15" s="181"/>
      <c r="J15" s="190" t="str">
        <f>IF(ConcentréBovins="","",1.07)</f>
        <v/>
      </c>
      <c r="K15" s="189" t="str">
        <f>IF(AND(CommandeConcentréBovinsBQ=0,CommandeConcentréBovinsMoQ=0,CommandeConcentréBovinsMaQ=0),"",((PrixConcentréBovins*CommandeConcentréBovinsBQ)+(PrixConcentréBovins*CommandeConcentréBovinsMoQ*0.9)+(PrixConcentréBovins*CommandeConcentréBovinsMaQ*0.8)))</f>
        <v/>
      </c>
      <c r="L15" s="181"/>
      <c r="M15" s="181"/>
      <c r="N15" s="171"/>
      <c r="O15" s="178"/>
      <c r="P15" s="178"/>
      <c r="Q15" s="178"/>
      <c r="R15" s="178"/>
      <c r="S15" s="178"/>
      <c r="T15" s="176"/>
      <c r="U15" s="173"/>
      <c r="V15" s="173"/>
      <c r="W15" s="173"/>
      <c r="X15" s="173"/>
      <c r="Y15" s="173"/>
      <c r="Z15" s="173"/>
    </row>
    <row r="16" spans="1:26" s="15" customFormat="1" x14ac:dyDescent="0.2">
      <c r="A16" s="174"/>
      <c r="B16" s="162" t="str">
        <f>IF(AND(ConcentréLapinsNécessaireBQ=0,ConcentréLapinsNécessaireMoQ=0,ConcentréLapinsNécessaireMaQ=0),"","concentré jeunes lapins (kg)")</f>
        <v/>
      </c>
      <c r="C16" s="255">
        <f>(VLOOKUP("Concentré jeunes lapins",AlimentsBovins,2,FALSE)+VLOOKUP("Concentré jeunes lapins",AlimentsPorcins,2,FALSE)+VLOOKUP("Concentré jeunes lapins",AlimentsCaprins,2,FALSE)+VLOOKUP("Concentré jeunes lapins",AlimentsOvins,2,FALSE)+VLOOKUP("Concentré jeunes lapins",AlimentsLapins,2,FALSE)+VLOOKUP("Concentré jeunes lapins",AlimentsVolailles,2,FALSE)+VLOOKUP("Concentré jeunes lapins",AlimentsPintades,2,FALSE)+VLOOKUP("Concentré jeunes lapins",AlimentsOies,2,FALSE)+VLOOKUP("Concentré jeunes lapins",AlimentsCanards,2,FALSE)+VLOOKUP("Concentré jeunes lapins",AlimentsGavageOiesEtCanards,2,FALSE)+VLOOKUP("Concentré jeunes lapins",AlimentsBisons,2,FALSE)+VLOOKUP("Concentré jeunes lapins",AlimentsDaims,2,FALSE)+VLOOKUP("Concentré jeunes lapins",AlimentsChevauxSelle,2,FALSE)+VLOOKUP("Concentré jeunes lapins",AlimentsChevauxTrait,2,FALSE)+VLOOKUP("Concentré jeunes lapins",AlimentsPoneys,2,FALSE))/1000</f>
        <v>0</v>
      </c>
      <c r="D16" s="260">
        <f>(VLOOKUP("Concentré jeunes lapins",AlimentsBovins,3,FALSE)+VLOOKUP("Concentré jeunes lapins",AlimentsPorcins,3,FALSE)+VLOOKUP("Concentré jeunes lapins",AlimentsCaprins,3,FALSE)+VLOOKUP("Concentré jeunes lapins",AlimentsOvins,3,FALSE)+VLOOKUP("Concentré jeunes lapins",AlimentsLapins,3,FALSE)+VLOOKUP("Concentré jeunes lapins",AlimentsVolailles,3,FALSE)+VLOOKUP("Concentré jeunes lapins",AlimentsPintades,3,FALSE)+VLOOKUP("Concentré jeunes lapins",AlimentsOies,3,FALSE)+VLOOKUP("Concentré jeunes lapins",AlimentsCanards,3,FALSE)+VLOOKUP("Concentré jeunes lapins",AlimentsGavageOiesEtCanards,3,FALSE)+VLOOKUP("Concentré jeunes lapins",AlimentsBisons,3,FALSE)+VLOOKUP("Concentré jeunes lapins",AlimentsDaims,3,FALSE)+VLOOKUP("Concentré jeunes lapins",AlimentsChevauxSelle,3,FALSE)+VLOOKUP("Concentré jeunes lapins",AlimentsChevauxTrait,3,FALSE)+VLOOKUP("Concentré jeunes lapins",AlimentsPoneys,3,FALSE))/1000</f>
        <v>0</v>
      </c>
      <c r="E16" s="261">
        <f>(VLOOKUP("Concentré jeunes lapins",AlimentsBovins,4,FALSE)+VLOOKUP("Concentré jeunes lapins",AlimentsPorcins,4,FALSE)+VLOOKUP("Concentré jeunes lapins",AlimentsCaprins,4,FALSE)+VLOOKUP("Concentré jeunes lapins",AlimentsOvins,4,FALSE)+VLOOKUP("Concentré jeunes lapins",AlimentsLapins,4,FALSE)+VLOOKUP("Concentré jeunes lapins",AlimentsVolailles,4,FALSE)+VLOOKUP("Concentré jeunes lapins",AlimentsPintades,4,FALSE)+VLOOKUP("Concentré jeunes lapins",AlimentsOies,4,FALSE)+VLOOKUP("Concentré jeunes lapins",AlimentsCanards,4,FALSE)+VLOOKUP("Concentré jeunes lapins",AlimentsGavageOiesEtCanards,4,FALSE)+VLOOKUP("Concentré jeunes lapins",AlimentsBisons,4,FALSE)+VLOOKUP("Concentré jeunes lapins",AlimentsDaims,4,FALSE)+VLOOKUP("Concentré jeunes lapins",AlimentsChevauxSelle,4,FALSE)+VLOOKUP("Concentré jeunes lapins",AlimentsChevauxTrait,4,FALSE)+VLOOKUP("Concentré jeunes lapins",AlimentsPoneys,4,FALSE))/1000</f>
        <v>0</v>
      </c>
      <c r="F16" s="244">
        <f>IF(ConcentréLapinsNécessaireBQ=0,,IF(ConcentréLapinsNécessaireBQ-VLOOKUP(Concentré jeunes lapins,StockDansSilos,3,FALSE)&lt;=0,0,ROUNDUP(ConcentréLapinsNécessaireBQ-VLOOKUP(Concentré jeunes lapins,StockDansSilos,3,FALSE),0)))</f>
        <v>0</v>
      </c>
      <c r="G16" s="240">
        <f>IF(ConcentréLapinsNécessaireMoQ=0,,IF(ConcentréLapinsNécessaireMoQ-VLOOKUP(Concentré jeunes lapins,StockDansSilos,3,FALSE)&lt;=0,0,ROUNDUP(ConcentréLapinsNécessaireMoQ-VLOOKUP(Concentré jeunes lapins,StockDansSilos,3,FALSE),0)))</f>
        <v>0</v>
      </c>
      <c r="H16" s="245">
        <f>IF(ConcentréLapinsNécessaireMaQ=0,,IF(ConcentréLapinsNécessaireMaQ-VLOOKUP(Concentré jeunes lapins,StockDansSilos,3,FALSE)&lt;=0,0,ROUNDUP(ConcentréLapinsNécessaireMaQ-VLOOKUP(Concentré jeunes lapins,StockDansSilos,3,FALSE),0)))</f>
        <v>0</v>
      </c>
      <c r="I16" s="181"/>
      <c r="J16" s="191" t="str">
        <f>IF(ConcentréLapins="","",1.12)</f>
        <v/>
      </c>
      <c r="K16" s="165" t="str">
        <f>IF(AND(CommandeConcentréLapinsBQ=0,CommandeConcentréLapinsMoQ=0,CommandeConcentréLapinsMaQ=0),"",((PrixConcentréLapins*CommandeConcentréLapinsBQ)+(PrixConcentréLapins*CommandeConcentréLapinsMoQ*0.9)+(PrixConcentréLapins*CommandeConcentréLapinsMaQ*0.8)))</f>
        <v/>
      </c>
      <c r="L16" s="181"/>
      <c r="M16" s="181"/>
      <c r="N16" s="171"/>
      <c r="O16" s="171"/>
      <c r="P16" s="171"/>
      <c r="Q16" s="171"/>
      <c r="R16" s="171"/>
      <c r="S16" s="171"/>
      <c r="T16" s="176"/>
      <c r="U16" s="173"/>
      <c r="V16" s="173"/>
      <c r="W16" s="173"/>
      <c r="X16" s="173"/>
      <c r="Y16" s="173"/>
      <c r="Z16" s="173"/>
    </row>
    <row r="17" spans="1:26" s="15" customFormat="1" x14ac:dyDescent="0.2">
      <c r="A17" s="174"/>
      <c r="B17" s="192" t="str">
        <f>IF(AND(ConcentréPorcinsNécessaireBQ=0,ConcentréPorcinsNécessaireMoQ=0,ConcentréPorcinsNécessaireMaQ=0),"","concentré jeunes porcins (kg)")</f>
        <v/>
      </c>
      <c r="C17" s="256">
        <f>(VLOOKUP("Concentré jeunes porcins",AlimentsBovins,2,FALSE)+VLOOKUP("Concentré jeunes porcins",AlimentsPorcins,2,FALSE)+VLOOKUP("Concentré jeunes porcins",AlimentsCaprins,2,FALSE)+VLOOKUP("Concentré jeunes porcins",AlimentsOvins,2,FALSE)+VLOOKUP("Concentré jeunes porcins",AlimentsLapins,2,FALSE)+VLOOKUP("Concentré jeunes porcins",AlimentsVolailles,2,FALSE)+VLOOKUP("Concentré jeunes porcins",AlimentsPintades,2,FALSE)+VLOOKUP("Concentré jeunes porcins",AlimentsOies,2,FALSE)+VLOOKUP("Concentré jeunes porcins",AlimentsCanards,2,FALSE)+VLOOKUP("Concentré jeunes porcins",AlimentsGavageOiesEtCanards,2,FALSE)+VLOOKUP("Concentré jeunes porcins",AlimentsBisons,2,FALSE)+VLOOKUP("Concentré jeunes porcins",AlimentsDaims,2,FALSE)+VLOOKUP("Concentré jeunes porcins",AlimentsChevauxSelle,2,FALSE)+VLOOKUP("Concentré jeunes porcins",AlimentsChevauxTrait,2,FALSE)+VLOOKUP("Concentré jeunes porcins",AlimentsPoneys,2,FALSE))/1000</f>
        <v>0</v>
      </c>
      <c r="D17" s="262">
        <f>(VLOOKUP("Concentré jeunes porcins",AlimentsBovins,3,FALSE)+VLOOKUP("Concentré jeunes porcins",AlimentsPorcins,3,FALSE)+VLOOKUP("Concentré jeunes porcins",AlimentsCaprins,3,FALSE)+VLOOKUP("Concentré jeunes porcins",AlimentsOvins,3,FALSE)+VLOOKUP("Concentré jeunes porcins",AlimentsLapins,3,FALSE)+VLOOKUP("Concentré jeunes porcins",AlimentsVolailles,3,FALSE)+VLOOKUP("Concentré jeunes porcins",AlimentsPintades,3,FALSE)+VLOOKUP("Concentré jeunes porcins",AlimentsOies,3,FALSE)+VLOOKUP("Concentré jeunes porcins",AlimentsCanards,3,FALSE)+VLOOKUP("Concentré jeunes porcins",AlimentsGavageOiesEtCanards,3,FALSE)+VLOOKUP("Concentré jeunes porcins",AlimentsBisons,3,FALSE)+VLOOKUP("Concentré jeunes porcins",AlimentsDaims,3,FALSE)+VLOOKUP("Concentré jeunes porcins",AlimentsChevauxSelle,3,FALSE)+VLOOKUP("Concentré jeunes porcins",AlimentsChevauxTrait,3,FALSE)+VLOOKUP("Concentré jeunes porcins",AlimentsPoneys,3,FALSE))/1000</f>
        <v>0</v>
      </c>
      <c r="E17" s="263">
        <f>(VLOOKUP("Concentré jeunes porcins",AlimentsBovins,4,FALSE)+VLOOKUP("Concentré jeunes porcins",AlimentsPorcins,4,FALSE)+VLOOKUP("Concentré jeunes porcins",AlimentsCaprins,4,FALSE)+VLOOKUP("Concentré jeunes porcins",AlimentsOvins,4,FALSE)+VLOOKUP("Concentré jeunes porcins",AlimentsLapins,4,FALSE)+VLOOKUP("Concentré jeunes porcins",AlimentsVolailles,4,FALSE)+VLOOKUP("Concentré jeunes porcins",AlimentsPintades,4,FALSE)+VLOOKUP("Concentré jeunes porcins",AlimentsOies,4,FALSE)+VLOOKUP("Concentré jeunes porcins",AlimentsCanards,4,FALSE)+VLOOKUP("Concentré jeunes porcins",AlimentsGavageOiesEtCanards,4,FALSE)+VLOOKUP("Concentré jeunes porcins",AlimentsBisons,4,FALSE)+VLOOKUP("Concentré jeunes porcins",AlimentsDaims,4,FALSE)+VLOOKUP("Concentré jeunes porcins",AlimentsChevauxSelle,4,FALSE)+VLOOKUP("Concentré jeunes porcins",AlimentsChevauxTrait,4,FALSE)+VLOOKUP("Concentré jeunes porcins",AlimentsPoneys,4,FALSE))/1000</f>
        <v>0</v>
      </c>
      <c r="F17" s="246">
        <f>IF(ConcentréPorcinsNécessaireBQ=0,,IF(ConcentréPorcinsNécessaireBQ-VLOOKUP(Concentré jeunes porcins,StockDansSilos,3,FALSE)&lt;=0,0,ROUNDUP(ConcentréPorcinsNécessaireBQ-VLOOKUP(Concentré jeunes porcins,StockDansSilos,3,FALSE),0)))</f>
        <v>0</v>
      </c>
      <c r="G17" s="239">
        <f>IF(ConcentréPorcinsNécessaireMoQ=0,,IF(ConcentréPorcinsNécessaireMoQ-VLOOKUP(Concentré jeunes porcins,StockDansSilos,3,FALSE)&lt;=0,0,ROUNDUP(ConcentréPorcinsNécessaireMoQ-VLOOKUP(Concentré jeunes porcins,StockDansSilos,3,FALSE),0)))</f>
        <v>0</v>
      </c>
      <c r="H17" s="247">
        <f>IF(ConcentréPorcinsNécessaireMaQ=0,,IF(ConcentréPorcinsNécessaireMaQ-VLOOKUP(Concentré jeunes porcins,StockDansSilos,3,FALSE)&lt;=0,0,ROUNDUP(ConcentréPorcinsNécessaireMaQ-VLOOKUP(Concentré jeunes porcins,StockDansSilos,3,FALSE),0)))</f>
        <v>0</v>
      </c>
      <c r="I17" s="181"/>
      <c r="J17" s="190" t="str">
        <f>IF(ConcentréPorcins="","",1.13)</f>
        <v/>
      </c>
      <c r="K17" s="189" t="str">
        <f>IF(AND(CommandeConcentréPorcinsBQ=0,CommandeConcentréPorcinsMoQ=0,CommandeConcentréPorcinsMaQ=0),"",((PrixConcentréPorcins*CommandeConcentréPorcinsBQ)+(PrixConcentréPorcins*CommandeConcentréPorcinsMoQ*0.9)+(PrixConcentréPorcins*CommandeConcentréPorcinsMaQ*0.8)))</f>
        <v/>
      </c>
      <c r="L17" s="181"/>
      <c r="M17" s="181"/>
      <c r="N17" s="171"/>
      <c r="O17" s="171"/>
      <c r="P17" s="171"/>
      <c r="Q17" s="171"/>
      <c r="R17" s="171"/>
      <c r="S17" s="171"/>
      <c r="T17" s="176"/>
      <c r="U17" s="173"/>
      <c r="V17" s="173"/>
      <c r="W17" s="173"/>
      <c r="X17" s="173"/>
      <c r="Y17" s="173"/>
      <c r="Z17" s="173"/>
    </row>
    <row r="18" spans="1:26" s="15" customFormat="1" x14ac:dyDescent="0.2">
      <c r="A18" s="174"/>
      <c r="B18" s="162" t="str">
        <f>IF(AND(EnsilageHerbeNécessaireBQ=0,EnsilageHerbeNécessaireMoQ=0,EnsilageHerbeNécessaireMaQ=0),"","ensilage d'herbe (t)")</f>
        <v/>
      </c>
      <c r="C18" s="255">
        <f>(VLOOKUP("Ensilage d'herbe",AlimentsBovins,2,FALSE)+VLOOKUP("Ensilage d'herbe",AlimentsPorcins,2,FALSE)+VLOOKUP("Ensilage d'herbe",AlimentsCaprins,2,FALSE)+VLOOKUP("Ensilage d'herbe",AlimentsOvins,2,FALSE)+VLOOKUP("Ensilage d'herbe",AlimentsLapins,2,FALSE)+VLOOKUP("Ensilage d'herbe",AlimentsVolailles,2,FALSE)+VLOOKUP("Ensilage d'herbe",AlimentsPintades,2,FALSE)+VLOOKUP("Ensilage d'herbe",AlimentsOies,2,FALSE)+VLOOKUP("Ensilage d'herbe",AlimentsCanards,2,FALSE)+VLOOKUP("Ensilage d'herbe",AlimentsGavageOiesEtCanards,2,FALSE)+VLOOKUP("Ensilage d'herbe",AlimentsBisons,2,FALSE)+VLOOKUP("Ensilage d'herbe",AlimentsDaims,2,FALSE)+VLOOKUP("Ensilage d'herbe",AlimentsChevauxSelle,2,FALSE)+VLOOKUP("Ensilage d'herbe",AlimentsChevauxTrait,2,FALSE)+VLOOKUP("Ensilage d'herbe",AlimentsPoneys,2,FALSE))/1000</f>
        <v>0</v>
      </c>
      <c r="D18" s="260">
        <f>(VLOOKUP("Ensilage d'herbe",AlimentsBovins,3,FALSE)+VLOOKUP("Ensilage d'herbe",AlimentsPorcins,3,FALSE)+VLOOKUP("Ensilage d'herbe",AlimentsCaprins,3,FALSE)+VLOOKUP("Ensilage d'herbe",AlimentsOvins,3,FALSE)+VLOOKUP("Ensilage d'herbe",AlimentsLapins,3,FALSE)+VLOOKUP("Ensilage d'herbe",AlimentsVolailles,3,FALSE)+VLOOKUP("Ensilage d'herbe",AlimentsPintades,3,FALSE)+VLOOKUP("Ensilage d'herbe",AlimentsOies,3,FALSE)+VLOOKUP("Ensilage d'herbe",AlimentsCanards,3,FALSE)+VLOOKUP("Ensilage d'herbe",AlimentsGavageOiesEtCanards,3,FALSE)+VLOOKUP("Ensilage d'herbe",AlimentsBisons,3,FALSE)+VLOOKUP("Ensilage d'herbe",AlimentsDaims,3,FALSE)+VLOOKUP("Ensilage d'herbe",AlimentsChevauxSelle,3,FALSE)+VLOOKUP("Ensilage d'herbe",AlimentsChevauxTrait,3,FALSE)+VLOOKUP("Ensilage d'herbe",AlimentsPoneys,3,FALSE))/1000</f>
        <v>0</v>
      </c>
      <c r="E18" s="261">
        <f>(VLOOKUP("Ensilage d'herbe",AlimentsBovins,4,FALSE)+VLOOKUP("Ensilage d'herbe",AlimentsPorcins,4,FALSE)+VLOOKUP("Ensilage d'herbe",AlimentsCaprins,4,FALSE)+VLOOKUP("Ensilage d'herbe",AlimentsOvins,4,FALSE)+VLOOKUP("Ensilage d'herbe",AlimentsLapins,4,FALSE)+VLOOKUP("Ensilage d'herbe",AlimentsVolailles,4,FALSE)+VLOOKUP("Ensilage d'herbe",AlimentsPintades,4,FALSE)+VLOOKUP("Ensilage d'herbe",AlimentsOies,4,FALSE)+VLOOKUP("Ensilage d'herbe",AlimentsCanards,4,FALSE)+VLOOKUP("Ensilage d'herbe",AlimentsGavageOiesEtCanards,4,FALSE)+VLOOKUP("Ensilage d'herbe",AlimentsBisons,4,FALSE)+VLOOKUP("Ensilage d'herbe",AlimentsDaims,4,FALSE)+VLOOKUP("Ensilage d'herbe",AlimentsChevauxSelle,4,FALSE)+VLOOKUP("Ensilage d'herbe",AlimentsChevauxTrait,4,FALSE)+VLOOKUP("Ensilage d'herbe",AlimentsPoneys,4,FALSE))/1000</f>
        <v>0</v>
      </c>
      <c r="F18" s="244">
        <f>IF(EnsilageHerbeNécessaireBQ=0,,IF(EnsilageHerbeNécessaireBQ-VLOOKUP(EnsilageHerbe,StockDansSilos,3,FALSE)&lt;=0,0,ROUNDUP(EnsilageHerbeNécessaireBQ-VLOOKUP(EnsilageHerbe,StockDansSilos,3,FALSE),0)))</f>
        <v>0</v>
      </c>
      <c r="G18" s="240">
        <f>IF(EnsilageHerbeNécessaireMoQ=0,,IF(EnsilageHerbeNécessaireMoQ-VLOOKUP(EnsilageHerbe,StockDansSilos,3,FALSE)&lt;=0,0,ROUNDUP(EnsilageHerbeNécessaireMoQ-VLOOKUP(EnsilageHerbe,StockDansSilos,3,FALSE),0)))</f>
        <v>0</v>
      </c>
      <c r="H18" s="245">
        <f>IF(EnsilageHerbeNécessaireMaQ=0,,IF(EnsilageHerbeNécessaireMaQ-VLOOKUP(EnsilageHerbe,StockDansSilos,3,FALSE)&lt;=0,0,ROUNDUP(EnsilageHerbeNécessaireMaQ-VLOOKUP(EnsilageHerbe,StockDansSilos,3,FALSE),0)))</f>
        <v>0</v>
      </c>
      <c r="I18" s="181"/>
      <c r="J18" s="186"/>
      <c r="K18" s="165" t="str">
        <f>IF(AND(CommandeEnsilageHerbeBQ=0,CommandeEnsilageHerbeMoQ=0,CommandeEnsilageHerbeMaQ=0),"",((PrixEnsilageHerbe*CommandeEnsilageHerbeBQ)+(PrixEnsilageHerbe*CommandeEnsilageHerbeMoQ*0.9)+(PrixEnsilageHerbe*CommandeEnsilageHerbeMaQ*0.8)))</f>
        <v/>
      </c>
      <c r="L18" s="181"/>
      <c r="M18" s="181"/>
      <c r="N18" s="171"/>
      <c r="O18" s="171"/>
      <c r="P18" s="171"/>
      <c r="Q18" s="171"/>
      <c r="R18" s="171"/>
      <c r="S18" s="171"/>
      <c r="T18" s="176"/>
      <c r="U18" s="173"/>
      <c r="V18" s="173"/>
      <c r="W18" s="173"/>
      <c r="X18" s="173"/>
      <c r="Y18" s="173"/>
      <c r="Z18" s="173"/>
    </row>
    <row r="19" spans="1:26" s="15" customFormat="1" x14ac:dyDescent="0.2">
      <c r="A19" s="174"/>
      <c r="B19" s="192" t="str">
        <f>IF(OR(C19="",C19=0,C19="invalide"),"","eau (l)")</f>
        <v>eau (l)</v>
      </c>
      <c r="C19" s="506">
        <f>(VLOOKUP("Eau",AlimentsRationBovinsMâles,9,FALSE)+VLOOKUP("Eau",AlimentsRationBovinsFemelles,9,FALSE)+VLOOKUP("Eau",AlimentsRationHivernaleBovins,9,FALSE)+VLOOKUP("Eau",AlimentsRationHivernaleBisonsMâles,9,FALSE)+VLOOKUP("Eau",AlimentsRationCaprinsMâles,6,FALSE)+VLOOKUP("Eau",AlimentsRationPorcinsMâles[],7,FALSE)+VLOOKUP("Eau",AlimentsRationLapinsMâles[],5,FALSE)+VLOOKUP("Eau",AlimentsRationVolaillesMâles[],5,FALSE)+VLOOKUP("Eau",AlimentsRationPintadesMâles[],5,FALSE)+VLOOKUP("Eau",AlimentsRationOvinsMâles,6,FALSE)+VLOOKUP("Eau",AlimentsRationHivernaleOvins,6,FALSE)+VLOOKUP("Eau",AlimentsRationHivernaleDaims,9,FALSE)+VLOOKUP("Eau",AlimentsRationOiesMâles[],5,FALSE)+VLOOKUP("Eau",Ration_canards_Mâles[],5,FALSE)+VLOOKUP("Eau",AlimentsRationEcurieChevauxMâlesSelle,6,FALSE)+VLOOKUP("Eau",AlimentsRationEcurieChevauxMâlesTrait,6,FALSE)+VLOOKUP("Eau",AlimentsRationEcuriePoneysMâles,6,FALSE)+VLOOKUP("Eau",AlimentsGavageOies[],6,FALSE)+VLOOKUP("Eau",AlimentsGavageCanards[],6,FALSE))</f>
        <v>1696</v>
      </c>
      <c r="D19" s="507"/>
      <c r="E19" s="508"/>
      <c r="F19" s="509" t="e">
        <f>IF(EauNécessaire=0,"",IF(EauNécessaire-VLOOKUP(Eau,StockDansSilos,3,FALSE)&lt;=0,0,ROUNDUP(EauNécessaire-VLOOKUP(Eau,StockDansSilos,3,FALSE),0)))</f>
        <v>#REF!</v>
      </c>
      <c r="G19" s="510"/>
      <c r="H19" s="511"/>
      <c r="I19" s="181"/>
      <c r="J19" s="193">
        <f>IF(Eau="","",0.0026)</f>
        <v>2.5999999999999999E-3</v>
      </c>
      <c r="K19" s="189" t="e">
        <f>IF(CommandeEau="","",IF(CommandeEau&gt;=0,PrixEau*CommandeEau,""))</f>
        <v>#REF!</v>
      </c>
      <c r="L19" s="181"/>
      <c r="M19" s="181"/>
      <c r="N19" s="171"/>
      <c r="O19" s="171"/>
      <c r="P19" s="171"/>
      <c r="Q19" s="171"/>
      <c r="R19" s="171"/>
      <c r="S19" s="171"/>
      <c r="T19" s="176"/>
      <c r="U19" s="173"/>
      <c r="V19" s="173"/>
      <c r="W19" s="173"/>
      <c r="X19" s="173"/>
      <c r="Y19" s="173"/>
      <c r="Z19" s="173"/>
    </row>
    <row r="20" spans="1:26" s="15" customFormat="1" x14ac:dyDescent="0.2">
      <c r="A20" s="174"/>
      <c r="B20" s="162" t="str">
        <f>IF(AND(FéveroleNécessaireBQ=0,FéveroleNécessaireMoQ=0,FéveroleNécessaireMaQ=0),"","féverole (t)")</f>
        <v/>
      </c>
      <c r="C20" s="255">
        <f>(VLOOKUP("Féverole",AlimentsBovins,2,FALSE)+VLOOKUP("Féverole",AlimentsPorcins,2,FALSE)+VLOOKUP("Féverole",AlimentsCaprins,2,FALSE)+VLOOKUP("Féverole",AlimentsOvins,2,FALSE)+VLOOKUP("Féverole",AlimentsLapins,2,FALSE)+VLOOKUP("Féverole",AlimentsVolailles,2,FALSE)+VLOOKUP("Féverole",AlimentsPintades,2,FALSE)+VLOOKUP("Féverole",AlimentsOies,2,FALSE)+VLOOKUP("Féverole",AlimentsCanards,2,FALSE)+VLOOKUP("Féverole",AlimentsGavageOiesEtCanards,2,FALSE)+VLOOKUP("Féverole",AlimentsBisons,2,FALSE)+VLOOKUP("Féverole",AlimentsDaims,2,FALSE)+VLOOKUP("Féverole",AlimentsChevauxSelle,2,FALSE)+VLOOKUP("Féverole",AlimentsChevauxTrait,2,FALSE)+VLOOKUP("Féverole",AlimentsPoneys,2,FALSE))/1000</f>
        <v>0</v>
      </c>
      <c r="D20" s="260">
        <f>(VLOOKUP("Féverole",AlimentsBovins,3,FALSE)+VLOOKUP("Féverole",AlimentsPorcins,3,FALSE)+VLOOKUP("Féverole",AlimentsCaprins,3,FALSE)+VLOOKUP("Féverole",AlimentsOvins,3,FALSE)+VLOOKUP("Féverole",AlimentsLapins,3,FALSE)+VLOOKUP("Féverole",AlimentsVolailles,3,FALSE)+VLOOKUP("Féverole",AlimentsPintades,3,FALSE)+VLOOKUP("Féverole",AlimentsOies,3,FALSE)+VLOOKUP("Féverole",AlimentsCanards,3,FALSE)+VLOOKUP("Féverole",AlimentsGavageOiesEtCanards,3,FALSE)+VLOOKUP("Féverole",AlimentsBisons,3,FALSE)+VLOOKUP("Féverole",AlimentsDaims,3,FALSE)+VLOOKUP("Féverole",AlimentsChevauxSelle,3,FALSE)+VLOOKUP("Féverole",AlimentsChevauxTrait,3,FALSE)+VLOOKUP("Féverole",AlimentsPoneys,3,FALSE))/1000</f>
        <v>0</v>
      </c>
      <c r="E20" s="261">
        <f>(VLOOKUP("Féverole",AlimentsBovins,4,FALSE)+VLOOKUP("Féverole",AlimentsPorcins,4,FALSE)+VLOOKUP("Féverole",AlimentsCaprins,4,FALSE)+VLOOKUP("Féverole",AlimentsOvins,4,FALSE)+VLOOKUP("Féverole",AlimentsLapins,4,FALSE)+VLOOKUP("Féverole",AlimentsVolailles,4,FALSE)+VLOOKUP("Féverole",AlimentsPintades,4,FALSE)+VLOOKUP("Féverole",AlimentsOies,4,FALSE)+VLOOKUP("Féverole",AlimentsCanards,4,FALSE)+VLOOKUP("Féverole",AlimentsGavageOiesEtCanards,4,FALSE)+VLOOKUP("Féverole",AlimentsBisons,4,FALSE)+VLOOKUP("Féverole",AlimentsDaims,4,FALSE)+VLOOKUP("Féverole",AlimentsChevauxSelle,4,FALSE)+VLOOKUP("Féverole",AlimentsChevauxTrait,4,FALSE)+VLOOKUP("Féverole",AlimentsPoneys,4,FALSE))/1000</f>
        <v>0</v>
      </c>
      <c r="F20" s="244">
        <f>IF(FéveroleNécessaireBQ=0,,IF(FéveroleNécessaireBQ-VLOOKUP(Féverole,StockDansSilos,3,FALSE)&lt;=0,0,ROUNDUP(FéveroleNécessaireBQ-VLOOKUP(Féverole,StockDansSilos,3,FALSE),0)))</f>
        <v>0</v>
      </c>
      <c r="G20" s="240">
        <f>IF(FéveroleNécessaireMoQ=0,,IF(FéveroleNécessaireMoQ-VLOOKUP(Féverole,StockDansSilos,3,FALSE)&lt;=0,0,ROUNDUP(FéveroleNécessaireMoQ-VLOOKUP(Féverole,StockDansSilos,3,FALSE),0)))</f>
        <v>0</v>
      </c>
      <c r="H20" s="245">
        <f>IF(FéveroleNécessaireMaQ=0,,IF(FéveroleNécessaireMaQ-VLOOKUP(Féverole,StockDansSilos,3,FALSE)&lt;=0,0,ROUNDUP(FéveroleNécessaireMaQ-VLOOKUP(Féverole,StockDansSilos,3,FALSE),0)))</f>
        <v>0</v>
      </c>
      <c r="I20" s="181"/>
      <c r="J20" s="186"/>
      <c r="K20" s="165" t="str">
        <f>IF(AND(CommandeFeveroleBQ=0,CommandeFeveroleMoQ=0,CommandeFeveroleMaQ=0),"",((PrixFeverole*CommandeFeveroleBQ)+(PrixFeverole*CommandeFeveroleMoQ*0.9)+(PrixFeverole*CommandeFeveroleMaQ*0.8)))</f>
        <v/>
      </c>
      <c r="L20" s="181"/>
      <c r="M20" s="181"/>
      <c r="N20" s="171"/>
      <c r="O20" s="171"/>
      <c r="P20" s="171"/>
      <c r="Q20" s="171"/>
      <c r="R20" s="171"/>
      <c r="S20" s="171"/>
      <c r="T20" s="176"/>
      <c r="U20" s="173"/>
      <c r="V20" s="173"/>
      <c r="W20" s="173"/>
      <c r="X20" s="173"/>
      <c r="Y20" s="173"/>
      <c r="Z20" s="173"/>
    </row>
    <row r="21" spans="1:26" s="15" customFormat="1" x14ac:dyDescent="0.2">
      <c r="A21" s="174"/>
      <c r="B21" s="192" t="str">
        <f>IF(AND(FoinNécessaireBQ=0,FoinNécessaireMoQ=0,FoinNécessaireMaQ=0),"","foin (t)")</f>
        <v>foin (t)</v>
      </c>
      <c r="C21" s="256">
        <f>(VLOOKUP("Foin",AlimentsBovins,2,FALSE)+VLOOKUP("Foin",AlimentsPorcins,2,FALSE)+VLOOKUP("Foin",AlimentsCaprins,2,FALSE)+VLOOKUP("Foin",AlimentsOvins,2,FALSE)+VLOOKUP("Foin",AlimentsLapins,2,FALSE)+VLOOKUP("Foin",AlimentsVolailles,2,FALSE)+VLOOKUP("Foin",AlimentsPintades,2,FALSE)+VLOOKUP("Foin",AlimentsOies,2,FALSE)+VLOOKUP("Foin",AlimentsCanards,2,FALSE)+VLOOKUP("Foin",AlimentsGavageOiesEtCanards,2,FALSE)+VLOOKUP("Foin",AlimentsBisons,2,FALSE)+VLOOKUP("Foin",AlimentsDaims,2,FALSE)+VLOOKUP("Foin",AlimentsChevauxSelle,2,FALSE)+VLOOKUP("Foin",AlimentsChevauxTrait,2,FALSE)+VLOOKUP("Foin",AlimentsPoneys,2,FALSE))/1000</f>
        <v>2.4572000000000003</v>
      </c>
      <c r="D21" s="262">
        <f>(VLOOKUP("Foin",AlimentsBovins,3,FALSE)+VLOOKUP("Foin",AlimentsPorcins,3,FALSE)+VLOOKUP("Foin",AlimentsCaprins,3,FALSE)+VLOOKUP("Foin",AlimentsOvins,3,FALSE)+VLOOKUP("Foin",AlimentsLapins,3,FALSE)+VLOOKUP("Foin",AlimentsVolailles,3,FALSE)+VLOOKUP("Foin",AlimentsPintades,3,FALSE)+VLOOKUP("Foin",AlimentsOies,3,FALSE)+VLOOKUP("Foin",AlimentsCanards,3,FALSE)+VLOOKUP("Foin",AlimentsGavageOiesEtCanards,3,FALSE)+VLOOKUP("Foin",AlimentsBisons,3,FALSE)+VLOOKUP("Foin",AlimentsDaims,3,FALSE)+VLOOKUP("Foin",AlimentsChevauxSelle,3,FALSE)+VLOOKUP("Foin",AlimentsChevauxTrait,3,FALSE)+VLOOKUP("Foin",AlimentsPoneys,3,FALSE))/1000</f>
        <v>4.1120000000000001</v>
      </c>
      <c r="E21" s="263">
        <f>(VLOOKUP("Foin",AlimentsBovins,4,FALSE)+VLOOKUP("Foin",AlimentsPorcins,4,FALSE)+VLOOKUP("Foin",AlimentsCaprins,4,FALSE)+VLOOKUP("Foin",AlimentsOvins,4,FALSE)+VLOOKUP("Foin",AlimentsLapins,4,FALSE)+VLOOKUP("Foin",AlimentsVolailles,4,FALSE)+VLOOKUP("Foin",AlimentsPintades,4,FALSE)+VLOOKUP("Foin",AlimentsOies,4,FALSE)+VLOOKUP("Foin",AlimentsCanards,4,FALSE)+VLOOKUP("Foin",AlimentsGavageOiesEtCanards,4,FALSE)+VLOOKUP("Foin",AlimentsBisons,4,FALSE)+VLOOKUP("Foin",AlimentsDaims,4,FALSE)+VLOOKUP("Foin",AlimentsChevauxSelle,4,FALSE)+VLOOKUP("Foin",AlimentsChevauxTrait,4,FALSE)+VLOOKUP("Foin",AlimentsPoneys,4,FALSE))/1000</f>
        <v>0.20799999999999999</v>
      </c>
      <c r="F21" s="246" t="e">
        <f>IF(FoinNécessaireBQ=0,,IF(FoinNécessaireBQ-SUM(StockFoinBQDansEntrepôt)&lt;=0,0,ROUNDUP(FoinNécessaireBQ-SUM(StockFoinBQDansEntrepôt),3)))</f>
        <v>#REF!</v>
      </c>
      <c r="G21" s="239" t="e">
        <f>IF(FoinNécessaireMoQ=0,,IF(FoinNécessaireMoQ-SUM(StockFoinMoQDansEntrepôt)&lt;=0,0,ROUNDUP(FoinNécessaireMoQ-SUM(StockFoinMoQDansEntrepôt),3)))</f>
        <v>#REF!</v>
      </c>
      <c r="H21" s="247" t="e">
        <f>IF(FoinNécessaireMaQ=0,,IF(FoinNécessaireMaQ-SUM(StockFoinMaQDansEntrepôt)&lt;=0,0,ROUNDUP(FoinNécessaireMaQ-SUM(StockFoinMaQDansEntrepôt),3)))</f>
        <v>#REF!</v>
      </c>
      <c r="I21" s="181"/>
      <c r="J21" s="188">
        <v>100.5</v>
      </c>
      <c r="K21" s="189" t="e">
        <f>IF(AND(CommandeFoinBQ=0,CommandeFoinMoQ=0,CommandeFoinMaQ=0),"",((PrixFoin*CommandeFoinBQ)+(PrixFoin*CommandeFoinMoQ*0.9)+(PrixFoin*CommandeFoinMaQ*0.8)))</f>
        <v>#REF!</v>
      </c>
      <c r="L21" s="181"/>
      <c r="M21" s="181"/>
      <c r="N21" s="171"/>
      <c r="O21" s="171"/>
      <c r="P21" s="171"/>
      <c r="Q21" s="171"/>
      <c r="R21" s="171"/>
      <c r="S21" s="171"/>
      <c r="T21" s="176"/>
      <c r="U21" s="173"/>
      <c r="V21" s="173"/>
      <c r="W21" s="173"/>
      <c r="X21" s="173"/>
      <c r="Y21" s="173"/>
      <c r="Z21" s="173"/>
    </row>
    <row r="22" spans="1:26" s="15" customFormat="1" x14ac:dyDescent="0.2">
      <c r="A22" s="174"/>
      <c r="B22" s="162" t="str">
        <f>IF(AND(MaïsEnsiléNécessaireBQ=0,MaïsEnsiléNécessaireMoQ=0,MaïsEnsiléNécessaireMaQ=0),"","maïs ensilé (t)")</f>
        <v/>
      </c>
      <c r="C22" s="255">
        <f>(VLOOKUP("Maïs ensilé",AlimentsBovins,2,FALSE)+VLOOKUP("Maïs ensilé",AlimentsPorcins,2,FALSE)+VLOOKUP("Maïs ensilé",AlimentsCaprins,2,FALSE)+VLOOKUP("Maïs ensilé",AlimentsOvins,2,FALSE)+VLOOKUP("Maïs ensilé",AlimentsLapins,2,FALSE)+VLOOKUP("Maïs ensilé",AlimentsVolailles,2,FALSE)+VLOOKUP("Maïs ensilé",AlimentsPintades,2,FALSE)+VLOOKUP("Maïs ensilé",AlimentsOies,2,FALSE)+VLOOKUP("Maïs ensilé",AlimentsCanards,2,FALSE)+VLOOKUP("Maïs ensilé",AlimentsGavageOiesEtCanards,2,FALSE)+VLOOKUP("Maïs ensilé",AlimentsBisons,2,FALSE)+VLOOKUP("Maïs ensilé",AlimentsDaims,2,FALSE)+VLOOKUP("Maïs ensilé",AlimentsChevauxSelle,2,FALSE)+VLOOKUP("Maïs ensilé",AlimentsChevauxTrait,2,FALSE)+VLOOKUP("Maïs ensilé",AlimentsPoneys,2,FALSE))/1000</f>
        <v>0</v>
      </c>
      <c r="D22" s="260">
        <f>(VLOOKUP("Maïs ensilé",AlimentsBovins,3,FALSE)+VLOOKUP("Maïs ensilé",AlimentsPorcins,3,FALSE)+VLOOKUP("Maïs ensilé",AlimentsCaprins,3,FALSE)+VLOOKUP("Maïs ensilé",AlimentsOvins,3,FALSE)+VLOOKUP("Maïs ensilé",AlimentsLapins,3,FALSE)+VLOOKUP("Maïs ensilé",AlimentsVolailles,3,FALSE)+VLOOKUP("Maïs ensilé",AlimentsPintades,3,FALSE)+VLOOKUP("Maïs ensilé",AlimentsOies,3,FALSE)+VLOOKUP("Maïs ensilé",AlimentsCanards,3,FALSE)+VLOOKUP("Maïs ensilé",AlimentsGavageOiesEtCanards,3,FALSE)+VLOOKUP("Maïs ensilé",AlimentsBisons,3,FALSE)+VLOOKUP("Maïs ensilé",AlimentsDaims,3,FALSE)+VLOOKUP("Maïs ensilé",AlimentsChevauxSelle,3,FALSE)+VLOOKUP("Maïs ensilé",AlimentsChevauxTrait,3,FALSE)+VLOOKUP("Maïs ensilé",AlimentsPoneys,3,FALSE))/1000</f>
        <v>0</v>
      </c>
      <c r="E22" s="261">
        <f>(VLOOKUP("Maïs ensilé",AlimentsBovins,4,FALSE)+VLOOKUP("Maïs ensilé",AlimentsPorcins,4,FALSE)+VLOOKUP("Maïs ensilé",AlimentsCaprins,4,FALSE)+VLOOKUP("Maïs ensilé",AlimentsOvins,4,FALSE)+VLOOKUP("Maïs ensilé",AlimentsLapins,4,FALSE)+VLOOKUP("Maïs ensilé",AlimentsVolailles,4,FALSE)+VLOOKUP("Maïs ensilé",AlimentsPintades,4,FALSE)+VLOOKUP("Maïs ensilé",AlimentsOies,4,FALSE)+VLOOKUP("Maïs ensilé",AlimentsCanards,4,FALSE)+VLOOKUP("Maïs ensilé",AlimentsGavageOiesEtCanards,4,FALSE)+VLOOKUP("Maïs ensilé",AlimentsBisons,4,FALSE)+VLOOKUP("Maïs ensilé",AlimentsDaims,4,FALSE)+VLOOKUP("Maïs ensilé",AlimentsChevauxSelle,4,FALSE)+VLOOKUP("Maïs ensilé",AlimentsChevauxTrait,4,FALSE)+VLOOKUP("Maïs ensilé",AlimentsPoneys,4,FALSE))/1000</f>
        <v>0</v>
      </c>
      <c r="F22" s="244">
        <f>IF(MaïsEnsiléNécessaireBQ=0,,IF(MaïsEnsiléNécessaireBQ-VLOOKUP(MaïsEnsilé,StockDansSilos,3,FALSE)&lt;=0,0,ROUNDUP(MaïsEnsiléNécessaireBQ-VLOOKUP(MaïsEnsilé,StockDansSilos,3,FALSE),0)))</f>
        <v>0</v>
      </c>
      <c r="G22" s="240">
        <f>IF(MaïsEnsiléNécessaireMoQ=0,,IF(MaïsEnsiléNécessaireMoQ-VLOOKUP(MaïsEnsilé,StockDansSilos,3,FALSE)&lt;=0,0,ROUNDUP(MaïsEnsiléNécessaireMoQ-VLOOKUP(MaïsEnsilé,StockDansSilos,3,FALSE),0)))</f>
        <v>0</v>
      </c>
      <c r="H22" s="245">
        <f>IF(MaïsEnsiléNécessaireMaQ=0,,IF(MaïsEnsiléNécessaireMaQ-VLOOKUP(MaïsEnsilé,StockDansSilos,3,FALSE)&lt;=0,0,ROUNDUP(MaïsEnsiléNécessaireMaQ-VLOOKUP(MaïsEnsilé,StockDansSilos,3,FALSE),0)))</f>
        <v>0</v>
      </c>
      <c r="I22" s="181"/>
      <c r="J22" s="186"/>
      <c r="K22" s="165" t="str">
        <f>IF(AND(CommandeMaïsEnsiléBQ=0,CommandeMaïsEnsiléMoQ=0,CommandeMaïsEnsiléMaQ=0),"",((PrixMaïsEnsilé*CommandeMaïsEnsiléBQ)+(PrixMaïsEnsilé*CommandeMaïsEnsiléMoQ*0.9)+(PrixMaïsEnsilé*CommandeMaïsEnsiléMaQ*0.8)))</f>
        <v/>
      </c>
      <c r="L22" s="181"/>
      <c r="M22" s="181"/>
      <c r="N22" s="171"/>
      <c r="O22" s="171"/>
      <c r="P22" s="171"/>
      <c r="Q22" s="171"/>
      <c r="R22" s="171"/>
      <c r="S22" s="171"/>
      <c r="T22" s="176"/>
      <c r="U22" s="173"/>
      <c r="V22" s="173"/>
      <c r="W22" s="173"/>
      <c r="X22" s="173"/>
      <c r="Y22" s="173"/>
      <c r="Z22" s="173"/>
    </row>
    <row r="23" spans="1:26" s="15" customFormat="1" x14ac:dyDescent="0.2">
      <c r="A23" s="174"/>
      <c r="B23" s="192" t="str">
        <f>IF(AND(MaïsGrainNécessaireBQ=0,MaïsGrainNécessaireMoQ=0,MaïsGrainNécessaireMaQ=0),"","maïs grain (t)")</f>
        <v/>
      </c>
      <c r="C23" s="256">
        <f>(VLOOKUP("Maïs grain",AlimentsBovins,2,FALSE)+VLOOKUP("Maïs grain",AlimentsPorcins,2,FALSE)+VLOOKUP("Maïs grain",AlimentsCaprins,2,FALSE)+VLOOKUP("Maïs grain",AlimentsOvins,2,FALSE)+VLOOKUP("Maïs grain",AlimentsLapins,2,FALSE)+VLOOKUP("Maïs grain",AlimentsVolailles,2,FALSE)+VLOOKUP("Maïs grain",AlimentsPintades,2,FALSE)+VLOOKUP("Maïs grain",AlimentsOies,2,FALSE)+VLOOKUP("Maïs grain",AlimentsCanards,2,FALSE)+VLOOKUP("Maïs grain",AlimentsGavageOiesEtCanards,2,FALSE)+VLOOKUP("Maïs grain",AlimentsBisons,2,FALSE)+VLOOKUP("Maïs grain",AlimentsDaims,2,FALSE)+VLOOKUP("Maïs grain",AlimentsChevauxSelle,2,FALSE)+VLOOKUP("Maïs grain",AlimentsChevauxTrait,2,FALSE)+VLOOKUP("Maïs grain",AlimentsPoneys,2,FALSE))/1000</f>
        <v>0</v>
      </c>
      <c r="D23" s="262">
        <f>(VLOOKUP("Maïs grain",AlimentsBovins,3,FALSE)+VLOOKUP("Maïs grain",AlimentsPorcins,3,FALSE)+VLOOKUP("Maïs grain",AlimentsCaprins,3,FALSE)+VLOOKUP("Maïs grain",AlimentsOvins,3,FALSE)+VLOOKUP("Maïs grain",AlimentsLapins,3,FALSE)+VLOOKUP("Maïs grain",AlimentsVolailles,3,FALSE)+VLOOKUP("Maïs grain",AlimentsPintades,3,FALSE)+VLOOKUP("Maïs grain",AlimentsOies,3,FALSE)+VLOOKUP("Maïs grain",AlimentsCanards,3,FALSE)+VLOOKUP("Maïs grain",AlimentsGavageOiesEtCanards,3,FALSE)+VLOOKUP("Maïs grain",AlimentsBisons,3,FALSE)+VLOOKUP("Maïs grain",AlimentsDaims,3,FALSE)+VLOOKUP("Maïs grain",AlimentsChevauxSelle,3,FALSE)+VLOOKUP("Maïs grain",AlimentsChevauxTrait,3,FALSE)+VLOOKUP("Maïs grain",AlimentsPoneys,3,FALSE))/1000</f>
        <v>0</v>
      </c>
      <c r="E23" s="263">
        <f>(VLOOKUP("Maïs grain",AlimentsBovins,4,FALSE)+VLOOKUP("Maïs grain",AlimentsPorcins,4,FALSE)+VLOOKUP("Maïs grain",AlimentsCaprins,4,FALSE)+VLOOKUP("Maïs grain",AlimentsOvins,4,FALSE)+VLOOKUP("Maïs grain",AlimentsLapins,4,FALSE)+VLOOKUP("Maïs grain",AlimentsVolailles,4,FALSE)+VLOOKUP("Maïs grain",AlimentsPintades,4,FALSE)+VLOOKUP("Maïs grain",AlimentsOies,4,FALSE)+VLOOKUP("Maïs grain",AlimentsCanards,4,FALSE)+VLOOKUP("Maïs grain",AlimentsGavageOiesEtCanards,4,FALSE)+VLOOKUP("Maïs grain",AlimentsBisons,4,FALSE)+VLOOKUP("Maïs grain",AlimentsDaims,4,FALSE)+VLOOKUP("Maïs grain",AlimentsChevauxSelle,4,FALSE)+VLOOKUP("Maïs grain",AlimentsChevauxTrait,4,FALSE)+VLOOKUP("Maïs grain",AlimentsPoneys,4,FALSE))/1000</f>
        <v>0</v>
      </c>
      <c r="F23" s="246">
        <f>IF(MaïsGrainNécessaireBQ=0,,IF(MaïsGrainNécessaireBQ-VLOOKUP(MaïsGrain,StockDansSilos,3,FALSE)&lt;=0,0,ROUNDUP(MaïsGrainNécessaireBQ-VLOOKUP(MaïsGrain,StockDansSilos,3,FALSE),0)))</f>
        <v>0</v>
      </c>
      <c r="G23" s="239">
        <f>IF(MaïsGrainNécessaireMoQ=0,,IF(MaïsGrainNécessaireMoQ-VLOOKUP(MaïsGrain,StockDansSilos,3,FALSE)&lt;=0,0,ROUNDUP(MaïsGrainNécessaireMoQ-VLOOKUP(MaïsGrain,StockDansSilos,3,FALSE),0)))</f>
        <v>0</v>
      </c>
      <c r="H23" s="247">
        <f>IF(MaïsGrainNécessaireMaQ=0,,IF(MaïsGrainNécessaireMaQ-VLOOKUP(MaïsGrain,StockDansSilos,3,FALSE)&lt;=0,0,ROUNDUP(MaïsGrainNécessaireMaQ-VLOOKUP(MaïsGrain,StockDansSilos,3,FALSE),0)))</f>
        <v>0</v>
      </c>
      <c r="I23" s="181"/>
      <c r="J23" s="188"/>
      <c r="K23" s="189" t="str">
        <f>IF(AND(CommandeMaïsGrainBQ=0,CommandeMaïsGrainMoQ=0,CommandeMaïsGrainMaQ=0),"",((PrixMaïsGrain*CommandeMaïsGrainBQ)+(PrixMaïsGrain*CommandeMaïsGrainMoQ*0.9)+(PrixMaïsGrain*CommandeMaïsGrainMaQ*0.8)))</f>
        <v/>
      </c>
      <c r="L23" s="181"/>
      <c r="M23" s="181"/>
      <c r="N23" s="171"/>
      <c r="O23" s="171"/>
      <c r="P23" s="171"/>
      <c r="Q23" s="171"/>
      <c r="R23" s="171"/>
      <c r="S23" s="171"/>
      <c r="T23" s="176"/>
      <c r="U23" s="173"/>
      <c r="V23" s="173"/>
      <c r="W23" s="173"/>
      <c r="X23" s="173"/>
      <c r="Y23" s="173"/>
      <c r="Z23" s="173"/>
    </row>
    <row r="24" spans="1:26" s="15" customFormat="1" x14ac:dyDescent="0.2">
      <c r="A24" s="174"/>
      <c r="B24" s="194" t="str">
        <f>IF(AND(MinérauxNécessaireBQ=0,MinérauxNécessaireMoQ=0,MinérauxNécessaireMaQ=0),"","minéraux + vitamines (kg)")</f>
        <v>minéraux + vitamines (kg)</v>
      </c>
      <c r="C24" s="255">
        <f>(VLOOKUP("Minéraux + vitamines",AlimentsBovins,2,FALSE)+VLOOKUP("Minéraux + vitamines",AlimentsPorcins,2,FALSE)+VLOOKUP("Minéraux + vitamines",AlimentsCaprins,2,FALSE)+VLOOKUP("Minéraux + vitamines",AlimentsOvins,2,FALSE)+VLOOKUP("Minéraux + vitamines",AlimentsLapins,2,FALSE)+VLOOKUP("Minéraux + vitamines",AlimentsVolailles,2,FALSE)+VLOOKUP("Minéraux + vitamines",AlimentsPintades,2,FALSE)+VLOOKUP("Minéraux + vitamines",AlimentsOies,2,FALSE)+VLOOKUP("Minéraux + vitamines",AlimentsCanards,2,FALSE)+VLOOKUP("Minéraux + vitamines",AlimentsGavageOiesEtCanards,2,FALSE)+VLOOKUP("Minéraux + vitamines",AlimentsBisons,2,FALSE)+VLOOKUP("Minéraux + vitamines",AlimentsDaims,2,FALSE)+VLOOKUP("Minéraux + vitamines",AlimentsChevauxSelle,2,FALSE)+VLOOKUP("Minéraux + vitamines",AlimentsChevauxTrait,2,FALSE)+VLOOKUP("Minéraux + vitamines",AlimentsPoneys,2,FALSE))/1000</f>
        <v>1.3120000000000001E-2</v>
      </c>
      <c r="D24" s="260">
        <f>(VLOOKUP("Minéraux + vitamines",AlimentsBovins,3,FALSE)+VLOOKUP("Minéraux + vitamines",AlimentsPorcins,3,FALSE)+VLOOKUP("Minéraux + vitamines",AlimentsCaprins,3,FALSE)+VLOOKUP("Minéraux + vitamines",AlimentsOvins,3,FALSE)+VLOOKUP("Minéraux + vitamines",AlimentsLapins,3,FALSE)+VLOOKUP("Minéraux + vitamines",AlimentsVolailles,3,FALSE)+VLOOKUP("Minéraux + vitamines",AlimentsPintades,3,FALSE)+VLOOKUP("Minéraux + vitamines",AlimentsOies,3,FALSE)+VLOOKUP("Minéraux + vitamines",AlimentsCanards,3,FALSE)+VLOOKUP("Minéraux + vitamines",AlimentsGavageOiesEtCanards,3,FALSE)+VLOOKUP("Minéraux + vitamines",AlimentsBisons,3,FALSE)+VLOOKUP("Minéraux + vitamines",AlimentsDaims,3,FALSE)+VLOOKUP("Minéraux + vitamines",AlimentsChevauxSelle,3,FALSE)+VLOOKUP("Minéraux + vitamines",AlimentsChevauxTrait,3,FALSE)+VLOOKUP("Minéraux + vitamines",AlimentsPoneys,3,FALSE))/1000</f>
        <v>2.0559999999999998E-2</v>
      </c>
      <c r="E24" s="261">
        <f>(VLOOKUP("Minéraux + vitamines",AlimentsBovins,4,FALSE)+VLOOKUP("Minéraux + vitamines",AlimentsPorcins,4,FALSE)+VLOOKUP("Minéraux + vitamines",AlimentsCaprins,4,FALSE)+VLOOKUP("Minéraux + vitamines",AlimentsOvins,4,FALSE)+VLOOKUP("Minéraux + vitamines",AlimentsLapins,4,FALSE)+VLOOKUP("Minéraux + vitamines",AlimentsVolailles,4,FALSE)+VLOOKUP("Minéraux + vitamines",AlimentsPintades,4,FALSE)+VLOOKUP("Minéraux + vitamines",AlimentsOies,4,FALSE)+VLOOKUP("Minéraux + vitamines",AlimentsCanards,4,FALSE)+VLOOKUP("Minéraux + vitamines",AlimentsGavageOiesEtCanards,4,FALSE)+VLOOKUP("Minéraux + vitamines",AlimentsBisons,4,FALSE)+VLOOKUP("Minéraux + vitamines",AlimentsDaims,4,FALSE)+VLOOKUP("Minéraux + vitamines",AlimentsChevauxSelle,4,FALSE)+VLOOKUP("Minéraux + vitamines",AlimentsChevauxTrait,4,FALSE)+VLOOKUP("Minéraux + vitamines",AlimentsPoneys,4,FALSE))/1000</f>
        <v>1.0400000000000001E-3</v>
      </c>
      <c r="F24" s="244" t="e">
        <f>IF(MinérauxNécessaireBQ=0,,IF(MinérauxNécessaireBQ-StockMinérauxBQDansEntrepôt&lt;=0,0,ROUNDUP(MinérauxNécessaireBQ-StockMinérauxBQDansEntrepôt,0)))</f>
        <v>#REF!</v>
      </c>
      <c r="G24" s="240" t="e">
        <f>IF(MinérauxNécessaireMoQ=0,,IF(MinérauxNécessaireMoQ-StockMinérauxMoQDansEntrepôt&lt;=0,0,ROUNDUP(MinérauxNécessaireMoQ-StockMinérauxMoQDansEntrepôt,0)))</f>
        <v>#REF!</v>
      </c>
      <c r="H24" s="245" t="e">
        <f>IF(MinérauxNécessaireMaQ=0,,IF(MinérauxNécessaireMaQ-StockMinérauxMaQDansEntrepôt&lt;=0,0,ROUNDUP(MinérauxNécessaireMaQ-StockMinérauxMaQDansEntrepôt,0)))</f>
        <v>#REF!</v>
      </c>
      <c r="I24" s="181"/>
      <c r="J24" s="191">
        <f>IF(Minéraux="","",1.38)</f>
        <v>1.38</v>
      </c>
      <c r="K24" s="165" t="e">
        <f>IF(AND(CommandeMinérauxBQ=0,CommandeMinérauxMoQ=0,CommandeMinérauxMaQ=0),"",((PrixMinéraux*CommandeMinérauxBQ)+(PrixMinéraux*CommandeMinérauxMoQ*0.9)+(PrixMinéraux*CommandeMinérauxMaQ*0.8)))</f>
        <v>#REF!</v>
      </c>
      <c r="L24" s="181"/>
      <c r="M24" s="181"/>
      <c r="N24" s="171"/>
      <c r="O24" s="171"/>
      <c r="P24" s="171"/>
      <c r="Q24" s="171"/>
      <c r="R24" s="171"/>
      <c r="S24" s="171"/>
      <c r="T24" s="176"/>
      <c r="U24" s="173"/>
      <c r="V24" s="173"/>
      <c r="W24" s="173"/>
      <c r="X24" s="173"/>
      <c r="Y24" s="173"/>
      <c r="Z24" s="173"/>
    </row>
    <row r="25" spans="1:26" s="15" customFormat="1" x14ac:dyDescent="0.2">
      <c r="A25" s="174"/>
      <c r="B25" s="195" t="str">
        <f>IF(AND(OrgeNécessaireBQ=0,OrgeNécessaireMoQ=0,OrgeNécessaireMaQ=0),"","orge (t)")</f>
        <v>orge (t)</v>
      </c>
      <c r="C25" s="256">
        <f>(VLOOKUP("Orge",AlimentsBovins,2,FALSE)+VLOOKUP("Orge",AlimentsPorcins,2,FALSE)+VLOOKUP("Orge",AlimentsCaprins,2,FALSE)+VLOOKUP("Orge",AlimentsOvins,2,FALSE)+VLOOKUP("Orge",AlimentsLapins,2,FALSE)+VLOOKUP("Orge",AlimentsVolailles,2,FALSE)+VLOOKUP("Orge",AlimentsPintades,2,FALSE)+VLOOKUP("Orge",AlimentsOies,2,FALSE)+VLOOKUP("Orge",AlimentsCanards,2,FALSE)+VLOOKUP("Orge",AlimentsGavageOiesEtCanards,2,FALSE)+VLOOKUP("Orge",AlimentsBisons,2,FALSE)+VLOOKUP("Orge",AlimentsDaims,2,FALSE)+VLOOKUP("Orge",AlimentsChevauxSelle,2,FALSE)+VLOOKUP("Orge",AlimentsChevauxTrait,2,FALSE)+VLOOKUP("Orge",AlimentsPoneys,2,FALSE))/1000</f>
        <v>0.39879999999999999</v>
      </c>
      <c r="D25" s="262">
        <f>(VLOOKUP("Orge",AlimentsBovins,3,FALSE)+VLOOKUP("Orge",AlimentsPorcins,3,FALSE)+VLOOKUP("Orge",AlimentsCaprins,3,FALSE)+VLOOKUP("Orge",AlimentsOvins,3,FALSE)+VLOOKUP("Orge",AlimentsLapins,3,FALSE)+VLOOKUP("Orge",AlimentsVolailles,3,FALSE)+VLOOKUP("Orge",AlimentsPintades,3,FALSE)+VLOOKUP("Orge",AlimentsOies,3,FALSE)+VLOOKUP("Orge",AlimentsCanards,3,FALSE)+VLOOKUP("Orge",AlimentsGavageOiesEtCanards,3,FALSE)+VLOOKUP("Orge",AlimentsBisons,3,FALSE)+VLOOKUP("Orge",AlimentsDaims,3,FALSE)+VLOOKUP("Orge",AlimentsChevauxSelle,3,FALSE)+VLOOKUP("Orge",AlimentsChevauxTrait,3,FALSE)+VLOOKUP("Orge",AlimentsPoneys,3,FALSE))/1000</f>
        <v>0.41120000000000007</v>
      </c>
      <c r="E25" s="263">
        <f>(VLOOKUP("Orge",AlimentsBovins,4,FALSE)+VLOOKUP("Orge",AlimentsPorcins,4,FALSE)+VLOOKUP("Orge",AlimentsCaprins,4,FALSE)+VLOOKUP("Orge",AlimentsOvins,4,FALSE)+VLOOKUP("Orge",AlimentsLapins,4,FALSE)+VLOOKUP("Orge",AlimentsVolailles,4,FALSE)+VLOOKUP("Orge",AlimentsPintades,4,FALSE)+VLOOKUP("Orge",AlimentsOies,4,FALSE)+VLOOKUP("Orge",AlimentsCanards,4,FALSE)+VLOOKUP("Orge",AlimentsGavageOiesEtCanards,4,FALSE)+VLOOKUP("Orge",AlimentsBisons,4,FALSE)+VLOOKUP("Orge",AlimentsDaims,4,FALSE)+VLOOKUP("Orge",AlimentsChevauxSelle,4,FALSE)+VLOOKUP("Orge",AlimentsChevauxTrait,4,FALSE)+VLOOKUP("Orge",AlimentsPoneys,4,FALSE))/1000</f>
        <v>2.0799999999999999E-2</v>
      </c>
      <c r="F25" s="246" t="e">
        <f>IF(OrgeNécessaireBQ=0,,IF(OrgeNécessaireBQ-VLOOKUP(Orge,StockDansSilos,3,FALSE)&lt;=0,0,ROUNDUP(OrgeNécessaireBQ-VLOOKUP(Orge,StockDansSilos,3,FALSE),0)))</f>
        <v>#REF!</v>
      </c>
      <c r="G25" s="239" t="e">
        <f>IF(OrgeNécessaireMoQ=0,,IF(OrgeNécessaireMoQ-VLOOKUP(Orge,StockDansSilos,3,FALSE)&lt;=0,0,ROUNDUP(OrgeNécessaireMoQ-VLOOKUP(Orge,StockDansSilos,3,FALSE),0)))</f>
        <v>#REF!</v>
      </c>
      <c r="H25" s="247" t="e">
        <f>IF(OrgeNécessaireMaQ=0,,IF(OrgeNécessaireMaQ-VLOOKUP(Orge,StockDansSilos,3,FALSE)&lt;=0,0,ROUNDUP(OrgeNécessaireMaQ-VLOOKUP(Orge,StockDansSilos,3,FALSE),0)))</f>
        <v>#REF!</v>
      </c>
      <c r="I25" s="181"/>
      <c r="J25" s="188">
        <v>150</v>
      </c>
      <c r="K25" s="189" t="e">
        <f>IF(AND(CommandeOrgeBQ=0,CommandeOrgeMoQ=0,CommandeOrgeMaQ=0),"",((PrixOrge*CommandeOrgeBQ)+(PrixOrge*CommandeOrgeMoQ*0.9)+(PrixOrge*CommandeOrgeMaQ*0.8)))</f>
        <v>#REF!</v>
      </c>
      <c r="L25" s="181"/>
      <c r="M25" s="181"/>
      <c r="N25" s="196"/>
      <c r="O25" s="171"/>
      <c r="P25" s="171"/>
      <c r="Q25" s="171"/>
      <c r="R25" s="171"/>
      <c r="S25" s="171"/>
      <c r="T25" s="176"/>
      <c r="U25" s="173"/>
      <c r="V25" s="173"/>
      <c r="W25" s="173"/>
      <c r="X25" s="173"/>
      <c r="Y25" s="173"/>
      <c r="Z25" s="173"/>
    </row>
    <row r="26" spans="1:26" s="15" customFormat="1" x14ac:dyDescent="0.2">
      <c r="A26" s="174"/>
      <c r="B26" s="194" t="str">
        <f>IF(AND(PailleNécessaireBQ=0,PailleNécessaireMoQ=0,PailleNécessaireMaQ=0),"","paille (t)")</f>
        <v>paille (t)</v>
      </c>
      <c r="C26" s="255">
        <f>(VLOOKUP("Paille",AlimentsBovins,2,FALSE)+VLOOKUP("Paille",AlimentsPorcins,2,FALSE)+VLOOKUP("Paille",AlimentsCaprins,2,FALSE)+VLOOKUP("Paille",AlimentsOvins,2,FALSE)+VLOOKUP("Paille",AlimentsLapins,2,FALSE)+VLOOKUP("Paille",AlimentsVolailles,2,FALSE)+VLOOKUP("Paille",AlimentsPintades,2,FALSE)+VLOOKUP("Paille",AlimentsOies,2,FALSE)+VLOOKUP("Paille",AlimentsCanards,2,FALSE)+VLOOKUP("Paille",AlimentsGavageOiesEtCanards,2,FALSE)+VLOOKUP("Paille",AlimentsBisons,2,FALSE)+VLOOKUP("Paille",AlimentsDaims,2,FALSE)+VLOOKUP("Paille",AlimentsChevauxSelle,2,FALSE)+VLOOKUP("Paille",AlimentsChevauxTrait,2,FALSE)+VLOOKUP("Paille",AlimentsPoneys,2,FALSE))/1000</f>
        <v>0</v>
      </c>
      <c r="D26" s="260">
        <f>(VLOOKUP("Paille",AlimentsBovins,3,FALSE)+VLOOKUP("Paille",AlimentsPorcins,3,FALSE)+VLOOKUP("Paille",AlimentsCaprins,3,FALSE)+VLOOKUP("Paille",AlimentsOvins,3,FALSE)+VLOOKUP("Paille",AlimentsLapins,3,FALSE)+VLOOKUP("Paille",AlimentsVolailles,3,FALSE)+VLOOKUP("Paille",AlimentsPintades,3,FALSE)+VLOOKUP("Paille",AlimentsOies,3,FALSE)+VLOOKUP("Paille",AlimentsCanards,3,FALSE)+VLOOKUP("Paille",AlimentsGavageOiesEtCanards,3,FALSE)+VLOOKUP("Paille",AlimentsBisons,3,FALSE)+VLOOKUP("Paille",AlimentsDaims,3,FALSE)+VLOOKUP("Paille",AlimentsChevauxSelle,3,FALSE)+VLOOKUP("Paille",AlimentsChevauxTrait,3,FALSE)+VLOOKUP("Paille",AlimentsPoneys,3,FALSE))/1000</f>
        <v>0</v>
      </c>
      <c r="E26" s="261">
        <f>(VLOOKUP("Paille",AlimentsBovins,4,FALSE)+VLOOKUP("Paille",AlimentsPorcins,4,FALSE)+VLOOKUP("Paille",AlimentsCaprins,4,FALSE)+VLOOKUP("Paille",AlimentsOvins,4,FALSE)+VLOOKUP("Paille",AlimentsLapins,4,FALSE)+VLOOKUP("Paille",AlimentsVolailles,4,FALSE)+VLOOKUP("Paille",AlimentsPintades,4,FALSE)+VLOOKUP("Paille",AlimentsOies,4,FALSE)+VLOOKUP("Paille",AlimentsCanards,4,FALSE)+VLOOKUP("Paille",AlimentsGavageOiesEtCanards,4,FALSE)+VLOOKUP("Paille",AlimentsBisons,4,FALSE)+VLOOKUP("Paille",AlimentsDaims,4,FALSE)+VLOOKUP("Paille",AlimentsChevauxSelle,4,FALSE)+VLOOKUP("Paille",AlimentsChevauxTrait,4,FALSE)+VLOOKUP("Paille",AlimentsPoneys,4,FALSE))/1000</f>
        <v>6.48</v>
      </c>
      <c r="F26" s="244">
        <f>IF(PailleNécessaireBQ=0,,IF(PailleNécessaireBQ-SUM(StockPailleBQDansEntrepôt)&lt;=0,0,ROUNDUP(PailleNécessaireBQ-SUM(StockPailleBQDansEntrepôt),3)))</f>
        <v>0</v>
      </c>
      <c r="G26" s="240">
        <f>IF(PailleNécessaireMoQ=0,,IF(PailleNécessaireMoQ-SUM(StockPailleMoQDansEntrepôt)&lt;=0,0,ROUNDUP(PailleNécessaireMoQ-SUM(StockPailleMoQDansEntrepôt),3)))</f>
        <v>0</v>
      </c>
      <c r="H26" s="245" t="e">
        <f>IF(PailleNécessaireMaQ=0,,IF(PailleNécessaireMaQ-SUM(StockPailleMaQDansEntrepôt)&lt;=0,0,ROUNDUP(PailleNécessaireMaQ-SUM(StockPailleMaQDansEntrepôt),3)))</f>
        <v>#REF!</v>
      </c>
      <c r="I26" s="181"/>
      <c r="J26" s="186">
        <v>58.5</v>
      </c>
      <c r="K26" s="165" t="e">
        <f>IF(AND(CommandePailleBQ=0,CommandePailleMoQ=0,CommandePailleMaQ=0),"",((PrixPaille*CommandePailleBQ)+(PrixPaille*CommandePailleMoQ*0.9)+(PrixPaille*CommandePailleMaQ*0.8)))</f>
        <v>#REF!</v>
      </c>
      <c r="L26" s="197" t="str">
        <f>"en vaccin tu payes "</f>
        <v xml:space="preserve">en vaccin tu payes </v>
      </c>
      <c r="M26" s="197" t="str">
        <f>SUM(TotalBovins)*PrixVaccinBovin+SUM(TotalBisons)*PrixVaccinBison+SUM(TotalCaprins)*PrixVaccinCaprin+SUM(TotalPorcins)*PrixVaccinPorcin+SUM(TotalVolailles)*PrixVaccinVolaille+SUM(TotalPintades)*PrixVaccinPintade+SUM(TotalLapins)*PrixVaccinLapin+SUM(TotalOies)*PrixVaccinOie+SUM(TotalCanards)*PrixVaccinCanard+SUM(TotalOvins)*PrixVaccinOvin+SUM(TotalDaims)*PrixVaccinDaim+SUM(TotalChevauxSelle)*PrixVaccinChevauxSelle+SUM(TotalChevauxTrait)*PrixVaccinChevauxTrait+SUM(TotalPoneys)*prixVaccinPoney&amp;"€/an"</f>
        <v>5980€/an</v>
      </c>
      <c r="N26" s="181"/>
      <c r="O26" s="171"/>
      <c r="P26" s="171"/>
      <c r="Q26" s="171"/>
      <c r="R26" s="171"/>
      <c r="S26" s="171"/>
      <c r="T26" s="176"/>
      <c r="U26" s="173"/>
      <c r="V26" s="173"/>
      <c r="W26" s="173"/>
      <c r="X26" s="173"/>
      <c r="Y26" s="173"/>
      <c r="Z26" s="173"/>
    </row>
    <row r="27" spans="1:26" s="15" customFormat="1" x14ac:dyDescent="0.2">
      <c r="A27" s="174"/>
      <c r="B27" s="195" t="str">
        <f>IF(AND(PoisNécessaireBQ=0,PoisNécessaireMoQ=0,PoisNécessaireMaQ=0),"","pois (t)")</f>
        <v/>
      </c>
      <c r="C27" s="256">
        <f>(VLOOKUP("Pois",AlimentsBovins,2,FALSE)+VLOOKUP("Pois",AlimentsPorcins,2,FALSE)+VLOOKUP("Pois",AlimentsCaprins,2,FALSE)+VLOOKUP("Pois",AlimentsOvins,2,FALSE)+VLOOKUP("Pois",AlimentsLapins,2,FALSE)+VLOOKUP("Pois",AlimentsVolailles,2,FALSE)+VLOOKUP("Pois",AlimentsPintades,2,FALSE)+VLOOKUP("Pois",AlimentsOies,2,FALSE)+VLOOKUP("Pois",AlimentsCanards,2,FALSE)+VLOOKUP("Pois",AlimentsGavageOiesEtCanards,2,FALSE)+VLOOKUP("Pois",AlimentsBisons,2,FALSE)+VLOOKUP("Pois",AlimentsDaims,2,FALSE)+VLOOKUP("Pois",AlimentsChevauxSelle,2,FALSE)+VLOOKUP("Pois",AlimentsChevauxTrait,2,FALSE)+VLOOKUP("Pois",AlimentsPoneys,2,FALSE))/1000</f>
        <v>0</v>
      </c>
      <c r="D27" s="262">
        <f>(VLOOKUP("Pois",AlimentsBovins,3,FALSE)+VLOOKUP("Pois",AlimentsPorcins,3,FALSE)+VLOOKUP("Pois",AlimentsCaprins,3,FALSE)+VLOOKUP("Pois",AlimentsOvins,3,FALSE)+VLOOKUP("Pois",AlimentsLapins,3,FALSE)+VLOOKUP("Pois",AlimentsVolailles,3,FALSE)+VLOOKUP("Pois",AlimentsPintades,3,FALSE)+VLOOKUP("Pois",AlimentsOies,3,FALSE)+VLOOKUP("Pois",AlimentsCanards,3,FALSE)+VLOOKUP("Pois",AlimentsGavageOiesEtCanards,3,FALSE)+VLOOKUP("Pois",AlimentsBisons,3,FALSE)+VLOOKUP("Pois",AlimentsDaims,3,FALSE)+VLOOKUP("Pois",AlimentsChevauxSelle,3,FALSE)+VLOOKUP("Pois",AlimentsChevauxTrait,3,FALSE)+VLOOKUP("Pois",AlimentsPoneys,3,FALSE))/1000</f>
        <v>0</v>
      </c>
      <c r="E27" s="263">
        <f>(VLOOKUP("Pois",AlimentsBovins,4,FALSE)+VLOOKUP("Pois",AlimentsPorcins,4,FALSE)+VLOOKUP("Pois",AlimentsCaprins,4,FALSE)+VLOOKUP("Pois",AlimentsOvins,4,FALSE)+VLOOKUP("Pois",AlimentsLapins,4,FALSE)+VLOOKUP("Pois",AlimentsVolailles,4,FALSE)+VLOOKUP("Pois",AlimentsPintades,4,FALSE)+VLOOKUP("Pois",AlimentsOies,4,FALSE)+VLOOKUP("Pois",AlimentsCanards,4,FALSE)+VLOOKUP("Pois",AlimentsGavageOiesEtCanards,4,FALSE)+VLOOKUP("Pois",AlimentsBisons,4,FALSE)+VLOOKUP("Pois",AlimentsDaims,4,FALSE)+VLOOKUP("Pois",AlimentsChevauxSelle,4,FALSE)+VLOOKUP("Pois",AlimentsChevauxTrait,4,FALSE)+VLOOKUP("Pois",AlimentsPoneys,4,FALSE))/1000</f>
        <v>0</v>
      </c>
      <c r="F27" s="246">
        <f>IF(PoisNécessaireBQ=0,,IF(PoisNécessaireBQ-VLOOKUP(Pois,StockDansSilos,3,FALSE)&lt;=0,0,ROUNDUP(PoisNécessaireBQ-VLOOKUP(Pois,StockDansSilos,3,FALSE),0)))</f>
        <v>0</v>
      </c>
      <c r="G27" s="239">
        <f>IF(PoisNécessaireMoQ=0,,IF(PoisNécessaireMoQ-VLOOKUP(Pois,StockDansSilos,3,FALSE)&lt;=0,0,ROUNDUP(PoisNécessaireMoQ-VLOOKUP(Pois,StockDansSilos,3,FALSE),0)))</f>
        <v>0</v>
      </c>
      <c r="H27" s="247">
        <f>IF(PoisNécessaireMaQ=0,,IF(PoisNécessaireMaQ-VLOOKUP(Pois,StockDansSilos,3,FALSE)&lt;=0,0,ROUNDUP(PoisNécessaireMaQ-VLOOKUP(Pois,StockDansSilos,3,FALSE),0)))</f>
        <v>0</v>
      </c>
      <c r="I27" s="181"/>
      <c r="J27" s="188"/>
      <c r="K27" s="189" t="str">
        <f>IF(AND(CommandePoisBQ=0,CommandePoisMoQ=0,CommandePoisMaQ=0),"",((PrixPois*CommandePoisBQ)+(PrixPois*CommandePoisMoQ*0.9)+(PrixPois*CommandePoisMaQ*0.8)))</f>
        <v/>
      </c>
      <c r="L27" s="181"/>
      <c r="M27" s="181"/>
      <c r="N27" s="171"/>
      <c r="O27" s="171"/>
      <c r="P27" s="171"/>
      <c r="Q27" s="171"/>
      <c r="R27" s="171"/>
      <c r="S27" s="171"/>
      <c r="T27" s="176"/>
      <c r="U27" s="173"/>
      <c r="V27" s="173"/>
      <c r="W27" s="173"/>
      <c r="X27" s="173"/>
      <c r="Y27" s="173"/>
      <c r="Z27" s="173"/>
    </row>
    <row r="28" spans="1:26" s="15" customFormat="1" x14ac:dyDescent="0.2">
      <c r="A28" s="174"/>
      <c r="B28" s="194" t="str">
        <f>IF(AND(SeigleNécessaireBQ=0,SeigleNécessaireMoQ=0,SeigleNécessaireMaQ=0),"","seigle (t)")</f>
        <v/>
      </c>
      <c r="C28" s="255">
        <f>(VLOOKUP("Seigle",AlimentsBovins,2,FALSE)+VLOOKUP("Seigle",AlimentsPorcins,2,FALSE)+VLOOKUP("Seigle",AlimentsCaprins,2,FALSE)+VLOOKUP("Seigle",AlimentsOvins,2,FALSE)+VLOOKUP("Seigle",AlimentsLapins,2,FALSE)+VLOOKUP("Seigle",AlimentsVolailles,2,FALSE)+VLOOKUP("Seigle",AlimentsPintades,2,FALSE)+VLOOKUP("Seigle",AlimentsOies,2,FALSE)+VLOOKUP("Seigle",AlimentsCanards,2,FALSE)+VLOOKUP("Seigle",AlimentsGavageOiesEtCanards,2,FALSE)+VLOOKUP("Seigle",AlimentsBisons,2,FALSE)+VLOOKUP("Seigle",AlimentsDaims,2,FALSE)+VLOOKUP("Seigle",AlimentsChevauxSelle,2,FALSE)+VLOOKUP("Seigle",AlimentsChevauxTrait,2,FALSE)+VLOOKUP("Seigle",AlimentsPoneys,2,FALSE))/1000</f>
        <v>0</v>
      </c>
      <c r="D28" s="260">
        <f>(VLOOKUP("Seigle",AlimentsBovins,3,FALSE)+VLOOKUP("Seigle",AlimentsPorcins,3,FALSE)+VLOOKUP("Seigle",AlimentsCaprins,3,FALSE)+VLOOKUP("Seigle",AlimentsOvins,3,FALSE)+VLOOKUP("Seigle",AlimentsLapins,3,FALSE)+VLOOKUP("Seigle",AlimentsVolailles,3,FALSE)+VLOOKUP("Seigle",AlimentsPintades,3,FALSE)+VLOOKUP("Seigle",AlimentsOies,3,FALSE)+VLOOKUP("Seigle",AlimentsCanards,3,FALSE)+VLOOKUP("Seigle",AlimentsGavageOiesEtCanards,3,FALSE)+VLOOKUP("Seigle",AlimentsBisons,3,FALSE)+VLOOKUP("Seigle",AlimentsDaims,3,FALSE)+VLOOKUP("Seigle",AlimentsChevauxSelle,3,FALSE)+VLOOKUP("Seigle",AlimentsChevauxTrait,3,FALSE)+VLOOKUP("Seigle",AlimentsPoneys,3,FALSE))/1000</f>
        <v>0</v>
      </c>
      <c r="E28" s="261">
        <f>(VLOOKUP("Seigle",AlimentsBovins,4,FALSE)+VLOOKUP("Seigle",AlimentsPorcins,4,FALSE)+VLOOKUP("Seigle",AlimentsCaprins,4,FALSE)+VLOOKUP("Seigle",AlimentsOvins,4,FALSE)+VLOOKUP("Seigle",AlimentsLapins,4,FALSE)+VLOOKUP("Seigle",AlimentsVolailles,4,FALSE)+VLOOKUP("Seigle",AlimentsPintades,4,FALSE)+VLOOKUP("Seigle",AlimentsOies,4,FALSE)+VLOOKUP("Seigle",AlimentsCanards,4,FALSE)+VLOOKUP("Seigle",AlimentsGavageOiesEtCanards,4,FALSE)+VLOOKUP("Seigle",AlimentsBisons,4,FALSE)+VLOOKUP("Seigle",AlimentsDaims,4,FALSE)+VLOOKUP("Seigle",AlimentsChevauxSelle,4,FALSE)+VLOOKUP("Seigle",AlimentsChevauxTrait,4,FALSE)+VLOOKUP("Seigle",AlimentsPoneys,4,FALSE))/1000</f>
        <v>0</v>
      </c>
      <c r="F28" s="244">
        <f>IF(SeigleNécessaireBQ=0,,IF(SeigleNécessaireBQ-VLOOKUP(Seigle,StockDansSilos,3,FALSE)&lt;=0,0,ROUNDUP(SeigleNécessaireBQ-VLOOKUP(Seigle,StockDansSilos,3,FALSE),0)))</f>
        <v>0</v>
      </c>
      <c r="G28" s="240">
        <f>IF(SeigleNécessaireMoQ=0,,IF(SeigleNécessaireMoQ-VLOOKUP(Seigle,StockDansSilos,3,FALSE)&lt;=0,0,ROUNDUP(SeigleNécessaireMoQ-VLOOKUP(Seigle,StockDansSilos,3,FALSE),0)))</f>
        <v>0</v>
      </c>
      <c r="H28" s="245">
        <f>IF(SeigleNécessaireMaQ=0,,IF(SeigleNécessaireMaQ-VLOOKUP(Seigle,StockDansSilos,3,FALSE)&lt;=0,0,ROUNDUP(SeigleNécessaireMaQ-VLOOKUP(Seigle,StockDansSilos,3,FALSE),0)))</f>
        <v>0</v>
      </c>
      <c r="I28" s="181"/>
      <c r="J28" s="186"/>
      <c r="K28" s="165" t="str">
        <f>IF(AND(CommandeSeigleBQ=0,CommandeSeigleMoQ=0,CommandeSeigleMaQ=0),"",((PrixSeigle*CommandeSeigleBQ)+(PrixSeigle*CommandeSeigleMoQ*0.9)+(PrixSeigle*CommandeSeigleMaQ*0.8)))</f>
        <v/>
      </c>
      <c r="L28" s="181"/>
      <c r="M28" s="181"/>
      <c r="N28" s="171"/>
      <c r="O28" s="171"/>
      <c r="P28" s="171"/>
      <c r="Q28" s="171"/>
      <c r="R28" s="171"/>
      <c r="S28" s="171"/>
      <c r="T28" s="176"/>
    </row>
    <row r="29" spans="1:26" s="15" customFormat="1" x14ac:dyDescent="0.2">
      <c r="A29" s="174"/>
      <c r="B29" s="195" t="str">
        <f>IF(AND(SojaNécessaireBQ=0,SojaNécessaireMoQ=0,SojaNécessaireMaQ=0),"","soja (t)")</f>
        <v/>
      </c>
      <c r="C29" s="256">
        <f>(VLOOKUP("Soja",AlimentsBovins,2,FALSE)+VLOOKUP("Soja",AlimentsPorcins,2,FALSE)+VLOOKUP("Soja",AlimentsCaprins,2,FALSE)+VLOOKUP("Soja",AlimentsOvins,2,FALSE)+VLOOKUP("Soja",AlimentsLapins,2,FALSE)+VLOOKUP("Soja",AlimentsVolailles,2,FALSE)+VLOOKUP("Soja",AlimentsPintades,2,FALSE)+VLOOKUP("Soja",AlimentsOies,2,FALSE)+VLOOKUP("Soja",AlimentsCanards,2,FALSE)+VLOOKUP("Soja",AlimentsGavageOiesEtCanards,2,FALSE)+VLOOKUP("Soja",AlimentsBisons,2,FALSE)+VLOOKUP("Soja",AlimentsDaims,2,FALSE)+VLOOKUP("Soja",AlimentsChevauxSelle,2,FALSE)+VLOOKUP("Soja",AlimentsChevauxTrait,2,FALSE)+VLOOKUP("Soja",AlimentsPoneys,2,FALSE))/1000</f>
        <v>0</v>
      </c>
      <c r="D29" s="262">
        <f>(VLOOKUP("Soja",AlimentsBovins,3,FALSE)+VLOOKUP("Soja",AlimentsPorcins,3,FALSE)+VLOOKUP("Soja",AlimentsCaprins,3,FALSE)+VLOOKUP("Soja",AlimentsOvins,3,FALSE)+VLOOKUP("Soja",AlimentsLapins,3,FALSE)+VLOOKUP("Soja",AlimentsVolailles,3,FALSE)+VLOOKUP("Soja",AlimentsPintades,3,FALSE)+VLOOKUP("Soja",AlimentsOies,3,FALSE)+VLOOKUP("Soja",AlimentsCanards,3,FALSE)+VLOOKUP("Soja",AlimentsGavageOiesEtCanards,3,FALSE)+VLOOKUP("Soja",AlimentsBisons,3,FALSE)+VLOOKUP("Soja",AlimentsDaims,3,FALSE)+VLOOKUP("Soja",AlimentsChevauxSelle,3,FALSE)+VLOOKUP("Soja",AlimentsChevauxTrait,3,FALSE)+VLOOKUP("Soja",AlimentsPoneys,3,FALSE))/1000</f>
        <v>0</v>
      </c>
      <c r="E29" s="263">
        <f>(VLOOKUP("Soja",AlimentsBovins,4,FALSE)+VLOOKUP("Soja",AlimentsPorcins,4,FALSE)+VLOOKUP("Soja",AlimentsCaprins,4,FALSE)+VLOOKUP("Soja",AlimentsOvins,4,FALSE)+VLOOKUP("Soja",AlimentsLapins,4,FALSE)+VLOOKUP("Soja",AlimentsVolailles,4,FALSE)+VLOOKUP("Soja",AlimentsPintades,4,FALSE)+VLOOKUP("Soja",AlimentsOies,4,FALSE)+VLOOKUP("Soja",AlimentsCanards,4,FALSE)+VLOOKUP("Soja",AlimentsGavageOiesEtCanards,4,FALSE)+VLOOKUP("Soja",AlimentsBisons,4,FALSE)+VLOOKUP("Soja",AlimentsDaims,4,FALSE)+VLOOKUP("Soja",AlimentsChevauxSelle,4,FALSE)+VLOOKUP("Soja",AlimentsChevauxTrait,4,FALSE)+VLOOKUP("Soja",AlimentsPoneys,4,FALSE))/1000</f>
        <v>0</v>
      </c>
      <c r="F29" s="246">
        <f>IF(SojaNécessaireBQ=0,,IF(SojaNécessaireBQ-VLOOKUP(Soja,StockDansSilos,3,FALSE)&lt;=0,0,ROUNDUP(SojaNécessaireBQ-VLOOKUP(Soja,StockDansSilos,3,FALSE),0)))</f>
        <v>0</v>
      </c>
      <c r="G29" s="239">
        <f>IF(SojaNécessaireMoQ=0,,IF(SojaNécessaireMoQ-VLOOKUP(Soja,StockDansSilos,3,FALSE)&lt;=0,0,ROUNDUP(SojaNécessaireMoQ-VLOOKUP(Soja,StockDansSilos,3,FALSE),0)))</f>
        <v>0</v>
      </c>
      <c r="H29" s="247">
        <f>IF(SojaNécessaireMaQ=0,,IF(SojaNécessaireMaQ-VLOOKUP(Soja,StockDansSilos,3,FALSE)&lt;=0,0,ROUNDUP(SojaNécessaireMaQ-VLOOKUP(Soja,StockDansSilos,3,FALSE),0)))</f>
        <v>0</v>
      </c>
      <c r="I29" s="181"/>
      <c r="J29" s="188"/>
      <c r="K29" s="189" t="str">
        <f>IF(AND(CommandeSojaBQ=0,CommandeSojaMoQ=0,CommandeSojaMaQ=0),"",((PrixSoja*CommandeSojaBQ)+(PrixSoja*CommandeSojaMoQ*0.9)+(PrixSoja*CommandeSojaMaQ*0.8)))</f>
        <v/>
      </c>
      <c r="L29" s="181"/>
      <c r="M29" s="181"/>
      <c r="N29" s="181"/>
      <c r="O29" s="171"/>
      <c r="P29" s="171"/>
      <c r="Q29" s="171"/>
      <c r="R29" s="171"/>
      <c r="S29" s="171"/>
      <c r="T29" s="176"/>
    </row>
    <row r="30" spans="1:26" s="15" customFormat="1" x14ac:dyDescent="0.2">
      <c r="A30" s="174"/>
      <c r="B30" s="162" t="str">
        <f>IF(AND(SorghoEnsiléNécessaireBQ=0,SorghoEnsiléNécessaireMoQ=0,SorghoEnsiléNécessaireMaQ=0),"","sorgho ensilé (t)")</f>
        <v/>
      </c>
      <c r="C30" s="257">
        <f>(VLOOKUP("Sorgho ensilé",AlimentsBovins,2,FALSE)+VLOOKUP("Sorgho ensilé",AlimentsPorcins,2,FALSE)+VLOOKUP("Sorgho ensilé",AlimentsCaprins,2,FALSE)+VLOOKUP("Sorgho ensilé",AlimentsOvins,2,FALSE)+VLOOKUP("Sorgho ensilé",AlimentsLapins,2,FALSE)+VLOOKUP("Sorgho ensilé",AlimentsVolailles,2,FALSE)+VLOOKUP("Sorgho ensilé",AlimentsPintades,2,FALSE)+VLOOKUP("Sorgho ensilé",AlimentsOies,2,FALSE)+VLOOKUP("Sorgho ensilé",AlimentsCanards,2,FALSE)+VLOOKUP("Sorgho ensilé",AlimentsGavageOiesEtCanards,2,FALSE)+VLOOKUP("Sorgho ensilé",AlimentsBisons,2,FALSE)+VLOOKUP("Sorgho ensilé",AlimentsDaims,2,FALSE)+VLOOKUP("Sorgho ensilé",AlimentsChevauxSelle,2,FALSE)+VLOOKUP("Sorgho ensilé",AlimentsChevauxTrait,2,FALSE)+VLOOKUP("Sorgho ensilé",AlimentsPoneys,2,FALSE))/1000</f>
        <v>0</v>
      </c>
      <c r="D30" s="264">
        <f>(VLOOKUP("Sorgho ensilé",AlimentsBovins,3,FALSE)+VLOOKUP("Sorgho ensilé",AlimentsPorcins,3,FALSE)+VLOOKUP("Sorgho ensilé",AlimentsCaprins,3,FALSE)+VLOOKUP("Sorgho ensilé",AlimentsOvins,3,FALSE)+VLOOKUP("Sorgho ensilé",AlimentsLapins,3,FALSE)+VLOOKUP("Sorgho ensilé",AlimentsVolailles,3,FALSE)+VLOOKUP("Sorgho ensilé",AlimentsPintades,3,FALSE)+VLOOKUP("Sorgho ensilé",AlimentsOies,3,FALSE)+VLOOKUP("Sorgho ensilé",AlimentsCanards,3,FALSE)+VLOOKUP("Sorgho ensilé",AlimentsGavageOiesEtCanards,3,FALSE)+VLOOKUP("Sorgho ensilé",AlimentsBisons,3,FALSE)+VLOOKUP("Sorgho ensilé",AlimentsDaims,3,FALSE)+VLOOKUP("Sorgho ensilé",AlimentsChevauxSelle,3,FALSE)+VLOOKUP("Sorgho ensilé",AlimentsChevauxTrait,3,FALSE)+VLOOKUP("Sorgho ensilé",AlimentsPoneys,3,FALSE))/1000</f>
        <v>0</v>
      </c>
      <c r="E30" s="265">
        <f>(VLOOKUP("Sorgho ensilé",AlimentsBovins,4,FALSE)+VLOOKUP("Sorgho ensilé",AlimentsPorcins,4,FALSE)+VLOOKUP("Sorgho ensilé",AlimentsCaprins,4,FALSE)+VLOOKUP("Sorgho ensilé",AlimentsOvins,4,FALSE)+VLOOKUP("Sorgho ensilé",AlimentsLapins,4,FALSE)+VLOOKUP("Sorgho ensilé",AlimentsVolailles,4,FALSE)+VLOOKUP("Sorgho ensilé",AlimentsPintades,4,FALSE)+VLOOKUP("Sorgho ensilé",AlimentsOies,4,FALSE)+VLOOKUP("Sorgho ensilé",AlimentsCanards,4,FALSE)+VLOOKUP("Sorgho ensilé",AlimentsGavageOiesEtCanards,4,FALSE)+VLOOKUP("Sorgho ensilé",AlimentsBisons,4,FALSE)+VLOOKUP("Sorgho ensilé",AlimentsDaims,4,FALSE)+VLOOKUP("Sorgho ensilé",AlimentsChevauxSelle,4,FALSE)+VLOOKUP("Sorgho ensilé",AlimentsChevauxTrait,4,FALSE)+VLOOKUP("Sorgho ensilé",AlimentsPoneys,4,FALSE))/1000</f>
        <v>0</v>
      </c>
      <c r="F30" s="244">
        <f>IF(SorghoEnsiléNécessaireBQ=0,,IF(SorghoEnsiléNécessaireBQ-VLOOKUP(SorghoEnsilé,StockDansSilos,3,FALSE)&lt;=0,0,ROUNDUP(SorghoEnsiléNécessaireBQ-VLOOKUP(SorghoEnsilé,StockDansSilos,3,FALSE),0)))</f>
        <v>0</v>
      </c>
      <c r="G30" s="240">
        <f>IF(SorghoEnsiléNécessaireMoQ=0,,IF(SorghoEnsiléNécessaireMoQ-VLOOKUP(SorghoEnsilé,StockDansSilos,3,FALSE)&lt;=0,0,ROUNDUP(SorghoEnsiléNécessaireMoQ-VLOOKUP(SorghoEnsilé,StockDansSilos,3,FALSE),0)))</f>
        <v>0</v>
      </c>
      <c r="H30" s="245">
        <f>IF(SorghoEnsiléNécessaireMaQ=0,,IF(SorghoEnsiléNécessaireMaQ-VLOOKUP(SorghoEnsilé,StockDansSilos,3,FALSE)&lt;=0,0,ROUNDUP(SorghoEnsiléNécessaireMaQ-VLOOKUP(SorghoEnsilé,StockDansSilos,3,FALSE),0)))</f>
        <v>0</v>
      </c>
      <c r="I30" s="181"/>
      <c r="J30" s="186"/>
      <c r="K30" s="165" t="str">
        <f>IF(AND(CommandeSorghoEnsiléBQ=0,CommandeSorghoEnsiléMoQ=0,CommandeSorghoEnsiléMaQ=0),"",((PrixSorghoEnsilé*CommandeSorghoEnsiléBQ)+(PrixSorghoEnsilé*CommandeSorghoEnsiléMoQ*0.9)+(PrixSorghoEnsilé*CommandeSorghoEnsiléMaQ*0.8)))</f>
        <v/>
      </c>
      <c r="L30" s="181"/>
      <c r="M30" s="171"/>
      <c r="N30" s="178"/>
      <c r="O30" s="171"/>
      <c r="P30" s="171"/>
      <c r="Q30" s="171"/>
      <c r="R30" s="171"/>
      <c r="S30" s="171"/>
      <c r="T30" s="176"/>
    </row>
    <row r="31" spans="1:26" s="15" customFormat="1" x14ac:dyDescent="0.2">
      <c r="A31" s="174"/>
      <c r="B31" s="192" t="str">
        <f>IF(AND(TournesolNécessaireBQ=0,TournesolNécessaireMoQ=0,TournesolNécessaireMaQ=0),"","tournesol (t)")</f>
        <v/>
      </c>
      <c r="C31" s="258">
        <f>(VLOOKUP("Tournesol",AlimentsBovins,2,FALSE)+VLOOKUP("Tournesol",AlimentsPorcins,2,FALSE)+VLOOKUP("Tournesol",AlimentsCaprins,2,FALSE)+VLOOKUP("Tournesol",AlimentsOvins,2,FALSE)+VLOOKUP("Tournesol",AlimentsLapins,2,FALSE)+VLOOKUP("Tournesol",AlimentsVolailles,2,FALSE)+VLOOKUP("Tournesol",AlimentsPintades,2,FALSE)+VLOOKUP("Tournesol",AlimentsOies,2,FALSE)+VLOOKUP("Tournesol",AlimentsCanards,2,FALSE)+VLOOKUP("Tournesol",AlimentsGavageOiesEtCanards,2,FALSE)+VLOOKUP("Tournesol",AlimentsBisons,2,FALSE)+VLOOKUP("Tournesol",AlimentsDaims,2,FALSE)+VLOOKUP("Tournesol",AlimentsChevauxSelle,2,FALSE)+VLOOKUP("Tournesol",AlimentsChevauxTrait,2,FALSE)+VLOOKUP("Tournesol",AlimentsPoneys,2,FALSE))/1000</f>
        <v>0</v>
      </c>
      <c r="D31" s="266">
        <f>(VLOOKUP("Tournesol",AlimentsBovins,3,FALSE)+VLOOKUP("Tournesol",AlimentsPorcins,3,FALSE)+VLOOKUP("Tournesol",AlimentsCaprins,3,FALSE)+VLOOKUP("Tournesol",AlimentsOvins,3,FALSE)+VLOOKUP("Tournesol",AlimentsLapins,3,FALSE)+VLOOKUP("Tournesol",AlimentsVolailles,3,FALSE)+VLOOKUP("Tournesol",AlimentsPintades,3,FALSE)+VLOOKUP("Tournesol",AlimentsOies,3,FALSE)+VLOOKUP("Tournesol",AlimentsCanards,3,FALSE)+VLOOKUP("Tournesol",AlimentsGavageOiesEtCanards,3,FALSE)+VLOOKUP("Tournesol",AlimentsBisons,3,FALSE)+VLOOKUP("Tournesol",AlimentsDaims,3,FALSE)+VLOOKUP("Tournesol",AlimentsChevauxSelle,3,FALSE)+VLOOKUP("Tournesol",AlimentsChevauxTrait,3,FALSE)+VLOOKUP("Tournesol",AlimentsPoneys,3,FALSE))/1000</f>
        <v>0</v>
      </c>
      <c r="E31" s="267">
        <f>(VLOOKUP("Tournesol",AlimentsBovins,4,FALSE)+VLOOKUP("Tournesol",AlimentsPorcins,4,FALSE)+VLOOKUP("Tournesol",AlimentsCaprins,4,FALSE)+VLOOKUP("Tournesol",AlimentsOvins,4,FALSE)+VLOOKUP("Tournesol",AlimentsLapins,4,FALSE)+VLOOKUP("Tournesol",AlimentsVolailles,4,FALSE)+VLOOKUP("Tournesol",AlimentsPintades,4,FALSE)+VLOOKUP("Tournesol",AlimentsOies,4,FALSE)+VLOOKUP("Tournesol",AlimentsCanards,4,FALSE)+VLOOKUP("Tournesol",AlimentsGavageOiesEtCanards,4,FALSE)+VLOOKUP("Tournesol",AlimentsBisons,4,FALSE)+VLOOKUP("Tournesol",AlimentsDaims,4,FALSE)+VLOOKUP("Tournesol",AlimentsChevauxSelle,4,FALSE)+VLOOKUP("Tournesol",AlimentsChevauxTrait,4,FALSE)+VLOOKUP("Tournesol",AlimentsPoneys,4,FALSE))/1000</f>
        <v>0</v>
      </c>
      <c r="F31" s="246">
        <f>IF(TournesolNécessaireBQ=0,,IF(TournesolNécessaireBQ-VLOOKUP(Tournesol,StockDansSilos,3,FALSE)&lt;=0,0,ROUNDUP(TournesolNécessaireBQ-VLOOKUP(Tournesol,StockDansSilos,3,FALSE),0)))</f>
        <v>0</v>
      </c>
      <c r="G31" s="239">
        <f>IF(TournesolNécessaireMoQ=0,,IF(TournesolNécessaireMoQ-VLOOKUP(Tournesol,StockDansSilos,3,FALSE)&lt;=0,0,ROUNDUP(TournesolNécessaireMoQ-VLOOKUP(Tournesol,StockDansSilos,3,FALSE),0)))</f>
        <v>0</v>
      </c>
      <c r="H31" s="247">
        <f>IF(TournesolNécessaireMaQ=0,,IF(TournesolNécessaireMaQ-VLOOKUP(Tournesol,StockDansSilos,3,FALSE)&lt;=0,0,ROUNDUP(TournesolNécessaireMaQ-VLOOKUP(Tournesol,StockDansSilos,3,FALSE),0)))</f>
        <v>0</v>
      </c>
      <c r="I31" s="181"/>
      <c r="J31" s="198"/>
      <c r="K31" s="189" t="str">
        <f>IF(AND(CommandeTournesolBQ=0,CommandeTournesolMoQ=0,CommandeTournesolMaQ=0),"",((PrixTournesol*CommandeTournesolBQ)+(PrixTournesol*CommandeTournesolMoQ*0.9)+(PrixTournesol*CommandeTournesolMaQ*0.8)))</f>
        <v/>
      </c>
      <c r="L31" s="181"/>
      <c r="M31" s="171"/>
      <c r="N31" s="178"/>
      <c r="O31" s="171"/>
      <c r="P31" s="171"/>
      <c r="Q31" s="171"/>
      <c r="R31" s="171"/>
      <c r="S31" s="171"/>
      <c r="T31" s="176"/>
    </row>
    <row r="32" spans="1:26" s="15" customFormat="1" x14ac:dyDescent="0.2">
      <c r="A32" s="174"/>
      <c r="B32" s="162" t="str">
        <f>IF(AND(TourteauColzaNécessaireBQ=0,TourteauColzaNécessaireMoQ=0,TourteauColzaNécessaireMaQ=0),"","tourteau de colza (t)")</f>
        <v/>
      </c>
      <c r="C32" s="255">
        <f>(VLOOKUP("Tourteau de colza",AlimentsBovins,2,FALSE)+VLOOKUP("Tourteau de colza",AlimentsPorcins,2,FALSE)+VLOOKUP("Tourteau de colza",AlimentsCaprins,2,FALSE)+VLOOKUP("Tourteau de colza",AlimentsOvins,2,FALSE)+VLOOKUP("Tourteau de colza",AlimentsLapins,2,FALSE)+VLOOKUP("Tourteau de colza",AlimentsVolailles,2,FALSE)+VLOOKUP("Tourteau de colza",AlimentsPintades,2,FALSE)+VLOOKUP("Tourteau de colza",AlimentsOies,2,FALSE)+VLOOKUP("Tourteau de colza",AlimentsCanards,2,FALSE)+VLOOKUP("Tourteau de colza",AlimentsGavageOiesEtCanards,2,FALSE)+VLOOKUP("Tourteau de colza",AlimentsBisons,2,FALSE)+VLOOKUP("Tourteau de colza",AlimentsDaims,2,FALSE)+VLOOKUP("Tourteau de colza",AlimentsChevauxSelle,2,FALSE)+VLOOKUP("Tourteau de colza",AlimentsChevauxTrait,2,FALSE)+VLOOKUP("Tourteau de colza",AlimentsPoneys,2,FALSE))/1000</f>
        <v>0</v>
      </c>
      <c r="D32" s="260">
        <f>(VLOOKUP("Tourteau de colza",AlimentsBovins,3,FALSE)+VLOOKUP("Tourteau de colza",AlimentsPorcins,3,FALSE)+VLOOKUP("Tourteau de colza",AlimentsCaprins,3,FALSE)+VLOOKUP("Tourteau de colza",AlimentsOvins,3,FALSE)+VLOOKUP("Tourteau de colza",AlimentsLapins,3,FALSE)+VLOOKUP("Tourteau de colza",AlimentsVolailles,3,FALSE)+VLOOKUP("Tourteau de colza",AlimentsPintades,3,FALSE)+VLOOKUP("Tourteau de colza",AlimentsOies,3,FALSE)+VLOOKUP("Tourteau de colza",AlimentsCanards,3,FALSE)+VLOOKUP("Tourteau de colza",AlimentsGavageOiesEtCanards,3,FALSE)+VLOOKUP("Tourteau de colza",AlimentsBisons,3,FALSE)+VLOOKUP("Tourteau de colza",AlimentsDaims,3,FALSE)+VLOOKUP("Tourteau de colza",AlimentsChevauxSelle,3,FALSE)+VLOOKUP("Tourteau de colza",AlimentsChevauxTrait,3,FALSE)+VLOOKUP("Tourteau de colza",AlimentsPoneys,3,FALSE))/1000</f>
        <v>0</v>
      </c>
      <c r="E32" s="261">
        <f>(VLOOKUP("Tourteau de colza",AlimentsBovins,4,FALSE)+VLOOKUP("Tourteau de colza",AlimentsPorcins,4,FALSE)+VLOOKUP("Tourteau de colza",AlimentsCaprins,4,FALSE)+VLOOKUP("Tourteau de colza",AlimentsOvins,4,FALSE)+VLOOKUP("Tourteau de colza",AlimentsLapins,4,FALSE)+VLOOKUP("Tourteau de colza",AlimentsVolailles,4,FALSE)+VLOOKUP("Tourteau de colza",AlimentsPintades,4,FALSE)+VLOOKUP("Tourteau de colza",AlimentsOies,4,FALSE)+VLOOKUP("Tourteau de colza",AlimentsCanards,4,FALSE)+VLOOKUP("Tourteau de colza",AlimentsGavageOiesEtCanards,4,FALSE)+VLOOKUP("Tourteau de colza",AlimentsBisons,4,FALSE)+VLOOKUP("Tourteau de colza",AlimentsDaims,4,FALSE)+VLOOKUP("Tourteau de colza",AlimentsChevauxSelle,4,FALSE)+VLOOKUP("Tourteau de colza",AlimentsChevauxTrait,4,FALSE)+VLOOKUP("Tourteau de colza",AlimentsPoneys,4,FALSE))/1000</f>
        <v>0</v>
      </c>
      <c r="F32" s="244">
        <f>IF(TourteauColzaNécessaireBQ=0,,IF(TourteauColzaNécessaireBQ-VLOOKUP(TourteauColza,StockDansSilos,3,FALSE)&lt;=0,0,ROUNDUP(TourteauColzaNécessaireBQ-VLOOKUP(TourteauColza,StockDansSilos,3,FALSE),0)))</f>
        <v>0</v>
      </c>
      <c r="G32" s="240">
        <f>IF(TourteauColzaNécessaireMoQ=0,,IF(TourteauColzaNécessaireMoQ-VLOOKUP(TourteauColza,StockDansSilos,3,FALSE)&lt;=0,0,ROUNDUP(TourteauColzaNécessaireMoQ-VLOOKUP(TourteauColza,StockDansSilos,3,FALSE),0)))</f>
        <v>0</v>
      </c>
      <c r="H32" s="245">
        <f>IF(TourteauColzaNécessaireMaQ=0,,IF(TourteauColzaNécessaireMaQ-VLOOKUP(TourteauColza,StockDansSilos,3,FALSE)&lt;=0,0,ROUNDUP(TourteauColzaNécessaireMaQ-VLOOKUP(TourteauColza,StockDansSilos,3,FALSE),0)))</f>
        <v>0</v>
      </c>
      <c r="I32" s="181"/>
      <c r="J32" s="199"/>
      <c r="K32" s="165" t="str">
        <f>IF(AND(CommandeTourteauColzaBQ=0,CommandeTourteauColzaMoQ=0,CommandeTourteauColzaMaQ=0),"",((PrixTourteauColza*CommandeTourteauColzaBQ)+(PrixTourteauColza*CommandeTourteauColzaMoQ*0.9)+(PrixTourteauColza*CommandeTourteauColzaMaQ*0.8)))</f>
        <v/>
      </c>
      <c r="L32" s="181"/>
      <c r="M32" s="171"/>
      <c r="N32" s="178"/>
      <c r="O32" s="171"/>
      <c r="P32" s="171"/>
      <c r="Q32" s="171"/>
      <c r="R32" s="171"/>
      <c r="S32" s="171"/>
      <c r="T32" s="176"/>
    </row>
    <row r="33" spans="1:20" s="15" customFormat="1" x14ac:dyDescent="0.2">
      <c r="A33" s="174"/>
      <c r="B33" s="192" t="str">
        <f>IF(AND(TourteauTournesolNécessaireBQ=0,TourteauTournesolNécessaireMoQ=0,TourteauTournesolNécessaireMaQ=0),"","tourteau de tournesol (t)")</f>
        <v/>
      </c>
      <c r="C33" s="256">
        <f>(VLOOKUP("Tourteau de Tournesol",AlimentsBovins,2,FALSE)+VLOOKUP("Tourteau de Tournesol",AlimentsPorcins,2,FALSE)+VLOOKUP("Tourteau de Tournesol",AlimentsCaprins,2,FALSE)+VLOOKUP("Tourteau de Tournesol",AlimentsOvins,2,FALSE)+VLOOKUP("Tourteau de Tournesol",AlimentsLapins,2,FALSE)+VLOOKUP("Tourteau de Tournesol",AlimentsVolailles,2,FALSE)+VLOOKUP("Tourteau de Tournesol",AlimentsPintades,2,FALSE)+VLOOKUP("Tourteau de Tournesol",AlimentsOies,2,FALSE)+VLOOKUP("Tourteau de Tournesol",AlimentsCanards,2,FALSE)+VLOOKUP("Tourteau de Tournesol",AlimentsGavageOiesEtCanards,2,FALSE)+VLOOKUP("Tourteau de Tournesol",AlimentsBisons,2,FALSE)+VLOOKUP("Tourteau de Tournesol",AlimentsDaims,2,FALSE)+VLOOKUP("Tourteau de Tournesol",AlimentsChevauxSelle,2,FALSE)+VLOOKUP("Tourteau de Tournesol",AlimentsChevauxTrait,2,FALSE)+VLOOKUP("Tourteau de Tournesol",AlimentsPoneys,2,FALSE))/1000</f>
        <v>0</v>
      </c>
      <c r="D33" s="262">
        <f>(VLOOKUP("Tourteau de Tournesol",AlimentsBovins,3,FALSE)+VLOOKUP("Tourteau de Tournesol",AlimentsPorcins,3,FALSE)+VLOOKUP("Tourteau de Tournesol",AlimentsCaprins,3,FALSE)+VLOOKUP("Tourteau de Tournesol",AlimentsOvins,3,FALSE)+VLOOKUP("Tourteau de Tournesol",AlimentsLapins,3,FALSE)+VLOOKUP("Tourteau de Tournesol",AlimentsVolailles,3,FALSE)+VLOOKUP("Tourteau de Tournesol",AlimentsPintades,3,FALSE)+VLOOKUP("Tourteau de Tournesol",AlimentsOies,3,FALSE)+VLOOKUP("Tourteau de Tournesol",AlimentsCanards,3,FALSE)+VLOOKUP("Tourteau de Tournesol",AlimentsGavageOiesEtCanards,3,FALSE)+VLOOKUP("Tourteau de Tournesol",AlimentsBisons,3,FALSE)+VLOOKUP("Tourteau de Tournesol",AlimentsDaims,3,FALSE)+VLOOKUP("Tourteau de Tournesol",AlimentsChevauxSelle,3,FALSE)+VLOOKUP("Tourteau de Tournesol",AlimentsChevauxTrait,3,FALSE)+VLOOKUP("Tourteau de Tournesol",AlimentsPoneys,3,FALSE))/1000</f>
        <v>0</v>
      </c>
      <c r="E33" s="263">
        <f>(VLOOKUP("Tourteau de Tournesol",AlimentsBovins,4,FALSE)+VLOOKUP("Tourteau de Tournesol",AlimentsPorcins,4,FALSE)+VLOOKUP("Tourteau de Tournesol",AlimentsCaprins,4,FALSE)+VLOOKUP("Tourteau de Tournesol",AlimentsOvins,4,FALSE)+VLOOKUP("Tourteau de Tournesol",AlimentsLapins,4,FALSE)+VLOOKUP("Tourteau de Tournesol",AlimentsVolailles,4,FALSE)+VLOOKUP("Tourteau de Tournesol",AlimentsPintades,4,FALSE)+VLOOKUP("Tourteau de Tournesol",AlimentsOies,4,FALSE)+VLOOKUP("Tourteau de Tournesol",AlimentsCanards,4,FALSE)+VLOOKUP("Tourteau de Tournesol",AlimentsGavageOiesEtCanards,4,FALSE)+VLOOKUP("Tourteau de Tournesol",AlimentsBisons,4,FALSE)+VLOOKUP("Tourteau de Tournesol",AlimentsDaims,4,FALSE)+VLOOKUP("Tourteau de Tournesol",AlimentsChevauxSelle,4,FALSE)+VLOOKUP("Tourteau de Tournesol",AlimentsChevauxTrait,4,FALSE)+VLOOKUP("Tourteau de Tournesol",AlimentsPoneys,4,FALSE))/1000</f>
        <v>0</v>
      </c>
      <c r="F33" s="246">
        <f>IF(TourteauTournesolNécessaireBQ=0,,IF(TourteauTournesolNécessaireBQ-VLOOKUP(TourteauTournesol,StockDansSilos,3,FALSE)&lt;=0,0,ROUNDUP(TourteauTournesolNécessaireBQ-VLOOKUP(TourteauTournesol,StockDansSilos,3,FALSE),0)))</f>
        <v>0</v>
      </c>
      <c r="G33" s="239">
        <f>IF(TourteauTournesolNécessaireMoQ=0,,IF(TourteauTournesolNécessaireMoQ-VLOOKUP(TourteauTournesol,StockDansSilos,3,FALSE)&lt;=0,0,ROUNDUP(TourteauTournesolNécessaireMoQ-VLOOKUP(TourteauTournesol,StockDansSilos,3,FALSE),0)))</f>
        <v>0</v>
      </c>
      <c r="H33" s="247">
        <f>IF(TourteauTournesolNécessaireMaQ=0,,IF(TourteauTournesolNécessaireMaQ-VLOOKUP(TourteauTournesol,StockDansSilos,3,FALSE)&lt;=0,0,ROUNDUP(TourteauTournesolNécessaireMaQ-VLOOKUP(TourteauTournesol,StockDansSilos,3,FALSE),0)))</f>
        <v>0</v>
      </c>
      <c r="I33" s="181"/>
      <c r="J33" s="198"/>
      <c r="K33" s="189" t="str">
        <f>IF(AND(CommandeTourteauTournesolBQ=0,CommandeTourteauTournesolMoQ=0,CommandeTourteauTournesolMaQ=0),"",((PrixTourteauTournesol*CommandeTourteauTournesolBQ)+(PrixTourteauTournesol*CommandeTourteauTournesolMoQ*0.9)+(PrixTourteauTournesol*CommandeTourteauTournesolMaQ*0.8)))</f>
        <v/>
      </c>
      <c r="L33" s="181"/>
      <c r="M33" s="171"/>
      <c r="N33" s="178"/>
      <c r="O33" s="171"/>
      <c r="P33" s="171"/>
      <c r="Q33" s="171"/>
      <c r="R33" s="171"/>
      <c r="S33" s="171"/>
      <c r="T33" s="176"/>
    </row>
    <row r="34" spans="1:20" s="15" customFormat="1" x14ac:dyDescent="0.2">
      <c r="A34" s="174"/>
      <c r="B34" s="162" t="str">
        <f>IF(AND(TriticaleNécessaireBQ=0,TriticaleNécessaireMoQ=0,TriticaleNécessaireMaQ=0),"","triticale (t)")</f>
        <v>triticale (t)</v>
      </c>
      <c r="C34" s="255">
        <f>(VLOOKUP("Triticale",AlimentsBovins,2,FALSE)+VLOOKUP("Triticale",AlimentsPorcins,2,FALSE)+VLOOKUP("Triticale",AlimentsCaprins,2,FALSE)+VLOOKUP("Triticale",AlimentsOvins,2,FALSE)+VLOOKUP("Triticale",AlimentsLapins,2,FALSE)+VLOOKUP("Triticale",AlimentsVolailles,2,FALSE)+VLOOKUP("Triticale",AlimentsPintades,2,FALSE)+VLOOKUP("Triticale",AlimentsOies,2,FALSE)+VLOOKUP("Triticale",AlimentsCanards,2,FALSE)+VLOOKUP("Triticale",AlimentsGavageOiesEtCanards,2,FALSE)+VLOOKUP("Triticale",AlimentsBisons,2,FALSE)+VLOOKUP("Triticale",AlimentsDaims,2,FALSE)+VLOOKUP("Triticale",AlimentsChevauxSelle,2,FALSE)+VLOOKUP("Triticale",AlimentsChevauxTrait,2,FALSE)+VLOOKUP("Triticale",AlimentsPoneys,2,FALSE))/1000</f>
        <v>0.39879999999999999</v>
      </c>
      <c r="D34" s="260">
        <f>(VLOOKUP("Triticale",AlimentsBovins,3,FALSE)+VLOOKUP("Triticale",AlimentsPorcins,3,FALSE)+VLOOKUP("Triticale",AlimentsCaprins,3,FALSE)+VLOOKUP("Triticale",AlimentsOvins,3,FALSE)+VLOOKUP("Triticale",AlimentsLapins,3,FALSE)+VLOOKUP("Triticale",AlimentsVolailles,3,FALSE)+VLOOKUP("Triticale",AlimentsPintades,3,FALSE)+VLOOKUP("Triticale",AlimentsOies,3,FALSE)+VLOOKUP("Triticale",AlimentsCanards,3,FALSE)+VLOOKUP("Triticale",AlimentsGavageOiesEtCanards,3,FALSE)+VLOOKUP("Triticale",AlimentsBisons,3,FALSE)+VLOOKUP("Triticale",AlimentsDaims,3,FALSE)+VLOOKUP("Triticale",AlimentsChevauxSelle,3,FALSE)+VLOOKUP("Triticale",AlimentsChevauxTrait,3,FALSE)+VLOOKUP("Triticale",AlimentsPoneys,3,FALSE))/1000</f>
        <v>0.41120000000000007</v>
      </c>
      <c r="E34" s="261">
        <f>(VLOOKUP("Triticale",AlimentsBovins,4,FALSE)+VLOOKUP("Triticale",AlimentsPorcins,4,FALSE)+VLOOKUP("Triticale",AlimentsCaprins,4,FALSE)+VLOOKUP("Triticale",AlimentsOvins,4,FALSE)+VLOOKUP("Triticale",AlimentsLapins,4,FALSE)+VLOOKUP("Triticale",AlimentsVolailles,4,FALSE)+VLOOKUP("Triticale",AlimentsPintades,4,FALSE)+VLOOKUP("Triticale",AlimentsOies,4,FALSE)+VLOOKUP("Triticale",AlimentsCanards,4,FALSE)+VLOOKUP("Triticale",AlimentsGavageOiesEtCanards,4,FALSE)+VLOOKUP("Triticale",AlimentsBisons,4,FALSE)+VLOOKUP("Triticale",AlimentsDaims,4,FALSE)+VLOOKUP("Triticale",AlimentsChevauxSelle,4,FALSE)+VLOOKUP("Triticale",AlimentsChevauxTrait,4,FALSE)+VLOOKUP("Triticale",AlimentsPoneys,4,FALSE))/1000</f>
        <v>2.0799999999999999E-2</v>
      </c>
      <c r="F34" s="244" t="e">
        <f>IF(TriticaleNécessaireBQ=0,,IF(TriticaleNécessaireBQ-VLOOKUP(Triticale,StockDansSilos,3,FALSE)&lt;=0,0,ROUNDUP(TriticaleNécessaireBQ-VLOOKUP(Triticale,StockDansSilos,3,FALSE),0)))</f>
        <v>#REF!</v>
      </c>
      <c r="G34" s="240" t="e">
        <f>IF(TriticaleNécessaireMoQ=0,,IF(TriticaleNécessaireMoQ-VLOOKUP(Triticale,StockDansSilos,3,FALSE)&lt;=0,0,ROUNDUP(TriticaleNécessaireMoQ-VLOOKUP(Triticale,StockDansSilos,3,FALSE),0)))</f>
        <v>#REF!</v>
      </c>
      <c r="H34" s="245" t="e">
        <f>IF(TriticaleNécessaireMaQ=0,,IF(TriticaleNécessaireMaQ-VLOOKUP(Triticale,StockDansSilos,3,FALSE)&lt;=0,0,ROUNDUP(TriticaleNécessaireMaQ-VLOOKUP(Triticale,StockDansSilos,3,FALSE),0)))</f>
        <v>#REF!</v>
      </c>
      <c r="I34" s="181"/>
      <c r="J34" s="199">
        <v>187.5</v>
      </c>
      <c r="K34" s="165" t="e">
        <f>IF(AND(CommandeTriticaleBQ=0,CommandeTriticaleMoQ=0,CommandeTriticaleMaQ=0),"",((PrixTriticale*CommandeTriticaleBQ)+(PrixTriticale*CommandeTriticaleMoQ*0.9)+(PrixTriticale*CommandeTriticaleMaQ*0.8)))</f>
        <v>#REF!</v>
      </c>
      <c r="L34" s="181"/>
      <c r="M34" s="171"/>
      <c r="N34" s="178"/>
      <c r="O34" s="171"/>
      <c r="P34" s="171"/>
      <c r="Q34" s="171"/>
      <c r="R34" s="171"/>
      <c r="S34" s="171"/>
      <c r="T34" s="176"/>
    </row>
    <row r="35" spans="1:20" s="15" customFormat="1" x14ac:dyDescent="0.2">
      <c r="A35" s="174"/>
      <c r="B35" s="192" t="str">
        <f>IF(AND(RationBovinsNécessaireBQ=0,RationBovinsNécessaireMoQ=0,RationBovinsNécessaireMaQ=0),"","ration complète bovins (t)")</f>
        <v/>
      </c>
      <c r="C35" s="256">
        <f>VLOOKUP("Ration Complète",AlimentsBovins,2,FALSE)</f>
        <v>0</v>
      </c>
      <c r="D35" s="262">
        <f>VLOOKUP("Ration Complète",AlimentsBovins,3,FALSE)</f>
        <v>0</v>
      </c>
      <c r="E35" s="263">
        <f>VLOOKUP("Ration Complète",AlimentsBovins,4,FALSE)</f>
        <v>0</v>
      </c>
      <c r="F35" s="246">
        <f>IF(RationBovinsNécessaireBQ=0,,IF(RationBovinsNécessaireBQ-VLOOKUP(RationBovins,StockDansSilos,3,FALSE)&lt;=0,0,ROUNDUP(RationBovinsNécessaireBQ-VLOOKUP(RationBovins,StockDansSilos,3,FALSE),0)))</f>
        <v>0</v>
      </c>
      <c r="G35" s="239">
        <f>IF(RationBovinsNécessaireMoQ=0,,IF(RationBovinsNécessaireMoQ-VLOOKUP(RationBovins,StockDansSilos,3,FALSE)&lt;=0,0,ROUNDUP(RationBovinsNécessaireMoQ-VLOOKUP(RationBovins,StockDansSilos,3,FALSE),0)))</f>
        <v>0</v>
      </c>
      <c r="H35" s="247">
        <f>IF(RationBovinsNécessaireMaQ=0,,IF(RationBovinsNécessaireMaQ-VLOOKUP(RationBovins,StockDansSilos,3,FALSE)&lt;=0,0,ROUNDUP(RationBovinsNécessaireMaQ-VLOOKUP(RationBovins,StockDansSilos,3,FALSE),0)))</f>
        <v>0</v>
      </c>
      <c r="I35" s="181"/>
      <c r="J35" s="198"/>
      <c r="K35" s="189" t="str">
        <f>IF(AND(CommandeRationBovinBQ=0,CommandeRationBovinMoQ=0,CommandeRationBovinMaQ=0),"",((PrixRationBovins*CommandeRationBovinBQ)+(PrixRationBovins*CommandeRationBovinMoQ*0.9)+(PrixRationBovins*CommandeRationBovinMaQ*0.8)))</f>
        <v/>
      </c>
      <c r="L35" s="181"/>
      <c r="M35" s="171"/>
      <c r="N35" s="178"/>
      <c r="O35" s="171"/>
      <c r="P35" s="171"/>
      <c r="Q35" s="171"/>
      <c r="R35" s="171"/>
      <c r="S35" s="171"/>
      <c r="T35" s="176"/>
    </row>
    <row r="36" spans="1:20" s="15" customFormat="1" x14ac:dyDescent="0.2">
      <c r="A36" s="174"/>
      <c r="B36" s="162" t="str">
        <f>IF(AND(RationHiverBovinsNécessaireBQ=0,RationHiverBovinsNécessaireMoQ=0,RationHiverBovinsNécessaireMaQ=0),"","ration complète hivernale bovins (t)")</f>
        <v/>
      </c>
      <c r="C36" s="255">
        <f>VLOOKUP("Ration complète",Ration_hivernale_complète_bovins[],2,FALSE)</f>
        <v>0</v>
      </c>
      <c r="D36" s="260">
        <f>VLOOKUP("Ration complète",Ration_hivernale_complète_bovins[],3,FALSE)</f>
        <v>0</v>
      </c>
      <c r="E36" s="261">
        <f>VLOOKUP("Ration complète",Ration_hivernale_complète_bovins[],4,FALSE)</f>
        <v>0</v>
      </c>
      <c r="F36" s="244">
        <f>IF(RationHiverBovinsNécessaireBQ=0,,IF(RationHiverBovinsNécessaireBQ-VLOOKUP(RationHiverBovins,StockDansSilos,3,FALSE)&lt;=0,0,ROUNDUP(RationHiverBovinsNécessaireBQ-VLOOKUP(RationHiverBovins,StockDansSilos,3,FALSE),0)))</f>
        <v>0</v>
      </c>
      <c r="G36" s="240">
        <f>IF(RationHiverBovinsNécessaireMoQ=0,,IF(RationHiverBovinsNécessaireMoQ-VLOOKUP(RationHiverBovins,StockDansSilos,3,FALSE)&lt;=0,0,ROUNDUP(RationHiverBovinsNécessaireMoQ-VLOOKUP(RationHiverBovins,StockDansSilos,3,FALSE),0)))</f>
        <v>0</v>
      </c>
      <c r="H36" s="245">
        <f>IF(RationHiverBovinsNécessaireMaQ=0,,IF(RationHiverBovinsNécessaireMaQ-VLOOKUP(RationHiverBovins,StockDansSilos,3,FALSE)&lt;=0,0,ROUNDUP(RationHiverBovinsNécessaireMaQ-VLOOKUP(RationHiverBovins,StockDansSilos,3,FALSE),0)))</f>
        <v>0</v>
      </c>
      <c r="I36" s="181"/>
      <c r="J36" s="199"/>
      <c r="K36" s="165" t="str">
        <f>IF(AND(CommandeRationHiverBovinBQ=0,CommandeRationHiverBovinMoQ=0,CommandeRationHiverBovinMaQ=0),"",((PrixRationHiverBovins*CommandeRationHiverBovinBQ)+(PrixRationHiverBovins*CommandeRationHiverBovinMoQ*0.9)+(PrixRationHiverBovins*CommandeRationHiverBovinMaQ*0.8)))</f>
        <v/>
      </c>
      <c r="L36" s="181"/>
      <c r="M36" s="205" t="s">
        <v>418</v>
      </c>
      <c r="N36" s="171"/>
      <c r="O36" s="171"/>
      <c r="P36" s="171"/>
      <c r="Q36" s="178"/>
      <c r="R36" s="178"/>
      <c r="S36" s="178"/>
      <c r="T36" s="176"/>
    </row>
    <row r="37" spans="1:20" s="15" customFormat="1" x14ac:dyDescent="0.2">
      <c r="A37" s="174"/>
      <c r="B37" s="192" t="str">
        <f>IF(AND(RationBisonNécessaireBQ=0,RationBisonNécessaireMoQ=0,RationBisonNécessaireMaQ=0),"","ration complète hivernale bisons (t)")</f>
        <v/>
      </c>
      <c r="C37" s="256">
        <f t="shared" ref="C37:C50" si="0">VLOOKUP("Avoine",AlimentsBovins,2,FALSE)</f>
        <v>0</v>
      </c>
      <c r="D37" s="262">
        <f t="shared" ref="D37:D50" si="1">VLOOKUP("Avoine",AlimentsBovins,3,FALSE)</f>
        <v>0</v>
      </c>
      <c r="E37" s="263">
        <f t="shared" ref="E37:E50" si="2">VLOOKUP("Avoine",AlimentsBovins,4,FALSE)</f>
        <v>0</v>
      </c>
      <c r="F37" s="246">
        <f>IF(RationBisonNécessaireBQ=0,,IF(RationBisonNécessaireBQ-VLOOKUP(RationBisons,StockDansSilos,3,FALSE)&lt;=0,0,ROUNDUP(RationBisonNécessaireBQ-VLOOKUP(RationBisons,StockDansSilos,3,FALSE),0)))</f>
        <v>0</v>
      </c>
      <c r="G37" s="239">
        <f>IF(RationBisonNécessaireMoQ=0,,IF(RationBisonNécessaireMoQ-VLOOKUP(RationBisons,StockDansSilos,3,FALSE)&lt;=0,0,ROUNDUP(RationBisonNécessaireMoQ-VLOOKUP(RationBisons,StockDansSilos,3,FALSE),0)))</f>
        <v>0</v>
      </c>
      <c r="H37" s="247">
        <f>IF(RationBisonNécessaireMaQ=0,,IF(RationBisonNécessaireMaQ-VLOOKUP(RationBisons,StockDansSilos,3,FALSE)&lt;=0,0,ROUNDUP(RationBisonNécessaireMaQ-VLOOKUP(RationBisons,StockDansSilos,3,FALSE),0)))</f>
        <v>0</v>
      </c>
      <c r="I37" s="181"/>
      <c r="J37" s="198"/>
      <c r="K37" s="189" t="str">
        <f>IF(AND(CommandeRationBisonsBQ=0,CommandeRationBisonsMoQ=0,CommandeRationBisonsMaQ=0),"",((PrixRationBisons*CommandeRationBisonsBQ)+(PrixRationBisons*CommandeRationBisonsMoQ*0.9)+(PrixRationBisons*CommandeRationBisonsMaQ*0.8)))</f>
        <v/>
      </c>
      <c r="L37" s="181"/>
      <c r="M37" s="207" t="s">
        <v>366</v>
      </c>
      <c r="N37" s="96" t="str">
        <f>IF(CoutPaillageAnnuelBovins="","coût : 0€/an",CoutPaillageAnnuelBovins)</f>
        <v>coût : 0€/an</v>
      </c>
      <c r="O37" s="96"/>
      <c r="P37" s="96"/>
      <c r="Q37" s="208"/>
      <c r="R37" s="178"/>
      <c r="S37" s="178"/>
      <c r="T37" s="176"/>
    </row>
    <row r="38" spans="1:20" s="15" customFormat="1" x14ac:dyDescent="0.2">
      <c r="A38" s="174"/>
      <c r="B38" s="162" t="str">
        <f>IF(AND(RationCaprinsNécessaireBQ=0,RationCaprinsNécessaireMoQ=0,RationCaprinsNécessaireMaQ=0),"","ration complète caprins (t)")</f>
        <v/>
      </c>
      <c r="C38" s="255">
        <f t="shared" si="0"/>
        <v>0</v>
      </c>
      <c r="D38" s="260">
        <f t="shared" si="1"/>
        <v>0</v>
      </c>
      <c r="E38" s="261">
        <f t="shared" si="2"/>
        <v>0</v>
      </c>
      <c r="F38" s="244">
        <f>IF(RationCaprinsNécessaireBQ=0,,IF(RationCaprinsNécessaireBQ-VLOOKUP(RationCaprins,StockDansSilos,3,FALSE)&lt;=0,0,ROUNDUP(RationCaprinsNécessaireBQ-VLOOKUP(RationCaprins,StockDansSilos,3,FALSE),0)))</f>
        <v>0</v>
      </c>
      <c r="G38" s="240">
        <f>IF(RationCaprinsNécessaireMoQ=0,,IF(RationCaprinsNécessaireMoQ-VLOOKUP(RationCaprins,StockDansSilos,3,FALSE)&lt;=0,0,ROUNDUP(RationCaprinsNécessaireMoQ-VLOOKUP(RationCaprins,StockDansSilos,3,FALSE),0)))</f>
        <v>0</v>
      </c>
      <c r="H38" s="245">
        <f>IF(RationCaprinsNécessaireMaQ=0,,IF(RationCaprinsNécessaireMaQ-VLOOKUP(RationCaprins,StockDansSilos,3,FALSE)&lt;=0,0,ROUNDUP(RationCaprinsNécessaireMaQ-VLOOKUP(RationCaprins,StockDansSilos,3,FALSE),0)))</f>
        <v>0</v>
      </c>
      <c r="I38" s="181"/>
      <c r="J38" s="199"/>
      <c r="K38" s="165" t="str">
        <f>IF(AND(CommandeRationCaprinsBQ=0,CommandeRationCaprinsMoQ=0,CommandeRationCaprinsMaQ=0),"",((PrixRationCaprins*CommandeRationCaprinsBQ)+(PrixRationCaprins*CommandeRationCaprinsMoQ*0.9)+(PrixRationCaprins*CommandeRationCaprinsMaQ*0.8)))</f>
        <v/>
      </c>
      <c r="L38" s="181"/>
      <c r="M38" s="207" t="s">
        <v>367</v>
      </c>
      <c r="N38" s="209" t="s">
        <v>187</v>
      </c>
      <c r="O38" s="210"/>
      <c r="P38" s="210"/>
      <c r="Q38" s="210"/>
      <c r="R38" s="171"/>
      <c r="S38" s="171"/>
      <c r="T38" s="176"/>
    </row>
    <row r="39" spans="1:20" s="15" customFormat="1" x14ac:dyDescent="0.2">
      <c r="A39" s="174"/>
      <c r="B39" s="192" t="str">
        <f>IF(AND(RationPorcinsNécessaireBQ=0,RationPorcinsNécessaireMoQ=0,RationPorcinsNécessaireMaQ=0),"","ration complète porcins (t)")</f>
        <v/>
      </c>
      <c r="C39" s="256">
        <f t="shared" si="0"/>
        <v>0</v>
      </c>
      <c r="D39" s="262">
        <f t="shared" si="1"/>
        <v>0</v>
      </c>
      <c r="E39" s="263">
        <f t="shared" si="2"/>
        <v>0</v>
      </c>
      <c r="F39" s="246">
        <f>IF(RationPorcinsNécessaireBQ=0,,IF(RationPorcinsNécessaireBQ-VLOOKUP(RationPorcins,StockDansSilos,3,FALSE)&lt;=0,0,ROUNDUP(RationPorcinsNécessaireBQ-VLOOKUP(RationPorcins,StockDansSilos,3,FALSE),0)))</f>
        <v>0</v>
      </c>
      <c r="G39" s="239">
        <f>IF(RationPorcinsNécessaireMoQ=0,,IF(RationPorcinsNécessaireMoQ-VLOOKUP(RationPorcins,StockDansSilos,3,FALSE)&lt;=0,0,ROUNDUP(RationPorcinsNécessaireMoQ-VLOOKUP(RationPorcins,StockDansSilos,3,FALSE),0)))</f>
        <v>0</v>
      </c>
      <c r="H39" s="247">
        <f>IF(RationPorcinsNécessaireMaQ=0,,IF(RationPorcinsNécessaireMaQ-VLOOKUP(RationPorcins,StockDansSilos,3,FALSE)&lt;=0,0,ROUNDUP(RationPorcinsNécessaireMaQ-VLOOKUP(RationPorcins,StockDansSilos,3,FALSE),0)))</f>
        <v>0</v>
      </c>
      <c r="I39" s="181"/>
      <c r="J39" s="198"/>
      <c r="K39" s="189" t="str">
        <f>IF(AND(CommandeRationPorcinsBQ=0,CommandeRationPorcinsMoQ=0,CommandeRationPorcinsMaQ=0),"",((PrixRationPorcins*CommandeRationPorcinsBQ)+(PrixRationPorcins*CommandeRationPorcinsMoQ*0.9)+(PrixRationPorcins*CommandeRationPorcinsMaQ*0.8)))</f>
        <v/>
      </c>
      <c r="L39" s="181"/>
      <c r="M39" s="207" t="s">
        <v>368</v>
      </c>
      <c r="N39" s="96" t="str">
        <f>IF(CoutPaillageAnnuelPorcins="","coût : 0€/an",CoutPaillageAnnuelPorcins)</f>
        <v>coût : 0€/an</v>
      </c>
      <c r="O39" s="96"/>
      <c r="P39" s="96"/>
      <c r="Q39" s="208"/>
      <c r="R39" s="178"/>
      <c r="S39" s="178"/>
      <c r="T39" s="176"/>
    </row>
    <row r="40" spans="1:20" s="15" customFormat="1" x14ac:dyDescent="0.2">
      <c r="A40" s="174"/>
      <c r="B40" s="162" t="str">
        <f>IF(AND(RationVolaillesNécessaireBQ=0,RationVolaillesNécessaireMoQ=0,RationVolaillesNécessaireMaQ=0),"","ration complète volailles (t)")</f>
        <v/>
      </c>
      <c r="C40" s="255">
        <f t="shared" si="0"/>
        <v>0</v>
      </c>
      <c r="D40" s="260">
        <f t="shared" si="1"/>
        <v>0</v>
      </c>
      <c r="E40" s="261">
        <f t="shared" si="2"/>
        <v>0</v>
      </c>
      <c r="F40" s="244">
        <f>IF(RationVolaillesNécessaireBQ=0,,IF(RationVolaillesNécessaireBQ-VLOOKUP(RationVolailles,StockDansSilos,3,FALSE)&lt;=0,0,ROUNDUP(RationVolaillesNécessaireBQ-VLOOKUP(RationVolailles,StockDansSilos,3,FALSE),0)))</f>
        <v>0</v>
      </c>
      <c r="G40" s="240">
        <f>IF(RationVolaillesNécessaireMoQ=0,,IF(RationVolaillesNécessaireMoQ-VLOOKUP(RationVolailles,StockDansSilos,3,FALSE)&lt;=0,0,ROUNDUP(RationVolaillesNécessaireMoQ-VLOOKUP(RationVolailles,StockDansSilos,3,FALSE),0)))</f>
        <v>0</v>
      </c>
      <c r="H40" s="245">
        <f>IF(RationVolaillesNécessaireMaQ=0,,IF(RationVolaillesNécessaireMaQ-VLOOKUP(RationVolailles,StockDansSilos,3,FALSE)&lt;=0,0,ROUNDUP(RationVolaillesNécessaireMaQ-VLOOKUP(RationVolailles,StockDansSilos,3,FALSE),0)))</f>
        <v>0</v>
      </c>
      <c r="I40" s="181"/>
      <c r="J40" s="199"/>
      <c r="K40" s="165" t="str">
        <f>IF(AND(CommandeRationVolaillesBQ=0,CommandeRationVolaillesMoQ=0,CommandeRationVolaillesMaQ=0),"",((PrixRationVolailles*CommandeRationVolaillesBQ)+(PrixRationVolailles*CommandeRationVolaillesMoQ*0.9)+(PrixRationVolailles*CommandeRationVolaillesMaQ*0.8)))</f>
        <v/>
      </c>
      <c r="L40" s="181"/>
      <c r="M40" s="207" t="s">
        <v>369</v>
      </c>
      <c r="N40" s="210" t="str">
        <f>IF(CoutPaillageAnnuelCaprins="","coût : 0€/an",CoutPaillageAnnuelCaprins)</f>
        <v>coût : 2938,572€/an (si pas de mise au pré l'été, sinon 1714,167€/an)</v>
      </c>
      <c r="O40" s="210"/>
      <c r="P40" s="210"/>
      <c r="Q40" s="211"/>
      <c r="R40" s="178"/>
      <c r="S40" s="178"/>
      <c r="T40" s="176"/>
    </row>
    <row r="41" spans="1:20" s="15" customFormat="1" x14ac:dyDescent="0.2">
      <c r="A41" s="174"/>
      <c r="B41" s="192" t="str">
        <f>IF(AND(RationPintadesNécessaireBQ=0,RationPintadesNécessaireMoQ=0,RationPintadesNécessaireMaQ=0),"","ration complète pintades (t)")</f>
        <v/>
      </c>
      <c r="C41" s="256">
        <f t="shared" si="0"/>
        <v>0</v>
      </c>
      <c r="D41" s="262">
        <f t="shared" si="1"/>
        <v>0</v>
      </c>
      <c r="E41" s="263">
        <f t="shared" si="2"/>
        <v>0</v>
      </c>
      <c r="F41" s="246">
        <f>IF(RationPintadesNécessaireBQ=0,,IF(RationPintadesNécessaireBQ-VLOOKUP(RationPintades,StockDansSilos,3,FALSE)&lt;=0,0,ROUNDUP(RationPintadesNécessaireBQ-VLOOKUP(RationPintades,StockDansSilos,3,FALSE),0)))</f>
        <v>0</v>
      </c>
      <c r="G41" s="239">
        <f>IF(RationPintadesNécessaireMoQ=0,,IF(RationPintadesNécessaireMoQ-VLOOKUP(RationPintades,StockDansSilos,3,FALSE)&lt;=0,0,ROUNDUP(RationPintadesNécessaireMoQ-VLOOKUP(RationPintades,StockDansSilos,3,FALSE),0)))</f>
        <v>0</v>
      </c>
      <c r="H41" s="247">
        <f>IF(RationPintadesNécessaireMaQ=0,,IF(RationPintadesNécessaireMaQ-VLOOKUP(RationPintades,StockDansSilos,3,FALSE)&lt;=0,0,ROUNDUP(RationPintadesNécessaireMaQ-VLOOKUP(RationPintades,StockDansSilos,3,FALSE),0)))</f>
        <v>0</v>
      </c>
      <c r="I41" s="181"/>
      <c r="J41" s="198"/>
      <c r="K41" s="189" t="str">
        <f>IF(AND(CommandeRationPintadesBQ=0,CommandeRationPintadesMoQ=0,CommandeRationPintadesMaQ=0),"",((PrixRationPintades*CommandeRationPintadesBQ)+(PrixRationPintades*CommandeRationPintadesMoQ*0.9)+(PrixRationPintades*CommandeRationPintadesMaQ*0.8)))</f>
        <v/>
      </c>
      <c r="L41" s="181"/>
      <c r="M41" s="207" t="s">
        <v>370</v>
      </c>
      <c r="N41" s="96" t="str">
        <f>IF(CoutPaillageAnnuelVolailles="","coût : 0€/an",CoutPaillageAnnuelVolailles)</f>
        <v>coût : 0€/an</v>
      </c>
      <c r="O41" s="96"/>
      <c r="P41" s="96"/>
      <c r="Q41" s="208"/>
      <c r="R41" s="178"/>
      <c r="S41" s="178"/>
      <c r="T41" s="176"/>
    </row>
    <row r="42" spans="1:20" s="15" customFormat="1" x14ac:dyDescent="0.2">
      <c r="A42" s="174"/>
      <c r="B42" s="162" t="str">
        <f>IF(AND(RationLapinsNécessaireBQ=0,RationLapinsNécessaireMoQ=0,RationLapinsNécessaireMaQ=0),"","ration complète lapins (t)")</f>
        <v/>
      </c>
      <c r="C42" s="255">
        <f t="shared" si="0"/>
        <v>0</v>
      </c>
      <c r="D42" s="260">
        <f t="shared" si="1"/>
        <v>0</v>
      </c>
      <c r="E42" s="261">
        <f t="shared" si="2"/>
        <v>0</v>
      </c>
      <c r="F42" s="244">
        <f>IF(RationLapinsNécessaireBQ=0,,IF(RationLapinsNécessaireBQ-VLOOKUP(RationLapins,StockDansSilos,3,FALSE)&lt;=0,0,ROUNDUP(RationLapinsNécessaireBQ-VLOOKUP(RationLapins,StockDansSilos,3,FALSE),0)))</f>
        <v>0</v>
      </c>
      <c r="G42" s="240">
        <f>IF(RationLapinsNécessaireMoQ=0,,IF(RationLapinsNécessaireMoQ-VLOOKUP(RationLapins,StockDansSilos,3,FALSE)&lt;=0,0,ROUNDUP(RationLapinsNécessaireMoQ-VLOOKUP(RationLapins,StockDansSilos,3,FALSE),0)))</f>
        <v>0</v>
      </c>
      <c r="H42" s="245">
        <f>IF(RationLapinsNécessaireMaQ=0,,IF(RationLapinsNécessaireMaQ-VLOOKUP(RationLapins,StockDansSilos,3,FALSE)&lt;=0,0,ROUNDUP(RationLapinsNécessaireMaQ-VLOOKUP(RationLapins,StockDansSilos,3,FALSE),0)))</f>
        <v>0</v>
      </c>
      <c r="I42" s="181"/>
      <c r="J42" s="199"/>
      <c r="K42" s="165" t="str">
        <f>IF(AND(CommandeRationLapinBQ=0,CommandeRationLapinMoQ=0,CommandeRationLapinMaQ=0),"",((PrixRationLapins*CommandeRationLapinBQ)+(PrixRationLapins*CommandeRationLapinMoQ*0.9)+(PrixRationLapins*CommandeRationLapinMaQ*0.8)))</f>
        <v/>
      </c>
      <c r="L42" s="181"/>
      <c r="M42" s="207" t="s">
        <v>371</v>
      </c>
      <c r="N42" s="210" t="str">
        <f>IF(CoutPaillageAnnuelPintades="","coût : 0€/an",CoutPaillageAnnuelPintades)</f>
        <v>coût : 0€/an</v>
      </c>
      <c r="O42" s="210"/>
      <c r="P42" s="210"/>
      <c r="Q42" s="210"/>
      <c r="R42" s="171"/>
      <c r="S42" s="171"/>
      <c r="T42" s="176"/>
    </row>
    <row r="43" spans="1:20" s="15" customFormat="1" x14ac:dyDescent="0.2">
      <c r="A43" s="174"/>
      <c r="B43" s="192" t="str">
        <f>IF(AND(RationOiesNécessaireBQ=0,RationOiesNécessaireMoQ=0,RationOiesNécessaireMaQ=0),"","ration complète oies (t)")</f>
        <v/>
      </c>
      <c r="C43" s="256">
        <f t="shared" si="0"/>
        <v>0</v>
      </c>
      <c r="D43" s="262">
        <f t="shared" si="1"/>
        <v>0</v>
      </c>
      <c r="E43" s="263">
        <f t="shared" si="2"/>
        <v>0</v>
      </c>
      <c r="F43" s="246">
        <f>IF(RationOiesNécessaireBQ=0,,IF(RationOiesNécessaireBQ-VLOOKUP(RationOies,StockDansSilos,3,FALSE)&lt;=0,0,ROUNDUP(RationOiesNécessaireBQ-VLOOKUP(RationOies,StockDansSilos,3,FALSE),0)))</f>
        <v>0</v>
      </c>
      <c r="G43" s="239">
        <f>IF(RationOiesNécessaireMoQ=0,,IF(RationOiesNécessaireMoQ-VLOOKUP(RationOies,StockDansSilos,3,FALSE)&lt;=0,0,ROUNDUP(RationOiesNécessaireMoQ-VLOOKUP(RationOies,StockDansSilos,3,FALSE),0)))</f>
        <v>0</v>
      </c>
      <c r="H43" s="247">
        <f>IF(RationOiesNécessaireMaQ=0,,IF(RationOiesNécessaireMaQ-VLOOKUP(RationOies,StockDansSilos,3,FALSE)&lt;=0,0,ROUNDUP(RationOiesNécessaireMaQ-VLOOKUP(RationOies,StockDansSilos,3,FALSE),0)))</f>
        <v>0</v>
      </c>
      <c r="I43" s="181"/>
      <c r="J43" s="198"/>
      <c r="K43" s="189" t="str">
        <f>IF(AND(CommandeRationOieBQ=0,CommandeRationOieMoQ=0,CommandeRationOieMaQ=0),"",((PrixRationOies*CommandeRationOieBQ)+(PrixRationOies*CommandeRationOieMoQ*0.9)+(PrixRationOies*CommandeRationOieMaQ*0.8)))</f>
        <v/>
      </c>
      <c r="L43" s="181"/>
      <c r="M43" s="207" t="s">
        <v>372</v>
      </c>
      <c r="N43" s="96" t="str">
        <f>IF(CoutPaillageAnnuelLapins="","coût : 0€/an",CoutPaillageAnnuelLapins)</f>
        <v>coût : 0€/an</v>
      </c>
      <c r="O43" s="96"/>
      <c r="P43" s="96"/>
      <c r="Q43" s="96"/>
      <c r="R43" s="171"/>
      <c r="S43" s="171"/>
      <c r="T43" s="176"/>
    </row>
    <row r="44" spans="1:20" s="15" customFormat="1" x14ac:dyDescent="0.2">
      <c r="A44" s="174"/>
      <c r="B44" s="162" t="str">
        <f>IF(AND(RationCanardsNécessaireBQ=0,RationCanardsNécessaireMoQ=0,RationCanardsNécessaireMaQ=0),"","ration complète canards (t)")</f>
        <v/>
      </c>
      <c r="C44" s="255">
        <f t="shared" si="0"/>
        <v>0</v>
      </c>
      <c r="D44" s="260">
        <f t="shared" si="1"/>
        <v>0</v>
      </c>
      <c r="E44" s="261">
        <f t="shared" si="2"/>
        <v>0</v>
      </c>
      <c r="F44" s="244">
        <f>IF(RationCanardsNécessaireBQ=0,,IF(RationCanardsNécessaireBQ-VLOOKUP(RationCanards,StockDansSilos,3,FALSE)&lt;=0,0,ROUNDUP(RationCanardsNécessaireBQ-VLOOKUP(RationCanards,StockDansSilos,3,FALSE),0)))</f>
        <v>0</v>
      </c>
      <c r="G44" s="240">
        <f>IF(RationCanardsNécessaireMoQ=0,,IF(RationCanardsNécessaireMoQ-VLOOKUP(RationCanards,StockDansSilos,3,FALSE)&lt;=0,0,ROUNDUP(RationCanardsNécessaireMoQ-VLOOKUP(RationCanards,StockDansSilos,3,FALSE),0)))</f>
        <v>0</v>
      </c>
      <c r="H44" s="245">
        <f>IF(RationCanardsNécessaireMaQ=0,,IF(RationCanardsNécessaireMaQ-VLOOKUP(RationCanards,StockDansSilos,3,FALSE)&lt;=0,0,ROUNDUP(RationCanardsNécessaireMaQ-VLOOKUP(RationCanards,StockDansSilos,3,FALSE),0)))</f>
        <v>0</v>
      </c>
      <c r="I44" s="181"/>
      <c r="J44" s="199"/>
      <c r="K44" s="165" t="str">
        <f>IF(AND(CommandeRationCanardBQ=0,CommandeRationCanardMoQ=0,CommandeRationCanardMaQ=0),"",((PrixRationCanards*CommandeRationCanardBQ)+(PrixRationCanards*CommandeRationCanardMoQ*0.9)+(PrixRationCanards*CommandeRationCanardMaQ*0.8)))</f>
        <v/>
      </c>
      <c r="L44" s="181"/>
      <c r="M44" s="207" t="s">
        <v>373</v>
      </c>
      <c r="N44" s="210" t="str">
        <f>IF(CoutPaillageAnnuelOvins="","coût : 0€/an",CoutPaillageAnnuelOvins)</f>
        <v>coût : 0€/an</v>
      </c>
      <c r="O44" s="210"/>
      <c r="P44" s="210"/>
      <c r="Q44" s="210"/>
      <c r="R44" s="171"/>
      <c r="S44" s="171"/>
      <c r="T44" s="176"/>
    </row>
    <row r="45" spans="1:20" s="15" customFormat="1" x14ac:dyDescent="0.2">
      <c r="A45" s="174"/>
      <c r="B45" s="192" t="str">
        <f>IF(AND(RationOvinsNécessaireBQ=0,RationOvinsNécessaireMoQ=0,RationOvinsNécessaireMaQ=0),"","ration complète ovins (t)")</f>
        <v/>
      </c>
      <c r="C45" s="256">
        <f t="shared" si="0"/>
        <v>0</v>
      </c>
      <c r="D45" s="262">
        <f t="shared" si="1"/>
        <v>0</v>
      </c>
      <c r="E45" s="263">
        <f t="shared" si="2"/>
        <v>0</v>
      </c>
      <c r="F45" s="246">
        <f>IF(RationOvinsNécessaireBQ=0,,IF(RationOvinsNécessaireBQ-VLOOKUP(RationOvins,StockDansSilos,3,FALSE)&lt;=0,0,ROUNDUP(RationOvinsNécessaireBQ-VLOOKUP(RationOvins,StockDansSilos,3,FALSE),0)))</f>
        <v>0</v>
      </c>
      <c r="G45" s="239">
        <f>IF(RationOvinsNécessaireMoQ=0,,IF(RationOvinsNécessaireMoQ-VLOOKUP(RationOvins,StockDansSilos,3,FALSE)&lt;=0,0,ROUNDUP(RationOvinsNécessaireMoQ-VLOOKUP(RationOvins,StockDansSilos,3,FALSE),0)))</f>
        <v>0</v>
      </c>
      <c r="H45" s="247">
        <f>IF(RationOvinsNécessaireMaQ=0,,IF(RationOvinsNécessaireMaQ-VLOOKUP(RationOvins,StockDansSilos,3,FALSE)&lt;=0,0,ROUNDUP(RationOvinsNécessaireMaQ-VLOOKUP(RationOvins,StockDansSilos,3,FALSE),0)))</f>
        <v>0</v>
      </c>
      <c r="I45" s="181"/>
      <c r="J45" s="198"/>
      <c r="K45" s="189" t="str">
        <f>IF(AND(CommandeRationOvinBQ=0,CommandeRationOvinMoQ=0,CommandeRationOvinMaQ=0),"",((PrixRationOvins*CommandeRationOvinBQ)+(PrixRationOvins*CommandeRationOvinMoQ*0.9)+(PrixRationOvins*CommandeRationOvinMaQ*0.8)))</f>
        <v/>
      </c>
      <c r="L45" s="181"/>
      <c r="M45" s="207" t="s">
        <v>374</v>
      </c>
      <c r="N45" s="96" t="str">
        <f>IF(CoutPaillageAnnuelOies="","coût : 0€/an",CoutPaillageAnnuelOies)</f>
        <v>coût : 0€/an</v>
      </c>
      <c r="O45" s="96"/>
      <c r="P45" s="96"/>
      <c r="Q45" s="96"/>
      <c r="R45" s="171"/>
      <c r="S45" s="171"/>
      <c r="T45" s="176"/>
    </row>
    <row r="46" spans="1:20" s="15" customFormat="1" x14ac:dyDescent="0.2">
      <c r="A46" s="174"/>
      <c r="B46" s="162" t="str">
        <f>IF(AND(RationHiverOvinsNécessaireBQ=0,RationHiverOvinsNécessaireMoQ=0,RationHiverOvinsNécessaireMaQ=0),"","ration complète hivernale ovins (t)")</f>
        <v/>
      </c>
      <c r="C46" s="255">
        <f t="shared" si="0"/>
        <v>0</v>
      </c>
      <c r="D46" s="260">
        <f t="shared" si="1"/>
        <v>0</v>
      </c>
      <c r="E46" s="261">
        <f t="shared" si="2"/>
        <v>0</v>
      </c>
      <c r="F46" s="244">
        <f>IF(RationHiverOvinsNécessaireBQ=0,,IF(RationHiverOvinsNécessaireBQ-VLOOKUP(RationHiverOvins,StockDansSilos,3,FALSE)&lt;=0,0,ROUNDUP(RationHiverOvinsNécessaireBQ-VLOOKUP(RationHiverOvins,StockDansSilos,3,FALSE),0)))</f>
        <v>0</v>
      </c>
      <c r="G46" s="240">
        <f>IF(RationHiverOvinsNécessaireMoQ=0,,IF(RationHiverOvinsNécessaireMoQ-VLOOKUP(RationHiverOvins,StockDansSilos,3,FALSE)&lt;=0,0,ROUNDUP(RationHiverOvinsNécessaireMoQ-VLOOKUP(RationHiverOvins,StockDansSilos,3,FALSE),0)))</f>
        <v>0</v>
      </c>
      <c r="H46" s="245">
        <f>IF(RationHiverOvinsNécessaireMaQ=0,,IF(RationHiverOvinsNécessaireMaQ-VLOOKUP(RationHiverOvins,StockDansSilos,3,FALSE)&lt;=0,0,ROUNDUP(RationHiverOvinsNécessaireMaQ-VLOOKUP(RationHiverOvins,StockDansSilos,3,FALSE),0)))</f>
        <v>0</v>
      </c>
      <c r="I46" s="181"/>
      <c r="J46" s="199"/>
      <c r="K46" s="165" t="str">
        <f>IF(AND(CommandeRationHiverOvinBQ=0,CommandeRationHiverOvinMoQ=0,CommandeRationHiverOvinMaQ=0),"",((PrixRationHiverOvins*CommandeRationHiverOvinBQ)+(PrixRationHiverOvins*CommandeRationHiverOvinMoQ*0.9)+(PrixRationHiverOvins*CommandeRationHiverOvinMaQ*0.8)))</f>
        <v/>
      </c>
      <c r="L46" s="181"/>
      <c r="M46" s="207" t="s">
        <v>375</v>
      </c>
      <c r="N46" s="210" t="str">
        <f>IF(CoutPaillageAnnuelCanards="","coût : 0€/an",CoutPaillageAnnuelCanards)</f>
        <v>coût : 0€/an</v>
      </c>
      <c r="O46" s="210"/>
      <c r="P46" s="210"/>
      <c r="Q46" s="210"/>
      <c r="R46" s="171"/>
      <c r="S46" s="171"/>
      <c r="T46" s="176"/>
    </row>
    <row r="47" spans="1:20" s="15" customFormat="1" x14ac:dyDescent="0.2">
      <c r="A47" s="174"/>
      <c r="B47" s="192" t="str">
        <f>IF(AND(RationDaimsNécessaireBQ=0,RationDaimsNécessaireMoQ=0,RationDaimsNécessaireMaQ=0),"","ration complète hivernale daims (t)")</f>
        <v/>
      </c>
      <c r="C47" s="256">
        <f t="shared" si="0"/>
        <v>0</v>
      </c>
      <c r="D47" s="262">
        <f t="shared" si="1"/>
        <v>0</v>
      </c>
      <c r="E47" s="263">
        <f t="shared" si="2"/>
        <v>0</v>
      </c>
      <c r="F47" s="246">
        <f>IF(RationDaimsNécessaireBQ=0,,IF(RationDaimsNécessaireBQ-VLOOKUP(RationDaims,StockDansSilos,3,FALSE)&lt;=0,0,ROUNDUP(RationDaimsNécessaireBQ-VLOOKUP(RationDaims,StockDansSilos,3,FALSE),0)))</f>
        <v>0</v>
      </c>
      <c r="G47" s="239">
        <f>IF(RationDaimsNécessaireMoQ=0,,IF(RationDaimsNécessaireMoQ-VLOOKUP(RationDaims,StockDansSilos,3,FALSE)&lt;=0,0,ROUNDUP(RationDaimsNécessaireMoQ-VLOOKUP(RationDaims,StockDansSilos,3,FALSE),0)))</f>
        <v>0</v>
      </c>
      <c r="H47" s="247">
        <f>IF(RationDaimsNécessaireMaQ=0,,IF(RationDaimsNécessaireMaQ-VLOOKUP(RationDaims,StockDansSilos,3,FALSE)&lt;=0,0,ROUNDUP(RationDaimsNécessaireMaQ-VLOOKUP(RationDaims,StockDansSilos,3,FALSE),0)))</f>
        <v>0</v>
      </c>
      <c r="I47" s="181"/>
      <c r="J47" s="198"/>
      <c r="K47" s="189" t="str">
        <f>IF(AND(CommandeRationDaimsBQ=0,CommandeRationDaimsMoQ=0,CommandeRationDaimsMaQ=0),"",((PrixRationDaims*CommandeRationDaimsBQ)+(PrixRationDaims*CommandeRationDaimsMoQ*0.9)+(PrixRationDaims*CommandeRationDaimsMaQ*0.8)))</f>
        <v/>
      </c>
      <c r="L47" s="181"/>
      <c r="M47" s="207" t="s">
        <v>477</v>
      </c>
      <c r="N47" s="215" t="s">
        <v>187</v>
      </c>
      <c r="O47" s="96"/>
      <c r="P47" s="96"/>
      <c r="Q47" s="96"/>
      <c r="R47" s="171"/>
      <c r="S47" s="171"/>
      <c r="T47" s="176"/>
    </row>
    <row r="48" spans="1:20" s="15" customFormat="1" x14ac:dyDescent="0.2">
      <c r="A48" s="174"/>
      <c r="B48" s="162" t="str">
        <f>IF(AND(RationChevauxSelleNécessaireBQ=0,RationChevauxSelleNécessaireMoQ=0,RationChevauxSelleNécessaireMaQ=0),"","ration complète hivernale chevaux de selle (t)")</f>
        <v/>
      </c>
      <c r="C48" s="255">
        <f t="shared" si="0"/>
        <v>0</v>
      </c>
      <c r="D48" s="260">
        <f t="shared" si="1"/>
        <v>0</v>
      </c>
      <c r="E48" s="261">
        <f t="shared" si="2"/>
        <v>0</v>
      </c>
      <c r="F48" s="244">
        <f>IF(RationChevauxSelleNécessaireBQ=0,,IF(RationChevauxSelleNécessaireBQ-VLOOKUP(RationChevauxSelle,StockDansSilos,3,FALSE)&lt;=0,0,ROUNDUP(RationChevauxSelleNécessaireBQ-VLOOKUP(RationChevauxSelle,StockDansSilos,3,FALSE),0)))</f>
        <v>0</v>
      </c>
      <c r="G48" s="240">
        <f>IF(RationChevauxSelleNécessaireMoQ=0,,IF(RationChevauxSelleNécessaireMoQ-VLOOKUP(RationChevauxSelle,StockDansSilos,3,FALSE)&lt;=0,0,ROUNDUP(RationChevauxSelleNécessaireMoQ-VLOOKUP(RationChevauxSelle,StockDansSilos,3,FALSE),0)))</f>
        <v>0</v>
      </c>
      <c r="H48" s="245">
        <f>IF(RationChevauxSelleNécessaireMaQ=0,,IF(RationChevauxSelleNécessaireMaQ-VLOOKUP(RationChevauxSelle,StockDansSilos,3,FALSE)&lt;=0,0,ROUNDUP(RationChevauxSelleNécessaireMaQ-VLOOKUP(RationChevauxSelle,StockDansSilos,3,FALSE),0)))</f>
        <v>0</v>
      </c>
      <c r="I48" s="181"/>
      <c r="J48" s="199"/>
      <c r="K48" s="165" t="str">
        <f>IF(AND(CommandeRationChevauxSelleBQ=0,CommandeRationChevauxSelleMoQ=0,CommandeRationChevauxSelleMaQ=0),"",((PrixRationChevauxSelle*CommandeRationChevauxSelleBQ)+(PrixRationChevauxSelle*CommandeRationChevauxSelleMoQ*0.9)+(PrixRationChevauxSelle*CommandeRationChevauxSelleMaQ*0.8)))</f>
        <v/>
      </c>
      <c r="L48" s="181"/>
      <c r="M48" s="207" t="s">
        <v>209</v>
      </c>
      <c r="N48" s="210" t="str">
        <f>IF(CoutPaillageAnnuelChevauxSelle="","coût : 0€/an",CoutPaillageAnnuelChevauxSelle)</f>
        <v>coût : 0€/an</v>
      </c>
      <c r="O48" s="210"/>
      <c r="P48" s="210"/>
      <c r="Q48" s="210"/>
      <c r="R48" s="171"/>
      <c r="S48" s="171"/>
      <c r="T48" s="176"/>
    </row>
    <row r="49" spans="1:20" s="15" customFormat="1" x14ac:dyDescent="0.2">
      <c r="A49" s="174"/>
      <c r="B49" s="192" t="str">
        <f>IF(AND(RationChevauxTraitNécessaireBQ=0,RationChevauxTraitNécessaireMoQ=0,RationChevauxTraitNécessaireMaQ=0),"","ration complète hivernale chevaux de trait (t)")</f>
        <v/>
      </c>
      <c r="C49" s="256">
        <f t="shared" si="0"/>
        <v>0</v>
      </c>
      <c r="D49" s="262">
        <f t="shared" si="1"/>
        <v>0</v>
      </c>
      <c r="E49" s="263">
        <f t="shared" si="2"/>
        <v>0</v>
      </c>
      <c r="F49" s="246">
        <f>IF(RationChevauxTraitNécessaireBQ=0,,IF(RationChevauxTraitNécessaireBQ-VLOOKUP(RationChevauxTrait,StockDansSilos,3,FALSE)&lt;=0,0,ROUNDUP(RationChevauxTraitNécessaireBQ-VLOOKUP(RationChevauxTrait,StockDansSilos,3,FALSE),0)))</f>
        <v>0</v>
      </c>
      <c r="G49" s="239">
        <f>IF(RationChevauxTraitNécessaireMoQ=0,,IF(RationChevauxTraitNécessaireMoQ-VLOOKUP(RationChevauxTrait,StockDansSilos,3,FALSE)&lt;=0,0,ROUNDUP(RationChevauxTraitNécessaireMoQ-VLOOKUP(RationChevauxTrait,StockDansSilos,3,FALSE),0)))</f>
        <v>0</v>
      </c>
      <c r="H49" s="247">
        <f>IF(RationChevauxTraitNécessaireMaQ=0,,IF(RationChevauxTraitNécessaireMaQ-VLOOKUP(RationChevauxTrait,StockDansSilos,3,FALSE)&lt;=0,0,ROUNDUP(RationChevauxTraitNécessaireMaQ-VLOOKUP(RationChevauxTrait,StockDansSilos,3,FALSE),0)))</f>
        <v>0</v>
      </c>
      <c r="I49" s="181"/>
      <c r="J49" s="198"/>
      <c r="K49" s="189" t="str">
        <f>IF(AND(CommandeRationChevauxTraitBQ=0,CommandeRationChevauxTraitMoQ=0,CommandeRationChevauxTraitMaQ=0),"",((PrixRationChevauxTrait*CommandeRationChevauxTraitBQ)+(PrixRationChevauxTrait*CommandeRationChevauxTraitMoQ*0.9)+(PrixRationChevauxTrait*CommandeRationChevauxTraitMaQ*0.8)))</f>
        <v/>
      </c>
      <c r="L49" s="181"/>
      <c r="M49" s="207" t="s">
        <v>210</v>
      </c>
      <c r="N49" s="96" t="str">
        <f>IF(CoutPaillageAnnuelChevauxTrait="","coût : 0€/an",CoutPaillageAnnuelChevauxTrait)</f>
        <v>coût : 0€/an</v>
      </c>
      <c r="O49" s="96"/>
      <c r="P49" s="96"/>
      <c r="Q49" s="96"/>
      <c r="R49" s="171"/>
      <c r="S49" s="171"/>
      <c r="T49" s="176"/>
    </row>
    <row r="50" spans="1:20" s="15" customFormat="1" ht="13.5" thickBot="1" x14ac:dyDescent="0.25">
      <c r="A50" s="174"/>
      <c r="B50" s="164" t="str">
        <f>IF(AND(RationPoneysNécessaireBQ=0,RationPoneysNécessaireMoQ=0,RationPoneysNécessaireMaQ=0),"","ration complète hivernale poneys (t)")</f>
        <v/>
      </c>
      <c r="C50" s="259">
        <f t="shared" si="0"/>
        <v>0</v>
      </c>
      <c r="D50" s="268">
        <f t="shared" si="1"/>
        <v>0</v>
      </c>
      <c r="E50" s="269">
        <f t="shared" si="2"/>
        <v>0</v>
      </c>
      <c r="F50" s="248">
        <f>IF(RationPoneysNécessaireBQ=0,,IF(RationPoneysNécessaireBQ-VLOOKUP(RationPoneys,StockDansSilos,3,FALSE)&lt;=0,0,ROUNDUP(RationPoneysNécessaireBQ-VLOOKUP(RationPoneys,StockDansSilos,3,FALSE),0)))</f>
        <v>0</v>
      </c>
      <c r="G50" s="249">
        <f>IF(RationPoneysNécessaireMoQ=0,,IF(RationPoneysNécessaireMoQ-VLOOKUP(RationPoneys,StockDansSilos,3,FALSE)&lt;=0,0,ROUNDUP(RationPoneysNécessaireMoQ-VLOOKUP(RationPoneys,StockDansSilos,3,FALSE),0)))</f>
        <v>0</v>
      </c>
      <c r="H50" s="250">
        <f>IF(RationPoneysNécessaireMaQ=0,,IF(RationPoneysNécessaireMaQ-VLOOKUP(RationPoneys,StockDansSilos,3,FALSE)&lt;=0,0,ROUNDUP(RationPoneysNécessaireMaQ-VLOOKUP(RationPoneys,StockDansSilos,3,FALSE),0)))</f>
        <v>0</v>
      </c>
      <c r="I50" s="181"/>
      <c r="J50" s="200"/>
      <c r="K50" s="166" t="str">
        <f>IF(AND(CommandeRationPoneysBQ=0,CommandeRationPoneysMoQ=0,CommandeRationPoneysMaQ=0),"",((PrixRationPoneys*CommandeRationPoneysBQ)+(PrixRationPoneys*CommandeRationPoneysMoQ*0.9)+(PrixRationPoneys*CommandeRationPoneysMaQ*0.8)))</f>
        <v/>
      </c>
      <c r="L50" s="181"/>
      <c r="M50" s="207" t="s">
        <v>211</v>
      </c>
      <c r="N50" s="210" t="str">
        <f>IF(CoutPaillageAnnuelPoneys="","coût : 0€/an",CoutPaillageAnnuelPoneys)</f>
        <v>coût : 0€/an</v>
      </c>
      <c r="O50" s="210"/>
      <c r="P50" s="210"/>
      <c r="Q50" s="210"/>
      <c r="R50" s="171"/>
      <c r="S50" s="171"/>
      <c r="T50" s="176"/>
    </row>
    <row r="51" spans="1:20" s="15" customFormat="1" x14ac:dyDescent="0.2">
      <c r="A51" s="174"/>
      <c r="B51" s="201"/>
      <c r="C51" s="201"/>
      <c r="D51" s="201"/>
      <c r="E51" s="201"/>
      <c r="F51" s="201"/>
      <c r="G51" s="201"/>
      <c r="H51" s="201"/>
      <c r="I51" s="201"/>
      <c r="J51" s="202"/>
      <c r="K51" s="171"/>
      <c r="L51" s="203"/>
      <c r="M51" s="181"/>
      <c r="N51" s="204"/>
      <c r="O51" s="171"/>
      <c r="P51" s="171"/>
      <c r="Q51" s="171"/>
      <c r="R51" s="171"/>
      <c r="S51" s="171"/>
      <c r="T51" s="176"/>
    </row>
    <row r="52" spans="1:20" s="15" customFormat="1" x14ac:dyDescent="0.2">
      <c r="A52" s="76"/>
      <c r="B52" s="171"/>
      <c r="C52" s="171"/>
      <c r="D52" s="171"/>
      <c r="E52" s="171"/>
      <c r="F52" s="171"/>
      <c r="G52" s="171"/>
      <c r="H52" s="171"/>
      <c r="I52" s="171"/>
      <c r="J52" s="171"/>
      <c r="K52" s="171"/>
      <c r="L52" s="171"/>
      <c r="M52" s="171"/>
      <c r="N52" s="171"/>
      <c r="O52" s="171"/>
      <c r="P52" s="171"/>
      <c r="Q52" s="171"/>
      <c r="R52" s="171"/>
      <c r="S52" s="171"/>
      <c r="T52" s="176"/>
    </row>
    <row r="53" spans="1:20" s="15" customFormat="1" x14ac:dyDescent="0.2">
      <c r="A53" s="76"/>
      <c r="B53" s="171"/>
      <c r="C53" s="171"/>
      <c r="D53" s="171"/>
      <c r="E53" s="171"/>
      <c r="F53" s="171"/>
      <c r="G53" s="171"/>
      <c r="H53" s="171"/>
      <c r="I53" s="484" t="s">
        <v>275</v>
      </c>
      <c r="J53" s="485"/>
      <c r="K53" s="206" t="e">
        <f>SUM(K9:K50)</f>
        <v>#REF!</v>
      </c>
      <c r="L53" s="171"/>
      <c r="M53" s="171"/>
      <c r="N53" s="171"/>
      <c r="O53" s="171"/>
      <c r="P53" s="171"/>
      <c r="Q53" s="171"/>
      <c r="R53" s="171"/>
      <c r="S53" s="171"/>
      <c r="T53" s="176"/>
    </row>
    <row r="54" spans="1:20" s="15" customFormat="1" x14ac:dyDescent="0.2">
      <c r="A54" s="76"/>
      <c r="B54" s="171"/>
      <c r="C54" s="171"/>
      <c r="D54" s="171"/>
      <c r="E54" s="171"/>
      <c r="F54" s="171"/>
      <c r="G54" s="171"/>
      <c r="H54" s="171"/>
      <c r="I54" s="171"/>
      <c r="J54" s="171"/>
      <c r="K54" s="171"/>
      <c r="L54" s="171"/>
      <c r="M54" s="171"/>
      <c r="N54" s="171"/>
      <c r="O54" s="171"/>
      <c r="P54" s="171"/>
      <c r="Q54" s="171"/>
      <c r="R54" s="171"/>
      <c r="S54" s="171"/>
      <c r="T54" s="176"/>
    </row>
    <row r="55" spans="1:20" s="15" customFormat="1" x14ac:dyDescent="0.2">
      <c r="A55" s="76"/>
      <c r="B55" s="171"/>
      <c r="C55" s="171"/>
      <c r="D55" s="171"/>
      <c r="E55" s="171"/>
      <c r="F55" s="171"/>
      <c r="G55" s="171"/>
      <c r="H55" s="171"/>
      <c r="I55" s="171"/>
      <c r="J55" s="171"/>
      <c r="K55" s="171"/>
      <c r="L55" s="171"/>
      <c r="M55" s="171"/>
      <c r="N55" s="171"/>
      <c r="O55" s="171"/>
      <c r="P55" s="171"/>
      <c r="Q55" s="171"/>
      <c r="R55" s="171"/>
      <c r="S55" s="171"/>
      <c r="T55" s="176"/>
    </row>
    <row r="56" spans="1:20" s="15" customFormat="1" x14ac:dyDescent="0.2">
      <c r="A56" s="76"/>
      <c r="B56" s="171"/>
      <c r="C56" s="171"/>
      <c r="D56" s="171"/>
      <c r="E56" s="171"/>
      <c r="F56" s="171"/>
      <c r="G56" s="171"/>
      <c r="H56" s="171"/>
      <c r="I56" s="171"/>
      <c r="J56" s="171"/>
      <c r="K56" s="171"/>
      <c r="L56" s="171"/>
      <c r="M56" s="171"/>
      <c r="N56" s="171"/>
      <c r="O56" s="171"/>
      <c r="P56" s="171"/>
      <c r="Q56" s="171"/>
      <c r="R56" s="171"/>
      <c r="S56" s="171"/>
      <c r="T56" s="176"/>
    </row>
    <row r="57" spans="1:20" s="15" customFormat="1" x14ac:dyDescent="0.2">
      <c r="A57" s="76"/>
      <c r="B57" s="171"/>
      <c r="C57" s="171"/>
      <c r="D57" s="171"/>
      <c r="E57" s="171"/>
      <c r="F57" s="171"/>
      <c r="G57" s="171"/>
      <c r="H57" s="171"/>
      <c r="I57" s="171"/>
      <c r="J57" s="171"/>
      <c r="K57" s="171"/>
      <c r="L57" s="171"/>
      <c r="M57" s="171"/>
      <c r="N57" s="171"/>
      <c r="O57" s="171"/>
      <c r="P57" s="171"/>
      <c r="Q57" s="171"/>
      <c r="R57" s="171"/>
      <c r="S57" s="171"/>
      <c r="T57" s="176"/>
    </row>
    <row r="58" spans="1:20" s="15" customFormat="1" x14ac:dyDescent="0.2">
      <c r="A58" s="76"/>
      <c r="B58" s="171"/>
      <c r="C58" s="212"/>
      <c r="D58" s="171"/>
      <c r="E58" s="171"/>
      <c r="F58" s="171"/>
      <c r="G58" s="171"/>
      <c r="H58" s="171"/>
      <c r="I58" s="171"/>
      <c r="J58" s="171"/>
      <c r="K58" s="171"/>
      <c r="L58" s="171"/>
      <c r="M58" s="171"/>
      <c r="N58" s="171"/>
      <c r="O58" s="171"/>
      <c r="P58" s="171"/>
      <c r="Q58" s="171"/>
      <c r="R58" s="171"/>
      <c r="S58" s="171"/>
      <c r="T58" s="176"/>
    </row>
    <row r="59" spans="1:20" s="15" customFormat="1" x14ac:dyDescent="0.2">
      <c r="A59" s="76"/>
      <c r="B59" s="171"/>
      <c r="C59" s="213"/>
      <c r="D59" s="213" t="s">
        <v>40</v>
      </c>
      <c r="E59" s="214" t="e">
        <f>PlaceRestanteDansEntrepôtsAprèsCommande</f>
        <v>#REF!</v>
      </c>
      <c r="F59" s="492" t="s">
        <v>129</v>
      </c>
      <c r="G59" s="472"/>
      <c r="H59" s="493" t="s">
        <v>41</v>
      </c>
      <c r="I59" s="494"/>
      <c r="J59" s="171"/>
      <c r="K59" s="171"/>
      <c r="L59" s="171"/>
      <c r="M59" s="171"/>
      <c r="N59" s="171"/>
      <c r="O59" s="171"/>
      <c r="P59" s="171"/>
      <c r="Q59" s="171"/>
      <c r="R59" s="171"/>
      <c r="S59" s="171"/>
      <c r="T59" s="176"/>
    </row>
    <row r="60" spans="1:20" s="15" customFormat="1" x14ac:dyDescent="0.2">
      <c r="A60" s="76"/>
      <c r="B60" s="495" t="s">
        <v>1040</v>
      </c>
      <c r="C60" s="495"/>
      <c r="D60" s="495"/>
      <c r="E60" s="214" t="s">
        <v>187</v>
      </c>
      <c r="F60" s="492" t="s">
        <v>129</v>
      </c>
      <c r="G60" s="472"/>
      <c r="H60" s="496" t="s">
        <v>1041</v>
      </c>
      <c r="I60" s="497"/>
      <c r="J60" s="171"/>
      <c r="K60" s="171"/>
      <c r="L60" s="171"/>
      <c r="M60" s="171"/>
      <c r="N60" s="171"/>
      <c r="O60" s="171"/>
      <c r="P60" s="171"/>
      <c r="Q60" s="171"/>
      <c r="R60" s="171"/>
      <c r="S60" s="171"/>
      <c r="T60" s="176"/>
    </row>
    <row r="61" spans="1:20" s="15" customFormat="1" x14ac:dyDescent="0.2">
      <c r="A61" s="76"/>
      <c r="B61" s="171"/>
      <c r="C61" s="171"/>
      <c r="D61" s="231" t="s">
        <v>1106</v>
      </c>
      <c r="E61" s="214" t="s">
        <v>187</v>
      </c>
      <c r="F61" s="492" t="s">
        <v>129</v>
      </c>
      <c r="G61" s="472"/>
      <c r="H61" s="498" t="s">
        <v>1107</v>
      </c>
      <c r="I61" s="499"/>
      <c r="J61" s="171"/>
      <c r="K61" s="171"/>
      <c r="L61" s="171"/>
      <c r="M61" s="171"/>
      <c r="N61" s="171"/>
      <c r="O61" s="171"/>
      <c r="P61" s="171"/>
      <c r="Q61" s="171"/>
      <c r="R61" s="171"/>
      <c r="S61" s="171"/>
      <c r="T61" s="176"/>
    </row>
    <row r="62" spans="1:20" s="15" customFormat="1" x14ac:dyDescent="0.2">
      <c r="A62" s="76"/>
      <c r="B62" s="171"/>
      <c r="C62" s="171"/>
      <c r="D62" s="171"/>
      <c r="E62" s="171"/>
      <c r="F62" s="178"/>
      <c r="G62" s="178"/>
      <c r="H62" s="178"/>
      <c r="I62" s="178"/>
      <c r="J62" s="178"/>
      <c r="K62" s="178"/>
      <c r="L62" s="178"/>
      <c r="M62" s="178"/>
      <c r="N62" s="178"/>
      <c r="O62" s="178"/>
      <c r="P62" s="178"/>
      <c r="Q62" s="171"/>
      <c r="R62" s="171"/>
      <c r="S62" s="171"/>
      <c r="T62" s="176"/>
    </row>
    <row r="63" spans="1:20" s="15" customFormat="1" x14ac:dyDescent="0.2">
      <c r="A63" s="76"/>
      <c r="B63" s="16" t="s">
        <v>412</v>
      </c>
      <c r="C63" s="472" t="s">
        <v>129</v>
      </c>
      <c r="D63" s="473"/>
      <c r="E63" s="171"/>
      <c r="F63" s="178"/>
      <c r="G63" s="178"/>
      <c r="H63" s="178"/>
      <c r="I63" s="178"/>
      <c r="J63" s="178"/>
      <c r="K63" s="178"/>
      <c r="L63" s="178"/>
      <c r="M63" s="178"/>
      <c r="N63" s="178"/>
      <c r="O63" s="178"/>
      <c r="P63" s="178"/>
      <c r="Q63" s="171"/>
      <c r="R63" s="171"/>
      <c r="S63" s="171"/>
      <c r="T63" s="176"/>
    </row>
    <row r="64" spans="1:20" s="15" customFormat="1" x14ac:dyDescent="0.2">
      <c r="A64" s="76"/>
      <c r="B64" s="171"/>
      <c r="C64" s="171"/>
      <c r="D64" s="171"/>
      <c r="E64" s="171"/>
      <c r="F64" s="216"/>
      <c r="G64" s="175"/>
      <c r="H64" s="175"/>
      <c r="I64" s="216"/>
      <c r="J64" s="175"/>
      <c r="K64" s="175"/>
      <c r="L64" s="175"/>
      <c r="M64" s="175"/>
      <c r="N64" s="175"/>
      <c r="O64" s="175"/>
      <c r="P64" s="175"/>
      <c r="Q64" s="171"/>
      <c r="R64" s="171"/>
      <c r="S64" s="171"/>
      <c r="T64" s="176"/>
    </row>
    <row r="65" spans="1:20" s="15" customFormat="1" x14ac:dyDescent="0.2">
      <c r="A65" s="76"/>
      <c r="B65" s="171"/>
      <c r="C65" s="171"/>
      <c r="D65" s="171"/>
      <c r="E65" s="171"/>
      <c r="F65" s="216"/>
      <c r="G65" s="175"/>
      <c r="H65" s="175"/>
      <c r="I65" s="216"/>
      <c r="J65" s="175"/>
      <c r="K65" s="175"/>
      <c r="L65" s="175"/>
      <c r="M65" s="175"/>
      <c r="N65" s="175"/>
      <c r="O65" s="175"/>
      <c r="P65" s="175"/>
      <c r="Q65" s="171"/>
      <c r="R65" s="171"/>
      <c r="S65" s="171"/>
      <c r="T65" s="176"/>
    </row>
    <row r="66" spans="1:20" s="15" customFormat="1" x14ac:dyDescent="0.2">
      <c r="A66" s="76"/>
      <c r="B66" s="491"/>
      <c r="C66" s="491"/>
      <c r="D66" s="491"/>
      <c r="E66" s="171"/>
      <c r="F66" s="216"/>
      <c r="G66" s="175"/>
      <c r="H66" s="175"/>
      <c r="I66" s="175"/>
      <c r="J66" s="175"/>
      <c r="K66" s="175"/>
      <c r="L66" s="175"/>
      <c r="M66" s="175"/>
      <c r="N66" s="175"/>
      <c r="O66" s="175"/>
      <c r="P66" s="175"/>
      <c r="Q66" s="171"/>
      <c r="R66" s="171"/>
      <c r="S66" s="171"/>
      <c r="T66" s="176"/>
    </row>
    <row r="67" spans="1:20" s="15" customFormat="1" x14ac:dyDescent="0.2">
      <c r="A67" s="76"/>
      <c r="B67" s="171"/>
      <c r="C67" s="171"/>
      <c r="D67" s="171"/>
      <c r="E67" s="171"/>
      <c r="F67" s="216"/>
      <c r="G67" s="175"/>
      <c r="H67" s="175"/>
      <c r="I67" s="175"/>
      <c r="J67" s="175"/>
      <c r="K67" s="175"/>
      <c r="L67" s="175"/>
      <c r="M67" s="175"/>
      <c r="N67" s="175"/>
      <c r="O67" s="175"/>
      <c r="P67" s="175"/>
      <c r="Q67" s="175"/>
      <c r="R67" s="175"/>
      <c r="S67" s="175"/>
      <c r="T67" s="176"/>
    </row>
    <row r="68" spans="1:20" s="15" customFormat="1" x14ac:dyDescent="0.2">
      <c r="A68" s="76"/>
      <c r="B68" s="171"/>
      <c r="C68" s="171"/>
      <c r="D68" s="171"/>
      <c r="E68" s="171"/>
      <c r="F68" s="171"/>
      <c r="G68" s="171"/>
      <c r="H68" s="171"/>
      <c r="I68" s="171"/>
      <c r="J68" s="171"/>
      <c r="K68" s="171"/>
      <c r="L68" s="171"/>
      <c r="M68" s="171"/>
      <c r="N68" s="171"/>
      <c r="O68" s="171"/>
      <c r="P68" s="171"/>
      <c r="Q68" s="171"/>
      <c r="R68" s="171"/>
      <c r="S68" s="171"/>
      <c r="T68" s="176"/>
    </row>
    <row r="69" spans="1:20" s="15" customFormat="1" x14ac:dyDescent="0.2">
      <c r="A69" s="76"/>
      <c r="B69" s="171"/>
      <c r="C69" s="171"/>
      <c r="D69" s="171"/>
      <c r="E69" s="171"/>
      <c r="F69" s="171"/>
      <c r="G69" s="171"/>
      <c r="H69" s="171"/>
      <c r="I69" s="171"/>
      <c r="J69" s="171"/>
      <c r="K69" s="171"/>
      <c r="L69" s="171"/>
      <c r="M69" s="171"/>
      <c r="N69" s="171"/>
      <c r="O69" s="171"/>
      <c r="P69" s="171"/>
      <c r="Q69" s="171"/>
      <c r="R69" s="171"/>
      <c r="S69" s="171"/>
      <c r="T69" s="176"/>
    </row>
    <row r="70" spans="1:20" s="15" customFormat="1" ht="13.5" thickBot="1" x14ac:dyDescent="0.25">
      <c r="A70" s="217"/>
      <c r="B70" s="218"/>
      <c r="C70" s="218"/>
      <c r="D70" s="218"/>
      <c r="E70" s="218"/>
      <c r="F70" s="218"/>
      <c r="G70" s="218"/>
      <c r="H70" s="218"/>
      <c r="I70" s="218"/>
      <c r="J70" s="218"/>
      <c r="K70" s="218"/>
      <c r="L70" s="218"/>
      <c r="M70" s="218"/>
      <c r="N70" s="218"/>
      <c r="O70" s="218"/>
      <c r="P70" s="218"/>
      <c r="Q70" s="218"/>
      <c r="R70" s="218"/>
      <c r="S70" s="218"/>
      <c r="T70" s="180"/>
    </row>
    <row r="71" spans="1:20" s="15" customFormat="1" x14ac:dyDescent="0.2"/>
    <row r="72" spans="1:20" s="15" customFormat="1" x14ac:dyDescent="0.2"/>
    <row r="73" spans="1:20" s="15" customFormat="1" x14ac:dyDescent="0.2"/>
    <row r="74" spans="1:20" s="15" customFormat="1" x14ac:dyDescent="0.2"/>
    <row r="75" spans="1:20" s="15" customFormat="1" x14ac:dyDescent="0.2"/>
    <row r="76" spans="1:20" s="15" customFormat="1" x14ac:dyDescent="0.2">
      <c r="A76" s="219"/>
    </row>
    <row r="77" spans="1:20" s="15" customFormat="1" x14ac:dyDescent="0.2"/>
    <row r="78" spans="1:20" s="15" customFormat="1" x14ac:dyDescent="0.2"/>
    <row r="79" spans="1:20" s="15" customFormat="1" x14ac:dyDescent="0.2"/>
    <row r="80" spans="1:20" s="15" customFormat="1" x14ac:dyDescent="0.2"/>
    <row r="81" s="15" customFormat="1" x14ac:dyDescent="0.2"/>
    <row r="82" s="15" customFormat="1" x14ac:dyDescent="0.2"/>
    <row r="83" s="15" customFormat="1" x14ac:dyDescent="0.2"/>
    <row r="84" s="15" customFormat="1" x14ac:dyDescent="0.2"/>
    <row r="85" s="15" customFormat="1" x14ac:dyDescent="0.2"/>
    <row r="86" s="15" customFormat="1" x14ac:dyDescent="0.2"/>
    <row r="87" s="15" customFormat="1" x14ac:dyDescent="0.2"/>
    <row r="88" s="15" customFormat="1" x14ac:dyDescent="0.2"/>
    <row r="89" s="15" customFormat="1" x14ac:dyDescent="0.2"/>
    <row r="90" s="15" customFormat="1" x14ac:dyDescent="0.2"/>
    <row r="91" s="15" customFormat="1" x14ac:dyDescent="0.2"/>
    <row r="92" s="15" customFormat="1" x14ac:dyDescent="0.2"/>
    <row r="93" s="15" customFormat="1" x14ac:dyDescent="0.2"/>
    <row r="94" s="15" customFormat="1" x14ac:dyDescent="0.2"/>
    <row r="95" s="15" customFormat="1" x14ac:dyDescent="0.2"/>
    <row r="96" s="15" customFormat="1" x14ac:dyDescent="0.2"/>
    <row r="97" s="15" customFormat="1" x14ac:dyDescent="0.2"/>
    <row r="98" s="15" customFormat="1" x14ac:dyDescent="0.2"/>
    <row r="99" s="15" customFormat="1" x14ac:dyDescent="0.2"/>
    <row r="100" s="15" customFormat="1" x14ac:dyDescent="0.2"/>
    <row r="101" s="15" customFormat="1" x14ac:dyDescent="0.2"/>
    <row r="102" s="15" customFormat="1" x14ac:dyDescent="0.2"/>
    <row r="103" s="15" customFormat="1" x14ac:dyDescent="0.2"/>
    <row r="104" s="15" customFormat="1" x14ac:dyDescent="0.2"/>
    <row r="105" s="15" customFormat="1" x14ac:dyDescent="0.2"/>
    <row r="106" s="15" customFormat="1" x14ac:dyDescent="0.2"/>
    <row r="107" s="15" customFormat="1" x14ac:dyDescent="0.2"/>
    <row r="108" s="15" customFormat="1" x14ac:dyDescent="0.2"/>
    <row r="109" s="15" customFormat="1" x14ac:dyDescent="0.2"/>
    <row r="110" s="15" customFormat="1" x14ac:dyDescent="0.2"/>
    <row r="111" s="15" customFormat="1" x14ac:dyDescent="0.2"/>
    <row r="112" s="15" customFormat="1" x14ac:dyDescent="0.2"/>
    <row r="113" spans="11:12" s="15" customFormat="1" x14ac:dyDescent="0.2"/>
    <row r="114" spans="11:12" s="15" customFormat="1" x14ac:dyDescent="0.2"/>
    <row r="115" spans="11:12" s="15" customFormat="1" x14ac:dyDescent="0.2"/>
    <row r="116" spans="11:12" s="15" customFormat="1" x14ac:dyDescent="0.2"/>
    <row r="117" spans="11:12" s="15" customFormat="1" x14ac:dyDescent="0.2"/>
    <row r="118" spans="11:12" s="15" customFormat="1" x14ac:dyDescent="0.2">
      <c r="K118" s="89"/>
      <c r="L118" s="89"/>
    </row>
    <row r="119" spans="11:12" s="15" customFormat="1" x14ac:dyDescent="0.2">
      <c r="K119" s="89"/>
      <c r="L119" s="89"/>
    </row>
    <row r="120" spans="11:12" s="15" customFormat="1" x14ac:dyDescent="0.2">
      <c r="K120" s="89"/>
      <c r="L120" s="89"/>
    </row>
  </sheetData>
  <sheetProtection pivotTables="0"/>
  <mergeCells count="16">
    <mergeCell ref="C1:D1"/>
    <mergeCell ref="B3:D3"/>
    <mergeCell ref="I53:J53"/>
    <mergeCell ref="C7:E7"/>
    <mergeCell ref="F7:H7"/>
    <mergeCell ref="C19:E19"/>
    <mergeCell ref="F19:H19"/>
    <mergeCell ref="C63:D63"/>
    <mergeCell ref="B66:D66"/>
    <mergeCell ref="F59:G59"/>
    <mergeCell ref="H59:I59"/>
    <mergeCell ref="B60:D60"/>
    <mergeCell ref="F60:G60"/>
    <mergeCell ref="H60:I60"/>
    <mergeCell ref="H61:I61"/>
    <mergeCell ref="F61:G61"/>
  </mergeCells>
  <conditionalFormatting sqref="J9:J14 J18 J20:J23 J25:J50">
    <cfRule type="cellIs" dxfId="991" priority="20" stopIfTrue="1" operator="notEqual">
      <formula>B9</formula>
    </cfRule>
  </conditionalFormatting>
  <conditionalFormatting sqref="E59:E61">
    <cfRule type="cellIs" dxfId="990" priority="21" stopIfTrue="1" operator="lessThan">
      <formula>0</formula>
    </cfRule>
    <cfRule type="cellIs" dxfId="989" priority="22" stopIfTrue="1" operator="equal">
      <formula>"ERREUR"</formula>
    </cfRule>
    <cfRule type="cellIs" dxfId="988" priority="23" stopIfTrue="1" operator="equal">
      <formula>"N.C."</formula>
    </cfRule>
  </conditionalFormatting>
  <conditionalFormatting sqref="J51">
    <cfRule type="cellIs" dxfId="987" priority="24" stopIfTrue="1" operator="greaterThan">
      <formula>0</formula>
    </cfRule>
  </conditionalFormatting>
  <conditionalFormatting sqref="N38 N47">
    <cfRule type="cellIs" dxfId="986" priority="25" stopIfTrue="1" operator="equal">
      <formula>"N.C."</formula>
    </cfRule>
    <cfRule type="cellIs" dxfId="985" priority="26" stopIfTrue="1" operator="greaterThan">
      <formula>0</formula>
    </cfRule>
  </conditionalFormatting>
  <conditionalFormatting sqref="B63">
    <cfRule type="cellIs" dxfId="984" priority="7" operator="equal">
      <formula>0</formula>
    </cfRule>
  </conditionalFormatting>
  <conditionalFormatting sqref="C19 C9:E9 C11:E11 C13:E13 C15:E15 C17:E17 C21:E21 C23:E23 C25:E25 C27:E27 C29:E29 C31:E31 C33:E33 C35:E35 C37:E37 C39:E39 C41:E41 C43:E43 C45:E45 C47:E47 C49:E49">
    <cfRule type="cellIs" dxfId="983" priority="4" operator="equal">
      <formula>0</formula>
    </cfRule>
  </conditionalFormatting>
  <conditionalFormatting sqref="C10:E10 C12:E12 C14:E14 C16:E16 C18:E18 C20:E20 C22:E22 C24:E24 C26:E26 C28:E28 C30:E30 C32:E32 C34:E34 C36:E36 C38:E38 C40:E40 C42:E42 C44:E44 C46:E46 C48:E48 C50:E50">
    <cfRule type="cellIs" dxfId="982" priority="3" operator="equal">
      <formula>0</formula>
    </cfRule>
  </conditionalFormatting>
  <conditionalFormatting sqref="J9:J50">
    <cfRule type="cellIs" dxfId="981" priority="19" stopIfTrue="1" operator="equal">
      <formula>B9</formula>
    </cfRule>
  </conditionalFormatting>
  <conditionalFormatting sqref="F9:H9 F11:H11 F13:H13 F15:H15 F17:H17 F19:H19 F21:H21 F23:H23 F25:H25 F27:H27 F29:H29 F31:H31 F33:H33 F35:H35 F37:H37 F39:H39 F41:H41 F43:H43 F45:H45 F47:H47 F49:H49">
    <cfRule type="cellIs" dxfId="980" priority="2" operator="equal">
      <formula>0</formula>
    </cfRule>
  </conditionalFormatting>
  <conditionalFormatting sqref="F10:H10 F12:H12 F14:H14 F16:H16 F18:H18 F20:H20 F22:H22 F24:H24 F26:H26 F28:H28 F30:H30 F32:H32 F34:H34 F36:H36 F38:H38 F40:H40 F42:H42 F44:H44 F46:H46 F48:H48 F50:H50">
    <cfRule type="cellIs" dxfId="979" priority="1" operator="equal">
      <formula>0</formula>
    </cfRule>
  </conditionalFormatting>
  <hyperlinks>
    <hyperlink ref="C1:D1" location="notice!A1" display="Cliques → ICI ←"/>
    <hyperlink ref="C63:D63" location="'coût alimentation'!A1" display="Cliques → ICI ←"/>
    <hyperlink ref="F59:G59" location="'entrepôts et local phyto'!A1" display="Cliques → ICI ←"/>
    <hyperlink ref="F60:G60" location="silos!A1" display="Cliques → ICI ←"/>
    <hyperlink ref="F61:G61" location="'aires et silos'!A1" display="Cliques → ICI ←"/>
  </hyperlinks>
  <pageMargins left="0.78740157499999996" right="0.78740157499999996" top="0.984251969" bottom="0.984251969" header="0.5" footer="0.5"/>
  <pageSetup paperSize="9" orientation="portrait" r:id="rId1"/>
  <headerFooter alignWithMargins="0"/>
  <legacyDrawing r:id="rId2"/>
  <tableParts count="1">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BDD!$Y$76:$Y$100</xm:f>
          </x14:formula1>
          <xm:sqref>B6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dimension ref="A1:IW1447"/>
  <sheetViews>
    <sheetView topLeftCell="J34" zoomScale="70" zoomScaleNormal="70" workbookViewId="0">
      <selection activeCell="P69" sqref="P69:AY71"/>
    </sheetView>
  </sheetViews>
  <sheetFormatPr baseColWidth="10" defaultRowHeight="12.75" x14ac:dyDescent="0.2"/>
  <cols>
    <col min="1" max="1" width="39.28515625" style="277" bestFit="1" customWidth="1"/>
    <col min="2" max="2" width="30.5703125" style="290" bestFit="1" customWidth="1"/>
    <col min="3" max="3" width="25.28515625" style="276" bestFit="1" customWidth="1"/>
    <col min="4" max="4" width="26.7109375" style="276" bestFit="1" customWidth="1"/>
    <col min="5" max="5" width="12.85546875" style="276" bestFit="1" customWidth="1"/>
    <col min="6" max="6" width="108.28515625" style="276" bestFit="1" customWidth="1"/>
    <col min="7" max="7" width="15.85546875" style="276" bestFit="1" customWidth="1"/>
    <col min="8" max="8" width="25.7109375" style="276" bestFit="1" customWidth="1"/>
    <col min="9" max="9" width="37.28515625" style="276" bestFit="1" customWidth="1"/>
    <col min="10" max="10" width="27.7109375" style="276" bestFit="1" customWidth="1"/>
    <col min="11" max="11" width="19.7109375" style="276" bestFit="1" customWidth="1"/>
    <col min="12" max="12" width="15.85546875" style="276" bestFit="1" customWidth="1"/>
    <col min="13" max="13" width="23.85546875" style="276" bestFit="1" customWidth="1"/>
    <col min="14" max="14" width="16.7109375" style="276" customWidth="1"/>
    <col min="15" max="15" width="27.7109375" style="276" bestFit="1" customWidth="1"/>
    <col min="16" max="16" width="15.28515625" style="276" bestFit="1" customWidth="1"/>
    <col min="17" max="17" width="17.85546875" style="276" bestFit="1" customWidth="1"/>
    <col min="18" max="18" width="16.85546875" style="276" bestFit="1" customWidth="1"/>
    <col min="19" max="19" width="15.28515625" style="276" bestFit="1" customWidth="1"/>
    <col min="20" max="20" width="18.85546875" style="276" bestFit="1" customWidth="1"/>
    <col min="21" max="21" width="25.42578125" style="276" bestFit="1" customWidth="1"/>
    <col min="22" max="22" width="24.85546875" style="276" bestFit="1" customWidth="1"/>
    <col min="23" max="23" width="15.7109375" style="276" bestFit="1" customWidth="1"/>
    <col min="24" max="24" width="11.140625" style="276" bestFit="1" customWidth="1"/>
    <col min="25" max="25" width="32" style="276" bestFit="1" customWidth="1"/>
    <col min="26" max="26" width="36.85546875" style="276" bestFit="1" customWidth="1"/>
    <col min="27" max="27" width="10.140625" style="276" bestFit="1" customWidth="1"/>
    <col min="28" max="28" width="12.85546875" style="276" bestFit="1" customWidth="1"/>
    <col min="29" max="29" width="8.85546875" style="276" bestFit="1" customWidth="1"/>
    <col min="30" max="30" width="8.28515625" style="276" bestFit="1" customWidth="1"/>
    <col min="31" max="31" width="12.5703125" style="276" bestFit="1" customWidth="1"/>
    <col min="32" max="32" width="15" style="276" bestFit="1" customWidth="1"/>
    <col min="33" max="33" width="7.42578125" style="276" bestFit="1" customWidth="1"/>
    <col min="34" max="34" width="5.7109375" style="276" bestFit="1" customWidth="1"/>
    <col min="35" max="35" width="8.28515625" style="276" bestFit="1" customWidth="1"/>
    <col min="36" max="36" width="11.42578125" style="276" bestFit="1" customWidth="1"/>
    <col min="37" max="37" width="8.28515625" style="276" bestFit="1" customWidth="1"/>
    <col min="38" max="38" width="13" style="276" bestFit="1" customWidth="1"/>
    <col min="39" max="40" width="8.28515625" style="276" bestFit="1" customWidth="1"/>
    <col min="41" max="41" width="9.28515625" style="276" bestFit="1" customWidth="1"/>
    <col min="42" max="42" width="7.140625" style="276" bestFit="1" customWidth="1"/>
    <col min="43" max="43" width="7.42578125" style="276" bestFit="1" customWidth="1"/>
    <col min="44" max="44" width="7.85546875" style="276" bestFit="1" customWidth="1"/>
    <col min="45" max="45" width="7.42578125" style="276" bestFit="1" customWidth="1"/>
    <col min="46" max="46" width="10.140625" style="276" bestFit="1" customWidth="1"/>
    <col min="47" max="47" width="6.42578125" style="276" bestFit="1" customWidth="1"/>
    <col min="48" max="48" width="6.7109375" style="276" bestFit="1" customWidth="1"/>
    <col min="49" max="49" width="11.5703125" style="276" bestFit="1" customWidth="1"/>
    <col min="50" max="50" width="9.5703125" style="276" bestFit="1" customWidth="1"/>
    <col min="51" max="51" width="8.5703125" style="276" bestFit="1" customWidth="1"/>
    <col min="52" max="53" width="16.7109375" style="276" customWidth="1"/>
    <col min="54" max="54" width="58.28515625" style="276" bestFit="1" customWidth="1"/>
    <col min="55" max="55" width="59.140625" style="276" bestFit="1" customWidth="1"/>
    <col min="56" max="56" width="26.42578125" style="276" bestFit="1" customWidth="1"/>
    <col min="57" max="57" width="22.42578125" style="276" bestFit="1" customWidth="1"/>
    <col min="58" max="58" width="58.140625" style="276" bestFit="1" customWidth="1"/>
    <col min="59" max="59" width="48.140625" style="276" bestFit="1" customWidth="1"/>
    <col min="60" max="60" width="17.140625" style="276" bestFit="1" customWidth="1"/>
    <col min="61" max="61" width="42.140625" style="276" bestFit="1" customWidth="1"/>
    <col min="62" max="62" width="15.42578125" style="276" bestFit="1" customWidth="1"/>
    <col min="63" max="63" width="15.42578125" style="281" bestFit="1" customWidth="1"/>
    <col min="64" max="64" width="16.7109375" style="281" customWidth="1"/>
    <col min="65" max="65" width="35.85546875" style="282" bestFit="1" customWidth="1"/>
    <col min="66" max="66" width="20.140625" style="276" bestFit="1" customWidth="1"/>
    <col min="67" max="67" width="18.7109375" style="276" bestFit="1" customWidth="1"/>
    <col min="68" max="69" width="22.42578125" style="276" bestFit="1" customWidth="1"/>
    <col min="70" max="70" width="17.42578125" style="276" bestFit="1" customWidth="1"/>
    <col min="71" max="71" width="17.140625" style="276" bestFit="1" customWidth="1"/>
    <col min="72" max="72" width="16.28515625" style="276" bestFit="1" customWidth="1"/>
    <col min="73" max="73" width="15.42578125" style="276" bestFit="1" customWidth="1"/>
    <col min="74" max="74" width="15.42578125" style="281" bestFit="1" customWidth="1"/>
    <col min="75" max="75" width="16.7109375" style="281" customWidth="1"/>
    <col min="76" max="76" width="58.28515625" style="276" bestFit="1" customWidth="1"/>
    <col min="77" max="77" width="43.5703125" style="276" bestFit="1" customWidth="1"/>
    <col min="78" max="78" width="25.85546875" style="276" bestFit="1" customWidth="1"/>
    <col min="79" max="79" width="22" style="276" bestFit="1" customWidth="1"/>
    <col min="80" max="80" width="34.85546875" style="276" bestFit="1" customWidth="1"/>
    <col min="81" max="81" width="25.42578125" style="276" bestFit="1" customWidth="1"/>
    <col min="82" max="82" width="19.140625" style="281" bestFit="1" customWidth="1"/>
    <col min="83" max="83" width="19.7109375" style="281" bestFit="1" customWidth="1"/>
    <col min="84" max="84" width="19.140625" style="281" bestFit="1" customWidth="1"/>
    <col min="85" max="85" width="12.5703125" style="281" bestFit="1" customWidth="1"/>
    <col min="86" max="86" width="11.7109375" style="281" customWidth="1"/>
    <col min="87" max="87" width="11.42578125" style="276" customWidth="1"/>
    <col min="88" max="88" width="58.28515625" style="277" bestFit="1" customWidth="1"/>
    <col min="89" max="89" width="23" style="276" bestFit="1" customWidth="1"/>
    <col min="90" max="90" width="16.28515625" style="276" bestFit="1" customWidth="1"/>
    <col min="91" max="91" width="37.140625" style="276" bestFit="1" customWidth="1"/>
    <col min="92" max="92" width="34.85546875" style="276" bestFit="1" customWidth="1"/>
    <col min="93" max="93" width="15.42578125" style="276" bestFit="1" customWidth="1"/>
    <col min="94" max="94" width="58.5703125" style="276" bestFit="1" customWidth="1"/>
    <col min="95" max="95" width="15" style="276" bestFit="1" customWidth="1"/>
    <col min="96" max="96" width="11.42578125" style="276" customWidth="1"/>
    <col min="97" max="97" width="59.5703125" style="276" bestFit="1" customWidth="1"/>
    <col min="98" max="98" width="21.42578125" style="276" bestFit="1" customWidth="1"/>
    <col min="99" max="99" width="16" style="276" bestFit="1" customWidth="1"/>
    <col min="100" max="100" width="34.85546875" style="276" bestFit="1" customWidth="1"/>
    <col min="101" max="102" width="15" style="276" bestFit="1" customWidth="1"/>
    <col min="103" max="103" width="11.42578125" style="276" customWidth="1"/>
    <col min="104" max="104" width="59.28515625" style="276" bestFit="1" customWidth="1"/>
    <col min="105" max="105" width="21.140625" style="276" bestFit="1" customWidth="1"/>
    <col min="106" max="106" width="43.5703125" style="276" bestFit="1" customWidth="1"/>
    <col min="107" max="107" width="21.140625" style="276" bestFit="1" customWidth="1"/>
    <col min="108" max="109" width="15" style="276" bestFit="1" customWidth="1"/>
    <col min="110" max="110" width="11.42578125" style="276" customWidth="1"/>
    <col min="111" max="111" width="59.28515625" style="276" bestFit="1" customWidth="1"/>
    <col min="112" max="112" width="21.140625" style="276" bestFit="1" customWidth="1"/>
    <col min="113" max="113" width="16" style="276" bestFit="1" customWidth="1"/>
    <col min="114" max="114" width="21.140625" style="276" bestFit="1" customWidth="1"/>
    <col min="115" max="116" width="15" style="276" bestFit="1" customWidth="1"/>
    <col min="117" max="117" width="11.42578125" style="276" customWidth="1"/>
    <col min="118" max="118" width="58.28515625" style="276" bestFit="1" customWidth="1"/>
    <col min="119" max="119" width="25.85546875" style="276" bestFit="1" customWidth="1"/>
    <col min="120" max="120" width="33" style="276" bestFit="1" customWidth="1"/>
    <col min="121" max="121" width="43.5703125" style="276" bestFit="1" customWidth="1"/>
    <col min="122" max="122" width="25.85546875" style="276" bestFit="1" customWidth="1"/>
    <col min="123" max="123" width="15.42578125" style="281" bestFit="1" customWidth="1"/>
    <col min="124" max="124" width="15.42578125" style="282" bestFit="1" customWidth="1"/>
    <col min="125" max="125" width="13.42578125" style="282" customWidth="1"/>
    <col min="126" max="126" width="28.28515625" style="276" bestFit="1" customWidth="1"/>
    <col min="127" max="127" width="22.42578125" style="276" bestFit="1" customWidth="1"/>
    <col min="128" max="128" width="17.85546875" style="276" bestFit="1" customWidth="1"/>
    <col min="129" max="129" width="22.42578125" style="276" bestFit="1" customWidth="1"/>
    <col min="130" max="130" width="17.85546875" style="276" bestFit="1" customWidth="1"/>
    <col min="131" max="131" width="17.42578125" style="276" bestFit="1" customWidth="1"/>
    <col min="132" max="132" width="17.140625" style="276" bestFit="1" customWidth="1"/>
    <col min="133" max="133" width="55.42578125" style="276" bestFit="1" customWidth="1"/>
    <col min="134" max="135" width="15.42578125" style="281" bestFit="1" customWidth="1"/>
    <col min="136" max="136" width="11.42578125" style="276"/>
    <col min="137" max="137" width="58.28515625" style="276" bestFit="1" customWidth="1"/>
    <col min="138" max="138" width="21.140625" style="276" bestFit="1" customWidth="1"/>
    <col min="139" max="139" width="52.85546875" style="276" bestFit="1" customWidth="1"/>
    <col min="140" max="140" width="47.7109375" style="276" bestFit="1" customWidth="1"/>
    <col min="141" max="142" width="15.42578125" style="281" bestFit="1" customWidth="1"/>
    <col min="143" max="143" width="11.42578125" style="276"/>
    <col min="144" max="144" width="58.28515625" style="276" bestFit="1" customWidth="1"/>
    <col min="145" max="145" width="21.140625" style="276" bestFit="1" customWidth="1"/>
    <col min="146" max="146" width="52.85546875" style="276" bestFit="1" customWidth="1"/>
    <col min="147" max="147" width="47.7109375" style="276" bestFit="1" customWidth="1"/>
    <col min="148" max="149" width="15.42578125" style="281" bestFit="1" customWidth="1"/>
    <col min="150" max="150" width="11.42578125" style="276"/>
    <col min="151" max="151" width="59.7109375" style="276" bestFit="1" customWidth="1"/>
    <col min="152" max="152" width="22.85546875" style="276" bestFit="1" customWidth="1"/>
    <col min="153" max="153" width="17.85546875" style="276" bestFit="1" customWidth="1"/>
    <col min="154" max="154" width="43.5703125" style="276" bestFit="1" customWidth="1"/>
    <col min="155" max="155" width="17.85546875" style="276" bestFit="1" customWidth="1"/>
    <col min="156" max="156" width="17.42578125" style="281" bestFit="1" customWidth="1"/>
    <col min="157" max="157" width="34.85546875" style="281" bestFit="1" customWidth="1"/>
    <col min="158" max="158" width="12.85546875" style="281" bestFit="1" customWidth="1"/>
    <col min="159" max="159" width="11.42578125" style="276"/>
    <col min="160" max="160" width="59.7109375" style="276" bestFit="1" customWidth="1"/>
    <col min="161" max="161" width="22.85546875" style="276" bestFit="1" customWidth="1"/>
    <col min="162" max="162" width="17.85546875" style="276" bestFit="1" customWidth="1"/>
    <col min="163" max="163" width="43.5703125" style="276" bestFit="1" customWidth="1"/>
    <col min="164" max="164" width="17.85546875" style="276" bestFit="1" customWidth="1"/>
    <col min="165" max="165" width="17.42578125" style="281" bestFit="1" customWidth="1"/>
    <col min="166" max="166" width="34.85546875" style="281" bestFit="1" customWidth="1"/>
    <col min="167" max="167" width="12.85546875" style="281" bestFit="1" customWidth="1"/>
    <col min="168" max="168" width="11.42578125" style="281"/>
    <col min="169" max="169" width="11.42578125" style="276"/>
    <col min="170" max="170" width="59.7109375" style="276" bestFit="1" customWidth="1"/>
    <col min="171" max="171" width="22.85546875" style="276" bestFit="1" customWidth="1"/>
    <col min="172" max="172" width="17.85546875" style="276" bestFit="1" customWidth="1"/>
    <col min="173" max="173" width="43.5703125" style="276" bestFit="1" customWidth="1"/>
    <col min="174" max="174" width="17.85546875" style="276" bestFit="1" customWidth="1"/>
    <col min="175" max="175" width="17.42578125" style="281" bestFit="1" customWidth="1"/>
    <col min="176" max="176" width="34.85546875" style="281" bestFit="1" customWidth="1"/>
    <col min="177" max="177" width="12.85546875" style="281" bestFit="1" customWidth="1"/>
    <col min="178" max="178" width="11.42578125" style="281"/>
    <col min="179" max="179" width="41.7109375" style="276" bestFit="1" customWidth="1"/>
    <col min="180" max="180" width="21.140625" style="276" bestFit="1" customWidth="1"/>
    <col min="181" max="181" width="16" style="276" bestFit="1" customWidth="1"/>
    <col min="182" max="182" width="21.140625" style="276" bestFit="1" customWidth="1"/>
    <col min="183" max="183" width="15.42578125" style="281" bestFit="1" customWidth="1"/>
    <col min="184" max="184" width="21" style="276" bestFit="1" customWidth="1"/>
    <col min="185" max="185" width="15" style="276" bestFit="1" customWidth="1"/>
    <col min="186" max="186" width="11.42578125" style="276"/>
    <col min="187" max="187" width="27.7109375" style="276" bestFit="1" customWidth="1"/>
    <col min="188" max="188" width="21.140625" style="276" bestFit="1" customWidth="1"/>
    <col min="189" max="189" width="27.7109375" style="276" bestFit="1" customWidth="1"/>
    <col min="190" max="190" width="17.7109375" style="276" bestFit="1" customWidth="1"/>
    <col min="191" max="191" width="20.140625" style="276" bestFit="1" customWidth="1"/>
    <col min="192" max="192" width="32.85546875" style="276" bestFit="1" customWidth="1"/>
    <col min="193" max="193" width="19.140625" style="276" bestFit="1" customWidth="1"/>
    <col min="194" max="194" width="16.42578125" style="276" bestFit="1" customWidth="1"/>
    <col min="195" max="195" width="25" style="276" bestFit="1" customWidth="1"/>
    <col min="196" max="196" width="14.42578125" style="276" bestFit="1" customWidth="1"/>
    <col min="197" max="197" width="26.7109375" style="276" bestFit="1" customWidth="1"/>
    <col min="198" max="198" width="12.140625" style="276" bestFit="1" customWidth="1"/>
    <col min="199" max="199" width="16" style="276" bestFit="1" customWidth="1"/>
    <col min="200" max="200" width="19.28515625" style="276" bestFit="1" customWidth="1"/>
    <col min="201" max="201" width="27.42578125" style="276" bestFit="1" customWidth="1"/>
    <col min="202" max="202" width="13.140625" style="276" bestFit="1" customWidth="1"/>
    <col min="203" max="203" width="14.28515625" style="276" bestFit="1" customWidth="1"/>
    <col min="204" max="204" width="26.42578125" style="276" bestFit="1" customWidth="1"/>
    <col min="205" max="206" width="11.42578125" style="276"/>
    <col min="207" max="207" width="39.140625" style="276" bestFit="1" customWidth="1"/>
    <col min="208" max="208" width="11.42578125" style="276"/>
    <col min="209" max="209" width="4.42578125" style="276" bestFit="1" customWidth="1"/>
    <col min="210" max="210" width="7.7109375" style="276" bestFit="1" customWidth="1"/>
    <col min="211" max="212" width="11.42578125" style="276"/>
    <col min="213" max="213" width="8.7109375" style="276" bestFit="1" customWidth="1"/>
    <col min="214" max="214" width="22.42578125" style="276" bestFit="1" customWidth="1"/>
    <col min="215" max="215" width="27.7109375" style="276" bestFit="1" customWidth="1"/>
    <col min="216" max="216" width="14" style="276" bestFit="1" customWidth="1"/>
    <col min="217" max="217" width="17.7109375" style="276" bestFit="1" customWidth="1"/>
    <col min="218" max="218" width="11.42578125" style="276"/>
    <col min="219" max="219" width="32.85546875" style="276" bestFit="1" customWidth="1"/>
    <col min="220" max="220" width="9.140625" style="276" bestFit="1" customWidth="1"/>
    <col min="221" max="221" width="12.85546875" style="276" bestFit="1" customWidth="1"/>
    <col min="222" max="222" width="37.28515625" style="276" bestFit="1" customWidth="1"/>
    <col min="223" max="223" width="10.140625" style="276" bestFit="1" customWidth="1"/>
    <col min="224" max="225" width="10.5703125" style="276" bestFit="1" customWidth="1"/>
    <col min="226" max="226" width="10.28515625" style="276" bestFit="1" customWidth="1"/>
    <col min="227" max="228" width="11.140625" style="276" bestFit="1" customWidth="1"/>
    <col min="229" max="229" width="9.28515625" style="276" bestFit="1" customWidth="1"/>
    <col min="230" max="230" width="8.85546875" style="276" bestFit="1" customWidth="1"/>
    <col min="231" max="231" width="10.28515625" style="276" bestFit="1" customWidth="1"/>
    <col min="232" max="232" width="10.140625" style="276" bestFit="1" customWidth="1"/>
    <col min="233" max="233" width="12.5703125" style="276" bestFit="1" customWidth="1"/>
    <col min="234" max="234" width="12" style="276" bestFit="1" customWidth="1"/>
    <col min="235" max="235" width="10.28515625" style="276" bestFit="1" customWidth="1"/>
    <col min="236" max="236" width="13.140625" style="276" bestFit="1" customWidth="1"/>
    <col min="237" max="237" width="11.140625" style="276" bestFit="1" customWidth="1"/>
    <col min="238" max="238" width="6.85546875" style="276" bestFit="1" customWidth="1"/>
    <col min="239" max="239" width="9.140625" style="276" bestFit="1" customWidth="1"/>
    <col min="240" max="240" width="8.85546875" style="276" bestFit="1" customWidth="1"/>
    <col min="241" max="241" width="10.28515625" style="276" bestFit="1" customWidth="1"/>
    <col min="242" max="16384" width="11.42578125" style="276"/>
  </cols>
  <sheetData>
    <row r="1" spans="1:229" ht="12.75" customHeight="1" x14ac:dyDescent="0.2">
      <c r="A1" s="278"/>
      <c r="B1" s="279"/>
      <c r="Q1" s="280" t="s">
        <v>852</v>
      </c>
      <c r="R1" s="280" t="s">
        <v>853</v>
      </c>
      <c r="GE1" s="280" t="s">
        <v>77</v>
      </c>
      <c r="GF1" s="423" t="s">
        <v>78</v>
      </c>
      <c r="GG1" s="280" t="s">
        <v>389</v>
      </c>
      <c r="GH1" s="280" t="s">
        <v>225</v>
      </c>
      <c r="GI1" s="423" t="s">
        <v>229</v>
      </c>
      <c r="GJ1" s="280" t="s">
        <v>263</v>
      </c>
      <c r="GK1" s="280" t="s">
        <v>221</v>
      </c>
      <c r="GL1" s="280" t="s">
        <v>222</v>
      </c>
      <c r="GM1" s="280" t="s">
        <v>188</v>
      </c>
      <c r="GN1" s="280" t="s">
        <v>150</v>
      </c>
      <c r="GO1" s="280" t="s">
        <v>427</v>
      </c>
      <c r="GP1" s="280" t="s">
        <v>260</v>
      </c>
      <c r="GQ1" s="280" t="s">
        <v>158</v>
      </c>
      <c r="GR1" s="280" t="s">
        <v>454</v>
      </c>
      <c r="GS1" s="280" t="s">
        <v>81</v>
      </c>
      <c r="GT1" s="280" t="s">
        <v>205</v>
      </c>
      <c r="GU1" s="280" t="s">
        <v>200</v>
      </c>
      <c r="GV1" s="280" t="s">
        <v>455</v>
      </c>
      <c r="GY1" s="335" t="s">
        <v>1038</v>
      </c>
      <c r="GZ1" s="335"/>
      <c r="HA1" s="335"/>
      <c r="HB1" s="335"/>
      <c r="HE1" s="283" t="str">
        <f>Belgique</f>
        <v>Belgique</v>
      </c>
      <c r="HF1" s="283" t="str">
        <f>CANADA</f>
        <v>Canada</v>
      </c>
      <c r="HG1" s="283" t="str">
        <f>France</f>
        <v>France</v>
      </c>
      <c r="HH1" s="283" t="str">
        <f>USA</f>
        <v>Etats-Unis</v>
      </c>
      <c r="HI1" s="283" t="str">
        <f>Suisse</f>
        <v>Suisse</v>
      </c>
    </row>
    <row r="2" spans="1:229" ht="12.75" customHeight="1" x14ac:dyDescent="0.2">
      <c r="A2" s="276"/>
      <c r="B2" s="276"/>
      <c r="D2" s="278"/>
      <c r="E2" s="279"/>
      <c r="J2" s="384" t="s">
        <v>1109</v>
      </c>
      <c r="L2" s="384" t="s">
        <v>148</v>
      </c>
      <c r="M2" s="384" t="s">
        <v>22</v>
      </c>
      <c r="P2" s="280" t="s">
        <v>847</v>
      </c>
      <c r="Q2" s="280">
        <v>3</v>
      </c>
      <c r="R2" s="280">
        <v>18</v>
      </c>
      <c r="CJ2" s="276"/>
      <c r="CM2" s="277"/>
      <c r="GB2" s="283" t="s">
        <v>919</v>
      </c>
      <c r="GE2" s="280" t="s">
        <v>328</v>
      </c>
      <c r="GF2" s="423" t="s">
        <v>454</v>
      </c>
      <c r="GG2" s="280" t="s">
        <v>82</v>
      </c>
      <c r="GH2" s="280" t="s">
        <v>225</v>
      </c>
      <c r="GI2" s="423" t="s">
        <v>178</v>
      </c>
      <c r="GJ2" s="280" t="s">
        <v>1168</v>
      </c>
      <c r="GK2" s="280" t="s">
        <v>272</v>
      </c>
      <c r="GL2" s="280" t="s">
        <v>951</v>
      </c>
      <c r="GM2" s="280" t="s">
        <v>182</v>
      </c>
      <c r="GN2" s="280" t="s">
        <v>151</v>
      </c>
      <c r="GO2" s="280" t="s">
        <v>428</v>
      </c>
      <c r="GP2" s="280" t="s">
        <v>155</v>
      </c>
      <c r="GQ2" s="280" t="s">
        <v>159</v>
      </c>
      <c r="GR2" s="280" t="s">
        <v>223</v>
      </c>
      <c r="GS2" s="280" t="s">
        <v>952</v>
      </c>
      <c r="GT2" s="280" t="s">
        <v>203</v>
      </c>
      <c r="GU2" s="280" t="s">
        <v>201</v>
      </c>
      <c r="GV2" s="280" t="s">
        <v>456</v>
      </c>
      <c r="GY2" s="335"/>
      <c r="GZ2" s="335"/>
      <c r="HA2" s="336" t="s">
        <v>1039</v>
      </c>
      <c r="HB2" s="336" t="s">
        <v>300</v>
      </c>
      <c r="HE2" s="280" t="str">
        <f>O65</f>
        <v>Wallonie</v>
      </c>
      <c r="HF2" s="423" t="str">
        <f t="shared" ref="HF2:HF11" si="0">O13</f>
        <v>Terre-Neuve et Labrador</v>
      </c>
      <c r="HG2" s="280" t="str">
        <f>O41</f>
        <v>Alsace</v>
      </c>
      <c r="HH2" s="280" t="str">
        <f t="shared" ref="HH2:HH8" si="1">O25</f>
        <v>Alaska</v>
      </c>
      <c r="HI2" s="280" t="str">
        <f>O69</f>
        <v>Suisse Romande</v>
      </c>
      <c r="HK2" s="283" t="s">
        <v>1099</v>
      </c>
      <c r="HN2" s="283" t="s">
        <v>1080</v>
      </c>
    </row>
    <row r="3" spans="1:229" ht="12.75" customHeight="1" x14ac:dyDescent="0.2">
      <c r="A3" s="284" t="s">
        <v>498</v>
      </c>
      <c r="B3" s="285">
        <v>0.08</v>
      </c>
      <c r="D3" s="278"/>
      <c r="E3" s="279"/>
      <c r="F3" s="466"/>
      <c r="G3" s="471"/>
      <c r="J3" s="384" t="s">
        <v>1110</v>
      </c>
      <c r="L3" s="384" t="s">
        <v>163</v>
      </c>
      <c r="M3" s="384" t="s">
        <v>23</v>
      </c>
      <c r="P3" s="280" t="s">
        <v>220</v>
      </c>
      <c r="Q3" s="280" t="s">
        <v>489</v>
      </c>
      <c r="R3" s="280" t="s">
        <v>376</v>
      </c>
      <c r="S3" s="280" t="s">
        <v>490</v>
      </c>
      <c r="T3" s="280" t="s">
        <v>377</v>
      </c>
      <c r="U3" s="280" t="s">
        <v>70</v>
      </c>
      <c r="V3" s="280" t="s">
        <v>378</v>
      </c>
      <c r="W3" s="280" t="s">
        <v>268</v>
      </c>
      <c r="X3" s="280" t="s">
        <v>269</v>
      </c>
      <c r="Y3" s="280" t="s">
        <v>392</v>
      </c>
      <c r="Z3" s="280" t="s">
        <v>500</v>
      </c>
      <c r="AA3" s="280" t="s">
        <v>231</v>
      </c>
      <c r="AB3" s="280" t="s">
        <v>232</v>
      </c>
      <c r="AC3" s="280" t="s">
        <v>233</v>
      </c>
      <c r="AD3" s="280" t="s">
        <v>57</v>
      </c>
      <c r="AE3" s="280" t="s">
        <v>58</v>
      </c>
      <c r="AF3" s="280" t="s">
        <v>59</v>
      </c>
      <c r="AG3" s="517" t="s">
        <v>837</v>
      </c>
      <c r="AH3" s="518"/>
      <c r="AI3" s="280" t="s">
        <v>265</v>
      </c>
      <c r="AJ3" s="280" t="s">
        <v>266</v>
      </c>
      <c r="AK3" s="280" t="s">
        <v>267</v>
      </c>
      <c r="AL3" s="280" t="s">
        <v>488</v>
      </c>
      <c r="AM3" s="280" t="s">
        <v>379</v>
      </c>
      <c r="AN3" s="280" t="s">
        <v>44</v>
      </c>
      <c r="AO3" s="280" t="s">
        <v>1058</v>
      </c>
      <c r="AP3" s="280" t="s">
        <v>1059</v>
      </c>
      <c r="AQ3" s="280" t="s">
        <v>1060</v>
      </c>
      <c r="AR3" s="280" t="s">
        <v>1061</v>
      </c>
      <c r="AS3" s="280" t="s">
        <v>1062</v>
      </c>
      <c r="AT3" s="280" t="s">
        <v>1063</v>
      </c>
      <c r="AU3" s="280" t="s">
        <v>1085</v>
      </c>
      <c r="AV3" s="280" t="s">
        <v>1086</v>
      </c>
      <c r="AW3" s="280" t="s">
        <v>1087</v>
      </c>
      <c r="AX3" s="280" t="s">
        <v>1088</v>
      </c>
      <c r="AY3" s="280" t="s">
        <v>1089</v>
      </c>
      <c r="BC3" s="291" t="s">
        <v>99</v>
      </c>
      <c r="BD3" s="286" t="s">
        <v>533</v>
      </c>
      <c r="BF3" s="283" t="s">
        <v>535</v>
      </c>
      <c r="BG3" s="283" t="s">
        <v>536</v>
      </c>
      <c r="BN3" s="283" t="s">
        <v>417</v>
      </c>
      <c r="BO3" s="283" t="s">
        <v>534</v>
      </c>
      <c r="BP3" s="283" t="s">
        <v>535</v>
      </c>
      <c r="BQ3" s="283" t="s">
        <v>537</v>
      </c>
      <c r="BS3" s="280" t="s">
        <v>844</v>
      </c>
      <c r="BY3" s="283" t="s">
        <v>100</v>
      </c>
      <c r="BZ3" s="283" t="s">
        <v>538</v>
      </c>
      <c r="CA3" s="283" t="s">
        <v>535</v>
      </c>
      <c r="CB3" s="283" t="s">
        <v>536</v>
      </c>
      <c r="CJ3" s="283" t="s">
        <v>126</v>
      </c>
      <c r="CK3" s="283" t="s">
        <v>558</v>
      </c>
      <c r="CL3" s="283" t="s">
        <v>864</v>
      </c>
      <c r="CM3" s="283" t="s">
        <v>919</v>
      </c>
      <c r="CO3" s="283" t="s">
        <v>969</v>
      </c>
      <c r="CS3" s="283" t="s">
        <v>102</v>
      </c>
      <c r="CT3" s="283" t="s">
        <v>570</v>
      </c>
      <c r="CU3" s="283" t="s">
        <v>969</v>
      </c>
      <c r="CV3" s="283" t="s">
        <v>865</v>
      </c>
      <c r="CW3" s="283" t="s">
        <v>862</v>
      </c>
      <c r="CZ3" s="283" t="s">
        <v>580</v>
      </c>
      <c r="DA3" s="283" t="s">
        <v>538</v>
      </c>
      <c r="DB3" s="283" t="s">
        <v>864</v>
      </c>
      <c r="DC3" s="283" t="s">
        <v>919</v>
      </c>
      <c r="DG3" s="283" t="s">
        <v>164</v>
      </c>
      <c r="DH3" s="283" t="s">
        <v>538</v>
      </c>
      <c r="DI3" s="283" t="s">
        <v>864</v>
      </c>
      <c r="DJ3" s="283" t="s">
        <v>919</v>
      </c>
      <c r="DN3" s="283" t="s">
        <v>101</v>
      </c>
      <c r="DO3" s="283" t="s">
        <v>538</v>
      </c>
      <c r="DP3" s="283" t="s">
        <v>535</v>
      </c>
      <c r="DQ3" s="283" t="s">
        <v>536</v>
      </c>
      <c r="DV3" s="283" t="s">
        <v>475</v>
      </c>
      <c r="DW3" s="283" t="s">
        <v>626</v>
      </c>
      <c r="DZ3" s="283" t="s">
        <v>865</v>
      </c>
      <c r="EA3" s="283" t="s">
        <v>868</v>
      </c>
      <c r="EC3" s="283" t="s">
        <v>628</v>
      </c>
      <c r="ED3" s="276"/>
      <c r="EG3" s="283" t="s">
        <v>198</v>
      </c>
      <c r="EH3" s="283" t="s">
        <v>634</v>
      </c>
      <c r="EI3" s="283" t="s">
        <v>864</v>
      </c>
      <c r="EK3" s="287" t="s">
        <v>919</v>
      </c>
      <c r="EN3" s="283" t="s">
        <v>199</v>
      </c>
      <c r="EO3" s="283" t="s">
        <v>657</v>
      </c>
      <c r="EP3" s="283" t="s">
        <v>864</v>
      </c>
      <c r="EQ3" s="283" t="s">
        <v>919</v>
      </c>
      <c r="EU3" s="283" t="s">
        <v>666</v>
      </c>
      <c r="EV3" s="283" t="s">
        <v>534</v>
      </c>
      <c r="EX3" s="283" t="s">
        <v>866</v>
      </c>
      <c r="FD3" s="283" t="s">
        <v>713</v>
      </c>
      <c r="FE3" s="283" t="s">
        <v>728</v>
      </c>
      <c r="FG3" s="283" t="s">
        <v>866</v>
      </c>
      <c r="FN3" s="283" t="s">
        <v>20</v>
      </c>
      <c r="FO3" s="283" t="s">
        <v>757</v>
      </c>
      <c r="FQ3" s="283" t="s">
        <v>866</v>
      </c>
      <c r="FW3" s="283" t="s">
        <v>809</v>
      </c>
      <c r="GB3" s="280" t="s">
        <v>939</v>
      </c>
      <c r="GE3" s="280" t="s">
        <v>391</v>
      </c>
      <c r="GF3" s="423" t="s">
        <v>188</v>
      </c>
      <c r="GG3" s="280" t="s">
        <v>288</v>
      </c>
      <c r="GH3" s="280" t="s">
        <v>226</v>
      </c>
      <c r="GI3" s="423" t="s">
        <v>381</v>
      </c>
      <c r="GJ3" s="280" t="s">
        <v>1169</v>
      </c>
      <c r="GK3" s="280" t="s">
        <v>270</v>
      </c>
      <c r="GL3" s="283" t="s">
        <v>955</v>
      </c>
      <c r="GM3" s="280" t="s">
        <v>161</v>
      </c>
      <c r="GN3" s="280" t="s">
        <v>152</v>
      </c>
      <c r="GO3" s="280" t="s">
        <v>429</v>
      </c>
      <c r="GP3" s="280" t="s">
        <v>156</v>
      </c>
      <c r="GQ3" s="280" t="s">
        <v>160</v>
      </c>
      <c r="GR3" s="280" t="s">
        <v>224</v>
      </c>
      <c r="GS3" s="280" t="s">
        <v>953</v>
      </c>
      <c r="GT3" s="280" t="s">
        <v>204</v>
      </c>
      <c r="GU3" s="280" t="s">
        <v>202</v>
      </c>
      <c r="GV3" s="280" t="s">
        <v>457</v>
      </c>
      <c r="GY3" s="444" t="str">
        <f>GJ2</f>
        <v>balles de foin 250kg BQ</v>
      </c>
      <c r="GZ3" s="444"/>
      <c r="HA3" s="342" t="e">
        <f t="shared" ref="HA3" si="2">SUMIF(TypeArticleDansEntrepôt,GY3,QtéArticleDansEntrepôt)</f>
        <v>#REF!</v>
      </c>
      <c r="HB3" s="342" t="e">
        <f>IF(COUNTIF(TypeArticleDansEntrepôt,GY3)=0,0,SUMIF(TypeArticleDansEntrepôt,GY3,QtéArticleDansEntrepôt)*VLOOKUP(GY3,#REF!,2,FALSE))</f>
        <v>#REF!</v>
      </c>
      <c r="HE3" s="280" t="str">
        <f>O66</f>
        <v>Flandre</v>
      </c>
      <c r="HF3" s="423" t="str">
        <f t="shared" si="0"/>
        <v>Ile-du-Prince-Edouard</v>
      </c>
      <c r="HG3" s="280" t="str">
        <f t="shared" ref="HG3:HG23" si="3">O42</f>
        <v>Aquitaine</v>
      </c>
      <c r="HH3" s="280" t="str">
        <f t="shared" si="1"/>
        <v>Côte Pacifique</v>
      </c>
      <c r="HI3" s="280" t="str">
        <f t="shared" ref="HI3:HI4" si="4">O70</f>
        <v>Suisse Alémanique</v>
      </c>
      <c r="HK3" s="280" t="s">
        <v>1043</v>
      </c>
      <c r="HL3" s="288">
        <v>95</v>
      </c>
      <c r="HO3" s="289" t="s">
        <v>1049</v>
      </c>
      <c r="HP3" s="289" t="s">
        <v>383</v>
      </c>
      <c r="HQ3" s="289" t="s">
        <v>383</v>
      </c>
      <c r="HR3" s="289" t="s">
        <v>383</v>
      </c>
      <c r="HS3" s="289" t="s">
        <v>383</v>
      </c>
      <c r="HT3" s="289" t="s">
        <v>383</v>
      </c>
      <c r="HU3" s="289" t="s">
        <v>383</v>
      </c>
    </row>
    <row r="4" spans="1:229" ht="12.75" customHeight="1" x14ac:dyDescent="0.2">
      <c r="F4" s="468"/>
      <c r="G4" s="465"/>
      <c r="J4" s="384" t="s">
        <v>1111</v>
      </c>
      <c r="M4" s="229"/>
      <c r="P4" s="280" t="s">
        <v>820</v>
      </c>
      <c r="Q4" s="280" t="s">
        <v>820</v>
      </c>
      <c r="R4" s="280" t="s">
        <v>821</v>
      </c>
      <c r="S4" s="280" t="s">
        <v>820</v>
      </c>
      <c r="T4" s="280" t="s">
        <v>821</v>
      </c>
      <c r="U4" s="280" t="s">
        <v>820</v>
      </c>
      <c r="V4" s="280" t="s">
        <v>821</v>
      </c>
      <c r="W4" s="280" t="s">
        <v>821</v>
      </c>
      <c r="X4" s="280" t="s">
        <v>821</v>
      </c>
      <c r="Y4" s="280" t="s">
        <v>834</v>
      </c>
      <c r="Z4" s="280" t="s">
        <v>821</v>
      </c>
      <c r="AA4" s="280" t="s">
        <v>835</v>
      </c>
      <c r="AB4" s="280" t="s">
        <v>835</v>
      </c>
      <c r="AC4" s="280" t="s">
        <v>821</v>
      </c>
      <c r="AD4" s="280" t="s">
        <v>835</v>
      </c>
      <c r="AE4" s="280" t="s">
        <v>836</v>
      </c>
      <c r="AF4" s="280" t="s">
        <v>834</v>
      </c>
      <c r="AG4" s="517" t="s">
        <v>820</v>
      </c>
      <c r="AH4" s="518"/>
      <c r="AI4" s="280" t="s">
        <v>835</v>
      </c>
      <c r="AJ4" s="280" t="s">
        <v>838</v>
      </c>
      <c r="AK4" s="280" t="s">
        <v>821</v>
      </c>
      <c r="AL4" s="280" t="s">
        <v>821</v>
      </c>
      <c r="AM4" s="280" t="s">
        <v>835</v>
      </c>
      <c r="AN4" s="280" t="s">
        <v>835</v>
      </c>
      <c r="AO4" s="280"/>
      <c r="AP4" s="280"/>
      <c r="AQ4" s="280"/>
      <c r="AR4" s="280"/>
      <c r="AS4" s="280"/>
      <c r="AT4" s="280"/>
      <c r="AU4" s="280"/>
      <c r="AV4" s="280"/>
      <c r="AW4" s="280"/>
      <c r="AX4" s="280"/>
      <c r="AY4" s="280"/>
      <c r="BC4" s="291" t="s">
        <v>127</v>
      </c>
      <c r="BD4" s="290"/>
      <c r="BS4" s="280" t="s">
        <v>843</v>
      </c>
      <c r="CA4" s="280" t="s">
        <v>969</v>
      </c>
      <c r="CJ4" s="280" t="s">
        <v>127</v>
      </c>
      <c r="CL4" s="280" t="s">
        <v>70</v>
      </c>
      <c r="CM4" s="280" t="s">
        <v>920</v>
      </c>
      <c r="CO4" s="280">
        <v>10</v>
      </c>
      <c r="CS4" s="283" t="s">
        <v>576</v>
      </c>
      <c r="CT4" s="287">
        <v>20</v>
      </c>
      <c r="CU4" s="283">
        <v>10</v>
      </c>
      <c r="CV4" s="280" t="s">
        <v>70</v>
      </c>
      <c r="CW4" s="280" t="s">
        <v>232</v>
      </c>
      <c r="CZ4" s="280" t="str">
        <f>IF(ChoixPaysPartie="","","intensif")</f>
        <v>intensif</v>
      </c>
      <c r="DB4" s="280" t="s">
        <v>70</v>
      </c>
      <c r="DC4" s="280" t="s">
        <v>927</v>
      </c>
      <c r="DG4" s="280" t="str">
        <f>IF(ChoixPaysPartie="","","intensif")</f>
        <v>intensif</v>
      </c>
      <c r="DI4" s="280" t="s">
        <v>70</v>
      </c>
      <c r="DJ4" s="280" t="s">
        <v>928</v>
      </c>
      <c r="DV4" s="283" t="s">
        <v>535</v>
      </c>
      <c r="DW4" s="283" t="s">
        <v>537</v>
      </c>
      <c r="DZ4" s="280" t="s">
        <v>70</v>
      </c>
      <c r="EA4" s="280" t="s">
        <v>57</v>
      </c>
      <c r="EC4" s="280" t="s">
        <v>629</v>
      </c>
      <c r="ED4" s="280">
        <v>1</v>
      </c>
      <c r="EI4" s="280" t="s">
        <v>70</v>
      </c>
      <c r="EK4" s="431" t="s">
        <v>1018</v>
      </c>
      <c r="EP4" s="280" t="s">
        <v>70</v>
      </c>
      <c r="EQ4" s="373" t="s">
        <v>936</v>
      </c>
      <c r="EU4" s="283" t="s">
        <v>535</v>
      </c>
      <c r="EV4" s="283" t="s">
        <v>785</v>
      </c>
      <c r="EX4" s="280" t="s">
        <v>1022</v>
      </c>
      <c r="FD4" s="283" t="s">
        <v>535</v>
      </c>
      <c r="FE4" s="283" t="s">
        <v>785</v>
      </c>
      <c r="FG4" s="280" t="s">
        <v>1022</v>
      </c>
      <c r="FN4" s="283" t="s">
        <v>535</v>
      </c>
      <c r="FO4" s="283" t="s">
        <v>785</v>
      </c>
      <c r="FQ4" s="280" t="s">
        <v>1022</v>
      </c>
      <c r="GB4" s="280" t="s">
        <v>940</v>
      </c>
      <c r="GE4" s="280" t="s">
        <v>136</v>
      </c>
      <c r="GF4" s="423" t="s">
        <v>263</v>
      </c>
      <c r="GG4" s="280" t="s">
        <v>289</v>
      </c>
      <c r="GH4" s="280" t="s">
        <v>28</v>
      </c>
      <c r="GI4" s="423" t="s">
        <v>380</v>
      </c>
      <c r="GJ4" s="280" t="s">
        <v>1170</v>
      </c>
      <c r="GK4" s="280" t="s">
        <v>271</v>
      </c>
      <c r="GL4" s="283" t="s">
        <v>955</v>
      </c>
      <c r="GM4" s="280" t="s">
        <v>261</v>
      </c>
      <c r="GN4" s="280" t="s">
        <v>153</v>
      </c>
      <c r="GO4" s="280" t="s">
        <v>430</v>
      </c>
      <c r="GP4" s="280" t="s">
        <v>157</v>
      </c>
      <c r="GQ4" s="283" t="s">
        <v>955</v>
      </c>
      <c r="GR4" s="280" t="s">
        <v>61</v>
      </c>
      <c r="GS4" s="280" t="s">
        <v>954</v>
      </c>
      <c r="GT4" s="283" t="s">
        <v>955</v>
      </c>
      <c r="GU4" s="283" t="s">
        <v>955</v>
      </c>
      <c r="GV4" s="280" t="s">
        <v>458</v>
      </c>
      <c r="GY4" s="444" t="str">
        <f t="shared" ref="GY4:GY23" si="5">GJ3</f>
        <v>balles de foin 300kg BQ</v>
      </c>
      <c r="GZ4" s="444"/>
      <c r="HA4" s="342" t="e">
        <f t="shared" ref="HA4:HA23" si="6">SUMIF(TypeArticleDansEntrepôt,GY4,QtéArticleDansEntrepôt)</f>
        <v>#REF!</v>
      </c>
      <c r="HB4" s="342" t="e">
        <f>IF(COUNTIF(TypeArticleDansEntrepôt,GY4)=0,0,SUMIF(TypeArticleDansEntrepôt,GY4,QtéArticleDansEntrepôt)*VLOOKUP(GY4,#REF!,2,FALSE))</f>
        <v>#REF!</v>
      </c>
      <c r="HF4" s="423" t="str">
        <f t="shared" si="0"/>
        <v>Nouvelle-Ecosse</v>
      </c>
      <c r="HG4" s="280" t="str">
        <f t="shared" si="3"/>
        <v>Auvergne</v>
      </c>
      <c r="HH4" s="280" t="str">
        <f t="shared" si="1"/>
        <v>Nord-Ouest</v>
      </c>
      <c r="HI4" s="280" t="str">
        <f t="shared" si="4"/>
        <v>Suisse Italienne</v>
      </c>
      <c r="HK4" s="280" t="s">
        <v>377</v>
      </c>
      <c r="HL4" s="288">
        <v>95</v>
      </c>
      <c r="HO4" s="289" t="s">
        <v>1050</v>
      </c>
      <c r="HP4" s="289" t="s">
        <v>1051</v>
      </c>
      <c r="HQ4" s="289" t="s">
        <v>1052</v>
      </c>
      <c r="HR4" s="289" t="s">
        <v>1053</v>
      </c>
      <c r="HS4" s="289" t="s">
        <v>1054</v>
      </c>
      <c r="HT4" s="289" t="s">
        <v>1055</v>
      </c>
      <c r="HU4" s="289" t="s">
        <v>1056</v>
      </c>
    </row>
    <row r="5" spans="1:229" ht="12.75" customHeight="1" x14ac:dyDescent="0.2">
      <c r="A5" s="278"/>
      <c r="B5" s="522" t="s">
        <v>497</v>
      </c>
      <c r="C5" s="522"/>
      <c r="D5" s="292" t="s">
        <v>496</v>
      </c>
      <c r="F5" s="278"/>
      <c r="G5" s="278"/>
      <c r="H5" s="290"/>
      <c r="M5" s="283" t="s">
        <v>863</v>
      </c>
      <c r="O5" s="280" t="s">
        <v>845</v>
      </c>
      <c r="P5" s="280"/>
      <c r="Q5" s="280"/>
      <c r="R5" s="280"/>
      <c r="S5" s="280"/>
      <c r="T5" s="280"/>
      <c r="U5" s="280"/>
      <c r="V5" s="280"/>
      <c r="W5" s="280"/>
      <c r="X5" s="280"/>
      <c r="Y5" s="280"/>
      <c r="Z5" s="280"/>
      <c r="AA5" s="280"/>
      <c r="AB5" s="280"/>
      <c r="AC5" s="280"/>
      <c r="AD5" s="280"/>
      <c r="AE5" s="280"/>
      <c r="AF5" s="280"/>
      <c r="AG5" s="517"/>
      <c r="AH5" s="518"/>
      <c r="AI5" s="280"/>
      <c r="AJ5" s="280"/>
      <c r="AK5" s="280"/>
      <c r="AL5" s="280"/>
      <c r="AM5" s="280"/>
      <c r="AN5" s="280"/>
      <c r="AO5" s="280"/>
      <c r="AP5" s="280"/>
      <c r="AQ5" s="280"/>
      <c r="AR5" s="280"/>
      <c r="AS5" s="280"/>
      <c r="AT5" s="280"/>
      <c r="AU5" s="280"/>
      <c r="AV5" s="280"/>
      <c r="AW5" s="280"/>
      <c r="AX5" s="280"/>
      <c r="AY5" s="280"/>
      <c r="BC5" s="291" t="s">
        <v>340</v>
      </c>
      <c r="BD5" s="290"/>
      <c r="BN5" s="284" t="s">
        <v>531</v>
      </c>
      <c r="BO5" s="284" t="s">
        <v>491</v>
      </c>
      <c r="BP5" s="284" t="s">
        <v>487</v>
      </c>
      <c r="BR5" s="280" t="s">
        <v>860</v>
      </c>
      <c r="BT5" s="280" t="s">
        <v>969</v>
      </c>
      <c r="CA5" s="280">
        <v>10</v>
      </c>
      <c r="CJ5" s="280" t="s">
        <v>340</v>
      </c>
      <c r="CL5" s="280" t="s">
        <v>220</v>
      </c>
      <c r="CV5" s="280" t="s">
        <v>220</v>
      </c>
      <c r="CW5" s="280" t="s">
        <v>233</v>
      </c>
      <c r="CZ5" s="280" t="str">
        <f>IF(ChoixPaysPartie="","","semi-liberté")</f>
        <v>semi-liberté</v>
      </c>
      <c r="DB5" s="280" t="s">
        <v>220</v>
      </c>
      <c r="DG5" s="280" t="str">
        <f>IF(ChoixPaysPartie="","","semi-liberté")</f>
        <v>semi-liberté</v>
      </c>
      <c r="DI5" s="280" t="s">
        <v>220</v>
      </c>
      <c r="DN5" s="283" t="s">
        <v>624</v>
      </c>
      <c r="DO5" s="283">
        <v>0.45</v>
      </c>
      <c r="DZ5" s="280" t="s">
        <v>220</v>
      </c>
      <c r="EA5" s="280" t="s">
        <v>907</v>
      </c>
      <c r="EC5" s="280" t="s">
        <v>630</v>
      </c>
      <c r="ED5" s="280">
        <v>1</v>
      </c>
      <c r="EI5" s="280" t="s">
        <v>220</v>
      </c>
      <c r="EP5" s="280" t="s">
        <v>220</v>
      </c>
      <c r="EX5" s="280" t="s">
        <v>875</v>
      </c>
      <c r="FG5" s="280" t="s">
        <v>875</v>
      </c>
      <c r="FQ5" s="280" t="s">
        <v>875</v>
      </c>
      <c r="FW5" s="284" t="s">
        <v>804</v>
      </c>
      <c r="FX5" s="285"/>
      <c r="FY5" s="280" t="s">
        <v>805</v>
      </c>
      <c r="FZ5" s="280" t="s">
        <v>433</v>
      </c>
      <c r="GE5" s="280" t="s">
        <v>137</v>
      </c>
      <c r="GF5" s="423" t="s">
        <v>221</v>
      </c>
      <c r="GG5" s="280" t="s">
        <v>290</v>
      </c>
      <c r="GH5" s="280" t="s">
        <v>227</v>
      </c>
      <c r="GI5" s="423" t="s">
        <v>382</v>
      </c>
      <c r="GJ5" s="280" t="s">
        <v>1171</v>
      </c>
      <c r="GK5" s="283"/>
      <c r="GL5" s="283" t="s">
        <v>955</v>
      </c>
      <c r="GM5" s="423" t="s">
        <v>262</v>
      </c>
      <c r="GN5" s="280" t="s">
        <v>154</v>
      </c>
      <c r="GO5" s="280" t="s">
        <v>385</v>
      </c>
      <c r="GP5" s="283" t="s">
        <v>955</v>
      </c>
      <c r="GQ5" s="283" t="s">
        <v>955</v>
      </c>
      <c r="GR5" s="280" t="s">
        <v>13</v>
      </c>
      <c r="GS5" s="280" t="s">
        <v>1189</v>
      </c>
      <c r="GT5" s="283" t="s">
        <v>955</v>
      </c>
      <c r="GU5" s="283" t="s">
        <v>955</v>
      </c>
      <c r="GV5" s="283" t="s">
        <v>955</v>
      </c>
      <c r="GY5" s="444" t="str">
        <f t="shared" si="5"/>
        <v>balles de foin 300kg enrubanné BQ</v>
      </c>
      <c r="GZ5" s="444"/>
      <c r="HA5" s="342" t="e">
        <f t="shared" si="6"/>
        <v>#REF!</v>
      </c>
      <c r="HB5" s="342" t="e">
        <f>IF(COUNTIF(TypeArticleDansEntrepôt,GY5)=0,0,SUMIF(TypeArticleDansEntrepôt,GY5,QtéArticleDansEntrepôt)*VLOOKUP(GY5,#REF!,2,FALSE))</f>
        <v>#REF!</v>
      </c>
      <c r="HF5" s="423" t="str">
        <f t="shared" si="0"/>
        <v>Nouveau-Brunswick</v>
      </c>
      <c r="HG5" s="280" t="str">
        <f t="shared" si="3"/>
        <v>Basse-Normandie</v>
      </c>
      <c r="HH5" s="280" t="str">
        <f t="shared" si="1"/>
        <v>Sud-Ouest</v>
      </c>
      <c r="HK5" s="280" t="s">
        <v>392</v>
      </c>
      <c r="HL5" s="288">
        <v>120</v>
      </c>
      <c r="HN5" s="280" t="s">
        <v>59</v>
      </c>
      <c r="HO5" s="289">
        <v>900</v>
      </c>
      <c r="HP5" s="293">
        <f>0.6</f>
        <v>0.6</v>
      </c>
      <c r="HQ5" s="293">
        <v>0.33333333333333331</v>
      </c>
      <c r="HR5" s="293">
        <v>0.63636363636363635</v>
      </c>
      <c r="HS5" s="293">
        <v>0.33333333333333331</v>
      </c>
      <c r="HT5" s="293">
        <f>0.5/1.5</f>
        <v>0.33333333333333331</v>
      </c>
      <c r="HU5" s="293">
        <f>0.5/1.5</f>
        <v>0.33333333333333331</v>
      </c>
    </row>
    <row r="6" spans="1:229" ht="12.75" customHeight="1" x14ac:dyDescent="0.2">
      <c r="A6" s="367"/>
      <c r="B6" s="359"/>
      <c r="C6" s="359"/>
      <c r="D6" s="368"/>
      <c r="E6" s="366"/>
      <c r="F6" s="367"/>
      <c r="G6" s="359"/>
      <c r="H6" s="371"/>
      <c r="I6" s="319"/>
      <c r="J6" s="319"/>
      <c r="K6" s="372"/>
      <c r="M6" s="280" t="s">
        <v>393</v>
      </c>
      <c r="N6" s="277"/>
      <c r="O6" s="280" t="s">
        <v>854</v>
      </c>
      <c r="P6" s="280"/>
      <c r="Q6" s="280"/>
      <c r="R6" s="280"/>
      <c r="S6" s="280"/>
      <c r="T6" s="280"/>
      <c r="U6" s="280"/>
      <c r="V6" s="280"/>
      <c r="W6" s="280"/>
      <c r="X6" s="280"/>
      <c r="Y6" s="280"/>
      <c r="Z6" s="280"/>
      <c r="AA6" s="280"/>
      <c r="AB6" s="280"/>
      <c r="AC6" s="280"/>
      <c r="AD6" s="280"/>
      <c r="AE6" s="280"/>
      <c r="AF6" s="280"/>
      <c r="AG6" s="517"/>
      <c r="AH6" s="518"/>
      <c r="AI6" s="280"/>
      <c r="AJ6" s="280"/>
      <c r="AK6" s="280"/>
      <c r="AL6" s="280"/>
      <c r="AM6" s="280"/>
      <c r="AN6" s="280"/>
      <c r="AO6" s="280"/>
      <c r="AP6" s="280"/>
      <c r="AQ6" s="280"/>
      <c r="AR6" s="280"/>
      <c r="AS6" s="280"/>
      <c r="AT6" s="280"/>
      <c r="AU6" s="280"/>
      <c r="AV6" s="280"/>
      <c r="AW6" s="280"/>
      <c r="AX6" s="280"/>
      <c r="AY6" s="280"/>
      <c r="BD6" s="290"/>
      <c r="BN6" s="284" t="s">
        <v>60</v>
      </c>
      <c r="BO6" s="284">
        <v>25</v>
      </c>
      <c r="BP6" s="284">
        <v>550</v>
      </c>
      <c r="BR6" s="280" t="s">
        <v>70</v>
      </c>
      <c r="BT6" s="280">
        <v>20</v>
      </c>
      <c r="BY6" s="280" t="s">
        <v>539</v>
      </c>
      <c r="BZ6" s="284" t="s">
        <v>491</v>
      </c>
      <c r="CA6" s="284" t="s">
        <v>487</v>
      </c>
      <c r="CB6" s="284" t="s">
        <v>42</v>
      </c>
      <c r="CC6" s="284" t="s">
        <v>43</v>
      </c>
      <c r="CD6" s="294"/>
      <c r="CE6" s="294"/>
      <c r="CF6" s="294"/>
      <c r="CG6" s="294"/>
      <c r="CH6" s="294"/>
      <c r="CJ6" s="280" t="s">
        <v>563</v>
      </c>
      <c r="CL6" s="295" t="str">
        <f>IF(OR(ChoixPaysPartie=France,ChoixPaysPartie=Belgique,ChoixPaysPartie=Suisse),"","Seigle")</f>
        <v/>
      </c>
      <c r="DI6" s="286" t="s">
        <v>64</v>
      </c>
      <c r="DJ6" s="286" t="s">
        <v>603</v>
      </c>
      <c r="EC6" s="280" t="s">
        <v>631</v>
      </c>
      <c r="ED6" s="280">
        <v>0.5</v>
      </c>
      <c r="FW6" s="284" t="s">
        <v>807</v>
      </c>
      <c r="FX6" s="285" t="s">
        <v>276</v>
      </c>
      <c r="FY6" s="280">
        <v>100</v>
      </c>
      <c r="FZ6" s="280">
        <v>50000</v>
      </c>
      <c r="GE6" s="280" t="s">
        <v>138</v>
      </c>
      <c r="GF6" s="423" t="s">
        <v>222</v>
      </c>
      <c r="GG6" s="280" t="s">
        <v>299</v>
      </c>
      <c r="GH6" s="280" t="s">
        <v>228</v>
      </c>
      <c r="GI6" s="423" t="s">
        <v>230</v>
      </c>
      <c r="GJ6" s="280" t="s">
        <v>1188</v>
      </c>
      <c r="GK6" s="283"/>
      <c r="GL6" s="283" t="s">
        <v>955</v>
      </c>
      <c r="GM6" s="283" t="s">
        <v>955</v>
      </c>
      <c r="GN6" s="280" t="s">
        <v>424</v>
      </c>
      <c r="GO6" s="280" t="s">
        <v>386</v>
      </c>
      <c r="GP6" s="283" t="s">
        <v>955</v>
      </c>
      <c r="GQ6" s="283" t="s">
        <v>955</v>
      </c>
      <c r="GR6" s="280" t="s">
        <v>14</v>
      </c>
      <c r="GS6" s="280" t="s">
        <v>1190</v>
      </c>
      <c r="GT6" s="283" t="s">
        <v>955</v>
      </c>
      <c r="GU6" s="283" t="s">
        <v>955</v>
      </c>
      <c r="GV6" s="283" t="s">
        <v>955</v>
      </c>
      <c r="GY6" s="444" t="str">
        <f t="shared" si="5"/>
        <v>balles de foin 500kg BQ</v>
      </c>
      <c r="GZ6" s="444"/>
      <c r="HA6" s="342" t="e">
        <f t="shared" si="6"/>
        <v>#REF!</v>
      </c>
      <c r="HB6" s="342" t="e">
        <f>IF(COUNTIF(TypeArticleDansEntrepôt,GY6)=0,0,SUMIF(TypeArticleDansEntrepôt,GY6,QtéArticleDansEntrepôt)*VLOOKUP(GY6,#REF!,2,FALSE))</f>
        <v>#REF!</v>
      </c>
      <c r="HF6" s="423" t="str">
        <f t="shared" si="0"/>
        <v>Québec</v>
      </c>
      <c r="HG6" s="280" t="str">
        <f t="shared" si="3"/>
        <v>Bourgogne</v>
      </c>
      <c r="HH6" s="280" t="str">
        <f t="shared" si="1"/>
        <v>Centre</v>
      </c>
      <c r="HK6" s="280" t="s">
        <v>220</v>
      </c>
      <c r="HL6" s="288">
        <v>100</v>
      </c>
      <c r="HN6" s="280" t="s">
        <v>231</v>
      </c>
      <c r="HO6" s="289">
        <v>150</v>
      </c>
      <c r="HP6" s="293">
        <v>0.83333333333333337</v>
      </c>
      <c r="HQ6" s="293">
        <v>0.66666666666666663</v>
      </c>
      <c r="HR6" s="293">
        <v>0.76923076923076927</v>
      </c>
      <c r="HS6" s="293">
        <v>0.83870967741935487</v>
      </c>
      <c r="HT6" s="293">
        <v>0.66666666666666663</v>
      </c>
      <c r="HU6" s="293">
        <v>0</v>
      </c>
    </row>
    <row r="7" spans="1:229" ht="12.75" customHeight="1" x14ac:dyDescent="0.2">
      <c r="A7" s="369"/>
      <c r="B7" s="280"/>
      <c r="C7" s="280"/>
      <c r="D7" s="423"/>
      <c r="E7" s="296"/>
      <c r="F7" s="369"/>
      <c r="G7" s="284"/>
      <c r="H7" s="310"/>
      <c r="I7" s="280"/>
      <c r="J7" s="280"/>
      <c r="K7" s="423"/>
      <c r="M7" s="373" t="s">
        <v>344</v>
      </c>
      <c r="N7" s="277"/>
      <c r="O7" s="280" t="s">
        <v>857</v>
      </c>
      <c r="P7" s="280"/>
      <c r="Q7" s="280"/>
      <c r="R7" s="280"/>
      <c r="S7" s="280"/>
      <c r="T7" s="280"/>
      <c r="U7" s="280"/>
      <c r="V7" s="280"/>
      <c r="W7" s="280"/>
      <c r="X7" s="280"/>
      <c r="Y7" s="280"/>
      <c r="Z7" s="280"/>
      <c r="AA7" s="280"/>
      <c r="AB7" s="280"/>
      <c r="AC7" s="280"/>
      <c r="AD7" s="280"/>
      <c r="AE7" s="280"/>
      <c r="AF7" s="280"/>
      <c r="AG7" s="517"/>
      <c r="AH7" s="518"/>
      <c r="AI7" s="280"/>
      <c r="AJ7" s="280"/>
      <c r="AK7" s="280"/>
      <c r="AL7" s="280"/>
      <c r="AM7" s="280"/>
      <c r="AN7" s="280"/>
      <c r="AO7" s="280"/>
      <c r="AP7" s="280"/>
      <c r="AQ7" s="280"/>
      <c r="AR7" s="280"/>
      <c r="AS7" s="280"/>
      <c r="AT7" s="280"/>
      <c r="AU7" s="280"/>
      <c r="AV7" s="280"/>
      <c r="AW7" s="280"/>
      <c r="AX7" s="280"/>
      <c r="AY7" s="280"/>
      <c r="BC7" s="291" t="s">
        <v>507</v>
      </c>
      <c r="BD7" s="290"/>
      <c r="BN7" s="284" t="s">
        <v>532</v>
      </c>
      <c r="BO7" s="284">
        <v>25</v>
      </c>
      <c r="BP7" s="284">
        <v>550</v>
      </c>
      <c r="BQ7" s="297"/>
      <c r="BR7" s="280" t="s">
        <v>220</v>
      </c>
      <c r="BY7" s="280" t="s">
        <v>278</v>
      </c>
      <c r="BZ7" s="280">
        <v>2.2000000000000002</v>
      </c>
      <c r="CA7" s="280">
        <v>60</v>
      </c>
      <c r="CB7" s="280">
        <v>2.7</v>
      </c>
      <c r="CC7" s="280">
        <v>0</v>
      </c>
      <c r="CD7" s="298"/>
      <c r="CE7" s="298"/>
      <c r="CF7" s="298"/>
      <c r="CG7" s="298"/>
      <c r="CH7" s="298"/>
      <c r="CJ7" s="280" t="s">
        <v>539</v>
      </c>
      <c r="CK7" s="284" t="s">
        <v>491</v>
      </c>
      <c r="CL7" s="284" t="s">
        <v>487</v>
      </c>
      <c r="CN7" s="283" t="s">
        <v>552</v>
      </c>
      <c r="CS7" s="280" t="s">
        <v>539</v>
      </c>
      <c r="CT7" s="284" t="s">
        <v>491</v>
      </c>
      <c r="CU7" s="284" t="s">
        <v>487</v>
      </c>
      <c r="CV7" s="280" t="s">
        <v>43</v>
      </c>
      <c r="CW7" s="283" t="s">
        <v>919</v>
      </c>
      <c r="CZ7" s="280" t="s">
        <v>539</v>
      </c>
      <c r="DA7" s="284" t="s">
        <v>491</v>
      </c>
      <c r="DB7" s="284" t="s">
        <v>487</v>
      </c>
      <c r="DC7" s="280" t="s">
        <v>582</v>
      </c>
      <c r="DD7" s="277"/>
      <c r="DE7" s="277"/>
      <c r="DG7" s="280" t="s">
        <v>539</v>
      </c>
      <c r="DH7" s="284" t="s">
        <v>491</v>
      </c>
      <c r="DI7" s="523" t="s">
        <v>487</v>
      </c>
      <c r="DJ7" s="523"/>
      <c r="DK7" s="280" t="s">
        <v>582</v>
      </c>
      <c r="DN7" s="283" t="s">
        <v>866</v>
      </c>
      <c r="DQ7" s="283" t="s">
        <v>867</v>
      </c>
      <c r="DR7" s="283" t="s">
        <v>969</v>
      </c>
      <c r="DV7" s="299" t="s">
        <v>539</v>
      </c>
      <c r="DW7" s="300" t="s">
        <v>491</v>
      </c>
      <c r="DX7" s="300" t="s">
        <v>487</v>
      </c>
      <c r="DZ7" s="283" t="s">
        <v>919</v>
      </c>
      <c r="EB7" s="283" t="s">
        <v>969</v>
      </c>
      <c r="EC7" s="280" t="s">
        <v>632</v>
      </c>
      <c r="ED7" s="280">
        <v>0.5</v>
      </c>
      <c r="EG7" s="299" t="s">
        <v>539</v>
      </c>
      <c r="EH7" s="300" t="s">
        <v>645</v>
      </c>
      <c r="EI7" s="300" t="s">
        <v>487</v>
      </c>
      <c r="EK7" s="283" t="s">
        <v>969</v>
      </c>
      <c r="EN7" s="299" t="s">
        <v>539</v>
      </c>
      <c r="EO7" s="300" t="s">
        <v>645</v>
      </c>
      <c r="EP7" s="300" t="s">
        <v>487</v>
      </c>
      <c r="EQ7" s="280" t="s">
        <v>665</v>
      </c>
      <c r="ER7" s="298"/>
      <c r="ES7" s="298"/>
      <c r="EU7" s="301" t="s">
        <v>539</v>
      </c>
      <c r="EV7" s="302" t="s">
        <v>491</v>
      </c>
      <c r="EW7" s="302" t="s">
        <v>487</v>
      </c>
      <c r="EX7" s="280" t="s">
        <v>687</v>
      </c>
      <c r="EY7" s="277"/>
      <c r="EZ7" s="298"/>
      <c r="FA7" s="298"/>
      <c r="FB7" s="298"/>
      <c r="FD7" s="299" t="s">
        <v>539</v>
      </c>
      <c r="FE7" s="300" t="s">
        <v>491</v>
      </c>
      <c r="FF7" s="300" t="s">
        <v>487</v>
      </c>
      <c r="FG7" s="280" t="s">
        <v>687</v>
      </c>
      <c r="FH7" s="277"/>
      <c r="FI7" s="298"/>
      <c r="FJ7" s="298"/>
      <c r="FK7" s="298"/>
      <c r="FL7" s="298"/>
      <c r="FN7" s="299" t="s">
        <v>539</v>
      </c>
      <c r="FO7" s="300" t="s">
        <v>491</v>
      </c>
      <c r="FP7" s="300" t="s">
        <v>487</v>
      </c>
      <c r="FQ7" s="280" t="s">
        <v>687</v>
      </c>
      <c r="FW7" s="280" t="s">
        <v>806</v>
      </c>
      <c r="FX7" s="285" t="s">
        <v>276</v>
      </c>
      <c r="FY7" s="280">
        <v>1</v>
      </c>
      <c r="FZ7" s="280">
        <v>500</v>
      </c>
      <c r="GE7" s="280" t="s">
        <v>121</v>
      </c>
      <c r="GF7" s="423" t="s">
        <v>81</v>
      </c>
      <c r="GG7" s="280" t="s">
        <v>119</v>
      </c>
      <c r="GH7" s="280" t="s">
        <v>15</v>
      </c>
      <c r="GI7" s="423" t="s">
        <v>27</v>
      </c>
      <c r="GJ7" s="280" t="s">
        <v>1172</v>
      </c>
      <c r="GK7" s="283"/>
      <c r="GL7" s="283" t="s">
        <v>955</v>
      </c>
      <c r="GM7" s="283" t="s">
        <v>955</v>
      </c>
      <c r="GN7" s="280" t="s">
        <v>425</v>
      </c>
      <c r="GO7" s="280" t="s">
        <v>387</v>
      </c>
      <c r="GP7" s="283" t="s">
        <v>955</v>
      </c>
      <c r="GQ7" s="283" t="s">
        <v>955</v>
      </c>
      <c r="GR7" s="280" t="s">
        <v>441</v>
      </c>
      <c r="GS7" s="280" t="s">
        <v>1191</v>
      </c>
      <c r="GT7" s="283" t="s">
        <v>955</v>
      </c>
      <c r="GU7" s="283" t="s">
        <v>955</v>
      </c>
      <c r="GV7" s="283" t="s">
        <v>955</v>
      </c>
      <c r="GY7" s="444" t="str">
        <f t="shared" si="5"/>
        <v>balles de foin 250kg MoQ</v>
      </c>
      <c r="GZ7" s="444"/>
      <c r="HA7" s="342" t="e">
        <f t="shared" si="6"/>
        <v>#REF!</v>
      </c>
      <c r="HB7" s="342" t="e">
        <f>IF(COUNTIF(TypeArticleDansEntrepôt,GY7)=0,0,SUMIF(TypeArticleDansEntrepôt,GY7,QtéArticleDansEntrepôt)*VLOOKUP(GY7,#REF!,2,FALSE))</f>
        <v>#REF!</v>
      </c>
      <c r="HF7" s="423" t="str">
        <f t="shared" si="0"/>
        <v>Ontario</v>
      </c>
      <c r="HG7" s="280" t="str">
        <f t="shared" si="3"/>
        <v>Bretagne</v>
      </c>
      <c r="HH7" s="280" t="str">
        <f t="shared" si="1"/>
        <v>Nord-Est</v>
      </c>
      <c r="HK7" s="280" t="s">
        <v>234</v>
      </c>
      <c r="HL7" s="288">
        <v>350</v>
      </c>
      <c r="HM7" s="283" t="s">
        <v>1098</v>
      </c>
      <c r="HN7" s="280" t="s">
        <v>268</v>
      </c>
      <c r="HO7" s="289">
        <v>150</v>
      </c>
      <c r="HP7" s="293">
        <v>0.6875</v>
      </c>
      <c r="HQ7" s="293">
        <v>0.63636363636363635</v>
      </c>
      <c r="HR7" s="293">
        <v>0.66666666666666663</v>
      </c>
      <c r="HS7" s="293">
        <v>0.7142857142857143</v>
      </c>
      <c r="HT7" s="293">
        <v>0.5</v>
      </c>
      <c r="HU7" s="293">
        <v>0</v>
      </c>
    </row>
    <row r="8" spans="1:229" ht="12.75" customHeight="1" x14ac:dyDescent="0.2">
      <c r="A8" s="369"/>
      <c r="B8" s="280"/>
      <c r="C8" s="280"/>
      <c r="D8" s="423"/>
      <c r="E8" s="296"/>
      <c r="F8" s="369"/>
      <c r="G8" s="284"/>
      <c r="H8" s="310"/>
      <c r="I8" s="280"/>
      <c r="J8" s="280"/>
      <c r="K8" s="423"/>
      <c r="M8" s="373" t="s">
        <v>346</v>
      </c>
      <c r="N8" s="277"/>
      <c r="O8" s="280" t="s">
        <v>858</v>
      </c>
      <c r="P8" s="280"/>
      <c r="Q8" s="280"/>
      <c r="R8" s="280"/>
      <c r="S8" s="280"/>
      <c r="T8" s="280"/>
      <c r="U8" s="280"/>
      <c r="V8" s="280"/>
      <c r="W8" s="280"/>
      <c r="X8" s="280"/>
      <c r="Y8" s="280"/>
      <c r="Z8" s="280"/>
      <c r="AA8" s="280"/>
      <c r="AB8" s="280"/>
      <c r="AC8" s="280"/>
      <c r="AD8" s="280"/>
      <c r="AE8" s="280"/>
      <c r="AF8" s="280"/>
      <c r="AG8" s="517"/>
      <c r="AH8" s="518"/>
      <c r="AI8" s="280"/>
      <c r="AJ8" s="280"/>
      <c r="AK8" s="280"/>
      <c r="AL8" s="280"/>
      <c r="AM8" s="280"/>
      <c r="AN8" s="280"/>
      <c r="AO8" s="280"/>
      <c r="AP8" s="280"/>
      <c r="AQ8" s="280"/>
      <c r="AR8" s="280"/>
      <c r="AS8" s="280"/>
      <c r="AT8" s="280"/>
      <c r="AU8" s="280"/>
      <c r="AV8" s="280"/>
      <c r="AW8" s="280"/>
      <c r="AX8" s="280"/>
      <c r="AY8" s="280"/>
      <c r="BC8" s="284" t="s">
        <v>531</v>
      </c>
      <c r="BD8" s="284" t="s">
        <v>491</v>
      </c>
      <c r="BE8" s="284" t="s">
        <v>487</v>
      </c>
      <c r="BF8" s="284" t="s">
        <v>42</v>
      </c>
      <c r="BG8" s="283" t="s">
        <v>861</v>
      </c>
      <c r="BI8" s="280" t="s">
        <v>842</v>
      </c>
      <c r="BN8" s="278"/>
      <c r="BO8" s="278"/>
      <c r="BP8" s="278"/>
      <c r="BQ8" s="297"/>
      <c r="BY8" s="280" t="s">
        <v>281</v>
      </c>
      <c r="BZ8" s="280">
        <v>2</v>
      </c>
      <c r="CA8" s="280">
        <v>30</v>
      </c>
      <c r="CB8" s="280">
        <v>2.4</v>
      </c>
      <c r="CC8" s="280">
        <v>2</v>
      </c>
      <c r="CD8" s="298"/>
      <c r="CE8" s="298"/>
      <c r="CF8" s="298"/>
      <c r="CG8" s="298"/>
      <c r="CH8" s="298"/>
      <c r="CJ8" s="280" t="s">
        <v>62</v>
      </c>
      <c r="CK8" s="280" t="s">
        <v>559</v>
      </c>
      <c r="CL8" s="280">
        <v>240</v>
      </c>
      <c r="CN8" s="280" t="s">
        <v>565</v>
      </c>
      <c r="CO8" s="280">
        <v>5</v>
      </c>
      <c r="CP8" s="277"/>
      <c r="CQ8" s="277"/>
      <c r="CS8" s="280" t="s">
        <v>302</v>
      </c>
      <c r="CT8" s="280">
        <v>0.05</v>
      </c>
      <c r="CU8" s="280">
        <v>4.5</v>
      </c>
      <c r="CV8" s="280">
        <v>0</v>
      </c>
      <c r="CW8" s="280" t="s">
        <v>926</v>
      </c>
      <c r="CZ8" s="285" t="s">
        <v>419</v>
      </c>
      <c r="DA8" s="285">
        <v>0.05</v>
      </c>
      <c r="DB8" s="285" t="s">
        <v>583</v>
      </c>
      <c r="DC8" s="285" t="s">
        <v>581</v>
      </c>
      <c r="DD8" s="279"/>
      <c r="DE8" s="279"/>
      <c r="DG8" s="280" t="s">
        <v>65</v>
      </c>
      <c r="DH8" s="280">
        <v>0.05</v>
      </c>
      <c r="DI8" s="280">
        <v>2.5</v>
      </c>
      <c r="DJ8" s="280">
        <v>2.9</v>
      </c>
      <c r="DK8" s="280" t="s">
        <v>602</v>
      </c>
      <c r="DN8" s="280" t="s">
        <v>509</v>
      </c>
      <c r="DQ8" s="280" t="s">
        <v>489</v>
      </c>
      <c r="DR8" s="280">
        <v>10</v>
      </c>
      <c r="DV8" s="280" t="s">
        <v>627</v>
      </c>
      <c r="DW8" s="280">
        <v>3</v>
      </c>
      <c r="DX8" s="280">
        <v>53</v>
      </c>
      <c r="DZ8" s="280" t="s">
        <v>934</v>
      </c>
      <c r="EB8" s="280">
        <v>10</v>
      </c>
      <c r="EC8" s="280" t="s">
        <v>633</v>
      </c>
      <c r="ED8" s="280">
        <v>0.25</v>
      </c>
      <c r="EG8" s="280" t="s">
        <v>635</v>
      </c>
      <c r="EH8" s="280" t="s">
        <v>636</v>
      </c>
      <c r="EI8" s="280">
        <v>7</v>
      </c>
      <c r="EK8" s="280">
        <v>1.5</v>
      </c>
      <c r="EN8" s="280" t="s">
        <v>658</v>
      </c>
      <c r="EO8" s="280" t="s">
        <v>636</v>
      </c>
      <c r="EP8" s="280">
        <v>3</v>
      </c>
      <c r="EQ8" s="280" t="s">
        <v>659</v>
      </c>
      <c r="ER8" s="298"/>
      <c r="ES8" s="298"/>
      <c r="EU8" s="280" t="s">
        <v>667</v>
      </c>
      <c r="EV8" s="280" t="s">
        <v>688</v>
      </c>
      <c r="EW8" s="280" t="s">
        <v>690</v>
      </c>
      <c r="EX8" s="280" t="s">
        <v>700</v>
      </c>
      <c r="EY8" s="277"/>
      <c r="EZ8" s="298"/>
      <c r="FA8" s="298"/>
      <c r="FB8" s="298"/>
      <c r="FD8" s="280" t="s">
        <v>714</v>
      </c>
      <c r="FE8" s="280" t="s">
        <v>740</v>
      </c>
      <c r="FF8" s="280" t="s">
        <v>742</v>
      </c>
      <c r="FG8" s="280" t="s">
        <v>709</v>
      </c>
      <c r="FH8" s="277"/>
      <c r="FI8" s="298"/>
      <c r="FJ8" s="298"/>
      <c r="FK8" s="298"/>
      <c r="FL8" s="298"/>
      <c r="FN8" s="280" t="s">
        <v>729</v>
      </c>
      <c r="FO8" s="280" t="s">
        <v>741</v>
      </c>
      <c r="FP8" s="280" t="s">
        <v>749</v>
      </c>
      <c r="FQ8" s="280" t="s">
        <v>768</v>
      </c>
      <c r="FW8" s="280" t="s">
        <v>808</v>
      </c>
      <c r="FX8" s="285" t="s">
        <v>276</v>
      </c>
      <c r="FY8" s="280">
        <v>1</v>
      </c>
      <c r="FZ8" s="280">
        <v>40</v>
      </c>
      <c r="GE8" s="280" t="s">
        <v>190</v>
      </c>
      <c r="GF8" s="423" t="s">
        <v>225</v>
      </c>
      <c r="GG8" s="280" t="s">
        <v>120</v>
      </c>
      <c r="GH8" s="280" t="s">
        <v>16</v>
      </c>
      <c r="GI8" s="423" t="s">
        <v>50</v>
      </c>
      <c r="GJ8" s="280" t="s">
        <v>1173</v>
      </c>
      <c r="GK8" s="283"/>
      <c r="GL8" s="283" t="s">
        <v>955</v>
      </c>
      <c r="GM8" s="283" t="s">
        <v>955</v>
      </c>
      <c r="GN8" s="280" t="s">
        <v>426</v>
      </c>
      <c r="GO8" s="280" t="s">
        <v>259</v>
      </c>
      <c r="GP8" s="283" t="s">
        <v>955</v>
      </c>
      <c r="GQ8" s="283" t="s">
        <v>955</v>
      </c>
      <c r="GR8" s="280" t="s">
        <v>440</v>
      </c>
      <c r="GS8" s="283"/>
      <c r="GT8" s="283" t="s">
        <v>955</v>
      </c>
      <c r="GU8" s="283" t="s">
        <v>955</v>
      </c>
      <c r="GV8" s="283" t="s">
        <v>955</v>
      </c>
      <c r="GY8" s="444" t="str">
        <f t="shared" si="5"/>
        <v>balles de foin 300kg MoQ</v>
      </c>
      <c r="GZ8" s="444"/>
      <c r="HA8" s="342" t="e">
        <f t="shared" si="6"/>
        <v>#REF!</v>
      </c>
      <c r="HB8" s="342" t="e">
        <f>IF(COUNTIF(TypeArticleDansEntrepôt,GY8)=0,0,SUMIF(TypeArticleDansEntrepôt,GY8,QtéArticleDansEntrepôt)*VLOOKUP(GY8,#REF!,2,FALSE))</f>
        <v>#REF!</v>
      </c>
      <c r="HF8" s="423" t="str">
        <f t="shared" si="0"/>
        <v>Manitoba</v>
      </c>
      <c r="HG8" s="280" t="str">
        <f t="shared" si="3"/>
        <v>Centre</v>
      </c>
      <c r="HH8" s="280" t="str">
        <f t="shared" si="1"/>
        <v>Sud</v>
      </c>
      <c r="HK8" s="280" t="s">
        <v>379</v>
      </c>
      <c r="HL8" s="288">
        <v>220</v>
      </c>
      <c r="HN8" s="280" t="s">
        <v>269</v>
      </c>
      <c r="HO8" s="289">
        <f>HO7</f>
        <v>150</v>
      </c>
      <c r="HP8" s="293">
        <f>0.625</f>
        <v>0.625</v>
      </c>
      <c r="HQ8" s="293">
        <v>0.7142857142857143</v>
      </c>
      <c r="HR8" s="293">
        <v>0.75</v>
      </c>
      <c r="HS8" s="293">
        <v>0.6</v>
      </c>
      <c r="HT8" s="293">
        <v>0.5</v>
      </c>
      <c r="HU8" s="293">
        <v>0</v>
      </c>
    </row>
    <row r="9" spans="1:229" ht="12.75" customHeight="1" x14ac:dyDescent="0.2">
      <c r="A9" s="369"/>
      <c r="B9" s="280"/>
      <c r="C9" s="280"/>
      <c r="D9" s="423"/>
      <c r="E9" s="296"/>
      <c r="F9" s="369"/>
      <c r="G9" s="284"/>
      <c r="H9" s="310"/>
      <c r="I9" s="280"/>
      <c r="J9" s="280"/>
      <c r="K9" s="423"/>
      <c r="M9" s="373" t="s">
        <v>345</v>
      </c>
      <c r="N9" s="277"/>
      <c r="O9" s="280" t="s">
        <v>859</v>
      </c>
      <c r="P9" s="280"/>
      <c r="Q9" s="280"/>
      <c r="R9" s="280"/>
      <c r="S9" s="280"/>
      <c r="T9" s="280"/>
      <c r="U9" s="280"/>
      <c r="V9" s="280"/>
      <c r="W9" s="280"/>
      <c r="X9" s="280"/>
      <c r="Y9" s="280"/>
      <c r="Z9" s="280"/>
      <c r="AA9" s="280"/>
      <c r="AB9" s="280"/>
      <c r="AC9" s="280"/>
      <c r="AD9" s="280"/>
      <c r="AE9" s="280"/>
      <c r="AF9" s="280"/>
      <c r="AG9" s="517"/>
      <c r="AH9" s="518"/>
      <c r="AI9" s="280"/>
      <c r="AJ9" s="280"/>
      <c r="AK9" s="280"/>
      <c r="AL9" s="280"/>
      <c r="AM9" s="280"/>
      <c r="AN9" s="280"/>
      <c r="AO9" s="280"/>
      <c r="AP9" s="280"/>
      <c r="AQ9" s="280"/>
      <c r="AR9" s="280"/>
      <c r="AS9" s="280"/>
      <c r="AT9" s="280"/>
      <c r="AU9" s="280"/>
      <c r="AV9" s="280"/>
      <c r="AW9" s="280"/>
      <c r="AX9" s="280"/>
      <c r="AY9" s="280"/>
      <c r="BC9" s="284" t="s">
        <v>277</v>
      </c>
      <c r="BD9" s="284">
        <v>44</v>
      </c>
      <c r="BE9" s="284">
        <v>700</v>
      </c>
      <c r="BF9" s="284">
        <v>28</v>
      </c>
      <c r="BG9" s="280" t="s">
        <v>220</v>
      </c>
      <c r="BH9" s="281"/>
      <c r="BI9" s="280" t="s">
        <v>509</v>
      </c>
      <c r="BM9" s="283" t="s">
        <v>916</v>
      </c>
      <c r="BQ9" s="277"/>
      <c r="BW9" s="298"/>
      <c r="BY9" s="280" t="s">
        <v>283</v>
      </c>
      <c r="BZ9" s="280">
        <v>2.1</v>
      </c>
      <c r="CA9" s="280">
        <v>40</v>
      </c>
      <c r="CB9" s="280">
        <v>2.4</v>
      </c>
      <c r="CC9" s="280">
        <v>0</v>
      </c>
      <c r="CD9" s="298"/>
      <c r="CE9" s="298"/>
      <c r="CF9" s="298"/>
      <c r="CG9" s="298"/>
      <c r="CH9" s="298"/>
      <c r="CJ9" s="280" t="s">
        <v>560</v>
      </c>
      <c r="CK9" s="280" t="s">
        <v>559</v>
      </c>
      <c r="CL9" s="280">
        <v>230</v>
      </c>
      <c r="CN9" s="280" t="s">
        <v>566</v>
      </c>
      <c r="CO9" s="280">
        <v>4</v>
      </c>
      <c r="CP9" s="277"/>
      <c r="CQ9" s="277"/>
      <c r="CS9" s="280" t="s">
        <v>66</v>
      </c>
      <c r="CT9" s="280">
        <v>0.05</v>
      </c>
      <c r="CU9" s="280">
        <v>4.5</v>
      </c>
      <c r="CV9" s="280">
        <v>0</v>
      </c>
      <c r="CZ9" s="285" t="s">
        <v>420</v>
      </c>
      <c r="DA9" s="285">
        <v>0.05</v>
      </c>
      <c r="DB9" s="285" t="s">
        <v>583</v>
      </c>
      <c r="DC9" s="285" t="s">
        <v>581</v>
      </c>
      <c r="DD9" s="279"/>
      <c r="DE9" s="279"/>
      <c r="DN9" s="280" t="s">
        <v>622</v>
      </c>
      <c r="DQ9" s="280" t="s">
        <v>220</v>
      </c>
      <c r="EG9" s="280" t="s">
        <v>637</v>
      </c>
      <c r="EH9" s="280" t="s">
        <v>636</v>
      </c>
      <c r="EI9" s="280">
        <v>6</v>
      </c>
      <c r="EN9" s="280" t="s">
        <v>660</v>
      </c>
      <c r="EO9" s="280" t="s">
        <v>636</v>
      </c>
      <c r="EP9" s="280">
        <v>2.5</v>
      </c>
      <c r="EQ9" s="280" t="s">
        <v>659</v>
      </c>
      <c r="ER9" s="298"/>
      <c r="ES9" s="298"/>
      <c r="EU9" s="280" t="s">
        <v>668</v>
      </c>
      <c r="EV9" s="280" t="s">
        <v>688</v>
      </c>
      <c r="EW9" s="280" t="s">
        <v>691</v>
      </c>
      <c r="EX9" s="280" t="s">
        <v>701</v>
      </c>
      <c r="EY9" s="277"/>
      <c r="EZ9" s="298"/>
      <c r="FA9" s="298"/>
      <c r="FB9" s="298"/>
      <c r="FD9" s="280" t="s">
        <v>715</v>
      </c>
      <c r="FE9" s="280" t="s">
        <v>740</v>
      </c>
      <c r="FF9" s="280" t="s">
        <v>742</v>
      </c>
      <c r="FG9" s="280" t="s">
        <v>710</v>
      </c>
      <c r="FH9" s="277"/>
      <c r="FI9" s="298"/>
      <c r="FJ9" s="298"/>
      <c r="FK9" s="298"/>
      <c r="FL9" s="298"/>
      <c r="FN9" s="280" t="s">
        <v>730</v>
      </c>
      <c r="FO9" s="280" t="s">
        <v>741</v>
      </c>
      <c r="FP9" s="280" t="s">
        <v>690</v>
      </c>
      <c r="FQ9" s="280" t="s">
        <v>769</v>
      </c>
      <c r="GE9" s="280" t="s">
        <v>208</v>
      </c>
      <c r="GF9" s="423" t="s">
        <v>150</v>
      </c>
      <c r="GG9" s="280" t="s">
        <v>115</v>
      </c>
      <c r="GH9" s="280" t="s">
        <v>434</v>
      </c>
      <c r="GI9" s="423" t="s">
        <v>249</v>
      </c>
      <c r="GJ9" s="280" t="s">
        <v>1174</v>
      </c>
      <c r="GK9" s="283"/>
      <c r="GL9" s="283" t="s">
        <v>955</v>
      </c>
      <c r="GM9" s="283" t="s">
        <v>955</v>
      </c>
      <c r="GN9" s="283" t="s">
        <v>955</v>
      </c>
      <c r="GO9" s="283" t="s">
        <v>955</v>
      </c>
      <c r="GP9" s="283" t="s">
        <v>955</v>
      </c>
      <c r="GQ9" s="283" t="s">
        <v>955</v>
      </c>
      <c r="GR9" s="280" t="s">
        <v>442</v>
      </c>
      <c r="GS9" s="283"/>
      <c r="GT9" s="283" t="s">
        <v>955</v>
      </c>
      <c r="GU9" s="283" t="s">
        <v>955</v>
      </c>
      <c r="GV9" s="283" t="s">
        <v>955</v>
      </c>
      <c r="GY9" s="444" t="str">
        <f t="shared" si="5"/>
        <v>balles de foin 300kg enrubanné MoQ</v>
      </c>
      <c r="GZ9" s="444"/>
      <c r="HA9" s="342" t="e">
        <f t="shared" si="6"/>
        <v>#REF!</v>
      </c>
      <c r="HB9" s="342" t="e">
        <f>IF(COUNTIF(TypeArticleDansEntrepôt,GY9)=0,0,SUMIF(TypeArticleDansEntrepôt,GY9,QtéArticleDansEntrepôt)*VLOOKUP(GY9,#REF!,2,FALSE))</f>
        <v>#REF!</v>
      </c>
      <c r="HF9" s="423" t="str">
        <f t="shared" si="0"/>
        <v>Saskatchewan</v>
      </c>
      <c r="HG9" s="280" t="str">
        <f t="shared" si="3"/>
        <v>Champagnes-Ardennes</v>
      </c>
      <c r="HK9" s="280" t="e">
        <f>IF(OR(#REF!=USA,#REF!=CANADA),"Canola","Colza")</f>
        <v>#REF!</v>
      </c>
      <c r="HL9" s="288">
        <v>220</v>
      </c>
      <c r="HN9" s="280" t="s">
        <v>392</v>
      </c>
      <c r="HO9" s="289">
        <v>150</v>
      </c>
      <c r="HP9" s="293">
        <v>0.33333333333333331</v>
      </c>
      <c r="HQ9" s="293">
        <f>0.5/1.5</f>
        <v>0.33333333333333331</v>
      </c>
      <c r="HR9" s="293">
        <v>0.66666666666666663</v>
      </c>
      <c r="HS9" s="293">
        <v>0.7142857142857143</v>
      </c>
      <c r="HT9" s="293">
        <f>0.5/1.5</f>
        <v>0.33333333333333331</v>
      </c>
      <c r="HU9" s="293">
        <f>0.5/1.5</f>
        <v>0.33333333333333331</v>
      </c>
    </row>
    <row r="10" spans="1:229" ht="12.75" customHeight="1" x14ac:dyDescent="0.2">
      <c r="A10" s="369"/>
      <c r="B10" s="280"/>
      <c r="C10" s="280"/>
      <c r="D10" s="423"/>
      <c r="E10" s="296"/>
      <c r="F10" s="373"/>
      <c r="G10" s="280"/>
      <c r="H10" s="280"/>
      <c r="I10" s="280"/>
      <c r="J10" s="280"/>
      <c r="K10" s="423"/>
      <c r="M10" s="373" t="s">
        <v>336</v>
      </c>
      <c r="N10" s="277"/>
      <c r="O10" s="280" t="s">
        <v>855</v>
      </c>
      <c r="P10" s="280"/>
      <c r="Q10" s="280"/>
      <c r="R10" s="280"/>
      <c r="S10" s="280"/>
      <c r="T10" s="280"/>
      <c r="U10" s="280"/>
      <c r="V10" s="280"/>
      <c r="W10" s="280"/>
      <c r="X10" s="280"/>
      <c r="Y10" s="280"/>
      <c r="Z10" s="280"/>
      <c r="AA10" s="280"/>
      <c r="AB10" s="280"/>
      <c r="AC10" s="280"/>
      <c r="AD10" s="280"/>
      <c r="AE10" s="280"/>
      <c r="AF10" s="280"/>
      <c r="AG10" s="517"/>
      <c r="AH10" s="518"/>
      <c r="AI10" s="280"/>
      <c r="AJ10" s="280"/>
      <c r="AK10" s="280"/>
      <c r="AL10" s="280"/>
      <c r="AM10" s="280"/>
      <c r="AN10" s="280"/>
      <c r="AO10" s="280"/>
      <c r="AP10" s="280"/>
      <c r="AQ10" s="280"/>
      <c r="AR10" s="280"/>
      <c r="AS10" s="280"/>
      <c r="AT10" s="280"/>
      <c r="AU10" s="280"/>
      <c r="AV10" s="280"/>
      <c r="AW10" s="280"/>
      <c r="AX10" s="280"/>
      <c r="AY10" s="280"/>
      <c r="BC10" s="284" t="s">
        <v>280</v>
      </c>
      <c r="BD10" s="284">
        <v>50</v>
      </c>
      <c r="BE10" s="284">
        <v>700</v>
      </c>
      <c r="BF10" s="284">
        <v>25</v>
      </c>
      <c r="BG10" s="280" t="s">
        <v>489</v>
      </c>
      <c r="BH10" s="281"/>
      <c r="BI10" s="280" t="s">
        <v>511</v>
      </c>
      <c r="BM10" s="358" t="s">
        <v>866</v>
      </c>
      <c r="BN10" s="319" t="s">
        <v>884</v>
      </c>
      <c r="BO10" s="359" t="s">
        <v>885</v>
      </c>
      <c r="BP10" s="319" t="s">
        <v>895</v>
      </c>
      <c r="BQ10" s="319" t="s">
        <v>894</v>
      </c>
      <c r="BR10" s="319" t="s">
        <v>893</v>
      </c>
      <c r="BS10" s="319" t="s">
        <v>892</v>
      </c>
      <c r="BT10" s="319" t="s">
        <v>891</v>
      </c>
      <c r="BU10" s="319" t="s">
        <v>890</v>
      </c>
      <c r="BV10" s="360" t="s">
        <v>889</v>
      </c>
      <c r="BY10" s="280" t="s">
        <v>285</v>
      </c>
      <c r="BZ10" s="280">
        <v>2.2000000000000002</v>
      </c>
      <c r="CA10" s="280">
        <v>65</v>
      </c>
      <c r="CB10" s="280">
        <v>2.7</v>
      </c>
      <c r="CC10" s="280">
        <v>0</v>
      </c>
      <c r="CD10" s="298"/>
      <c r="CE10" s="298"/>
      <c r="CF10" s="298"/>
      <c r="CG10" s="298"/>
      <c r="CH10" s="298"/>
      <c r="CJ10" s="280" t="s">
        <v>63</v>
      </c>
      <c r="CK10" s="280" t="s">
        <v>559</v>
      </c>
      <c r="CL10" s="280">
        <v>220</v>
      </c>
      <c r="CM10" s="277"/>
      <c r="CN10" s="280" t="s">
        <v>567</v>
      </c>
      <c r="CO10" s="280">
        <v>2</v>
      </c>
      <c r="CP10" s="277"/>
      <c r="CQ10" s="277"/>
      <c r="CS10" s="280" t="s">
        <v>303</v>
      </c>
      <c r="CT10" s="280">
        <v>0.05</v>
      </c>
      <c r="CU10" s="280">
        <v>4.5</v>
      </c>
      <c r="CV10" s="280">
        <v>0</v>
      </c>
      <c r="CZ10" s="285" t="s">
        <v>421</v>
      </c>
      <c r="DA10" s="285">
        <v>0.05</v>
      </c>
      <c r="DB10" s="285" t="s">
        <v>583</v>
      </c>
      <c r="DC10" s="285" t="s">
        <v>581</v>
      </c>
      <c r="DD10" s="279"/>
      <c r="DE10" s="279"/>
      <c r="DG10" s="277"/>
      <c r="DN10" s="280" t="s">
        <v>512</v>
      </c>
      <c r="DQ10" s="280" t="s">
        <v>70</v>
      </c>
      <c r="DV10" s="295" t="s">
        <v>935</v>
      </c>
      <c r="DW10" s="277"/>
      <c r="DX10" s="277"/>
      <c r="DY10" s="277"/>
      <c r="EG10" s="280" t="s">
        <v>638</v>
      </c>
      <c r="EH10" s="280" t="s">
        <v>636</v>
      </c>
      <c r="EI10" s="280">
        <v>4</v>
      </c>
      <c r="EN10" s="280" t="s">
        <v>661</v>
      </c>
      <c r="EO10" s="280" t="s">
        <v>636</v>
      </c>
      <c r="EP10" s="280">
        <v>3</v>
      </c>
      <c r="EQ10" s="280" t="s">
        <v>659</v>
      </c>
      <c r="ER10" s="298"/>
      <c r="ES10" s="298"/>
      <c r="EU10" s="280" t="s">
        <v>669</v>
      </c>
      <c r="EV10" s="280" t="s">
        <v>688</v>
      </c>
      <c r="EW10" s="280" t="s">
        <v>692</v>
      </c>
      <c r="EX10" s="280" t="s">
        <v>702</v>
      </c>
      <c r="EY10" s="277"/>
      <c r="EZ10" s="298"/>
      <c r="FA10" s="298"/>
      <c r="FB10" s="298"/>
      <c r="FD10" s="280" t="s">
        <v>716</v>
      </c>
      <c r="FE10" s="280" t="s">
        <v>740</v>
      </c>
      <c r="FF10" s="280" t="s">
        <v>744</v>
      </c>
      <c r="FG10" s="280" t="s">
        <v>710</v>
      </c>
      <c r="FH10" s="277"/>
      <c r="FI10" s="298"/>
      <c r="FJ10" s="298"/>
      <c r="FK10" s="298"/>
      <c r="FL10" s="298"/>
      <c r="FN10" s="280" t="s">
        <v>731</v>
      </c>
      <c r="FO10" s="280" t="s">
        <v>741</v>
      </c>
      <c r="FP10" s="280" t="s">
        <v>690</v>
      </c>
      <c r="FQ10" s="280" t="s">
        <v>769</v>
      </c>
      <c r="FW10" s="283" t="s">
        <v>947</v>
      </c>
      <c r="GA10" s="283" t="s">
        <v>864</v>
      </c>
      <c r="GE10" s="280" t="s">
        <v>334</v>
      </c>
      <c r="GF10" s="423" t="s">
        <v>158</v>
      </c>
      <c r="GG10" s="280" t="s">
        <v>116</v>
      </c>
      <c r="GH10" s="280" t="s">
        <v>435</v>
      </c>
      <c r="GI10" s="423" t="s">
        <v>250</v>
      </c>
      <c r="GJ10" s="280" t="s">
        <v>1175</v>
      </c>
      <c r="GK10" s="283"/>
      <c r="GL10" s="283" t="s">
        <v>955</v>
      </c>
      <c r="GM10" s="283" t="s">
        <v>955</v>
      </c>
      <c r="GN10" s="283" t="s">
        <v>955</v>
      </c>
      <c r="GO10" s="283" t="s">
        <v>955</v>
      </c>
      <c r="GP10" s="283" t="s">
        <v>955</v>
      </c>
      <c r="GQ10" s="283" t="s">
        <v>955</v>
      </c>
      <c r="GR10" s="280" t="s">
        <v>443</v>
      </c>
      <c r="GS10" s="283"/>
      <c r="GT10" s="283" t="s">
        <v>955</v>
      </c>
      <c r="GU10" s="283" t="s">
        <v>955</v>
      </c>
      <c r="GV10" s="283" t="s">
        <v>955</v>
      </c>
      <c r="GY10" s="444" t="str">
        <f t="shared" si="5"/>
        <v>balles de foin 500kg MoQ</v>
      </c>
      <c r="GZ10" s="444"/>
      <c r="HA10" s="342" t="e">
        <f t="shared" si="6"/>
        <v>#REF!</v>
      </c>
      <c r="HB10" s="342" t="e">
        <f>IF(COUNTIF(TypeArticleDansEntrepôt,GY10)=0,0,SUMIF(TypeArticleDansEntrepôt,GY10,QtéArticleDansEntrepôt)*VLOOKUP(GY10,#REF!,2,FALSE))</f>
        <v>#REF!</v>
      </c>
      <c r="HF10" s="423" t="str">
        <f t="shared" si="0"/>
        <v>Alberta</v>
      </c>
      <c r="HG10" s="280" t="str">
        <f t="shared" si="3"/>
        <v>Corse</v>
      </c>
      <c r="HK10" s="280" t="s">
        <v>265</v>
      </c>
      <c r="HL10" s="288">
        <v>120</v>
      </c>
      <c r="HN10" s="280" t="s">
        <v>58</v>
      </c>
      <c r="HO10" s="289">
        <v>120</v>
      </c>
      <c r="HP10" s="293">
        <v>0.66666666666666663</v>
      </c>
      <c r="HQ10" s="293">
        <v>0.5</v>
      </c>
      <c r="HR10" s="293">
        <v>0.5</v>
      </c>
      <c r="HS10" s="293">
        <v>0.5</v>
      </c>
      <c r="HT10" s="293">
        <v>0.33333333333333331</v>
      </c>
      <c r="HU10" s="293">
        <v>0.33333333333333331</v>
      </c>
    </row>
    <row r="11" spans="1:229" ht="12.75" customHeight="1" x14ac:dyDescent="0.2">
      <c r="A11" s="369"/>
      <c r="B11" s="280"/>
      <c r="C11" s="280"/>
      <c r="D11" s="423"/>
      <c r="E11" s="296"/>
      <c r="F11" s="373"/>
      <c r="G11" s="280"/>
      <c r="H11" s="280"/>
      <c r="I11" s="280"/>
      <c r="J11" s="280"/>
      <c r="K11" s="423"/>
      <c r="N11" s="277"/>
      <c r="O11" s="280" t="s">
        <v>856</v>
      </c>
      <c r="P11" s="280"/>
      <c r="Q11" s="280"/>
      <c r="R11" s="280"/>
      <c r="S11" s="280"/>
      <c r="T11" s="280"/>
      <c r="U11" s="280"/>
      <c r="V11" s="280"/>
      <c r="W11" s="280"/>
      <c r="X11" s="280"/>
      <c r="Y11" s="280"/>
      <c r="Z11" s="280"/>
      <c r="AA11" s="280"/>
      <c r="AB11" s="280"/>
      <c r="AC11" s="280"/>
      <c r="AD11" s="280"/>
      <c r="AE11" s="280"/>
      <c r="AF11" s="280"/>
      <c r="AG11" s="517"/>
      <c r="AH11" s="518"/>
      <c r="AI11" s="280"/>
      <c r="AJ11" s="280"/>
      <c r="AK11" s="280"/>
      <c r="AL11" s="280"/>
      <c r="AM11" s="280"/>
      <c r="AN11" s="280"/>
      <c r="AO11" s="280"/>
      <c r="AP11" s="280"/>
      <c r="AQ11" s="280"/>
      <c r="AR11" s="280"/>
      <c r="AS11" s="280"/>
      <c r="AT11" s="280"/>
      <c r="AU11" s="280"/>
      <c r="AV11" s="280"/>
      <c r="AW11" s="280"/>
      <c r="AX11" s="280"/>
      <c r="AY11" s="280"/>
      <c r="BC11" s="284" t="s">
        <v>410</v>
      </c>
      <c r="BD11" s="284">
        <v>43</v>
      </c>
      <c r="BE11" s="284">
        <v>750</v>
      </c>
      <c r="BF11" s="284">
        <v>28</v>
      </c>
      <c r="BG11" s="280" t="s">
        <v>70</v>
      </c>
      <c r="BH11" s="281"/>
      <c r="BI11" s="280" t="s">
        <v>512</v>
      </c>
      <c r="BM11" s="361" t="s">
        <v>843</v>
      </c>
      <c r="BN11" s="280" t="s">
        <v>508</v>
      </c>
      <c r="BO11" s="362" t="s">
        <v>911</v>
      </c>
      <c r="BP11" s="280">
        <v>65</v>
      </c>
      <c r="BQ11" s="280">
        <v>52</v>
      </c>
      <c r="BR11" s="280">
        <v>39</v>
      </c>
      <c r="BS11" s="280">
        <v>32.5</v>
      </c>
      <c r="BT11" s="280">
        <v>26</v>
      </c>
      <c r="BU11" s="280">
        <v>13</v>
      </c>
      <c r="BV11" s="363">
        <v>0</v>
      </c>
      <c r="BY11" s="280" t="s">
        <v>104</v>
      </c>
      <c r="BZ11" s="280">
        <v>2.2999999999999998</v>
      </c>
      <c r="CA11" s="280">
        <v>65</v>
      </c>
      <c r="CB11" s="280">
        <v>2.7</v>
      </c>
      <c r="CC11" s="280">
        <v>0</v>
      </c>
      <c r="CD11" s="298"/>
      <c r="CE11" s="298"/>
      <c r="CF11" s="298"/>
      <c r="CG11" s="298"/>
      <c r="CH11" s="298"/>
      <c r="CJ11" s="280" t="s">
        <v>561</v>
      </c>
      <c r="CK11" s="280" t="s">
        <v>559</v>
      </c>
      <c r="CL11" s="280">
        <v>220</v>
      </c>
      <c r="CM11" s="277"/>
      <c r="CN11" s="280" t="s">
        <v>568</v>
      </c>
      <c r="CO11" s="280">
        <v>2</v>
      </c>
      <c r="CP11" s="277"/>
      <c r="CQ11" s="277"/>
      <c r="CS11" s="280" t="s">
        <v>67</v>
      </c>
      <c r="CT11" s="280">
        <v>0.05</v>
      </c>
      <c r="CU11" s="280">
        <v>4.5</v>
      </c>
      <c r="CV11" s="280">
        <v>0</v>
      </c>
      <c r="CZ11" s="285" t="s">
        <v>422</v>
      </c>
      <c r="DA11" s="285">
        <v>0.05</v>
      </c>
      <c r="DB11" s="285" t="s">
        <v>584</v>
      </c>
      <c r="DC11" s="285">
        <v>1</v>
      </c>
      <c r="DD11" s="279"/>
      <c r="DE11" s="279"/>
      <c r="DF11" s="277"/>
      <c r="DG11" s="283" t="s">
        <v>519</v>
      </c>
      <c r="DN11" s="280" t="s">
        <v>514</v>
      </c>
      <c r="DV11" s="358" t="s">
        <v>866</v>
      </c>
      <c r="DW11" s="319" t="s">
        <v>884</v>
      </c>
      <c r="DX11" s="359" t="s">
        <v>885</v>
      </c>
      <c r="DY11" s="319" t="s">
        <v>895</v>
      </c>
      <c r="DZ11" s="319" t="s">
        <v>894</v>
      </c>
      <c r="EA11" s="319" t="s">
        <v>893</v>
      </c>
      <c r="EB11" s="319" t="s">
        <v>892</v>
      </c>
      <c r="EC11" s="319" t="s">
        <v>891</v>
      </c>
      <c r="ED11" s="447" t="s">
        <v>890</v>
      </c>
      <c r="EE11" s="360" t="s">
        <v>889</v>
      </c>
      <c r="EG11" s="280" t="s">
        <v>639</v>
      </c>
      <c r="EH11" s="280" t="s">
        <v>636</v>
      </c>
      <c r="EI11" s="280">
        <v>4</v>
      </c>
      <c r="EN11" s="280" t="s">
        <v>662</v>
      </c>
      <c r="EO11" s="280" t="s">
        <v>636</v>
      </c>
      <c r="EP11" s="280">
        <v>3</v>
      </c>
      <c r="EQ11" s="280" t="s">
        <v>659</v>
      </c>
      <c r="ER11" s="298"/>
      <c r="ES11" s="298"/>
      <c r="EU11" s="280" t="s">
        <v>670</v>
      </c>
      <c r="EV11" s="280" t="s">
        <v>688</v>
      </c>
      <c r="EW11" s="280" t="s">
        <v>693</v>
      </c>
      <c r="EX11" s="280" t="s">
        <v>703</v>
      </c>
      <c r="EY11" s="277"/>
      <c r="EZ11" s="298"/>
      <c r="FA11" s="298"/>
      <c r="FB11" s="298"/>
      <c r="FD11" s="280" t="s">
        <v>717</v>
      </c>
      <c r="FE11" s="280" t="s">
        <v>740</v>
      </c>
      <c r="FF11" s="280" t="s">
        <v>743</v>
      </c>
      <c r="FG11" s="280" t="s">
        <v>760</v>
      </c>
      <c r="FH11" s="277"/>
      <c r="FI11" s="298"/>
      <c r="FJ11" s="298"/>
      <c r="FK11" s="298"/>
      <c r="FL11" s="298"/>
      <c r="FN11" s="280" t="s">
        <v>732</v>
      </c>
      <c r="FO11" s="280" t="s">
        <v>741</v>
      </c>
      <c r="FP11" s="280" t="s">
        <v>750</v>
      </c>
      <c r="FQ11" s="280" t="s">
        <v>770</v>
      </c>
      <c r="FW11" s="280" t="s">
        <v>811</v>
      </c>
      <c r="FX11" s="280" t="s">
        <v>812</v>
      </c>
      <c r="FY11" s="280">
        <v>7</v>
      </c>
      <c r="GA11" s="280" t="s">
        <v>220</v>
      </c>
      <c r="GE11" s="280" t="s">
        <v>79</v>
      </c>
      <c r="GF11" s="423" t="s">
        <v>260</v>
      </c>
      <c r="GG11" s="280" t="s">
        <v>117</v>
      </c>
      <c r="GH11" s="280" t="s">
        <v>436</v>
      </c>
      <c r="GI11" s="283" t="s">
        <v>955</v>
      </c>
      <c r="GJ11" s="280" t="s">
        <v>1176</v>
      </c>
      <c r="GK11" s="283" t="s">
        <v>955</v>
      </c>
      <c r="GL11" s="283" t="s">
        <v>955</v>
      </c>
      <c r="GM11" s="283" t="s">
        <v>955</v>
      </c>
      <c r="GN11" s="283" t="s">
        <v>955</v>
      </c>
      <c r="GO11" s="283" t="s">
        <v>955</v>
      </c>
      <c r="GP11" s="283" t="s">
        <v>955</v>
      </c>
      <c r="GQ11" s="283" t="s">
        <v>955</v>
      </c>
      <c r="GR11" s="280" t="s">
        <v>445</v>
      </c>
      <c r="GS11" s="283"/>
      <c r="GT11" s="283" t="s">
        <v>955</v>
      </c>
      <c r="GU11" s="283" t="s">
        <v>955</v>
      </c>
      <c r="GV11" s="283" t="s">
        <v>955</v>
      </c>
      <c r="GY11" s="444" t="str">
        <f t="shared" si="5"/>
        <v>balles de foin 250kg MaQ</v>
      </c>
      <c r="GZ11" s="444"/>
      <c r="HA11" s="342" t="e">
        <f t="shared" si="6"/>
        <v>#REF!</v>
      </c>
      <c r="HB11" s="342" t="e">
        <f>IF(COUNTIF(TypeArticleDansEntrepôt,GY11)=0,0,SUMIF(TypeArticleDansEntrepôt,GY11,QtéArticleDansEntrepôt)*VLOOKUP(GY11,#REF!,2,FALSE))</f>
        <v>#REF!</v>
      </c>
      <c r="HF11" s="423" t="str">
        <f t="shared" si="0"/>
        <v>Colombie-Britannique</v>
      </c>
      <c r="HG11" s="280" t="str">
        <f t="shared" si="3"/>
        <v>Franche-Comté</v>
      </c>
      <c r="HK11" s="280" t="s">
        <v>233</v>
      </c>
      <c r="HL11" s="288">
        <v>145</v>
      </c>
      <c r="HN11" s="280" t="s">
        <v>220</v>
      </c>
      <c r="HO11" s="289">
        <v>150</v>
      </c>
      <c r="HP11" s="293">
        <v>0.66666666666666663</v>
      </c>
      <c r="HQ11" s="293">
        <f>0.5/1.5</f>
        <v>0.33333333333333331</v>
      </c>
      <c r="HR11" s="293">
        <v>0.33333333333333331</v>
      </c>
      <c r="HS11" s="293">
        <v>0.55555555555555558</v>
      </c>
      <c r="HT11" s="293">
        <v>0.5</v>
      </c>
      <c r="HU11" s="293">
        <v>0.66666666666666663</v>
      </c>
    </row>
    <row r="12" spans="1:229" ht="12.75" customHeight="1" x14ac:dyDescent="0.2">
      <c r="A12" s="369"/>
      <c r="B12" s="280"/>
      <c r="C12" s="280"/>
      <c r="D12" s="423"/>
      <c r="E12" s="296"/>
      <c r="F12" s="373"/>
      <c r="G12" s="280"/>
      <c r="H12" s="280"/>
      <c r="I12" s="280"/>
      <c r="J12" s="280"/>
      <c r="K12" s="423"/>
      <c r="N12" s="277"/>
      <c r="O12" s="305" t="s">
        <v>822</v>
      </c>
      <c r="P12" s="306"/>
      <c r="Q12" s="307"/>
      <c r="R12" s="307"/>
      <c r="S12" s="307"/>
      <c r="T12" s="307"/>
      <c r="U12" s="307"/>
      <c r="V12" s="307"/>
      <c r="W12" s="307"/>
      <c r="X12" s="307"/>
      <c r="Y12" s="307"/>
      <c r="Z12" s="307"/>
      <c r="AA12" s="307"/>
      <c r="AB12" s="307"/>
      <c r="AC12" s="307"/>
      <c r="AD12" s="307"/>
      <c r="AE12" s="307"/>
      <c r="AF12" s="307"/>
      <c r="AG12" s="308"/>
      <c r="AH12" s="308"/>
      <c r="AI12" s="307"/>
      <c r="AJ12" s="307"/>
      <c r="AK12" s="307"/>
      <c r="AL12" s="307"/>
      <c r="AM12" s="307"/>
      <c r="AN12" s="307"/>
      <c r="AO12" s="307"/>
      <c r="AP12" s="277"/>
      <c r="AQ12" s="277"/>
      <c r="AR12" s="277"/>
      <c r="AS12" s="277"/>
      <c r="AT12" s="277"/>
      <c r="AU12" s="277"/>
      <c r="AV12" s="277"/>
      <c r="AW12" s="277"/>
      <c r="AX12" s="277"/>
      <c r="AY12" s="277"/>
      <c r="BC12" s="284" t="s">
        <v>103</v>
      </c>
      <c r="BD12" s="284">
        <v>35</v>
      </c>
      <c r="BE12" s="284">
        <v>680</v>
      </c>
      <c r="BF12" s="284">
        <v>14</v>
      </c>
      <c r="BH12" s="281"/>
      <c r="BI12" s="280" t="s">
        <v>514</v>
      </c>
      <c r="BM12" s="361" t="s">
        <v>843</v>
      </c>
      <c r="BN12" s="280" t="s">
        <v>168</v>
      </c>
      <c r="BO12" s="280" t="s">
        <v>886</v>
      </c>
      <c r="BP12" s="280">
        <v>40</v>
      </c>
      <c r="BQ12" s="280">
        <v>32</v>
      </c>
      <c r="BR12" s="280">
        <v>24</v>
      </c>
      <c r="BS12" s="280">
        <v>20</v>
      </c>
      <c r="BT12" s="280">
        <v>16</v>
      </c>
      <c r="BU12" s="280">
        <v>8</v>
      </c>
      <c r="BV12" s="363">
        <v>0</v>
      </c>
      <c r="BY12" s="280" t="s">
        <v>106</v>
      </c>
      <c r="BZ12" s="280">
        <v>2.4</v>
      </c>
      <c r="CA12" s="280">
        <v>70</v>
      </c>
      <c r="CB12" s="280">
        <v>2.7</v>
      </c>
      <c r="CC12" s="280">
        <v>0</v>
      </c>
      <c r="CD12" s="298"/>
      <c r="CE12" s="298"/>
      <c r="CF12" s="298"/>
      <c r="CG12" s="298"/>
      <c r="CH12" s="298"/>
      <c r="CJ12" s="280" t="s">
        <v>282</v>
      </c>
      <c r="CK12" s="280" t="s">
        <v>559</v>
      </c>
      <c r="CL12" s="280">
        <v>240</v>
      </c>
      <c r="CM12" s="277"/>
      <c r="CN12" s="280" t="s">
        <v>569</v>
      </c>
      <c r="CO12" s="280">
        <v>0.5</v>
      </c>
      <c r="CP12" s="277"/>
      <c r="CQ12" s="277"/>
      <c r="CS12" s="280" t="s">
        <v>68</v>
      </c>
      <c r="CT12" s="280">
        <v>0.05</v>
      </c>
      <c r="CU12" s="280">
        <v>3.7</v>
      </c>
      <c r="CV12" s="280">
        <v>0</v>
      </c>
      <c r="CW12" s="283" t="s">
        <v>925</v>
      </c>
      <c r="CZ12" s="285" t="s">
        <v>21</v>
      </c>
      <c r="DA12" s="285">
        <v>0.05</v>
      </c>
      <c r="DB12" s="285" t="s">
        <v>585</v>
      </c>
      <c r="DC12" s="285">
        <v>2</v>
      </c>
      <c r="DD12" s="279"/>
      <c r="DE12" s="279"/>
      <c r="DG12" s="280" t="s">
        <v>605</v>
      </c>
      <c r="DH12" s="280">
        <v>0.5</v>
      </c>
      <c r="DK12" s="283" t="s">
        <v>969</v>
      </c>
      <c r="DN12" s="280" t="s">
        <v>950</v>
      </c>
      <c r="DV12" s="373" t="s">
        <v>934</v>
      </c>
      <c r="DW12" s="280" t="s">
        <v>508</v>
      </c>
      <c r="DX12" s="280" t="s">
        <v>886</v>
      </c>
      <c r="DY12" s="280">
        <v>14.25</v>
      </c>
      <c r="DZ12" s="280">
        <v>12.83</v>
      </c>
      <c r="EA12" s="280">
        <v>11.4</v>
      </c>
      <c r="EB12" s="280">
        <v>9.98</v>
      </c>
      <c r="EC12" s="280">
        <v>8.5500000000000007</v>
      </c>
      <c r="ED12" s="299">
        <v>7.13</v>
      </c>
      <c r="EE12" s="410">
        <v>0</v>
      </c>
      <c r="EG12" s="280" t="s">
        <v>640</v>
      </c>
      <c r="EH12" s="280" t="s">
        <v>636</v>
      </c>
      <c r="EI12" s="280">
        <v>4</v>
      </c>
      <c r="EN12" s="280" t="s">
        <v>663</v>
      </c>
      <c r="EO12" s="280" t="s">
        <v>636</v>
      </c>
      <c r="EP12" s="280">
        <v>3</v>
      </c>
      <c r="EQ12" s="280" t="s">
        <v>659</v>
      </c>
      <c r="ER12" s="298"/>
      <c r="ES12" s="298"/>
      <c r="EU12" s="280" t="s">
        <v>671</v>
      </c>
      <c r="EV12" s="280" t="s">
        <v>688</v>
      </c>
      <c r="EW12" s="280" t="s">
        <v>694</v>
      </c>
      <c r="EX12" s="280" t="s">
        <v>701</v>
      </c>
      <c r="EY12" s="277"/>
      <c r="EZ12" s="298"/>
      <c r="FA12" s="298"/>
      <c r="FB12" s="298"/>
      <c r="FD12" s="280" t="s">
        <v>718</v>
      </c>
      <c r="FE12" s="280" t="s">
        <v>740</v>
      </c>
      <c r="FF12" s="280" t="s">
        <v>746</v>
      </c>
      <c r="FG12" s="280" t="s">
        <v>709</v>
      </c>
      <c r="FH12" s="277"/>
      <c r="FI12" s="298"/>
      <c r="FJ12" s="298"/>
      <c r="FK12" s="298"/>
      <c r="FL12" s="298"/>
      <c r="FN12" s="280" t="s">
        <v>733</v>
      </c>
      <c r="FO12" s="280" t="s">
        <v>741</v>
      </c>
      <c r="FP12" s="280" t="s">
        <v>751</v>
      </c>
      <c r="FQ12" s="280" t="s">
        <v>775</v>
      </c>
      <c r="FW12" s="280" t="s">
        <v>813</v>
      </c>
      <c r="FX12" s="280" t="s">
        <v>814</v>
      </c>
      <c r="FY12" s="280">
        <v>7</v>
      </c>
      <c r="GA12" s="280" t="s">
        <v>70</v>
      </c>
      <c r="GE12" s="280" t="s">
        <v>71</v>
      </c>
      <c r="GF12" s="423" t="s">
        <v>427</v>
      </c>
      <c r="GG12" s="280" t="s">
        <v>118</v>
      </c>
      <c r="GH12" s="280" t="s">
        <v>437</v>
      </c>
      <c r="GI12" s="283" t="s">
        <v>955</v>
      </c>
      <c r="GJ12" s="280" t="s">
        <v>1177</v>
      </c>
      <c r="GK12" s="283" t="s">
        <v>955</v>
      </c>
      <c r="GL12" s="283" t="s">
        <v>955</v>
      </c>
      <c r="GM12" s="283" t="s">
        <v>955</v>
      </c>
      <c r="GN12" s="283" t="s">
        <v>955</v>
      </c>
      <c r="GO12" s="283" t="s">
        <v>955</v>
      </c>
      <c r="GP12" s="283" t="s">
        <v>955</v>
      </c>
      <c r="GQ12" s="283" t="s">
        <v>955</v>
      </c>
      <c r="GR12" s="280" t="s">
        <v>444</v>
      </c>
      <c r="GS12" s="283"/>
      <c r="GT12" s="283" t="s">
        <v>955</v>
      </c>
      <c r="GU12" s="283" t="s">
        <v>955</v>
      </c>
      <c r="GV12" s="283" t="s">
        <v>955</v>
      </c>
      <c r="GY12" s="444" t="str">
        <f t="shared" si="5"/>
        <v>balles de foin 300kg MaQ</v>
      </c>
      <c r="GZ12" s="444"/>
      <c r="HA12" s="342" t="e">
        <f t="shared" si="6"/>
        <v>#REF!</v>
      </c>
      <c r="HB12" s="342" t="e">
        <f>IF(COUNTIF(TypeArticleDansEntrepôt,GY12)=0,0,SUMIF(TypeArticleDansEntrepôt,GY12,QtéArticleDansEntrepôt)*VLOOKUP(GY12,#REF!,2,FALSE))</f>
        <v>#REF!</v>
      </c>
      <c r="HG12" s="280" t="str">
        <f t="shared" si="3"/>
        <v>Haute-Normandie</v>
      </c>
      <c r="HK12" s="280" t="s">
        <v>266</v>
      </c>
      <c r="HL12" s="288">
        <v>195</v>
      </c>
      <c r="HN12" s="280" t="s">
        <v>1042</v>
      </c>
      <c r="HO12" s="289">
        <v>150</v>
      </c>
      <c r="HP12" s="293">
        <v>0.75</v>
      </c>
      <c r="HQ12" s="293">
        <f>0.5/1.5</f>
        <v>0.33333333333333331</v>
      </c>
      <c r="HR12" s="293">
        <v>0.33333333333333331</v>
      </c>
      <c r="HS12" s="293">
        <v>0.55555555555555558</v>
      </c>
      <c r="HT12" s="293">
        <v>0.5</v>
      </c>
      <c r="HU12" s="293">
        <v>0.66666666666666663</v>
      </c>
    </row>
    <row r="13" spans="1:229" ht="12.75" customHeight="1" x14ac:dyDescent="0.2">
      <c r="A13" s="369"/>
      <c r="B13" s="280"/>
      <c r="C13" s="280"/>
      <c r="D13" s="423"/>
      <c r="E13" s="296"/>
      <c r="F13" s="373"/>
      <c r="G13" s="280"/>
      <c r="H13" s="280"/>
      <c r="I13" s="280"/>
      <c r="J13" s="280"/>
      <c r="K13" s="423"/>
      <c r="N13" s="277"/>
      <c r="O13" s="280" t="s">
        <v>49</v>
      </c>
      <c r="P13" s="280"/>
      <c r="Q13" s="280"/>
      <c r="R13" s="280"/>
      <c r="S13" s="280"/>
      <c r="T13" s="280"/>
      <c r="U13" s="280"/>
      <c r="V13" s="280"/>
      <c r="W13" s="280"/>
      <c r="X13" s="280"/>
      <c r="Y13" s="280"/>
      <c r="Z13" s="280"/>
      <c r="AA13" s="280"/>
      <c r="AB13" s="280"/>
      <c r="AC13" s="280"/>
      <c r="AD13" s="280"/>
      <c r="AE13" s="280"/>
      <c r="AF13" s="280"/>
      <c r="AG13" s="280"/>
      <c r="AH13" s="280"/>
      <c r="AI13" s="280"/>
      <c r="AJ13" s="280"/>
      <c r="AK13" s="280"/>
      <c r="AL13" s="280"/>
      <c r="AM13" s="280"/>
      <c r="AN13" s="280"/>
      <c r="AO13" s="280"/>
      <c r="AP13" s="280"/>
      <c r="AQ13" s="280"/>
      <c r="AR13" s="280"/>
      <c r="AS13" s="280"/>
      <c r="AT13" s="280"/>
      <c r="AU13" s="280"/>
      <c r="AV13" s="280"/>
      <c r="AW13" s="280"/>
      <c r="AX13" s="280"/>
      <c r="AY13" s="280"/>
      <c r="BC13" s="284" t="s">
        <v>105</v>
      </c>
      <c r="BD13" s="284">
        <v>35</v>
      </c>
      <c r="BE13" s="284">
        <v>650</v>
      </c>
      <c r="BF13" s="284">
        <v>26</v>
      </c>
      <c r="BH13" s="281"/>
      <c r="BI13" s="280" t="s">
        <v>948</v>
      </c>
      <c r="BM13" s="361" t="s">
        <v>843</v>
      </c>
      <c r="BN13" s="280" t="s">
        <v>220</v>
      </c>
      <c r="BO13" s="280" t="s">
        <v>887</v>
      </c>
      <c r="BP13" s="280">
        <v>6</v>
      </c>
      <c r="BQ13" s="280">
        <v>4.8</v>
      </c>
      <c r="BR13" s="280">
        <v>3.6</v>
      </c>
      <c r="BS13" s="280">
        <v>3</v>
      </c>
      <c r="BT13" s="280">
        <v>2.4</v>
      </c>
      <c r="BU13" s="280">
        <v>1.2</v>
      </c>
      <c r="BV13" s="363">
        <v>0</v>
      </c>
      <c r="BY13" s="280" t="s">
        <v>541</v>
      </c>
      <c r="BZ13" s="280">
        <v>2.2000000000000002</v>
      </c>
      <c r="CA13" s="280">
        <v>50</v>
      </c>
      <c r="CB13" s="280">
        <v>1.7</v>
      </c>
      <c r="CC13" s="280">
        <v>0</v>
      </c>
      <c r="CD13" s="298"/>
      <c r="CE13" s="298"/>
      <c r="CF13" s="298"/>
      <c r="CG13" s="298"/>
      <c r="CH13" s="298"/>
      <c r="CJ13" s="280" t="s">
        <v>562</v>
      </c>
      <c r="CK13" s="280" t="s">
        <v>559</v>
      </c>
      <c r="CL13" s="280">
        <v>240</v>
      </c>
      <c r="CM13" s="277"/>
      <c r="CS13" s="280" t="s">
        <v>571</v>
      </c>
      <c r="CT13" s="280">
        <v>0.05</v>
      </c>
      <c r="CU13" s="280">
        <v>3.8</v>
      </c>
      <c r="CV13" s="280">
        <v>0</v>
      </c>
      <c r="CW13" s="280" t="s">
        <v>1096</v>
      </c>
      <c r="CZ13" s="285" t="s">
        <v>346</v>
      </c>
      <c r="DA13" s="285">
        <v>0.05</v>
      </c>
      <c r="DB13" s="285" t="s">
        <v>586</v>
      </c>
      <c r="DC13" s="285">
        <v>2</v>
      </c>
      <c r="DD13" s="279"/>
      <c r="DE13" s="279"/>
      <c r="DG13" s="280" t="s">
        <v>606</v>
      </c>
      <c r="DH13" s="280">
        <v>0.3</v>
      </c>
      <c r="DK13" s="280">
        <v>1.5</v>
      </c>
      <c r="DN13" s="280" t="s">
        <v>623</v>
      </c>
      <c r="DV13" s="373" t="s">
        <v>934</v>
      </c>
      <c r="DW13" s="280" t="s">
        <v>168</v>
      </c>
      <c r="DX13" s="280" t="s">
        <v>886</v>
      </c>
      <c r="DY13" s="280">
        <v>10</v>
      </c>
      <c r="DZ13" s="280">
        <v>9</v>
      </c>
      <c r="EA13" s="280">
        <v>8</v>
      </c>
      <c r="EB13" s="280">
        <v>7</v>
      </c>
      <c r="EC13" s="280">
        <v>6</v>
      </c>
      <c r="ED13" s="299">
        <v>5</v>
      </c>
      <c r="EE13" s="410">
        <v>0</v>
      </c>
      <c r="EG13" s="280" t="s">
        <v>641</v>
      </c>
      <c r="EH13" s="280" t="s">
        <v>642</v>
      </c>
      <c r="EI13" s="280">
        <v>4</v>
      </c>
      <c r="EN13" s="280" t="s">
        <v>664</v>
      </c>
      <c r="EO13" s="280" t="s">
        <v>642</v>
      </c>
      <c r="EP13" s="280">
        <v>4</v>
      </c>
      <c r="EQ13" s="280" t="s">
        <v>659</v>
      </c>
      <c r="ER13" s="298"/>
      <c r="ES13" s="298"/>
      <c r="EU13" s="280" t="s">
        <v>672</v>
      </c>
      <c r="EV13" s="280" t="s">
        <v>688</v>
      </c>
      <c r="EW13" s="280" t="s">
        <v>695</v>
      </c>
      <c r="EX13" s="280" t="s">
        <v>701</v>
      </c>
      <c r="EY13" s="277"/>
      <c r="EZ13" s="298"/>
      <c r="FA13" s="298"/>
      <c r="FB13" s="298"/>
      <c r="FD13" s="280" t="s">
        <v>719</v>
      </c>
      <c r="FE13" s="280" t="s">
        <v>740</v>
      </c>
      <c r="FF13" s="280" t="s">
        <v>745</v>
      </c>
      <c r="FG13" s="280" t="s">
        <v>708</v>
      </c>
      <c r="FH13" s="277"/>
      <c r="FI13" s="298"/>
      <c r="FJ13" s="298"/>
      <c r="FK13" s="298"/>
      <c r="FL13" s="298"/>
      <c r="FN13" s="280" t="s">
        <v>734</v>
      </c>
      <c r="FO13" s="280" t="s">
        <v>741</v>
      </c>
      <c r="FP13" s="280" t="s">
        <v>691</v>
      </c>
      <c r="FQ13" s="280" t="s">
        <v>774</v>
      </c>
      <c r="FW13" s="280" t="s">
        <v>815</v>
      </c>
      <c r="FX13" s="280" t="s">
        <v>816</v>
      </c>
      <c r="FY13" s="280">
        <v>7</v>
      </c>
      <c r="GE13" s="280" t="s">
        <v>240</v>
      </c>
      <c r="GF13" s="423" t="s">
        <v>455</v>
      </c>
      <c r="GG13" s="280" t="s">
        <v>311</v>
      </c>
      <c r="GH13" s="280" t="s">
        <v>438</v>
      </c>
      <c r="GI13" s="283" t="s">
        <v>955</v>
      </c>
      <c r="GJ13" s="280" t="s">
        <v>1178</v>
      </c>
      <c r="GK13" s="283" t="s">
        <v>955</v>
      </c>
      <c r="GL13" s="283" t="s">
        <v>955</v>
      </c>
      <c r="GM13" s="283" t="s">
        <v>955</v>
      </c>
      <c r="GN13" s="283" t="s">
        <v>955</v>
      </c>
      <c r="GO13" s="283" t="s">
        <v>955</v>
      </c>
      <c r="GP13" s="283" t="s">
        <v>955</v>
      </c>
      <c r="GQ13" s="283" t="s">
        <v>955</v>
      </c>
      <c r="GR13" s="280" t="s">
        <v>446</v>
      </c>
      <c r="GS13" s="283"/>
      <c r="GT13" s="283" t="s">
        <v>955</v>
      </c>
      <c r="GU13" s="283" t="s">
        <v>955</v>
      </c>
      <c r="GV13" s="283" t="s">
        <v>955</v>
      </c>
      <c r="GY13" s="444" t="str">
        <f t="shared" si="5"/>
        <v>balles de foin 300kg enrubanné MaQ</v>
      </c>
      <c r="GZ13" s="444"/>
      <c r="HA13" s="342" t="e">
        <f t="shared" si="6"/>
        <v>#REF!</v>
      </c>
      <c r="HB13" s="342" t="e">
        <f>IF(COUNTIF(TypeArticleDansEntrepôt,GY13)=0,0,SUMIF(TypeArticleDansEntrepôt,GY13,QtéArticleDansEntrepôt)*VLOOKUP(GY13,#REF!,2,FALSE))</f>
        <v>#REF!</v>
      </c>
      <c r="HG13" s="280" t="str">
        <f t="shared" si="3"/>
        <v>Ile-de-France</v>
      </c>
      <c r="HK13" s="280" t="s">
        <v>267</v>
      </c>
      <c r="HL13" s="288">
        <v>1220</v>
      </c>
      <c r="HN13" s="280" t="s">
        <v>376</v>
      </c>
      <c r="HO13" s="289">
        <f>HO12</f>
        <v>150</v>
      </c>
      <c r="HP13" s="293">
        <v>0.75</v>
      </c>
      <c r="HQ13" s="293">
        <f>0.5/1.5</f>
        <v>0.33333333333333331</v>
      </c>
      <c r="HR13" s="293">
        <v>0.33333333333333331</v>
      </c>
      <c r="HS13" s="293">
        <v>0.55555555555555558</v>
      </c>
      <c r="HT13" s="293">
        <v>0.5</v>
      </c>
      <c r="HU13" s="293">
        <v>0.66666666666666663</v>
      </c>
    </row>
    <row r="14" spans="1:229" ht="12.75" customHeight="1" x14ac:dyDescent="0.2">
      <c r="A14" s="369"/>
      <c r="B14" s="280"/>
      <c r="C14" s="280"/>
      <c r="D14" s="423"/>
      <c r="E14" s="296"/>
      <c r="F14" s="373"/>
      <c r="G14" s="280"/>
      <c r="H14" s="280"/>
      <c r="I14" s="280"/>
      <c r="J14" s="280"/>
      <c r="K14" s="423"/>
      <c r="N14" s="277"/>
      <c r="O14" s="280" t="s">
        <v>823</v>
      </c>
      <c r="P14" s="280"/>
      <c r="Q14" s="280"/>
      <c r="R14" s="280"/>
      <c r="S14" s="280"/>
      <c r="T14" s="280"/>
      <c r="U14" s="280"/>
      <c r="V14" s="280"/>
      <c r="W14" s="280"/>
      <c r="X14" s="280"/>
      <c r="Y14" s="280"/>
      <c r="Z14" s="280"/>
      <c r="AA14" s="280"/>
      <c r="AB14" s="280"/>
      <c r="AC14" s="280"/>
      <c r="AD14" s="280"/>
      <c r="AE14" s="280"/>
      <c r="AF14" s="280"/>
      <c r="AG14" s="280"/>
      <c r="AH14" s="280"/>
      <c r="AI14" s="280"/>
      <c r="AJ14" s="280"/>
      <c r="AK14" s="280"/>
      <c r="AL14" s="280"/>
      <c r="AM14" s="280"/>
      <c r="AN14" s="280"/>
      <c r="AO14" s="280"/>
      <c r="AP14" s="280"/>
      <c r="AQ14" s="280"/>
      <c r="AR14" s="280"/>
      <c r="AS14" s="280"/>
      <c r="AT14" s="280"/>
      <c r="AU14" s="280"/>
      <c r="AV14" s="280"/>
      <c r="AW14" s="280"/>
      <c r="AX14" s="280"/>
      <c r="AY14" s="280"/>
      <c r="BC14" s="284" t="s">
        <v>107</v>
      </c>
      <c r="BD14" s="284">
        <v>35</v>
      </c>
      <c r="BE14" s="284">
        <v>600</v>
      </c>
      <c r="BF14" s="284">
        <v>14</v>
      </c>
      <c r="BG14" s="283" t="s">
        <v>862</v>
      </c>
      <c r="BH14" s="281"/>
      <c r="BI14" s="280" t="s">
        <v>516</v>
      </c>
      <c r="BM14" s="361" t="s">
        <v>843</v>
      </c>
      <c r="BN14" s="280" t="s">
        <v>70</v>
      </c>
      <c r="BO14" s="280" t="s">
        <v>887</v>
      </c>
      <c r="BP14" s="280">
        <v>6</v>
      </c>
      <c r="BQ14" s="280">
        <v>4.8</v>
      </c>
      <c r="BR14" s="280">
        <v>3.6</v>
      </c>
      <c r="BS14" s="280">
        <v>3</v>
      </c>
      <c r="BT14" s="280">
        <v>2.4</v>
      </c>
      <c r="BU14" s="280">
        <v>1.2</v>
      </c>
      <c r="BV14" s="363">
        <v>0</v>
      </c>
      <c r="BY14" s="280" t="s">
        <v>540</v>
      </c>
      <c r="BZ14" s="280">
        <v>2.4</v>
      </c>
      <c r="CA14" s="280">
        <v>70</v>
      </c>
      <c r="CB14" s="280">
        <v>2.7</v>
      </c>
      <c r="CC14" s="280">
        <v>0</v>
      </c>
      <c r="CD14" s="298"/>
      <c r="CE14" s="298"/>
      <c r="CF14" s="298"/>
      <c r="CG14" s="298"/>
      <c r="CH14" s="298"/>
      <c r="CJ14" s="276"/>
      <c r="CM14" s="277"/>
      <c r="CS14" s="280" t="s">
        <v>281</v>
      </c>
      <c r="CT14" s="280">
        <v>0.05</v>
      </c>
      <c r="CU14" s="280">
        <v>4.0999999999999996</v>
      </c>
      <c r="CV14" s="280">
        <v>0.3</v>
      </c>
      <c r="CW14" s="280" t="s">
        <v>1097</v>
      </c>
      <c r="DG14" s="280" t="s">
        <v>607</v>
      </c>
      <c r="DH14" s="280">
        <v>0.1</v>
      </c>
      <c r="DN14" s="280" t="s">
        <v>551</v>
      </c>
      <c r="DV14" s="373" t="s">
        <v>934</v>
      </c>
      <c r="DW14" s="280" t="s">
        <v>220</v>
      </c>
      <c r="DX14" s="280" t="s">
        <v>887</v>
      </c>
      <c r="DY14" s="280">
        <v>1</v>
      </c>
      <c r="DZ14" s="280">
        <v>0.9</v>
      </c>
      <c r="EA14" s="280">
        <v>0.8</v>
      </c>
      <c r="EB14" s="280">
        <v>0.7</v>
      </c>
      <c r="EC14" s="280">
        <v>0.6</v>
      </c>
      <c r="ED14" s="299">
        <v>0.5</v>
      </c>
      <c r="EE14" s="410">
        <v>0</v>
      </c>
      <c r="EG14" s="280" t="s">
        <v>643</v>
      </c>
      <c r="EH14" s="280" t="s">
        <v>642</v>
      </c>
      <c r="EI14" s="280">
        <v>8</v>
      </c>
      <c r="EU14" s="280" t="s">
        <v>673</v>
      </c>
      <c r="EV14" s="280" t="s">
        <v>688</v>
      </c>
      <c r="EW14" s="280" t="s">
        <v>696</v>
      </c>
      <c r="EX14" s="280" t="s">
        <v>700</v>
      </c>
      <c r="EY14" s="277"/>
      <c r="EZ14" s="298"/>
      <c r="FA14" s="298"/>
      <c r="FB14" s="298"/>
      <c r="FD14" s="280" t="s">
        <v>720</v>
      </c>
      <c r="FE14" s="280" t="s">
        <v>740</v>
      </c>
      <c r="FF14" s="280" t="s">
        <v>747</v>
      </c>
      <c r="FG14" s="280" t="s">
        <v>762</v>
      </c>
      <c r="FH14" s="277"/>
      <c r="FI14" s="298"/>
      <c r="FJ14" s="298"/>
      <c r="FK14" s="298"/>
      <c r="FL14" s="298"/>
      <c r="FN14" s="280" t="s">
        <v>735</v>
      </c>
      <c r="FO14" s="280" t="s">
        <v>741</v>
      </c>
      <c r="FP14" s="280" t="s">
        <v>752</v>
      </c>
      <c r="FQ14" s="280" t="s">
        <v>769</v>
      </c>
      <c r="GE14" s="280" t="s">
        <v>308</v>
      </c>
      <c r="GF14" s="423" t="s">
        <v>200</v>
      </c>
      <c r="GG14" s="280" t="s">
        <v>312</v>
      </c>
      <c r="GH14" s="280" t="s">
        <v>439</v>
      </c>
      <c r="GI14" s="283" t="s">
        <v>955</v>
      </c>
      <c r="GJ14" s="280" t="s">
        <v>1179</v>
      </c>
      <c r="GK14" s="283" t="s">
        <v>955</v>
      </c>
      <c r="GL14" s="283" t="s">
        <v>955</v>
      </c>
      <c r="GM14" s="283" t="s">
        <v>955</v>
      </c>
      <c r="GN14" s="283" t="s">
        <v>955</v>
      </c>
      <c r="GO14" s="283" t="s">
        <v>955</v>
      </c>
      <c r="GP14" s="283" t="s">
        <v>955</v>
      </c>
      <c r="GQ14" s="283" t="s">
        <v>955</v>
      </c>
      <c r="GR14" s="280" t="s">
        <v>447</v>
      </c>
      <c r="GS14" s="283" t="s">
        <v>955</v>
      </c>
      <c r="GT14" s="283" t="s">
        <v>955</v>
      </c>
      <c r="GU14" s="283" t="s">
        <v>955</v>
      </c>
      <c r="GV14" s="283" t="s">
        <v>955</v>
      </c>
      <c r="GY14" s="444" t="str">
        <f t="shared" si="5"/>
        <v>balles de foin 500kg MaQ</v>
      </c>
      <c r="GZ14" s="444"/>
      <c r="HA14" s="342" t="e">
        <f t="shared" si="6"/>
        <v>#REF!</v>
      </c>
      <c r="HB14" s="342" t="e">
        <f>IF(COUNTIF(TypeArticleDansEntrepôt,GY14)=0,0,SUMIF(TypeArticleDansEntrepôt,GY14,QtéArticleDansEntrepôt)*VLOOKUP(GY14,#REF!,2,FALSE))</f>
        <v>#REF!</v>
      </c>
      <c r="HG14" s="280" t="str">
        <f t="shared" si="3"/>
        <v>Languedoc-Roussillon</v>
      </c>
      <c r="HK14" s="280" t="s">
        <v>58</v>
      </c>
      <c r="HL14" s="288">
        <v>1300</v>
      </c>
      <c r="HN14" s="280" t="s">
        <v>57</v>
      </c>
      <c r="HO14" s="289">
        <v>110</v>
      </c>
      <c r="HP14" s="293">
        <v>0.86842105263157898</v>
      </c>
      <c r="HQ14" s="293">
        <v>0.66666666666666663</v>
      </c>
      <c r="HR14" s="293">
        <v>0.8214285714285714</v>
      </c>
      <c r="HS14" s="293">
        <v>0.80392156862745101</v>
      </c>
      <c r="HT14" s="293">
        <v>0.73333333333333328</v>
      </c>
      <c r="HU14" s="293">
        <v>0</v>
      </c>
    </row>
    <row r="15" spans="1:229" ht="12.75" customHeight="1" x14ac:dyDescent="0.2">
      <c r="A15" s="369"/>
      <c r="B15" s="280"/>
      <c r="C15" s="280"/>
      <c r="D15" s="423"/>
      <c r="E15" s="296"/>
      <c r="F15" s="373"/>
      <c r="G15" s="280"/>
      <c r="H15" s="280"/>
      <c r="I15" s="280"/>
      <c r="J15" s="280"/>
      <c r="K15" s="423"/>
      <c r="N15" s="277"/>
      <c r="O15" s="280" t="s">
        <v>824</v>
      </c>
      <c r="P15" s="280"/>
      <c r="Q15" s="280"/>
      <c r="R15" s="280"/>
      <c r="S15" s="280"/>
      <c r="T15" s="280"/>
      <c r="U15" s="280"/>
      <c r="V15" s="280"/>
      <c r="W15" s="280"/>
      <c r="X15" s="280"/>
      <c r="Y15" s="280"/>
      <c r="Z15" s="280"/>
      <c r="AA15" s="280"/>
      <c r="AB15" s="280"/>
      <c r="AC15" s="280"/>
      <c r="AD15" s="280"/>
      <c r="AE15" s="280"/>
      <c r="AF15" s="280"/>
      <c r="AG15" s="280"/>
      <c r="AH15" s="280"/>
      <c r="AI15" s="280"/>
      <c r="AJ15" s="280"/>
      <c r="AK15" s="280"/>
      <c r="AL15" s="280"/>
      <c r="AM15" s="280"/>
      <c r="AN15" s="280"/>
      <c r="AO15" s="280"/>
      <c r="AP15" s="280"/>
      <c r="AQ15" s="280"/>
      <c r="AR15" s="280"/>
      <c r="AS15" s="280"/>
      <c r="AT15" s="280"/>
      <c r="AU15" s="280"/>
      <c r="AV15" s="280"/>
      <c r="AW15" s="280"/>
      <c r="AX15" s="280"/>
      <c r="AY15" s="280"/>
      <c r="BC15" s="284" t="s">
        <v>128</v>
      </c>
      <c r="BD15" s="284">
        <v>44</v>
      </c>
      <c r="BE15" s="284">
        <v>750</v>
      </c>
      <c r="BF15" s="284">
        <v>18</v>
      </c>
      <c r="BG15" s="280" t="str">
        <f>IF(OR(ChoixPaysPartie=France,ChoixPaysPartie=Belgique,ChoixPaysPartie=Suisse),"Tourteau de Colza","Canola")</f>
        <v>Tourteau de Colza</v>
      </c>
      <c r="BH15" s="281"/>
      <c r="BI15" s="280" t="s">
        <v>517</v>
      </c>
      <c r="BM15" s="361" t="s">
        <v>843</v>
      </c>
      <c r="BN15" s="280" t="s">
        <v>489</v>
      </c>
      <c r="BO15" s="280" t="s">
        <v>886</v>
      </c>
      <c r="BP15" s="280">
        <v>6</v>
      </c>
      <c r="BQ15" s="280">
        <v>4.8</v>
      </c>
      <c r="BR15" s="280">
        <v>3.6</v>
      </c>
      <c r="BS15" s="280">
        <v>3</v>
      </c>
      <c r="BT15" s="280">
        <v>2.4</v>
      </c>
      <c r="BU15" s="280">
        <v>1.2</v>
      </c>
      <c r="BV15" s="363">
        <v>0</v>
      </c>
      <c r="CJ15" s="295" t="s">
        <v>519</v>
      </c>
      <c r="CM15" s="283" t="s">
        <v>564</v>
      </c>
      <c r="CP15" s="283" t="s">
        <v>966</v>
      </c>
      <c r="CS15" s="280" t="s">
        <v>319</v>
      </c>
      <c r="CT15" s="280">
        <v>0.05</v>
      </c>
      <c r="CU15" s="280">
        <v>3.8</v>
      </c>
      <c r="CV15" s="280">
        <v>0</v>
      </c>
      <c r="CZ15" s="283" t="s">
        <v>587</v>
      </c>
      <c r="DB15" s="283" t="s">
        <v>519</v>
      </c>
      <c r="DV15" s="373" t="s">
        <v>934</v>
      </c>
      <c r="DW15" s="280" t="s">
        <v>70</v>
      </c>
      <c r="DX15" s="280" t="s">
        <v>887</v>
      </c>
      <c r="DY15" s="280">
        <v>1</v>
      </c>
      <c r="DZ15" s="280">
        <v>0.9</v>
      </c>
      <c r="EA15" s="280">
        <v>0.8</v>
      </c>
      <c r="EB15" s="280">
        <v>0.7</v>
      </c>
      <c r="EC15" s="280">
        <v>0.6</v>
      </c>
      <c r="ED15" s="299">
        <v>0.5</v>
      </c>
      <c r="EE15" s="410">
        <v>0</v>
      </c>
      <c r="EG15" s="280" t="s">
        <v>644</v>
      </c>
      <c r="EH15" s="280" t="s">
        <v>642</v>
      </c>
      <c r="EI15" s="280">
        <v>6</v>
      </c>
      <c r="EN15" s="283" t="s">
        <v>646</v>
      </c>
      <c r="EP15" s="283" t="s">
        <v>656</v>
      </c>
      <c r="EU15" s="280" t="s">
        <v>674</v>
      </c>
      <c r="EV15" s="280" t="s">
        <v>689</v>
      </c>
      <c r="EW15" s="280" t="s">
        <v>698</v>
      </c>
      <c r="EX15" s="280" t="s">
        <v>700</v>
      </c>
      <c r="EY15" s="277"/>
      <c r="EZ15" s="298"/>
      <c r="FA15" s="298"/>
      <c r="FB15" s="298"/>
      <c r="FD15" s="280" t="s">
        <v>721</v>
      </c>
      <c r="FE15" s="280" t="s">
        <v>740</v>
      </c>
      <c r="FF15" s="280" t="s">
        <v>743</v>
      </c>
      <c r="FG15" s="280" t="s">
        <v>710</v>
      </c>
      <c r="FH15" s="277"/>
      <c r="FI15" s="298"/>
      <c r="FJ15" s="298"/>
      <c r="FK15" s="298"/>
      <c r="FL15" s="298"/>
      <c r="FN15" s="280" t="s">
        <v>736</v>
      </c>
      <c r="FO15" s="280" t="s">
        <v>741</v>
      </c>
      <c r="FP15" s="280" t="s">
        <v>753</v>
      </c>
      <c r="FQ15" s="280" t="s">
        <v>771</v>
      </c>
      <c r="FW15" s="283" t="s">
        <v>817</v>
      </c>
      <c r="GE15" s="280" t="s">
        <v>196</v>
      </c>
      <c r="GF15" s="423" t="s">
        <v>205</v>
      </c>
      <c r="GG15" s="280" t="s">
        <v>235</v>
      </c>
      <c r="GH15" s="283" t="s">
        <v>955</v>
      </c>
      <c r="GI15" s="283" t="s">
        <v>955</v>
      </c>
      <c r="GJ15" s="280" t="s">
        <v>1180</v>
      </c>
      <c r="GK15" s="283" t="s">
        <v>955</v>
      </c>
      <c r="GL15" s="283" t="s">
        <v>955</v>
      </c>
      <c r="GM15" s="283" t="s">
        <v>955</v>
      </c>
      <c r="GN15" s="283" t="s">
        <v>955</v>
      </c>
      <c r="GO15" s="283" t="s">
        <v>955</v>
      </c>
      <c r="GP15" s="283" t="s">
        <v>955</v>
      </c>
      <c r="GQ15" s="283" t="s">
        <v>955</v>
      </c>
      <c r="GR15" s="280" t="s">
        <v>448</v>
      </c>
      <c r="GS15" s="283" t="s">
        <v>955</v>
      </c>
      <c r="GT15" s="283" t="s">
        <v>955</v>
      </c>
      <c r="GU15" s="283" t="s">
        <v>955</v>
      </c>
      <c r="GV15" s="283" t="s">
        <v>955</v>
      </c>
      <c r="GY15" s="444" t="str">
        <f t="shared" si="5"/>
        <v>balles de paille 250kg BQ</v>
      </c>
      <c r="GZ15" s="444"/>
      <c r="HA15" s="342" t="e">
        <f t="shared" si="6"/>
        <v>#REF!</v>
      </c>
      <c r="HB15" s="342" t="e">
        <f>IF(COUNTIF(TypeArticleDansEntrepôt,GY15)=0,0,SUMIF(TypeArticleDansEntrepôt,GY15,QtéArticleDansEntrepôt)*VLOOKUP(GY15,#REF!,2,FALSE))</f>
        <v>#REF!</v>
      </c>
      <c r="HG15" s="280" t="str">
        <f t="shared" si="3"/>
        <v>Limousin</v>
      </c>
      <c r="HK15" s="280" t="s">
        <v>146</v>
      </c>
      <c r="HL15" s="288">
        <v>75</v>
      </c>
      <c r="HN15" s="280" t="s">
        <v>233</v>
      </c>
      <c r="HO15" s="289">
        <v>220</v>
      </c>
      <c r="HP15" s="293">
        <v>0</v>
      </c>
      <c r="HQ15" s="293">
        <v>0.69230769230769229</v>
      </c>
      <c r="HR15" s="293">
        <v>0.68421052631578949</v>
      </c>
      <c r="HS15" s="293">
        <v>0.5</v>
      </c>
      <c r="HT15" s="293">
        <v>0.6</v>
      </c>
      <c r="HU15" s="293">
        <v>0.5</v>
      </c>
    </row>
    <row r="16" spans="1:229" ht="12.75" customHeight="1" x14ac:dyDescent="0.2">
      <c r="A16" s="369"/>
      <c r="B16" s="280"/>
      <c r="C16" s="280"/>
      <c r="D16" s="423"/>
      <c r="E16" s="296"/>
      <c r="F16" s="373"/>
      <c r="G16" s="280"/>
      <c r="H16" s="280"/>
      <c r="I16" s="280"/>
      <c r="J16" s="280"/>
      <c r="K16" s="423"/>
      <c r="M16" s="384" t="s">
        <v>165</v>
      </c>
      <c r="N16" s="277"/>
      <c r="O16" s="280" t="s">
        <v>825</v>
      </c>
      <c r="P16" s="280"/>
      <c r="Q16" s="280"/>
      <c r="R16" s="280"/>
      <c r="S16" s="280"/>
      <c r="T16" s="280"/>
      <c r="U16" s="280"/>
      <c r="V16" s="280"/>
      <c r="W16" s="280"/>
      <c r="X16" s="280"/>
      <c r="Y16" s="280"/>
      <c r="Z16" s="280"/>
      <c r="AA16" s="280"/>
      <c r="AB16" s="280"/>
      <c r="AC16" s="280"/>
      <c r="AD16" s="280"/>
      <c r="AE16" s="280"/>
      <c r="AF16" s="280"/>
      <c r="AG16" s="280"/>
      <c r="AH16" s="280"/>
      <c r="AI16" s="280"/>
      <c r="AJ16" s="280"/>
      <c r="AK16" s="280"/>
      <c r="AL16" s="280"/>
      <c r="AM16" s="280"/>
      <c r="AN16" s="280"/>
      <c r="AO16" s="280"/>
      <c r="AP16" s="280"/>
      <c r="AQ16" s="280"/>
      <c r="AR16" s="280"/>
      <c r="AS16" s="280"/>
      <c r="AT16" s="280"/>
      <c r="AU16" s="280"/>
      <c r="AV16" s="280"/>
      <c r="AW16" s="280"/>
      <c r="AX16" s="280"/>
      <c r="AY16" s="280"/>
      <c r="BC16" s="284" t="s">
        <v>492</v>
      </c>
      <c r="BD16" s="284">
        <v>35</v>
      </c>
      <c r="BE16" s="284">
        <v>650</v>
      </c>
      <c r="BF16" s="284">
        <v>26</v>
      </c>
      <c r="BG16" s="280" t="s">
        <v>57</v>
      </c>
      <c r="BH16" s="281"/>
      <c r="BI16" s="280" t="s">
        <v>516</v>
      </c>
      <c r="BM16" s="361" t="s">
        <v>843</v>
      </c>
      <c r="BN16" s="280" t="s">
        <v>490</v>
      </c>
      <c r="BO16" s="280" t="s">
        <v>886</v>
      </c>
      <c r="BP16" s="280">
        <v>6</v>
      </c>
      <c r="BQ16" s="280">
        <v>4.8</v>
      </c>
      <c r="BR16" s="280">
        <v>3.6</v>
      </c>
      <c r="BS16" s="280">
        <v>3</v>
      </c>
      <c r="BT16" s="280">
        <v>2.4</v>
      </c>
      <c r="BU16" s="280">
        <v>1.2</v>
      </c>
      <c r="BV16" s="363">
        <v>0</v>
      </c>
      <c r="BY16" s="283" t="s">
        <v>501</v>
      </c>
      <c r="CA16" s="423" t="s">
        <v>864</v>
      </c>
      <c r="CB16" s="280" t="s">
        <v>844</v>
      </c>
      <c r="CJ16" s="358" t="s">
        <v>976</v>
      </c>
      <c r="CK16" s="372" t="s">
        <v>413</v>
      </c>
      <c r="CM16" s="358" t="s">
        <v>976</v>
      </c>
      <c r="CN16" s="372" t="s">
        <v>977</v>
      </c>
      <c r="CP16" s="280">
        <v>5</v>
      </c>
      <c r="CS16" s="280" t="s">
        <v>572</v>
      </c>
      <c r="CT16" s="280">
        <v>0.05</v>
      </c>
      <c r="CU16" s="280">
        <v>4.0999999999999996</v>
      </c>
      <c r="CV16" s="280">
        <v>0</v>
      </c>
      <c r="CZ16" s="280" t="s">
        <v>588</v>
      </c>
      <c r="DB16" s="280" t="s">
        <v>597</v>
      </c>
      <c r="DC16" s="280">
        <v>0.5</v>
      </c>
      <c r="DG16" s="283" t="s">
        <v>604</v>
      </c>
      <c r="DV16" s="373" t="s">
        <v>934</v>
      </c>
      <c r="DW16" s="280" t="s">
        <v>489</v>
      </c>
      <c r="DX16" s="280" t="s">
        <v>886</v>
      </c>
      <c r="DY16" s="280">
        <v>1</v>
      </c>
      <c r="DZ16" s="280">
        <v>0.9</v>
      </c>
      <c r="EA16" s="280">
        <v>0.8</v>
      </c>
      <c r="EB16" s="280">
        <v>0.7</v>
      </c>
      <c r="EC16" s="280">
        <v>0.6</v>
      </c>
      <c r="ED16" s="299">
        <v>0.5</v>
      </c>
      <c r="EE16" s="410">
        <v>0</v>
      </c>
      <c r="EN16" s="283" t="s">
        <v>965</v>
      </c>
      <c r="EP16" s="280">
        <v>10</v>
      </c>
      <c r="EU16" s="280" t="s">
        <v>675</v>
      </c>
      <c r="EV16" s="280" t="s">
        <v>688</v>
      </c>
      <c r="EW16" s="280" t="s">
        <v>697</v>
      </c>
      <c r="EX16" s="280" t="s">
        <v>704</v>
      </c>
      <c r="EY16" s="277"/>
      <c r="EZ16" s="298"/>
      <c r="FA16" s="298"/>
      <c r="FB16" s="298"/>
      <c r="FD16" s="280" t="s">
        <v>722</v>
      </c>
      <c r="FE16" s="280" t="s">
        <v>740</v>
      </c>
      <c r="FF16" s="280" t="s">
        <v>748</v>
      </c>
      <c r="FG16" s="280" t="s">
        <v>763</v>
      </c>
      <c r="FH16" s="277"/>
      <c r="FI16" s="298"/>
      <c r="FJ16" s="298"/>
      <c r="FK16" s="298"/>
      <c r="FL16" s="298"/>
      <c r="FN16" s="280" t="s">
        <v>737</v>
      </c>
      <c r="FO16" s="280" t="s">
        <v>741</v>
      </c>
      <c r="FP16" s="280" t="s">
        <v>754</v>
      </c>
      <c r="FQ16" s="280" t="s">
        <v>772</v>
      </c>
      <c r="FX16" s="280" t="s">
        <v>459</v>
      </c>
      <c r="FY16" s="280" t="s">
        <v>810</v>
      </c>
      <c r="GE16" s="280" t="s">
        <v>331</v>
      </c>
      <c r="GF16" s="423" t="s">
        <v>389</v>
      </c>
      <c r="GG16" s="280" t="s">
        <v>172</v>
      </c>
      <c r="GH16" s="283" t="s">
        <v>955</v>
      </c>
      <c r="GI16" s="283" t="s">
        <v>955</v>
      </c>
      <c r="GJ16" s="280" t="s">
        <v>1181</v>
      </c>
      <c r="GK16" s="283" t="s">
        <v>955</v>
      </c>
      <c r="GL16" s="283" t="s">
        <v>955</v>
      </c>
      <c r="GM16" s="283" t="s">
        <v>955</v>
      </c>
      <c r="GN16" s="283" t="s">
        <v>955</v>
      </c>
      <c r="GO16" s="283" t="s">
        <v>955</v>
      </c>
      <c r="GP16" s="283" t="s">
        <v>955</v>
      </c>
      <c r="GQ16" s="283" t="s">
        <v>955</v>
      </c>
      <c r="GR16" s="280" t="s">
        <v>449</v>
      </c>
      <c r="GS16" s="283" t="s">
        <v>955</v>
      </c>
      <c r="GT16" s="283" t="s">
        <v>955</v>
      </c>
      <c r="GU16" s="283" t="s">
        <v>955</v>
      </c>
      <c r="GV16" s="283" t="s">
        <v>955</v>
      </c>
      <c r="GY16" s="444" t="str">
        <f t="shared" si="5"/>
        <v>balles de paille 300kg BQ</v>
      </c>
      <c r="GZ16" s="444"/>
      <c r="HA16" s="342" t="e">
        <f t="shared" si="6"/>
        <v>#REF!</v>
      </c>
      <c r="HB16" s="342" t="e">
        <f>IF(COUNTIF(TypeArticleDansEntrepôt,GY16)=0,0,SUMIF(TypeArticleDansEntrepôt,GY16,QtéArticleDansEntrepôt)*VLOOKUP(GY16,#REF!,2,FALSE))</f>
        <v>#REF!</v>
      </c>
      <c r="HG16" s="280" t="str">
        <f t="shared" si="3"/>
        <v>Lorraine</v>
      </c>
      <c r="HK16" s="280" t="s">
        <v>269</v>
      </c>
      <c r="HL16" s="288">
        <v>45</v>
      </c>
      <c r="HN16" s="280" t="s">
        <v>1043</v>
      </c>
      <c r="HO16" s="289">
        <v>150</v>
      </c>
      <c r="HP16" s="293">
        <v>0.66666666666666663</v>
      </c>
      <c r="HQ16" s="293">
        <f>0.5/1.5</f>
        <v>0.33333333333333331</v>
      </c>
      <c r="HR16" s="293">
        <v>0.33333333333333331</v>
      </c>
      <c r="HS16" s="293">
        <v>0.55555555555555558</v>
      </c>
      <c r="HT16" s="293">
        <v>0.5</v>
      </c>
      <c r="HU16" s="293">
        <v>0.66666666666666663</v>
      </c>
    </row>
    <row r="17" spans="1:229" ht="12.75" customHeight="1" x14ac:dyDescent="0.2">
      <c r="A17" s="369"/>
      <c r="B17" s="280"/>
      <c r="C17" s="280"/>
      <c r="D17" s="423"/>
      <c r="E17" s="296"/>
      <c r="F17" s="376"/>
      <c r="G17" s="305"/>
      <c r="H17" s="305"/>
      <c r="I17" s="305"/>
      <c r="J17" s="305"/>
      <c r="K17" s="424"/>
      <c r="M17" s="384" t="s">
        <v>417</v>
      </c>
      <c r="N17" s="277"/>
      <c r="O17" s="280" t="s">
        <v>313</v>
      </c>
      <c r="P17" s="280"/>
      <c r="Q17" s="280"/>
      <c r="R17" s="280"/>
      <c r="S17" s="280"/>
      <c r="T17" s="280"/>
      <c r="U17" s="280"/>
      <c r="V17" s="280"/>
      <c r="W17" s="280"/>
      <c r="X17" s="280"/>
      <c r="Y17" s="280"/>
      <c r="Z17" s="280"/>
      <c r="AA17" s="280"/>
      <c r="AB17" s="280"/>
      <c r="AC17" s="280"/>
      <c r="AD17" s="280"/>
      <c r="AE17" s="280"/>
      <c r="AF17" s="280"/>
      <c r="AG17" s="280"/>
      <c r="AH17" s="280"/>
      <c r="AI17" s="280"/>
      <c r="AJ17" s="280"/>
      <c r="AK17" s="280"/>
      <c r="AL17" s="280"/>
      <c r="AM17" s="280"/>
      <c r="AN17" s="280"/>
      <c r="AO17" s="280"/>
      <c r="AP17" s="280"/>
      <c r="AQ17" s="280"/>
      <c r="AR17" s="280"/>
      <c r="AS17" s="280"/>
      <c r="AT17" s="280"/>
      <c r="AU17" s="280"/>
      <c r="AV17" s="280"/>
      <c r="AW17" s="280"/>
      <c r="AX17" s="280"/>
      <c r="AY17" s="280"/>
      <c r="BC17" s="284" t="s">
        <v>493</v>
      </c>
      <c r="BD17" s="284">
        <v>20</v>
      </c>
      <c r="BE17" s="284">
        <v>450</v>
      </c>
      <c r="BF17" s="284">
        <v>18</v>
      </c>
      <c r="BI17" s="280" t="s">
        <v>949</v>
      </c>
      <c r="BM17" s="361" t="s">
        <v>843</v>
      </c>
      <c r="BN17" s="280" t="s">
        <v>907</v>
      </c>
      <c r="BO17" s="280" t="s">
        <v>886</v>
      </c>
      <c r="BP17" s="280">
        <v>6</v>
      </c>
      <c r="BQ17" s="280">
        <v>4.8</v>
      </c>
      <c r="BR17" s="280">
        <v>3.6</v>
      </c>
      <c r="BS17" s="280">
        <v>3</v>
      </c>
      <c r="BT17" s="280">
        <v>2.4</v>
      </c>
      <c r="BU17" s="280">
        <v>1.2</v>
      </c>
      <c r="BV17" s="363">
        <v>0</v>
      </c>
      <c r="BY17" s="280" t="s">
        <v>542</v>
      </c>
      <c r="BZ17" s="423">
        <v>68</v>
      </c>
      <c r="CA17" s="423" t="s">
        <v>70</v>
      </c>
      <c r="CB17" s="280" t="s">
        <v>547</v>
      </c>
      <c r="CJ17" s="373" t="s">
        <v>565</v>
      </c>
      <c r="CK17" s="423">
        <v>15</v>
      </c>
      <c r="CM17" s="373" t="s">
        <v>565</v>
      </c>
      <c r="CN17" s="423">
        <v>50</v>
      </c>
      <c r="CS17" s="280" t="s">
        <v>573</v>
      </c>
      <c r="CT17" s="280">
        <v>0.05</v>
      </c>
      <c r="CU17" s="280">
        <v>4.0999999999999996</v>
      </c>
      <c r="CV17" s="280">
        <v>0</v>
      </c>
      <c r="CZ17" s="280" t="s">
        <v>589</v>
      </c>
      <c r="DB17" s="280" t="s">
        <v>598</v>
      </c>
      <c r="DC17" s="280">
        <v>0.5</v>
      </c>
      <c r="DG17" s="280" t="s">
        <v>605</v>
      </c>
      <c r="DH17" s="280">
        <v>0.1</v>
      </c>
      <c r="DV17" s="373" t="s">
        <v>934</v>
      </c>
      <c r="DW17" s="280" t="s">
        <v>490</v>
      </c>
      <c r="DX17" s="280" t="s">
        <v>886</v>
      </c>
      <c r="DY17" s="280">
        <v>1</v>
      </c>
      <c r="DZ17" s="280">
        <v>0.9</v>
      </c>
      <c r="EA17" s="280">
        <v>0.8</v>
      </c>
      <c r="EB17" s="280">
        <v>0.7</v>
      </c>
      <c r="EC17" s="280">
        <v>0.6</v>
      </c>
      <c r="ED17" s="299">
        <v>0.5</v>
      </c>
      <c r="EE17" s="410">
        <v>0</v>
      </c>
      <c r="EG17" s="283" t="s">
        <v>646</v>
      </c>
      <c r="EI17" s="283" t="s">
        <v>656</v>
      </c>
      <c r="EN17" s="283" t="s">
        <v>963</v>
      </c>
      <c r="ER17" s="283" t="s">
        <v>969</v>
      </c>
      <c r="EU17" s="280" t="s">
        <v>676</v>
      </c>
      <c r="EV17" s="280" t="s">
        <v>688</v>
      </c>
      <c r="EW17" s="280" t="s">
        <v>699</v>
      </c>
      <c r="EX17" s="280" t="s">
        <v>700</v>
      </c>
      <c r="EY17" s="277"/>
      <c r="EZ17" s="298"/>
      <c r="FA17" s="298"/>
      <c r="FB17" s="298"/>
      <c r="FD17" s="280" t="s">
        <v>723</v>
      </c>
      <c r="FE17" s="280" t="s">
        <v>740</v>
      </c>
      <c r="FF17" s="280" t="s">
        <v>748</v>
      </c>
      <c r="FG17" s="280" t="s">
        <v>761</v>
      </c>
      <c r="FH17" s="277"/>
      <c r="FI17" s="298"/>
      <c r="FJ17" s="298"/>
      <c r="FK17" s="298"/>
      <c r="FL17" s="298"/>
      <c r="FN17" s="280" t="s">
        <v>738</v>
      </c>
      <c r="FO17" s="280" t="s">
        <v>741</v>
      </c>
      <c r="FP17" s="280" t="s">
        <v>750</v>
      </c>
      <c r="FQ17" s="280" t="s">
        <v>773</v>
      </c>
      <c r="FW17" s="280" t="s">
        <v>408</v>
      </c>
      <c r="FX17" s="280">
        <v>0.27</v>
      </c>
      <c r="FY17" s="280">
        <v>4</v>
      </c>
      <c r="GE17" s="280" t="s">
        <v>238</v>
      </c>
      <c r="GF17" s="423" t="s">
        <v>229</v>
      </c>
      <c r="GG17" s="280" t="s">
        <v>175</v>
      </c>
      <c r="GH17" s="283" t="s">
        <v>955</v>
      </c>
      <c r="GI17" s="283" t="s">
        <v>955</v>
      </c>
      <c r="GJ17" s="280" t="s">
        <v>1182</v>
      </c>
      <c r="GK17" s="283" t="s">
        <v>955</v>
      </c>
      <c r="GL17" s="283" t="s">
        <v>955</v>
      </c>
      <c r="GM17" s="283" t="s">
        <v>955</v>
      </c>
      <c r="GN17" s="283" t="s">
        <v>955</v>
      </c>
      <c r="GO17" s="283" t="s">
        <v>955</v>
      </c>
      <c r="GP17" s="283" t="s">
        <v>955</v>
      </c>
      <c r="GQ17" s="283" t="s">
        <v>955</v>
      </c>
      <c r="GR17" s="280" t="s">
        <v>450</v>
      </c>
      <c r="GS17" s="283" t="s">
        <v>955</v>
      </c>
      <c r="GT17" s="283" t="s">
        <v>955</v>
      </c>
      <c r="GU17" s="283" t="s">
        <v>955</v>
      </c>
      <c r="GV17" s="283" t="s">
        <v>955</v>
      </c>
      <c r="GY17" s="444" t="str">
        <f t="shared" si="5"/>
        <v>balles de paille 500kg BQ</v>
      </c>
      <c r="GZ17" s="444"/>
      <c r="HA17" s="342" t="e">
        <f t="shared" si="6"/>
        <v>#REF!</v>
      </c>
      <c r="HB17" s="342" t="e">
        <f>IF(COUNTIF(TypeArticleDansEntrepôt,GY17)=0,0,SUMIF(TypeArticleDansEntrepôt,GY17,QtéArticleDansEntrepôt)*VLOOKUP(GY17,#REF!,2,FALSE))</f>
        <v>#REF!</v>
      </c>
      <c r="HG17" s="280" t="str">
        <f t="shared" si="3"/>
        <v>Midi-Pyrénées</v>
      </c>
      <c r="HK17" s="280" t="s">
        <v>268</v>
      </c>
      <c r="HL17" s="288">
        <v>110</v>
      </c>
      <c r="HN17" s="280" t="s">
        <v>377</v>
      </c>
      <c r="HO17" s="289">
        <f>HO16</f>
        <v>150</v>
      </c>
      <c r="HP17" s="293">
        <v>0.66666666666666663</v>
      </c>
      <c r="HQ17" s="293">
        <f>0.5/1.5</f>
        <v>0.33333333333333331</v>
      </c>
      <c r="HR17" s="293">
        <v>0.33333333333333331</v>
      </c>
      <c r="HS17" s="293">
        <v>0.55555555555555558</v>
      </c>
      <c r="HT17" s="293">
        <v>0.5</v>
      </c>
      <c r="HU17" s="293">
        <v>0.66666666666666663</v>
      </c>
    </row>
    <row r="18" spans="1:229" ht="12.75" customHeight="1" x14ac:dyDescent="0.2">
      <c r="A18" s="369"/>
      <c r="B18" s="280"/>
      <c r="C18" s="280"/>
      <c r="D18" s="423"/>
      <c r="E18" s="296"/>
      <c r="F18" s="278"/>
      <c r="G18" s="278"/>
      <c r="H18" s="279"/>
      <c r="M18" s="384" t="s">
        <v>149</v>
      </c>
      <c r="N18" s="277"/>
      <c r="O18" s="280" t="s">
        <v>314</v>
      </c>
      <c r="P18" s="280"/>
      <c r="Q18" s="280"/>
      <c r="R18" s="280"/>
      <c r="S18" s="280"/>
      <c r="T18" s="280"/>
      <c r="U18" s="280"/>
      <c r="V18" s="280"/>
      <c r="W18" s="280"/>
      <c r="X18" s="280"/>
      <c r="Y18" s="280"/>
      <c r="Z18" s="280"/>
      <c r="AA18" s="280"/>
      <c r="AB18" s="280"/>
      <c r="AC18" s="280"/>
      <c r="AD18" s="280"/>
      <c r="AE18" s="280"/>
      <c r="AF18" s="280"/>
      <c r="AG18" s="280"/>
      <c r="AH18" s="280"/>
      <c r="AI18" s="280"/>
      <c r="AJ18" s="280"/>
      <c r="AK18" s="280"/>
      <c r="AL18" s="280"/>
      <c r="AM18" s="280"/>
      <c r="AN18" s="280"/>
      <c r="AO18" s="280"/>
      <c r="AP18" s="280"/>
      <c r="AQ18" s="280"/>
      <c r="AR18" s="280"/>
      <c r="AS18" s="280"/>
      <c r="AT18" s="280"/>
      <c r="AU18" s="280"/>
      <c r="AV18" s="280"/>
      <c r="AW18" s="280"/>
      <c r="AX18" s="280"/>
      <c r="AY18" s="280"/>
      <c r="BC18" s="284" t="s">
        <v>494</v>
      </c>
      <c r="BD18" s="284">
        <v>45</v>
      </c>
      <c r="BE18" s="284">
        <v>750</v>
      </c>
      <c r="BF18" s="284">
        <v>28</v>
      </c>
      <c r="BM18" s="361" t="s">
        <v>843</v>
      </c>
      <c r="BN18" s="280" t="s">
        <v>500</v>
      </c>
      <c r="BO18" s="280" t="s">
        <v>886</v>
      </c>
      <c r="BP18" s="280">
        <v>6</v>
      </c>
      <c r="BQ18" s="280">
        <v>4.8</v>
      </c>
      <c r="BR18" s="280">
        <v>3.6</v>
      </c>
      <c r="BS18" s="280">
        <v>3</v>
      </c>
      <c r="BT18" s="280">
        <v>2.4</v>
      </c>
      <c r="BU18" s="280">
        <v>1.2</v>
      </c>
      <c r="BV18" s="363">
        <v>0</v>
      </c>
      <c r="BY18" s="280" t="s">
        <v>543</v>
      </c>
      <c r="BZ18" s="423">
        <v>60</v>
      </c>
      <c r="CA18" s="423" t="s">
        <v>220</v>
      </c>
      <c r="CB18" s="280" t="s">
        <v>548</v>
      </c>
      <c r="CJ18" s="373" t="s">
        <v>566</v>
      </c>
      <c r="CK18" s="423">
        <v>10</v>
      </c>
      <c r="CM18" s="373" t="s">
        <v>566</v>
      </c>
      <c r="CN18" s="423">
        <v>50</v>
      </c>
      <c r="CS18" s="280" t="s">
        <v>574</v>
      </c>
      <c r="CT18" s="280">
        <v>0.05</v>
      </c>
      <c r="CU18" s="280">
        <v>4.0999999999999996</v>
      </c>
      <c r="CV18" s="280">
        <v>0</v>
      </c>
      <c r="CZ18" s="280" t="s">
        <v>590</v>
      </c>
      <c r="DB18" s="280" t="s">
        <v>599</v>
      </c>
      <c r="DC18" s="280">
        <v>0.3</v>
      </c>
      <c r="DG18" s="280" t="s">
        <v>606</v>
      </c>
      <c r="DH18" s="280">
        <v>7.0000000000000007E-2</v>
      </c>
      <c r="DV18" s="373" t="s">
        <v>934</v>
      </c>
      <c r="DW18" s="280" t="s">
        <v>907</v>
      </c>
      <c r="DX18" s="280" t="s">
        <v>888</v>
      </c>
      <c r="DY18" s="280">
        <v>1</v>
      </c>
      <c r="DZ18" s="280">
        <v>0.9</v>
      </c>
      <c r="EA18" s="280">
        <v>0.8</v>
      </c>
      <c r="EB18" s="280">
        <v>0.7</v>
      </c>
      <c r="EC18" s="280">
        <v>0.6</v>
      </c>
      <c r="ED18" s="299">
        <v>0.5</v>
      </c>
      <c r="EE18" s="410">
        <v>0</v>
      </c>
      <c r="EG18" s="283" t="s">
        <v>647</v>
      </c>
      <c r="EI18" s="280">
        <v>10</v>
      </c>
      <c r="EN18" s="283" t="s">
        <v>964</v>
      </c>
      <c r="EP18" s="287" t="s">
        <v>1094</v>
      </c>
      <c r="EQ18" s="432">
        <v>7.3999999999999996E-2</v>
      </c>
      <c r="ER18" s="280">
        <v>1.5</v>
      </c>
      <c r="EU18" s="280" t="s">
        <v>677</v>
      </c>
      <c r="EV18" s="280" t="s">
        <v>688</v>
      </c>
      <c r="EW18" s="280" t="s">
        <v>697</v>
      </c>
      <c r="EX18" s="280" t="s">
        <v>705</v>
      </c>
      <c r="EY18" s="277"/>
      <c r="EZ18" s="298"/>
      <c r="FA18" s="298"/>
      <c r="FB18" s="298"/>
      <c r="FD18" s="280" t="s">
        <v>724</v>
      </c>
      <c r="FE18" s="280" t="s">
        <v>740</v>
      </c>
      <c r="FF18" s="280" t="s">
        <v>748</v>
      </c>
      <c r="FG18" s="280" t="s">
        <v>765</v>
      </c>
      <c r="FH18" s="277"/>
      <c r="FI18" s="303" t="s">
        <v>969</v>
      </c>
      <c r="FJ18" s="298"/>
      <c r="FK18" s="298"/>
      <c r="FL18" s="298"/>
      <c r="FN18" s="280" t="s">
        <v>739</v>
      </c>
      <c r="FO18" s="280" t="s">
        <v>741</v>
      </c>
      <c r="FP18" s="280" t="s">
        <v>750</v>
      </c>
      <c r="FQ18" s="280" t="s">
        <v>776</v>
      </c>
      <c r="FS18" s="303" t="s">
        <v>969</v>
      </c>
      <c r="FW18" s="280" t="s">
        <v>258</v>
      </c>
      <c r="FX18" s="280">
        <v>6.25E-2</v>
      </c>
      <c r="FY18" s="280">
        <v>3</v>
      </c>
      <c r="GE18" s="280" t="s">
        <v>236</v>
      </c>
      <c r="GF18" s="283"/>
      <c r="GG18" s="280" t="s">
        <v>176</v>
      </c>
      <c r="GH18" s="283" t="s">
        <v>955</v>
      </c>
      <c r="GI18" s="283" t="s">
        <v>955</v>
      </c>
      <c r="GJ18" s="280" t="s">
        <v>1183</v>
      </c>
      <c r="GK18" s="283" t="s">
        <v>955</v>
      </c>
      <c r="GL18" s="283" t="s">
        <v>955</v>
      </c>
      <c r="GM18" s="283" t="s">
        <v>955</v>
      </c>
      <c r="GN18" s="283" t="s">
        <v>955</v>
      </c>
      <c r="GO18" s="283" t="s">
        <v>955</v>
      </c>
      <c r="GP18" s="283" t="s">
        <v>955</v>
      </c>
      <c r="GQ18" s="283" t="s">
        <v>955</v>
      </c>
      <c r="GR18" s="280" t="s">
        <v>451</v>
      </c>
      <c r="GS18" s="283" t="s">
        <v>955</v>
      </c>
      <c r="GT18" s="283" t="s">
        <v>955</v>
      </c>
      <c r="GU18" s="283" t="s">
        <v>955</v>
      </c>
      <c r="GV18" s="283" t="s">
        <v>955</v>
      </c>
      <c r="GY18" s="444" t="str">
        <f t="shared" si="5"/>
        <v>balles de paille 250kg MoQ</v>
      </c>
      <c r="GZ18" s="444"/>
      <c r="HA18" s="342" t="e">
        <f t="shared" si="6"/>
        <v>#REF!</v>
      </c>
      <c r="HB18" s="342" t="e">
        <f>IF(COUNTIF(TypeArticleDansEntrepôt,GY18)=0,0,SUMIF(TypeArticleDansEntrepôt,GY18,QtéArticleDansEntrepôt)*VLOOKUP(GY18,#REF!,2,FALSE))</f>
        <v>#REF!</v>
      </c>
      <c r="HG18" s="280" t="str">
        <f t="shared" si="3"/>
        <v>Nord</v>
      </c>
      <c r="HK18" s="280" t="s">
        <v>147</v>
      </c>
      <c r="HL18" s="288">
        <v>75</v>
      </c>
      <c r="HN18" s="280" t="s">
        <v>232</v>
      </c>
      <c r="HO18" s="289">
        <v>150</v>
      </c>
      <c r="HP18" s="293">
        <v>0</v>
      </c>
      <c r="HQ18" s="293">
        <v>0.69230769230769229</v>
      </c>
      <c r="HR18" s="293">
        <v>0.68421052631578949</v>
      </c>
      <c r="HS18" s="293">
        <v>0.5</v>
      </c>
      <c r="HT18" s="293">
        <v>0.6</v>
      </c>
      <c r="HU18" s="293">
        <v>0.5</v>
      </c>
    </row>
    <row r="19" spans="1:229" ht="12.75" customHeight="1" x14ac:dyDescent="0.2">
      <c r="A19" s="369"/>
      <c r="B19" s="280"/>
      <c r="C19" s="280"/>
      <c r="D19" s="423"/>
      <c r="E19" s="296"/>
      <c r="F19" s="463"/>
      <c r="G19" s="464"/>
      <c r="J19" s="283" t="s">
        <v>44</v>
      </c>
      <c r="M19" s="384" t="s">
        <v>166</v>
      </c>
      <c r="N19" s="277"/>
      <c r="O19" s="280" t="s">
        <v>315</v>
      </c>
      <c r="P19" s="280"/>
      <c r="Q19" s="280"/>
      <c r="R19" s="280"/>
      <c r="S19" s="280"/>
      <c r="T19" s="280"/>
      <c r="U19" s="280"/>
      <c r="V19" s="280"/>
      <c r="W19" s="280"/>
      <c r="X19" s="280"/>
      <c r="Y19" s="280"/>
      <c r="Z19" s="280"/>
      <c r="AA19" s="280"/>
      <c r="AB19" s="280"/>
      <c r="AC19" s="280"/>
      <c r="AD19" s="280"/>
      <c r="AE19" s="280"/>
      <c r="AF19" s="280"/>
      <c r="AG19" s="280"/>
      <c r="AH19" s="280"/>
      <c r="AI19" s="280"/>
      <c r="AJ19" s="280"/>
      <c r="AK19" s="280"/>
      <c r="AL19" s="280"/>
      <c r="AM19" s="280"/>
      <c r="AN19" s="280"/>
      <c r="AO19" s="280"/>
      <c r="AP19" s="280"/>
      <c r="AQ19" s="280"/>
      <c r="AR19" s="280"/>
      <c r="AS19" s="280"/>
      <c r="AT19" s="280"/>
      <c r="AU19" s="280"/>
      <c r="AV19" s="280"/>
      <c r="AW19" s="280"/>
      <c r="AX19" s="280"/>
      <c r="AY19" s="280"/>
      <c r="BC19" s="284" t="s">
        <v>110</v>
      </c>
      <c r="BD19" s="284">
        <v>45</v>
      </c>
      <c r="BE19" s="284">
        <v>750</v>
      </c>
      <c r="BF19" s="284">
        <v>12</v>
      </c>
      <c r="BM19" s="361" t="s">
        <v>843</v>
      </c>
      <c r="BN19" s="280" t="s">
        <v>57</v>
      </c>
      <c r="BO19" s="280" t="s">
        <v>886</v>
      </c>
      <c r="BP19" s="280">
        <v>6</v>
      </c>
      <c r="BQ19" s="280">
        <v>4.8</v>
      </c>
      <c r="BR19" s="280">
        <v>3.6</v>
      </c>
      <c r="BS19" s="280">
        <v>3</v>
      </c>
      <c r="BT19" s="280">
        <v>2.4</v>
      </c>
      <c r="BU19" s="280">
        <v>1.2</v>
      </c>
      <c r="BV19" s="363">
        <v>0</v>
      </c>
      <c r="BY19" s="280" t="s">
        <v>544</v>
      </c>
      <c r="BZ19" s="280">
        <v>52</v>
      </c>
      <c r="CB19" s="280" t="s">
        <v>168</v>
      </c>
      <c r="CJ19" s="373" t="s">
        <v>567</v>
      </c>
      <c r="CK19" s="423">
        <v>5</v>
      </c>
      <c r="CM19" s="373" t="s">
        <v>567</v>
      </c>
      <c r="CN19" s="423">
        <v>30</v>
      </c>
      <c r="CS19" s="280" t="s">
        <v>575</v>
      </c>
      <c r="CT19" s="280">
        <v>0.05</v>
      </c>
      <c r="CU19" s="280">
        <v>4.0999999999999996</v>
      </c>
      <c r="CV19" s="280">
        <v>0</v>
      </c>
      <c r="CZ19" s="280" t="s">
        <v>591</v>
      </c>
      <c r="DB19" s="280" t="s">
        <v>600</v>
      </c>
      <c r="DC19" s="280">
        <v>0.3</v>
      </c>
      <c r="DF19" s="277"/>
      <c r="DG19" s="280" t="s">
        <v>607</v>
      </c>
      <c r="DH19" s="280">
        <v>0.01</v>
      </c>
      <c r="DN19" s="299" t="s">
        <v>539</v>
      </c>
      <c r="DO19" s="300" t="s">
        <v>491</v>
      </c>
      <c r="DP19" s="300" t="s">
        <v>487</v>
      </c>
      <c r="DQ19" s="299" t="s">
        <v>42</v>
      </c>
      <c r="DR19" s="299" t="s">
        <v>43</v>
      </c>
      <c r="DV19" s="373" t="s">
        <v>934</v>
      </c>
      <c r="DW19" s="280" t="s">
        <v>57</v>
      </c>
      <c r="DX19" s="280" t="s">
        <v>888</v>
      </c>
      <c r="DY19" s="280">
        <v>1</v>
      </c>
      <c r="DZ19" s="280">
        <v>0.9</v>
      </c>
      <c r="EA19" s="280">
        <v>0.8</v>
      </c>
      <c r="EB19" s="280">
        <v>0.7</v>
      </c>
      <c r="EC19" s="280">
        <v>0.6</v>
      </c>
      <c r="ED19" s="299">
        <v>0.5</v>
      </c>
      <c r="EE19" s="410">
        <v>0</v>
      </c>
      <c r="EG19" s="283" t="s">
        <v>648</v>
      </c>
      <c r="EN19" s="283" t="s">
        <v>650</v>
      </c>
      <c r="EU19" s="280" t="s">
        <v>678</v>
      </c>
      <c r="EV19" s="280" t="s">
        <v>688</v>
      </c>
      <c r="EW19" s="280" t="s">
        <v>691</v>
      </c>
      <c r="EX19" s="280" t="s">
        <v>700</v>
      </c>
      <c r="EY19" s="277"/>
      <c r="EZ19" s="298"/>
      <c r="FA19" s="298"/>
      <c r="FB19" s="298"/>
      <c r="FD19" s="280" t="s">
        <v>725</v>
      </c>
      <c r="FE19" s="280" t="s">
        <v>740</v>
      </c>
      <c r="FF19" s="280" t="s">
        <v>748</v>
      </c>
      <c r="FG19" s="280" t="s">
        <v>764</v>
      </c>
      <c r="FH19" s="277"/>
      <c r="FI19" s="431">
        <v>85</v>
      </c>
      <c r="FJ19" s="298"/>
      <c r="FK19" s="298"/>
      <c r="FL19" s="298"/>
      <c r="FN19" s="280" t="s">
        <v>755</v>
      </c>
      <c r="FO19" s="280" t="s">
        <v>741</v>
      </c>
      <c r="FP19" s="280" t="s">
        <v>758</v>
      </c>
      <c r="FQ19" s="280" t="s">
        <v>778</v>
      </c>
      <c r="FS19" s="431">
        <v>85</v>
      </c>
      <c r="FW19" s="277"/>
      <c r="FX19" s="277"/>
      <c r="FY19" s="277"/>
      <c r="GE19" s="280" t="s">
        <v>333</v>
      </c>
      <c r="GF19" s="283"/>
      <c r="GG19" s="280" t="s">
        <v>177</v>
      </c>
      <c r="GH19" s="283" t="s">
        <v>955</v>
      </c>
      <c r="GI19" s="283" t="s">
        <v>955</v>
      </c>
      <c r="GJ19" s="280" t="s">
        <v>1184</v>
      </c>
      <c r="GK19" s="283" t="s">
        <v>955</v>
      </c>
      <c r="GL19" s="283" t="s">
        <v>955</v>
      </c>
      <c r="GM19" s="283" t="s">
        <v>955</v>
      </c>
      <c r="GN19" s="283" t="s">
        <v>955</v>
      </c>
      <c r="GO19" s="283" t="s">
        <v>955</v>
      </c>
      <c r="GP19" s="283" t="s">
        <v>955</v>
      </c>
      <c r="GQ19" s="283" t="s">
        <v>955</v>
      </c>
      <c r="GR19" s="280" t="s">
        <v>452</v>
      </c>
      <c r="GS19" s="283" t="s">
        <v>955</v>
      </c>
      <c r="GT19" s="283" t="s">
        <v>955</v>
      </c>
      <c r="GU19" s="283" t="s">
        <v>955</v>
      </c>
      <c r="GV19" s="283" t="s">
        <v>955</v>
      </c>
      <c r="GY19" s="444" t="str">
        <f t="shared" si="5"/>
        <v>balles de paille 300kg MoQ</v>
      </c>
      <c r="GZ19" s="444"/>
      <c r="HA19" s="342" t="e">
        <f t="shared" si="6"/>
        <v>#REF!</v>
      </c>
      <c r="HB19" s="342" t="e">
        <f>IF(COUNTIF(TypeArticleDansEntrepôt,GY19)=0,0,SUMIF(TypeArticleDansEntrepôt,GY19,QtéArticleDansEntrepôt)*VLOOKUP(GY19,#REF!,2,FALSE))</f>
        <v>#REF!</v>
      </c>
      <c r="HG19" s="280" t="str">
        <f t="shared" si="3"/>
        <v>Pays de Loire</v>
      </c>
      <c r="HK19" s="280" t="s">
        <v>1045</v>
      </c>
      <c r="HL19" s="288">
        <v>0</v>
      </c>
      <c r="HN19" s="280" t="e">
        <f>#REF!</f>
        <v>#REF!</v>
      </c>
      <c r="HO19" s="289">
        <v>4</v>
      </c>
      <c r="HP19" s="293">
        <v>0.8928571428571429</v>
      </c>
      <c r="HQ19" s="293">
        <v>0.75</v>
      </c>
      <c r="HR19" s="293">
        <v>0.66666666666666663</v>
      </c>
      <c r="HS19" s="293">
        <v>0.88505747126436785</v>
      </c>
      <c r="HT19" s="293">
        <v>0.69230769230769229</v>
      </c>
      <c r="HU19" s="293">
        <v>0.85507246376811596</v>
      </c>
    </row>
    <row r="20" spans="1:229" ht="12.75" customHeight="1" x14ac:dyDescent="0.2">
      <c r="A20" s="369"/>
      <c r="B20" s="280"/>
      <c r="C20" s="280"/>
      <c r="D20" s="423"/>
      <c r="E20" s="296"/>
      <c r="F20" s="369"/>
      <c r="G20" s="382"/>
      <c r="J20" s="309"/>
      <c r="M20" s="384" t="s">
        <v>305</v>
      </c>
      <c r="N20" s="277"/>
      <c r="O20" s="280" t="s">
        <v>826</v>
      </c>
      <c r="P20" s="280"/>
      <c r="Q20" s="280"/>
      <c r="R20" s="280"/>
      <c r="S20" s="280"/>
      <c r="T20" s="280"/>
      <c r="U20" s="280"/>
      <c r="V20" s="280"/>
      <c r="W20" s="280"/>
      <c r="X20" s="280"/>
      <c r="Y20" s="280"/>
      <c r="Z20" s="280"/>
      <c r="AA20" s="280"/>
      <c r="AB20" s="280"/>
      <c r="AC20" s="280"/>
      <c r="AD20" s="280"/>
      <c r="AE20" s="280"/>
      <c r="AF20" s="280"/>
      <c r="AG20" s="280"/>
      <c r="AH20" s="280"/>
      <c r="AI20" s="280"/>
      <c r="AJ20" s="280"/>
      <c r="AK20" s="280"/>
      <c r="AL20" s="280"/>
      <c r="AM20" s="280"/>
      <c r="AN20" s="280"/>
      <c r="AO20" s="280"/>
      <c r="AP20" s="280"/>
      <c r="AQ20" s="280"/>
      <c r="AR20" s="280"/>
      <c r="AS20" s="280"/>
      <c r="AT20" s="280"/>
      <c r="AU20" s="280"/>
      <c r="AV20" s="280"/>
      <c r="AW20" s="280"/>
      <c r="AX20" s="280"/>
      <c r="AY20" s="280"/>
      <c r="BC20" s="284" t="s">
        <v>108</v>
      </c>
      <c r="BD20" s="284">
        <v>44</v>
      </c>
      <c r="BE20" s="284">
        <v>850</v>
      </c>
      <c r="BF20" s="284">
        <v>12</v>
      </c>
      <c r="BM20" s="361" t="s">
        <v>843</v>
      </c>
      <c r="BN20" s="280" t="s">
        <v>905</v>
      </c>
      <c r="BO20" s="280" t="s">
        <v>886</v>
      </c>
      <c r="BP20" s="280">
        <v>1</v>
      </c>
      <c r="BQ20" s="280">
        <v>0.8</v>
      </c>
      <c r="BR20" s="280">
        <v>0.6</v>
      </c>
      <c r="BS20" s="280">
        <v>0.5</v>
      </c>
      <c r="BT20" s="280">
        <v>0.4</v>
      </c>
      <c r="BU20" s="280">
        <v>0.2</v>
      </c>
      <c r="BV20" s="363">
        <v>0</v>
      </c>
      <c r="BY20" s="280" t="s">
        <v>545</v>
      </c>
      <c r="BZ20" s="280">
        <v>52</v>
      </c>
      <c r="CB20" s="280" t="s">
        <v>514</v>
      </c>
      <c r="CJ20" s="373" t="s">
        <v>568</v>
      </c>
      <c r="CK20" s="423">
        <v>5</v>
      </c>
      <c r="CM20" s="373" t="s">
        <v>568</v>
      </c>
      <c r="CN20" s="423">
        <v>30</v>
      </c>
      <c r="CS20" s="277"/>
      <c r="CT20" s="277"/>
      <c r="CU20" s="277"/>
      <c r="CV20" s="277"/>
      <c r="CZ20" s="280" t="s">
        <v>592</v>
      </c>
      <c r="DB20" s="280" t="s">
        <v>601</v>
      </c>
      <c r="DC20" s="280">
        <v>0.1</v>
      </c>
      <c r="DF20" s="277"/>
      <c r="DN20" s="299" t="s">
        <v>279</v>
      </c>
      <c r="DO20" s="310">
        <v>4</v>
      </c>
      <c r="DP20" s="310">
        <v>75</v>
      </c>
      <c r="DQ20" s="310">
        <v>3</v>
      </c>
      <c r="DR20" s="310">
        <v>0</v>
      </c>
      <c r="DV20" s="373" t="s">
        <v>934</v>
      </c>
      <c r="DW20" s="280" t="s">
        <v>905</v>
      </c>
      <c r="DX20" s="280" t="s">
        <v>886</v>
      </c>
      <c r="DY20" s="280">
        <v>0.25</v>
      </c>
      <c r="DZ20" s="280">
        <v>0.23</v>
      </c>
      <c r="EA20" s="280">
        <v>0.2</v>
      </c>
      <c r="EB20" s="280">
        <v>0.18</v>
      </c>
      <c r="EC20" s="280">
        <v>0.15</v>
      </c>
      <c r="ED20" s="299">
        <v>0.13</v>
      </c>
      <c r="EE20" s="410">
        <v>0</v>
      </c>
      <c r="EG20" s="283" t="s">
        <v>649</v>
      </c>
      <c r="EU20" s="280" t="s">
        <v>679</v>
      </c>
      <c r="EV20" s="280" t="s">
        <v>688</v>
      </c>
      <c r="EW20" s="280" t="s">
        <v>695</v>
      </c>
      <c r="EX20" s="280" t="s">
        <v>706</v>
      </c>
      <c r="EY20" s="277"/>
      <c r="EZ20" s="298"/>
      <c r="FA20" s="298"/>
      <c r="FB20" s="298"/>
      <c r="FD20" s="280" t="s">
        <v>726</v>
      </c>
      <c r="FE20" s="280" t="s">
        <v>740</v>
      </c>
      <c r="FF20" s="280" t="s">
        <v>697</v>
      </c>
      <c r="FG20" s="280" t="s">
        <v>766</v>
      </c>
      <c r="FH20" s="277"/>
      <c r="FI20" s="298"/>
      <c r="FJ20" s="298"/>
      <c r="FK20" s="298"/>
      <c r="FL20" s="298"/>
      <c r="FN20" s="280" t="s">
        <v>756</v>
      </c>
      <c r="FO20" s="280" t="s">
        <v>741</v>
      </c>
      <c r="FP20" s="280" t="s">
        <v>759</v>
      </c>
      <c r="FQ20" s="280" t="s">
        <v>777</v>
      </c>
      <c r="GE20" s="280" t="s">
        <v>329</v>
      </c>
      <c r="GF20" s="283"/>
      <c r="GG20" s="280" t="s">
        <v>251</v>
      </c>
      <c r="GH20" s="283" t="s">
        <v>955</v>
      </c>
      <c r="GI20" s="283" t="s">
        <v>955</v>
      </c>
      <c r="GJ20" s="280" t="s">
        <v>1186</v>
      </c>
      <c r="GK20" s="283" t="s">
        <v>955</v>
      </c>
      <c r="GL20" s="283" t="s">
        <v>955</v>
      </c>
      <c r="GM20" s="283" t="s">
        <v>955</v>
      </c>
      <c r="GN20" s="283" t="s">
        <v>955</v>
      </c>
      <c r="GO20" s="283" t="s">
        <v>955</v>
      </c>
      <c r="GP20" s="283" t="s">
        <v>955</v>
      </c>
      <c r="GQ20" s="283" t="s">
        <v>955</v>
      </c>
      <c r="GR20" s="280" t="s">
        <v>453</v>
      </c>
      <c r="GS20" s="283" t="s">
        <v>955</v>
      </c>
      <c r="GT20" s="283" t="s">
        <v>955</v>
      </c>
      <c r="GU20" s="283" t="s">
        <v>955</v>
      </c>
      <c r="GV20" s="283" t="s">
        <v>955</v>
      </c>
      <c r="GY20" s="444" t="str">
        <f t="shared" si="5"/>
        <v>balles de paille 500kg MoQ</v>
      </c>
      <c r="GZ20" s="444"/>
      <c r="HA20" s="342" t="e">
        <f t="shared" si="6"/>
        <v>#REF!</v>
      </c>
      <c r="HB20" s="342" t="e">
        <f>IF(COUNTIF(TypeArticleDansEntrepôt,GY20)=0,0,SUMIF(TypeArticleDansEntrepôt,GY20,QtéArticleDansEntrepôt)*VLOOKUP(GY20,#REF!,2,FALSE))</f>
        <v>#REF!</v>
      </c>
      <c r="HG20" s="280" t="str">
        <f t="shared" si="3"/>
        <v>Picardie</v>
      </c>
      <c r="HK20" s="280" t="s">
        <v>1042</v>
      </c>
      <c r="HL20" s="288">
        <v>105</v>
      </c>
      <c r="HN20" s="280" t="s">
        <v>70</v>
      </c>
      <c r="HO20" s="289">
        <v>150</v>
      </c>
      <c r="HP20" s="293">
        <v>0.66666666666666663</v>
      </c>
      <c r="HQ20" s="293">
        <f>0.5/1.5</f>
        <v>0.33333333333333331</v>
      </c>
      <c r="HR20" s="293">
        <v>0.33333333333333331</v>
      </c>
      <c r="HS20" s="293">
        <v>0.55555555555555558</v>
      </c>
      <c r="HT20" s="293">
        <v>0.5</v>
      </c>
      <c r="HU20" s="293">
        <v>0.66666666666666663</v>
      </c>
    </row>
    <row r="21" spans="1:229" ht="12.75" customHeight="1" x14ac:dyDescent="0.2">
      <c r="A21" s="369"/>
      <c r="B21" s="280"/>
      <c r="C21" s="280"/>
      <c r="D21" s="423"/>
      <c r="E21" s="296"/>
      <c r="F21" s="370"/>
      <c r="G21" s="383"/>
      <c r="J21" s="283"/>
      <c r="M21" s="384" t="s">
        <v>306</v>
      </c>
      <c r="N21" s="277"/>
      <c r="O21" s="280" t="s">
        <v>316</v>
      </c>
      <c r="P21" s="280"/>
      <c r="Q21" s="280"/>
      <c r="R21" s="280"/>
      <c r="S21" s="280"/>
      <c r="T21" s="280"/>
      <c r="U21" s="280"/>
      <c r="V21" s="280"/>
      <c r="W21" s="280"/>
      <c r="X21" s="280"/>
      <c r="Y21" s="280"/>
      <c r="Z21" s="280"/>
      <c r="AA21" s="280"/>
      <c r="AB21" s="280"/>
      <c r="AC21" s="280"/>
      <c r="AD21" s="280"/>
      <c r="AE21" s="280"/>
      <c r="AF21" s="280"/>
      <c r="AG21" s="280"/>
      <c r="AH21" s="280"/>
      <c r="AI21" s="280"/>
      <c r="AJ21" s="280"/>
      <c r="AK21" s="280"/>
      <c r="AL21" s="280"/>
      <c r="AM21" s="280"/>
      <c r="AN21" s="280"/>
      <c r="AO21" s="280"/>
      <c r="AP21" s="280"/>
      <c r="AQ21" s="280"/>
      <c r="AR21" s="280"/>
      <c r="AS21" s="280"/>
      <c r="AT21" s="280"/>
      <c r="AU21" s="280"/>
      <c r="AV21" s="280"/>
      <c r="AW21" s="280"/>
      <c r="AX21" s="280"/>
      <c r="AY21" s="280"/>
      <c r="BC21" s="284" t="s">
        <v>111</v>
      </c>
      <c r="BD21" s="284">
        <v>38</v>
      </c>
      <c r="BE21" s="284">
        <v>670</v>
      </c>
      <c r="BF21" s="284">
        <v>12</v>
      </c>
      <c r="BH21" s="280" t="s">
        <v>968</v>
      </c>
      <c r="BM21" s="361" t="s">
        <v>843</v>
      </c>
      <c r="BN21" s="280" t="s">
        <v>518</v>
      </c>
      <c r="BO21" s="280" t="s">
        <v>886</v>
      </c>
      <c r="BP21" s="280">
        <v>100</v>
      </c>
      <c r="BQ21" s="280">
        <v>60</v>
      </c>
      <c r="BR21" s="280">
        <v>48</v>
      </c>
      <c r="BS21" s="280">
        <v>40</v>
      </c>
      <c r="BT21" s="280">
        <v>32</v>
      </c>
      <c r="BU21" s="280">
        <v>20</v>
      </c>
      <c r="BV21" s="363">
        <v>8</v>
      </c>
      <c r="BY21" s="280" t="s">
        <v>546</v>
      </c>
      <c r="BZ21" s="280">
        <v>40</v>
      </c>
      <c r="CB21" s="280" t="s">
        <v>550</v>
      </c>
      <c r="CJ21" s="376" t="s">
        <v>569</v>
      </c>
      <c r="CK21" s="424">
        <v>5</v>
      </c>
      <c r="CM21" s="376" t="s">
        <v>569</v>
      </c>
      <c r="CN21" s="424">
        <v>5</v>
      </c>
      <c r="CS21" s="283" t="s">
        <v>922</v>
      </c>
      <c r="CV21" s="283" t="s">
        <v>552</v>
      </c>
      <c r="CZ21" s="280" t="s">
        <v>593</v>
      </c>
      <c r="DF21" s="277"/>
      <c r="DG21" s="283" t="s">
        <v>596</v>
      </c>
      <c r="DN21" s="299" t="s">
        <v>409</v>
      </c>
      <c r="DO21" s="310">
        <v>4</v>
      </c>
      <c r="DP21" s="310">
        <v>50</v>
      </c>
      <c r="DQ21" s="310">
        <v>1.5</v>
      </c>
      <c r="DR21" s="310">
        <v>2</v>
      </c>
      <c r="DV21" s="373" t="s">
        <v>934</v>
      </c>
      <c r="DW21" s="280" t="s">
        <v>518</v>
      </c>
      <c r="DX21" s="280" t="s">
        <v>886</v>
      </c>
      <c r="DY21" s="280">
        <v>20</v>
      </c>
      <c r="DZ21" s="280">
        <v>18</v>
      </c>
      <c r="EA21" s="280">
        <v>16</v>
      </c>
      <c r="EB21" s="280">
        <v>14</v>
      </c>
      <c r="EC21" s="280">
        <v>12</v>
      </c>
      <c r="ED21" s="299">
        <v>10</v>
      </c>
      <c r="EE21" s="410">
        <v>8</v>
      </c>
      <c r="EG21" s="283" t="s">
        <v>650</v>
      </c>
      <c r="EN21" s="283" t="s">
        <v>519</v>
      </c>
      <c r="EQ21" s="283" t="s">
        <v>595</v>
      </c>
      <c r="ER21" s="276"/>
      <c r="EU21" s="280" t="s">
        <v>680</v>
      </c>
      <c r="EV21" s="280" t="s">
        <v>688</v>
      </c>
      <c r="EW21" s="280" t="s">
        <v>690</v>
      </c>
      <c r="EX21" s="280" t="s">
        <v>707</v>
      </c>
      <c r="EY21" s="277"/>
      <c r="EZ21" s="298"/>
      <c r="FA21" s="298"/>
      <c r="FB21" s="298"/>
      <c r="FD21" s="280" t="s">
        <v>727</v>
      </c>
      <c r="FE21" s="280" t="s">
        <v>740</v>
      </c>
      <c r="FF21" s="280" t="s">
        <v>744</v>
      </c>
      <c r="FG21" s="280" t="s">
        <v>767</v>
      </c>
      <c r="FH21" s="277"/>
      <c r="FI21" s="298"/>
      <c r="FJ21" s="298"/>
      <c r="FK21" s="298"/>
      <c r="FL21" s="298"/>
      <c r="FW21" s="358" t="s">
        <v>866</v>
      </c>
      <c r="FX21" s="319" t="s">
        <v>884</v>
      </c>
      <c r="FY21" s="359" t="s">
        <v>885</v>
      </c>
      <c r="FZ21" s="359" t="s">
        <v>929</v>
      </c>
      <c r="GA21" s="319" t="s">
        <v>946</v>
      </c>
      <c r="GB21" s="319" t="s">
        <v>945</v>
      </c>
      <c r="GC21" s="372" t="s">
        <v>918</v>
      </c>
      <c r="GE21" s="280" t="s">
        <v>332</v>
      </c>
      <c r="GF21" s="283"/>
      <c r="GG21" s="280" t="s">
        <v>56</v>
      </c>
      <c r="GH21" s="283" t="s">
        <v>955</v>
      </c>
      <c r="GI21" s="283" t="s">
        <v>955</v>
      </c>
      <c r="GJ21" s="280" t="s">
        <v>1185</v>
      </c>
      <c r="GK21" s="283" t="s">
        <v>955</v>
      </c>
      <c r="GL21" s="283" t="s">
        <v>955</v>
      </c>
      <c r="GM21" s="283" t="s">
        <v>955</v>
      </c>
      <c r="GN21" s="283" t="s">
        <v>955</v>
      </c>
      <c r="GO21" s="283" t="s">
        <v>955</v>
      </c>
      <c r="GP21" s="283" t="s">
        <v>955</v>
      </c>
      <c r="GQ21" s="283" t="s">
        <v>955</v>
      </c>
      <c r="GR21" s="283" t="s">
        <v>955</v>
      </c>
      <c r="GS21" s="283" t="s">
        <v>955</v>
      </c>
      <c r="GT21" s="283" t="s">
        <v>955</v>
      </c>
      <c r="GU21" s="283" t="s">
        <v>955</v>
      </c>
      <c r="GV21" s="283" t="s">
        <v>955</v>
      </c>
      <c r="GY21" s="444" t="str">
        <f t="shared" si="5"/>
        <v>balles de paille 250kg MaQ</v>
      </c>
      <c r="GZ21" s="444"/>
      <c r="HA21" s="342" t="e">
        <f t="shared" si="6"/>
        <v>#REF!</v>
      </c>
      <c r="HB21" s="342" t="e">
        <f>IF(COUNTIF(TypeArticleDansEntrepôt,GY21)=0,0,SUMIF(TypeArticleDansEntrepôt,GY21,QtéArticleDansEntrepôt)*VLOOKUP(GY21,#REF!,2,FALSE))</f>
        <v>#REF!</v>
      </c>
      <c r="HG21" s="280" t="str">
        <f t="shared" si="3"/>
        <v>Poitou-Charentes</v>
      </c>
      <c r="HK21" s="280" t="s">
        <v>376</v>
      </c>
      <c r="HL21" s="288">
        <v>105</v>
      </c>
      <c r="HN21" s="280" t="s">
        <v>378</v>
      </c>
      <c r="HO21" s="289">
        <v>150</v>
      </c>
      <c r="HP21" s="293">
        <v>0.66666666666666663</v>
      </c>
      <c r="HQ21" s="293">
        <f>0.5/1.5</f>
        <v>0.33333333333333331</v>
      </c>
      <c r="HR21" s="293">
        <v>0.33333333333333331</v>
      </c>
      <c r="HS21" s="293">
        <v>0.55555555555555558</v>
      </c>
      <c r="HT21" s="293">
        <v>0.5</v>
      </c>
      <c r="HU21" s="293">
        <v>0.66666666666666663</v>
      </c>
    </row>
    <row r="22" spans="1:229" ht="12.75" customHeight="1" x14ac:dyDescent="0.2">
      <c r="A22" s="369"/>
      <c r="B22" s="280"/>
      <c r="C22" s="280"/>
      <c r="D22" s="423"/>
      <c r="E22" s="296"/>
      <c r="J22" s="466"/>
      <c r="K22" s="470"/>
      <c r="M22" s="384" t="s">
        <v>102</v>
      </c>
      <c r="N22" s="277"/>
      <c r="O22" s="280" t="s">
        <v>827</v>
      </c>
      <c r="P22" s="280"/>
      <c r="Q22" s="280"/>
      <c r="R22" s="280"/>
      <c r="S22" s="280"/>
      <c r="T22" s="280"/>
      <c r="U22" s="280"/>
      <c r="V22" s="280"/>
      <c r="W22" s="280"/>
      <c r="X22" s="280"/>
      <c r="Y22" s="280"/>
      <c r="Z22" s="280"/>
      <c r="AA22" s="280"/>
      <c r="AB22" s="280"/>
      <c r="AC22" s="280"/>
      <c r="AD22" s="280"/>
      <c r="AE22" s="280"/>
      <c r="AF22" s="280"/>
      <c r="AG22" s="280"/>
      <c r="AH22" s="280"/>
      <c r="AI22" s="280"/>
      <c r="AJ22" s="280"/>
      <c r="AK22" s="280"/>
      <c r="AL22" s="280"/>
      <c r="AM22" s="280"/>
      <c r="AN22" s="280"/>
      <c r="AO22" s="280"/>
      <c r="AP22" s="280"/>
      <c r="AQ22" s="280"/>
      <c r="AR22" s="280"/>
      <c r="AS22" s="280"/>
      <c r="AT22" s="280"/>
      <c r="AU22" s="280"/>
      <c r="AV22" s="280"/>
      <c r="AW22" s="280"/>
      <c r="AX22" s="280"/>
      <c r="AY22" s="280"/>
      <c r="BC22" s="284" t="s">
        <v>112</v>
      </c>
      <c r="BD22" s="284">
        <v>45</v>
      </c>
      <c r="BE22" s="284">
        <v>800</v>
      </c>
      <c r="BF22" s="284">
        <v>10</v>
      </c>
      <c r="BH22" s="280">
        <v>10</v>
      </c>
      <c r="BM22" s="361"/>
      <c r="BN22" s="280"/>
      <c r="BO22" s="280"/>
      <c r="BP22" s="280"/>
      <c r="BQ22" s="280"/>
      <c r="BR22" s="280"/>
      <c r="BS22" s="280"/>
      <c r="BT22" s="280"/>
      <c r="BU22" s="280"/>
      <c r="BV22" s="363"/>
      <c r="CB22" s="280" t="s">
        <v>551</v>
      </c>
      <c r="CJ22" s="276"/>
      <c r="CM22" s="277"/>
      <c r="CS22" s="280" t="s">
        <v>577</v>
      </c>
      <c r="CT22" s="280">
        <v>2</v>
      </c>
      <c r="CV22" s="280" t="s">
        <v>577</v>
      </c>
      <c r="CW22" s="280">
        <v>1</v>
      </c>
      <c r="CZ22" s="280" t="s">
        <v>594</v>
      </c>
      <c r="DD22" s="431" t="s">
        <v>1093</v>
      </c>
      <c r="DE22" s="432">
        <v>7.3999999999999996E-2</v>
      </c>
      <c r="DF22" s="277"/>
      <c r="DG22" s="280">
        <v>10</v>
      </c>
      <c r="DN22" s="299" t="s">
        <v>608</v>
      </c>
      <c r="DO22" s="310">
        <v>4</v>
      </c>
      <c r="DP22" s="310">
        <v>45</v>
      </c>
      <c r="DQ22" s="310">
        <v>1</v>
      </c>
      <c r="DR22" s="310">
        <v>2</v>
      </c>
      <c r="DV22" s="373"/>
      <c r="DW22" s="280"/>
      <c r="DX22" s="280"/>
      <c r="DY22" s="280"/>
      <c r="DZ22" s="280"/>
      <c r="EA22" s="280"/>
      <c r="EB22" s="280"/>
      <c r="EC22" s="280"/>
      <c r="ED22" s="299"/>
      <c r="EE22" s="410"/>
      <c r="EN22" s="358" t="s">
        <v>976</v>
      </c>
      <c r="EO22" s="372" t="s">
        <v>413</v>
      </c>
      <c r="EP22" s="277"/>
      <c r="EQ22" s="358" t="s">
        <v>976</v>
      </c>
      <c r="ER22" s="372" t="s">
        <v>300</v>
      </c>
      <c r="ES22" s="276"/>
      <c r="EU22" s="280" t="s">
        <v>681</v>
      </c>
      <c r="EV22" s="280" t="s">
        <v>688</v>
      </c>
      <c r="EW22" s="280" t="s">
        <v>693</v>
      </c>
      <c r="EX22" s="280" t="s">
        <v>701</v>
      </c>
      <c r="EY22" s="277"/>
      <c r="EZ22" s="298"/>
      <c r="FA22" s="298"/>
      <c r="FB22" s="298"/>
      <c r="FM22" s="277"/>
      <c r="FN22" s="295" t="s">
        <v>779</v>
      </c>
      <c r="FO22" s="277"/>
      <c r="FP22" s="277"/>
      <c r="FQ22" s="295" t="s">
        <v>519</v>
      </c>
      <c r="FR22" s="277"/>
      <c r="FS22" s="277"/>
      <c r="FT22" s="295" t="s">
        <v>552</v>
      </c>
      <c r="FU22" s="277"/>
      <c r="FV22" s="298"/>
      <c r="FW22" s="381" t="s">
        <v>939</v>
      </c>
      <c r="FX22" s="280" t="s">
        <v>508</v>
      </c>
      <c r="FY22" s="280" t="s">
        <v>911</v>
      </c>
      <c r="FZ22" s="280"/>
      <c r="GA22" s="280">
        <v>1.36</v>
      </c>
      <c r="GB22" s="280">
        <v>1.05</v>
      </c>
      <c r="GC22" s="423">
        <v>0.313</v>
      </c>
      <c r="GE22" s="280" t="s">
        <v>423</v>
      </c>
      <c r="GF22" s="283"/>
      <c r="GG22" s="280" t="s">
        <v>252</v>
      </c>
      <c r="GH22" s="283" t="s">
        <v>955</v>
      </c>
      <c r="GI22" s="283" t="s">
        <v>955</v>
      </c>
      <c r="GJ22" s="280" t="s">
        <v>1187</v>
      </c>
      <c r="GK22" s="283" t="s">
        <v>955</v>
      </c>
      <c r="GL22" s="283" t="s">
        <v>955</v>
      </c>
      <c r="GM22" s="283" t="s">
        <v>955</v>
      </c>
      <c r="GN22" s="283" t="s">
        <v>955</v>
      </c>
      <c r="GO22" s="283" t="s">
        <v>955</v>
      </c>
      <c r="GP22" s="283" t="s">
        <v>955</v>
      </c>
      <c r="GQ22" s="283" t="s">
        <v>955</v>
      </c>
      <c r="GR22" s="283" t="s">
        <v>955</v>
      </c>
      <c r="GS22" s="283" t="s">
        <v>955</v>
      </c>
      <c r="GT22" s="283" t="s">
        <v>955</v>
      </c>
      <c r="GU22" s="283" t="s">
        <v>955</v>
      </c>
      <c r="GV22" s="283" t="s">
        <v>955</v>
      </c>
      <c r="GY22" s="444" t="str">
        <f t="shared" si="5"/>
        <v>balles de paille 300kg MaQ</v>
      </c>
      <c r="GZ22" s="444"/>
      <c r="HA22" s="342" t="e">
        <f t="shared" si="6"/>
        <v>#REF!</v>
      </c>
      <c r="HB22" s="342" t="e">
        <f>IF(COUNTIF(TypeArticleDansEntrepôt,GY22)=0,0,SUMIF(TypeArticleDansEntrepôt,GY22,QtéArticleDansEntrepôt)*VLOOKUP(GY22,#REF!,2,FALSE))</f>
        <v>#REF!</v>
      </c>
      <c r="HG22" s="280" t="str">
        <f t="shared" si="3"/>
        <v>Provence-Alpes-Côtes-d'Azur</v>
      </c>
      <c r="HK22" s="280" t="s">
        <v>1046</v>
      </c>
      <c r="HL22" s="288">
        <v>0</v>
      </c>
      <c r="HN22" s="280" t="s">
        <v>234</v>
      </c>
      <c r="HO22" s="289">
        <v>50</v>
      </c>
      <c r="HP22" s="293">
        <v>0.66666666666666663</v>
      </c>
      <c r="HQ22" s="293">
        <f>0.5/1.5</f>
        <v>0.33333333333333331</v>
      </c>
      <c r="HR22" s="293">
        <v>0.33333333333333331</v>
      </c>
      <c r="HS22" s="293">
        <v>0.55555555555555558</v>
      </c>
      <c r="HT22" s="293">
        <v>0.5</v>
      </c>
      <c r="HU22" s="293">
        <v>0.6</v>
      </c>
    </row>
    <row r="23" spans="1:229" ht="12.75" customHeight="1" x14ac:dyDescent="0.2">
      <c r="A23" s="369"/>
      <c r="B23" s="280"/>
      <c r="C23" s="280"/>
      <c r="D23" s="423"/>
      <c r="E23" s="296"/>
      <c r="F23" s="463"/>
      <c r="G23" s="464"/>
      <c r="J23" s="466"/>
      <c r="K23" s="467"/>
      <c r="M23" s="384" t="s">
        <v>1105</v>
      </c>
      <c r="N23" s="277"/>
      <c r="O23" s="277"/>
      <c r="P23" s="277"/>
      <c r="Q23" s="277"/>
      <c r="R23" s="277"/>
      <c r="S23" s="277"/>
      <c r="T23" s="277"/>
      <c r="U23" s="277"/>
      <c r="V23" s="277"/>
      <c r="W23" s="277"/>
      <c r="X23" s="277"/>
      <c r="Y23" s="277"/>
      <c r="Z23" s="277"/>
      <c r="AA23" s="277"/>
      <c r="AB23" s="277"/>
      <c r="AC23" s="277"/>
      <c r="AD23" s="277"/>
      <c r="AE23" s="277"/>
      <c r="AF23" s="277"/>
      <c r="AG23" s="277"/>
      <c r="AH23" s="277"/>
      <c r="AI23" s="277"/>
      <c r="AJ23" s="277"/>
      <c r="AK23" s="277"/>
      <c r="AL23" s="277"/>
      <c r="AM23" s="277"/>
      <c r="AN23" s="277"/>
      <c r="AO23" s="277"/>
      <c r="AP23" s="277"/>
      <c r="AQ23" s="277"/>
      <c r="AR23" s="277"/>
      <c r="AS23" s="277"/>
      <c r="AT23" s="277"/>
      <c r="AU23" s="277"/>
      <c r="AV23" s="277"/>
      <c r="AW23" s="277"/>
      <c r="AX23" s="277"/>
      <c r="AY23" s="277"/>
      <c r="BC23" s="284" t="s">
        <v>113</v>
      </c>
      <c r="BD23" s="284">
        <v>42</v>
      </c>
      <c r="BE23" s="284">
        <v>800</v>
      </c>
      <c r="BF23" s="284">
        <v>14</v>
      </c>
      <c r="BM23" s="361"/>
      <c r="BN23" s="280"/>
      <c r="BO23" s="280"/>
      <c r="BP23" s="280"/>
      <c r="BQ23" s="280"/>
      <c r="BR23" s="280"/>
      <c r="BS23" s="280"/>
      <c r="BT23" s="280"/>
      <c r="BU23" s="280"/>
      <c r="BV23" s="363"/>
      <c r="CJ23" s="283" t="s">
        <v>916</v>
      </c>
      <c r="CM23" s="277"/>
      <c r="CS23" s="280" t="s">
        <v>578</v>
      </c>
      <c r="CT23" s="280">
        <v>2</v>
      </c>
      <c r="CV23" s="280" t="s">
        <v>578</v>
      </c>
      <c r="CW23" s="280">
        <v>1</v>
      </c>
      <c r="DD23" s="431" t="s">
        <v>1090</v>
      </c>
      <c r="DE23" s="432">
        <v>6.2E-2</v>
      </c>
      <c r="DF23" s="277"/>
      <c r="DG23" s="277"/>
      <c r="DN23" s="299" t="s">
        <v>609</v>
      </c>
      <c r="DO23" s="310">
        <v>4.5</v>
      </c>
      <c r="DP23" s="310">
        <v>80</v>
      </c>
      <c r="DQ23" s="310">
        <v>0</v>
      </c>
      <c r="DR23" s="310">
        <v>4</v>
      </c>
      <c r="DV23" s="373"/>
      <c r="DW23" s="280"/>
      <c r="DX23" s="280"/>
      <c r="DY23" s="280"/>
      <c r="DZ23" s="280"/>
      <c r="EA23" s="280"/>
      <c r="EB23" s="280"/>
      <c r="EC23" s="280"/>
      <c r="ED23" s="431"/>
      <c r="EE23" s="363"/>
      <c r="EG23" s="283" t="s">
        <v>519</v>
      </c>
      <c r="EJ23" s="283" t="s">
        <v>595</v>
      </c>
      <c r="EK23" s="276"/>
      <c r="EN23" s="373" t="s">
        <v>958</v>
      </c>
      <c r="EO23" s="423">
        <v>0.5</v>
      </c>
      <c r="EP23" s="277"/>
      <c r="EQ23" s="373" t="s">
        <v>958</v>
      </c>
      <c r="ER23" s="423">
        <v>0.1</v>
      </c>
      <c r="ES23" s="277"/>
      <c r="EU23" s="280" t="s">
        <v>682</v>
      </c>
      <c r="EV23" s="280" t="s">
        <v>688</v>
      </c>
      <c r="EW23" s="280" t="s">
        <v>690</v>
      </c>
      <c r="EX23" s="280" t="s">
        <v>708</v>
      </c>
      <c r="EY23" s="277"/>
      <c r="EZ23" s="298"/>
      <c r="FA23" s="298"/>
      <c r="FB23" s="298"/>
      <c r="FD23" s="283" t="s">
        <v>779</v>
      </c>
      <c r="FG23" s="283" t="s">
        <v>519</v>
      </c>
      <c r="FI23" s="276"/>
      <c r="FJ23" s="283" t="s">
        <v>552</v>
      </c>
      <c r="FK23" s="276"/>
      <c r="FM23" s="277"/>
      <c r="FN23" s="358" t="s">
        <v>976</v>
      </c>
      <c r="FO23" s="372" t="s">
        <v>846</v>
      </c>
      <c r="FP23" s="277"/>
      <c r="FQ23" s="358" t="s">
        <v>976</v>
      </c>
      <c r="FR23" s="372" t="s">
        <v>413</v>
      </c>
      <c r="FS23" s="277"/>
      <c r="FT23" s="358" t="s">
        <v>976</v>
      </c>
      <c r="FU23" s="372" t="s">
        <v>300</v>
      </c>
      <c r="FV23" s="298"/>
      <c r="FW23" s="381" t="s">
        <v>939</v>
      </c>
      <c r="FX23" s="280" t="s">
        <v>220</v>
      </c>
      <c r="FY23" s="280" t="s">
        <v>887</v>
      </c>
      <c r="FZ23" s="280"/>
      <c r="GA23" s="280">
        <v>0.78</v>
      </c>
      <c r="GB23" s="280">
        <v>0.6</v>
      </c>
      <c r="GC23" s="423">
        <v>0.18</v>
      </c>
      <c r="GE23" s="280" t="s">
        <v>248</v>
      </c>
      <c r="GF23" s="283"/>
      <c r="GG23" s="280" t="s">
        <v>130</v>
      </c>
      <c r="GH23" s="283" t="s">
        <v>955</v>
      </c>
      <c r="GI23" s="283" t="s">
        <v>955</v>
      </c>
      <c r="GJ23" s="283" t="s">
        <v>955</v>
      </c>
      <c r="GK23" s="283" t="s">
        <v>955</v>
      </c>
      <c r="GL23" s="283" t="s">
        <v>955</v>
      </c>
      <c r="GM23" s="283" t="s">
        <v>955</v>
      </c>
      <c r="GN23" s="283" t="s">
        <v>955</v>
      </c>
      <c r="GO23" s="283" t="s">
        <v>955</v>
      </c>
      <c r="GP23" s="283" t="s">
        <v>955</v>
      </c>
      <c r="GQ23" s="283" t="s">
        <v>955</v>
      </c>
      <c r="GR23" s="283" t="s">
        <v>955</v>
      </c>
      <c r="GS23" s="283" t="s">
        <v>955</v>
      </c>
      <c r="GT23" s="283" t="s">
        <v>955</v>
      </c>
      <c r="GU23" s="283" t="s">
        <v>955</v>
      </c>
      <c r="GV23" s="283" t="s">
        <v>955</v>
      </c>
      <c r="GY23" s="444" t="str">
        <f t="shared" si="5"/>
        <v>balles de paille 500kg MaQ</v>
      </c>
      <c r="GZ23" s="444"/>
      <c r="HA23" s="342" t="e">
        <f t="shared" si="6"/>
        <v>#REF!</v>
      </c>
      <c r="HB23" s="342" t="e">
        <f>IF(COUNTIF(TypeArticleDansEntrepôt,GY23)=0,0,SUMIF(TypeArticleDansEntrepôt,GY23,QtéArticleDansEntrepôt)*VLOOKUP(GY23,#REF!,2,FALSE))</f>
        <v>#REF!</v>
      </c>
      <c r="HG23" s="280" t="str">
        <f t="shared" si="3"/>
        <v>Rhône-Alpes</v>
      </c>
      <c r="HK23" s="280" t="s">
        <v>232</v>
      </c>
      <c r="HL23" s="288">
        <v>120</v>
      </c>
      <c r="HN23" s="280" t="s">
        <v>379</v>
      </c>
      <c r="HO23" s="289">
        <v>100</v>
      </c>
      <c r="HP23" s="293">
        <v>0.7142857142857143</v>
      </c>
      <c r="HQ23" s="293">
        <v>0.7142857142857143</v>
      </c>
      <c r="HR23" s="293">
        <v>0.7142857142857143</v>
      </c>
      <c r="HS23" s="293">
        <v>0.5</v>
      </c>
      <c r="HT23" s="293">
        <v>0.5</v>
      </c>
      <c r="HU23" s="293">
        <v>0.5</v>
      </c>
    </row>
    <row r="24" spans="1:229" ht="12.75" customHeight="1" x14ac:dyDescent="0.2">
      <c r="A24" s="369"/>
      <c r="B24" s="280"/>
      <c r="C24" s="280"/>
      <c r="D24" s="423"/>
      <c r="E24" s="296"/>
      <c r="F24" s="369"/>
      <c r="G24" s="382"/>
      <c r="J24" s="466"/>
      <c r="K24" s="467"/>
      <c r="M24" s="384" t="s">
        <v>475</v>
      </c>
      <c r="N24" s="277"/>
      <c r="O24" s="280" t="s">
        <v>828</v>
      </c>
      <c r="P24" s="295" t="s">
        <v>220</v>
      </c>
      <c r="Q24" s="295" t="s">
        <v>489</v>
      </c>
      <c r="R24" s="295" t="s">
        <v>376</v>
      </c>
      <c r="S24" s="295" t="s">
        <v>490</v>
      </c>
      <c r="T24" s="295" t="s">
        <v>377</v>
      </c>
      <c r="U24" s="295" t="s">
        <v>70</v>
      </c>
      <c r="V24" s="295" t="s">
        <v>378</v>
      </c>
      <c r="W24" s="295" t="s">
        <v>268</v>
      </c>
      <c r="X24" s="295" t="s">
        <v>269</v>
      </c>
      <c r="Y24" s="295" t="s">
        <v>392</v>
      </c>
      <c r="Z24" s="295" t="s">
        <v>500</v>
      </c>
      <c r="AA24" s="295" t="s">
        <v>231</v>
      </c>
      <c r="AB24" s="295" t="s">
        <v>232</v>
      </c>
      <c r="AC24" s="295" t="s">
        <v>233</v>
      </c>
      <c r="AD24" s="295" t="s">
        <v>57</v>
      </c>
      <c r="AE24" s="295" t="s">
        <v>58</v>
      </c>
      <c r="AF24" s="295" t="s">
        <v>59</v>
      </c>
      <c r="AG24" s="516" t="s">
        <v>837</v>
      </c>
      <c r="AH24" s="516"/>
      <c r="AI24" s="295" t="s">
        <v>265</v>
      </c>
      <c r="AJ24" s="295" t="s">
        <v>266</v>
      </c>
      <c r="AK24" s="295" t="s">
        <v>267</v>
      </c>
      <c r="AL24" s="295" t="s">
        <v>488</v>
      </c>
      <c r="AM24" s="295" t="s">
        <v>379</v>
      </c>
      <c r="AN24" s="295" t="s">
        <v>44</v>
      </c>
      <c r="AO24" s="295" t="s">
        <v>1058</v>
      </c>
      <c r="AP24" s="295" t="s">
        <v>1059</v>
      </c>
      <c r="AQ24" s="295" t="s">
        <v>1060</v>
      </c>
      <c r="AR24" s="295" t="s">
        <v>1061</v>
      </c>
      <c r="AS24" s="295" t="s">
        <v>1062</v>
      </c>
      <c r="AT24" s="295" t="s">
        <v>1063</v>
      </c>
      <c r="AU24" s="295" t="s">
        <v>1085</v>
      </c>
      <c r="AV24" s="295" t="s">
        <v>1086</v>
      </c>
      <c r="AW24" s="295" t="s">
        <v>1087</v>
      </c>
      <c r="AX24" s="295" t="s">
        <v>1088</v>
      </c>
      <c r="AY24" s="295" t="s">
        <v>1089</v>
      </c>
      <c r="BC24" s="284" t="s">
        <v>495</v>
      </c>
      <c r="BD24" s="284">
        <v>49</v>
      </c>
      <c r="BE24" s="284">
        <v>850</v>
      </c>
      <c r="BF24" s="284">
        <v>12</v>
      </c>
      <c r="BM24" s="361"/>
      <c r="BN24" s="280"/>
      <c r="BO24" s="280"/>
      <c r="BP24" s="280"/>
      <c r="BQ24" s="280"/>
      <c r="BR24" s="280"/>
      <c r="BS24" s="280"/>
      <c r="BT24" s="280"/>
      <c r="BU24" s="280"/>
      <c r="BV24" s="363"/>
      <c r="BY24" s="283" t="s">
        <v>519</v>
      </c>
      <c r="CB24" s="283" t="s">
        <v>552</v>
      </c>
      <c r="CJ24" s="358" t="s">
        <v>866</v>
      </c>
      <c r="CK24" s="319" t="s">
        <v>884</v>
      </c>
      <c r="CL24" s="359" t="s">
        <v>885</v>
      </c>
      <c r="CM24" s="319" t="s">
        <v>914</v>
      </c>
      <c r="CN24" s="319" t="s">
        <v>891</v>
      </c>
      <c r="CO24" s="319" t="s">
        <v>890</v>
      </c>
      <c r="CP24" s="319" t="s">
        <v>917</v>
      </c>
      <c r="CQ24" s="372" t="s">
        <v>918</v>
      </c>
      <c r="CS24" s="280" t="s">
        <v>957</v>
      </c>
      <c r="CT24" s="280">
        <v>1</v>
      </c>
      <c r="CV24" s="280" t="s">
        <v>957</v>
      </c>
      <c r="CW24" s="280">
        <v>0.5</v>
      </c>
      <c r="CZ24" s="283" t="s">
        <v>595</v>
      </c>
      <c r="DD24" s="431" t="s">
        <v>1091</v>
      </c>
      <c r="DE24" s="432">
        <v>5.7000000000000002E-2</v>
      </c>
      <c r="DF24" s="277"/>
      <c r="DG24" s="277"/>
      <c r="DM24" s="277"/>
      <c r="DN24" s="299" t="s">
        <v>69</v>
      </c>
      <c r="DO24" s="310">
        <v>3.5</v>
      </c>
      <c r="DP24" s="310">
        <v>90</v>
      </c>
      <c r="DQ24" s="310">
        <v>0</v>
      </c>
      <c r="DR24" s="310">
        <v>0</v>
      </c>
      <c r="DV24" s="373"/>
      <c r="DW24" s="280"/>
      <c r="DX24" s="280"/>
      <c r="DY24" s="280"/>
      <c r="DZ24" s="280"/>
      <c r="EA24" s="280"/>
      <c r="EB24" s="280"/>
      <c r="EC24" s="280"/>
      <c r="ED24" s="431"/>
      <c r="EE24" s="363"/>
      <c r="EG24" s="280" t="s">
        <v>651</v>
      </c>
      <c r="EH24" s="280">
        <v>1</v>
      </c>
      <c r="EJ24" s="280" t="s">
        <v>651</v>
      </c>
      <c r="EK24" s="280">
        <v>0.5</v>
      </c>
      <c r="EL24" s="276"/>
      <c r="EN24" s="373" t="s">
        <v>959</v>
      </c>
      <c r="EO24" s="423">
        <v>0.5</v>
      </c>
      <c r="EP24" s="277"/>
      <c r="EQ24" s="373" t="s">
        <v>959</v>
      </c>
      <c r="ER24" s="423">
        <v>0.1</v>
      </c>
      <c r="ES24" s="277"/>
      <c r="EU24" s="280" t="s">
        <v>683</v>
      </c>
      <c r="EV24" s="280" t="s">
        <v>688</v>
      </c>
      <c r="EW24" s="280" t="s">
        <v>695</v>
      </c>
      <c r="EX24" s="280" t="s">
        <v>712</v>
      </c>
      <c r="EY24" s="277"/>
      <c r="EZ24" s="303" t="s">
        <v>969</v>
      </c>
      <c r="FA24" s="298"/>
      <c r="FB24" s="298"/>
      <c r="FD24" s="358" t="s">
        <v>976</v>
      </c>
      <c r="FE24" s="372" t="s">
        <v>846</v>
      </c>
      <c r="FF24" s="277"/>
      <c r="FG24" s="358" t="s">
        <v>976</v>
      </c>
      <c r="FH24" s="372" t="s">
        <v>413</v>
      </c>
      <c r="FI24" s="277"/>
      <c r="FJ24" s="358" t="s">
        <v>976</v>
      </c>
      <c r="FK24" s="372" t="s">
        <v>300</v>
      </c>
      <c r="FM24" s="277"/>
      <c r="FN24" s="373" t="s">
        <v>780</v>
      </c>
      <c r="FO24" s="423">
        <v>30</v>
      </c>
      <c r="FP24" s="277"/>
      <c r="FQ24" s="373" t="s">
        <v>787</v>
      </c>
      <c r="FR24" s="423">
        <v>25</v>
      </c>
      <c r="FS24" s="277"/>
      <c r="FT24" s="373" t="s">
        <v>787</v>
      </c>
      <c r="FU24" s="423">
        <v>7</v>
      </c>
      <c r="FV24" s="298"/>
      <c r="FW24" s="381" t="s">
        <v>939</v>
      </c>
      <c r="FX24" s="280" t="s">
        <v>70</v>
      </c>
      <c r="FY24" s="280" t="s">
        <v>887</v>
      </c>
      <c r="FZ24" s="280"/>
      <c r="GA24" s="280">
        <v>0.78</v>
      </c>
      <c r="GB24" s="280">
        <v>0.6</v>
      </c>
      <c r="GC24" s="423">
        <v>0.18</v>
      </c>
      <c r="GE24" s="280" t="s">
        <v>207</v>
      </c>
      <c r="GF24" s="283"/>
      <c r="GG24" s="280" t="s">
        <v>45</v>
      </c>
      <c r="GH24" s="283" t="s">
        <v>955</v>
      </c>
      <c r="GI24" s="283" t="s">
        <v>955</v>
      </c>
      <c r="GJ24" s="283" t="s">
        <v>955</v>
      </c>
      <c r="GK24" s="283" t="s">
        <v>955</v>
      </c>
      <c r="GL24" s="283" t="s">
        <v>955</v>
      </c>
      <c r="GM24" s="283" t="s">
        <v>955</v>
      </c>
      <c r="GN24" s="283" t="s">
        <v>955</v>
      </c>
      <c r="GO24" s="283" t="s">
        <v>955</v>
      </c>
      <c r="GP24" s="283" t="s">
        <v>955</v>
      </c>
      <c r="GQ24" s="283" t="s">
        <v>955</v>
      </c>
      <c r="GR24" s="283" t="s">
        <v>955</v>
      </c>
      <c r="GS24" s="283" t="s">
        <v>955</v>
      </c>
      <c r="GT24" s="283" t="s">
        <v>955</v>
      </c>
      <c r="GU24" s="283" t="s">
        <v>955</v>
      </c>
      <c r="GV24" s="283" t="s">
        <v>955</v>
      </c>
      <c r="GY24" s="444"/>
      <c r="GZ24" s="444"/>
      <c r="HA24" s="342"/>
      <c r="HB24" s="342"/>
      <c r="HK24" s="280" t="s">
        <v>59</v>
      </c>
      <c r="HL24" s="288">
        <v>80</v>
      </c>
      <c r="HN24" s="280" t="s">
        <v>44</v>
      </c>
      <c r="HO24" s="289">
        <v>35000</v>
      </c>
      <c r="HP24" s="293">
        <v>0.77777777777777779</v>
      </c>
      <c r="HQ24" s="293">
        <v>0.66666666666666663</v>
      </c>
      <c r="HR24" s="293">
        <v>0.66666666666666663</v>
      </c>
      <c r="HS24" s="293">
        <v>0.6</v>
      </c>
      <c r="HT24" s="293">
        <v>0.66666666666666663</v>
      </c>
      <c r="HU24" s="293">
        <v>0.625</v>
      </c>
    </row>
    <row r="25" spans="1:229" ht="12.75" customHeight="1" x14ac:dyDescent="0.2">
      <c r="A25" s="369"/>
      <c r="B25" s="280"/>
      <c r="C25" s="280"/>
      <c r="D25" s="423"/>
      <c r="E25" s="296"/>
      <c r="F25" s="370"/>
      <c r="G25" s="383"/>
      <c r="J25" s="466"/>
      <c r="K25" s="467"/>
      <c r="M25" s="384" t="s">
        <v>1104</v>
      </c>
      <c r="N25" s="277"/>
      <c r="O25" s="280" t="s">
        <v>319</v>
      </c>
      <c r="P25" s="280"/>
      <c r="Q25" s="280"/>
      <c r="R25" s="280"/>
      <c r="S25" s="280"/>
      <c r="T25" s="280"/>
      <c r="U25" s="280"/>
      <c r="V25" s="280"/>
      <c r="W25" s="280"/>
      <c r="X25" s="280"/>
      <c r="Y25" s="280"/>
      <c r="Z25" s="280"/>
      <c r="AA25" s="280"/>
      <c r="AB25" s="280"/>
      <c r="AC25" s="280"/>
      <c r="AD25" s="280"/>
      <c r="AE25" s="280"/>
      <c r="AF25" s="280"/>
      <c r="AG25" s="280"/>
      <c r="AH25" s="280"/>
      <c r="AI25" s="280"/>
      <c r="AJ25" s="280"/>
      <c r="AK25" s="280"/>
      <c r="AL25" s="280"/>
      <c r="AM25" s="280"/>
      <c r="AN25" s="280"/>
      <c r="AO25" s="280"/>
      <c r="AP25" s="280"/>
      <c r="AQ25" s="280"/>
      <c r="AR25" s="280"/>
      <c r="AS25" s="280"/>
      <c r="AT25" s="280"/>
      <c r="AU25" s="280"/>
      <c r="AV25" s="280"/>
      <c r="AW25" s="280"/>
      <c r="AX25" s="280"/>
      <c r="AY25" s="280"/>
      <c r="BA25" s="277"/>
      <c r="BC25" s="284" t="s">
        <v>284</v>
      </c>
      <c r="BD25" s="284">
        <v>36</v>
      </c>
      <c r="BE25" s="284">
        <v>680</v>
      </c>
      <c r="BF25" s="284">
        <v>12</v>
      </c>
      <c r="BM25" s="361"/>
      <c r="BN25" s="280"/>
      <c r="BO25" s="280"/>
      <c r="BP25" s="280"/>
      <c r="BQ25" s="280"/>
      <c r="BR25" s="280"/>
      <c r="BS25" s="280"/>
      <c r="BT25" s="280"/>
      <c r="BU25" s="280"/>
      <c r="BV25" s="363"/>
      <c r="BY25" s="280" t="s">
        <v>553</v>
      </c>
      <c r="BZ25" s="280">
        <v>20</v>
      </c>
      <c r="CB25" s="280" t="s">
        <v>553</v>
      </c>
      <c r="CC25" s="280">
        <v>7</v>
      </c>
      <c r="CJ25" s="373" t="s">
        <v>920</v>
      </c>
      <c r="CK25" s="280" t="s">
        <v>508</v>
      </c>
      <c r="CL25" s="280" t="s">
        <v>911</v>
      </c>
      <c r="CM25" s="280">
        <v>14</v>
      </c>
      <c r="CN25" s="280">
        <v>10</v>
      </c>
      <c r="CO25" s="280">
        <v>8</v>
      </c>
      <c r="CP25" s="280">
        <v>4</v>
      </c>
      <c r="CQ25" s="423">
        <v>0</v>
      </c>
      <c r="CS25" s="280" t="s">
        <v>956</v>
      </c>
      <c r="CT25" s="280">
        <v>1</v>
      </c>
      <c r="CV25" s="280" t="s">
        <v>956</v>
      </c>
      <c r="CW25" s="280">
        <v>0.5</v>
      </c>
      <c r="CZ25" s="280" t="s">
        <v>597</v>
      </c>
      <c r="DA25" s="280">
        <v>0.1</v>
      </c>
      <c r="DD25" s="431" t="s">
        <v>1092</v>
      </c>
      <c r="DE25" s="432">
        <v>4.3999999999999997E-2</v>
      </c>
      <c r="DF25" s="277"/>
      <c r="DG25" s="295" t="s">
        <v>931</v>
      </c>
      <c r="DH25" s="277"/>
      <c r="DI25" s="277"/>
      <c r="DJ25" s="277"/>
      <c r="DN25" s="299" t="s">
        <v>411</v>
      </c>
      <c r="DO25" s="310">
        <v>5</v>
      </c>
      <c r="DP25" s="310">
        <v>90</v>
      </c>
      <c r="DQ25" s="310">
        <v>0</v>
      </c>
      <c r="DR25" s="310">
        <v>3</v>
      </c>
      <c r="DV25" s="373"/>
      <c r="DW25" s="280"/>
      <c r="DX25" s="280"/>
      <c r="DY25" s="280"/>
      <c r="DZ25" s="280"/>
      <c r="EA25" s="280"/>
      <c r="EB25" s="280"/>
      <c r="EC25" s="280"/>
      <c r="ED25" s="431"/>
      <c r="EE25" s="363"/>
      <c r="EG25" s="280" t="s">
        <v>652</v>
      </c>
      <c r="EH25" s="280">
        <v>1</v>
      </c>
      <c r="EJ25" s="280" t="s">
        <v>652</v>
      </c>
      <c r="EK25" s="280">
        <v>0.5</v>
      </c>
      <c r="EL25" s="277"/>
      <c r="EN25" s="373" t="s">
        <v>960</v>
      </c>
      <c r="EO25" s="423">
        <v>0.3</v>
      </c>
      <c r="EP25" s="277"/>
      <c r="EQ25" s="373" t="s">
        <v>960</v>
      </c>
      <c r="ER25" s="423">
        <v>0.08</v>
      </c>
      <c r="ES25" s="277"/>
      <c r="EU25" s="280" t="s">
        <v>684</v>
      </c>
      <c r="EV25" s="280" t="s">
        <v>688</v>
      </c>
      <c r="EW25" s="280" t="s">
        <v>694</v>
      </c>
      <c r="EX25" s="280" t="s">
        <v>709</v>
      </c>
      <c r="EY25" s="277"/>
      <c r="EZ25" s="431">
        <v>85</v>
      </c>
      <c r="FA25" s="298"/>
      <c r="FB25" s="298"/>
      <c r="FD25" s="373" t="s">
        <v>780</v>
      </c>
      <c r="FE25" s="423">
        <v>60</v>
      </c>
      <c r="FF25" s="277"/>
      <c r="FG25" s="373" t="s">
        <v>787</v>
      </c>
      <c r="FH25" s="423">
        <v>30</v>
      </c>
      <c r="FI25" s="277"/>
      <c r="FJ25" s="373" t="s">
        <v>787</v>
      </c>
      <c r="FK25" s="423">
        <v>12</v>
      </c>
      <c r="FM25" s="277"/>
      <c r="FN25" s="373" t="s">
        <v>781</v>
      </c>
      <c r="FO25" s="423">
        <v>40</v>
      </c>
      <c r="FP25" s="277"/>
      <c r="FQ25" s="373" t="s">
        <v>781</v>
      </c>
      <c r="FR25" s="423">
        <v>25</v>
      </c>
      <c r="FS25" s="277"/>
      <c r="FT25" s="373" t="s">
        <v>781</v>
      </c>
      <c r="FU25" s="423">
        <v>7</v>
      </c>
      <c r="FV25" s="298"/>
      <c r="FW25" s="381" t="s">
        <v>939</v>
      </c>
      <c r="FX25" s="280" t="s">
        <v>268</v>
      </c>
      <c r="FY25" s="280" t="s">
        <v>886</v>
      </c>
      <c r="FZ25" s="280">
        <v>5.5</v>
      </c>
      <c r="GA25" s="280">
        <v>0.23400000000000001</v>
      </c>
      <c r="GB25" s="280">
        <v>0.18</v>
      </c>
      <c r="GC25" s="423">
        <v>5.3999999999999999E-2</v>
      </c>
      <c r="GE25" s="280" t="s">
        <v>206</v>
      </c>
      <c r="GF25" s="283"/>
      <c r="GG25" s="280" t="s">
        <v>384</v>
      </c>
      <c r="GH25" s="283" t="s">
        <v>955</v>
      </c>
      <c r="GI25" s="283" t="s">
        <v>955</v>
      </c>
      <c r="GJ25" s="283" t="s">
        <v>955</v>
      </c>
      <c r="GK25" s="283" t="s">
        <v>955</v>
      </c>
      <c r="GL25" s="283" t="s">
        <v>955</v>
      </c>
      <c r="GM25" s="283" t="s">
        <v>955</v>
      </c>
      <c r="GN25" s="283" t="s">
        <v>955</v>
      </c>
      <c r="GO25" s="283" t="s">
        <v>955</v>
      </c>
      <c r="GP25" s="283" t="s">
        <v>955</v>
      </c>
      <c r="GQ25" s="283" t="s">
        <v>955</v>
      </c>
      <c r="GR25" s="283" t="s">
        <v>955</v>
      </c>
      <c r="GS25" s="283" t="s">
        <v>955</v>
      </c>
      <c r="GT25" s="283" t="s">
        <v>955</v>
      </c>
      <c r="GU25" s="283" t="s">
        <v>955</v>
      </c>
      <c r="GV25" s="283" t="s">
        <v>955</v>
      </c>
      <c r="GY25" s="444" t="s">
        <v>952</v>
      </c>
      <c r="GZ25" s="444"/>
      <c r="HA25" s="342" t="e">
        <f>SUMIF(TypeArticleDansEntrepôt,GY25,QtéArticleDansEntrepôt)</f>
        <v>#REF!</v>
      </c>
      <c r="HB25" s="342" t="e">
        <f>IF(COUNTIF(TypeArticleDansEntrepôt,GY25)=0,0,SUMIF(TypeArticleDansEntrepôt,GY25,QtéArticleDansEntrepôt)*VLOOKUP(GY25,#REF!,2,FALSE))</f>
        <v>#REF!</v>
      </c>
      <c r="HK25" s="280" t="s">
        <v>378</v>
      </c>
      <c r="HL25" s="288">
        <v>110</v>
      </c>
      <c r="HN25" s="280" t="s">
        <v>1045</v>
      </c>
      <c r="HO25" s="289">
        <v>10</v>
      </c>
      <c r="HP25" s="293">
        <v>0</v>
      </c>
      <c r="HQ25" s="293">
        <v>0</v>
      </c>
      <c r="HR25" s="293">
        <v>0</v>
      </c>
      <c r="HS25" s="293">
        <v>0</v>
      </c>
      <c r="HT25" s="293">
        <v>0</v>
      </c>
      <c r="HU25" s="293">
        <v>0</v>
      </c>
    </row>
    <row r="26" spans="1:229" ht="12.75" customHeight="1" x14ac:dyDescent="0.2">
      <c r="A26" s="369"/>
      <c r="B26" s="280"/>
      <c r="C26" s="280"/>
      <c r="D26" s="423"/>
      <c r="E26" s="296"/>
      <c r="J26" s="468"/>
      <c r="K26" s="469"/>
      <c r="N26" s="277"/>
      <c r="O26" s="280" t="s">
        <v>829</v>
      </c>
      <c r="P26" s="280"/>
      <c r="Q26" s="280"/>
      <c r="R26" s="280"/>
      <c r="S26" s="280"/>
      <c r="T26" s="280"/>
      <c r="U26" s="280"/>
      <c r="V26" s="280"/>
      <c r="W26" s="280"/>
      <c r="X26" s="280"/>
      <c r="Y26" s="280"/>
      <c r="Z26" s="280"/>
      <c r="AA26" s="280"/>
      <c r="AB26" s="280"/>
      <c r="AC26" s="280"/>
      <c r="AD26" s="280"/>
      <c r="AE26" s="280"/>
      <c r="AF26" s="280"/>
      <c r="AG26" s="280"/>
      <c r="AH26" s="280"/>
      <c r="AI26" s="280"/>
      <c r="AJ26" s="280"/>
      <c r="AK26" s="280"/>
      <c r="AL26" s="280"/>
      <c r="AM26" s="280"/>
      <c r="AN26" s="280"/>
      <c r="AO26" s="280"/>
      <c r="AP26" s="280"/>
      <c r="AQ26" s="280"/>
      <c r="AR26" s="280"/>
      <c r="AS26" s="280"/>
      <c r="AT26" s="280"/>
      <c r="AU26" s="280"/>
      <c r="AV26" s="280"/>
      <c r="AW26" s="280"/>
      <c r="AX26" s="280"/>
      <c r="AY26" s="280"/>
      <c r="BC26" s="284" t="s">
        <v>97</v>
      </c>
      <c r="BD26" s="284">
        <v>36</v>
      </c>
      <c r="BE26" s="284">
        <v>650</v>
      </c>
      <c r="BF26" s="284">
        <v>10</v>
      </c>
      <c r="BM26" s="361"/>
      <c r="BN26" s="280"/>
      <c r="BO26" s="280"/>
      <c r="BP26" s="280"/>
      <c r="BQ26" s="280"/>
      <c r="BR26" s="280"/>
      <c r="BS26" s="280"/>
      <c r="BT26" s="280"/>
      <c r="BU26" s="280"/>
      <c r="BV26" s="363"/>
      <c r="BY26" s="280" t="s">
        <v>554</v>
      </c>
      <c r="BZ26" s="280">
        <v>15</v>
      </c>
      <c r="CB26" s="280" t="s">
        <v>554</v>
      </c>
      <c r="CC26" s="280">
        <v>5</v>
      </c>
      <c r="CJ26" s="373" t="s">
        <v>920</v>
      </c>
      <c r="CK26" s="280" t="s">
        <v>489</v>
      </c>
      <c r="CL26" s="280" t="s">
        <v>886</v>
      </c>
      <c r="CM26" s="280">
        <v>8</v>
      </c>
      <c r="CN26" s="280">
        <v>6</v>
      </c>
      <c r="CO26" s="280">
        <v>0.8</v>
      </c>
      <c r="CP26" s="280">
        <v>0</v>
      </c>
      <c r="CQ26" s="423">
        <v>0</v>
      </c>
      <c r="CS26" s="280" t="s">
        <v>579</v>
      </c>
      <c r="CT26" s="280">
        <v>0.5</v>
      </c>
      <c r="CV26" s="280" t="s">
        <v>579</v>
      </c>
      <c r="CW26" s="280">
        <v>0.2</v>
      </c>
      <c r="CZ26" s="280" t="s">
        <v>598</v>
      </c>
      <c r="DA26" s="280">
        <v>0.1</v>
      </c>
      <c r="DC26" s="283" t="s">
        <v>969</v>
      </c>
      <c r="DF26" s="277"/>
      <c r="DG26" s="358" t="s">
        <v>866</v>
      </c>
      <c r="DH26" s="319" t="s">
        <v>884</v>
      </c>
      <c r="DI26" s="359" t="s">
        <v>885</v>
      </c>
      <c r="DJ26" s="319" t="s">
        <v>929</v>
      </c>
      <c r="DK26" s="319" t="s">
        <v>930</v>
      </c>
      <c r="DL26" s="372" t="s">
        <v>918</v>
      </c>
      <c r="DN26" s="299" t="s">
        <v>610</v>
      </c>
      <c r="DO26" s="310">
        <v>4</v>
      </c>
      <c r="DP26" s="310">
        <v>70</v>
      </c>
      <c r="DQ26" s="310">
        <v>0</v>
      </c>
      <c r="DR26" s="310">
        <v>4</v>
      </c>
      <c r="DV26" s="373"/>
      <c r="DW26" s="280"/>
      <c r="DX26" s="280"/>
      <c r="DY26" s="280"/>
      <c r="DZ26" s="280"/>
      <c r="EA26" s="280"/>
      <c r="EB26" s="280"/>
      <c r="EC26" s="280"/>
      <c r="ED26" s="431"/>
      <c r="EE26" s="363"/>
      <c r="EG26" s="280" t="s">
        <v>653</v>
      </c>
      <c r="EH26" s="280">
        <v>0.6</v>
      </c>
      <c r="EJ26" s="280" t="s">
        <v>653</v>
      </c>
      <c r="EK26" s="280">
        <v>0.3</v>
      </c>
      <c r="EL26" s="277"/>
      <c r="EN26" s="373" t="s">
        <v>961</v>
      </c>
      <c r="EO26" s="423">
        <v>0.3</v>
      </c>
      <c r="EP26" s="277"/>
      <c r="EQ26" s="373" t="s">
        <v>961</v>
      </c>
      <c r="ER26" s="423">
        <v>0.08</v>
      </c>
      <c r="ES26" s="277"/>
      <c r="EU26" s="280" t="s">
        <v>685</v>
      </c>
      <c r="EV26" s="280" t="s">
        <v>688</v>
      </c>
      <c r="EW26" s="280" t="s">
        <v>690</v>
      </c>
      <c r="EX26" s="280" t="s">
        <v>711</v>
      </c>
      <c r="EY26" s="277"/>
      <c r="EZ26" s="298"/>
      <c r="FA26" s="298"/>
      <c r="FB26" s="298"/>
      <c r="FD26" s="373" t="s">
        <v>781</v>
      </c>
      <c r="FE26" s="423">
        <v>80</v>
      </c>
      <c r="FF26" s="277"/>
      <c r="FG26" s="373" t="s">
        <v>781</v>
      </c>
      <c r="FH26" s="423">
        <v>30</v>
      </c>
      <c r="FI26" s="277"/>
      <c r="FJ26" s="373" t="s">
        <v>781</v>
      </c>
      <c r="FK26" s="423">
        <v>12</v>
      </c>
      <c r="FM26" s="277"/>
      <c r="FN26" s="373" t="s">
        <v>782</v>
      </c>
      <c r="FO26" s="423">
        <v>40</v>
      </c>
      <c r="FP26" s="277"/>
      <c r="FQ26" s="373" t="s">
        <v>782</v>
      </c>
      <c r="FR26" s="423">
        <v>25</v>
      </c>
      <c r="FS26" s="277"/>
      <c r="FT26" s="373" t="s">
        <v>782</v>
      </c>
      <c r="FU26" s="423">
        <v>7</v>
      </c>
      <c r="FV26" s="298"/>
      <c r="FW26" s="381" t="s">
        <v>939</v>
      </c>
      <c r="FX26" s="280" t="s">
        <v>490</v>
      </c>
      <c r="FY26" s="280" t="s">
        <v>886</v>
      </c>
      <c r="FZ26" s="280"/>
      <c r="GA26" s="280">
        <v>0.23400000000000001</v>
      </c>
      <c r="GB26" s="280">
        <v>0.18</v>
      </c>
      <c r="GC26" s="423">
        <v>5.3999999999999999E-2</v>
      </c>
      <c r="GE26" s="280" t="s">
        <v>167</v>
      </c>
      <c r="GF26" s="283"/>
      <c r="GG26" s="280" t="s">
        <v>286</v>
      </c>
      <c r="GH26" s="283" t="s">
        <v>955</v>
      </c>
      <c r="GI26" s="283" t="s">
        <v>955</v>
      </c>
      <c r="GJ26" s="283" t="s">
        <v>955</v>
      </c>
      <c r="GK26" s="283" t="s">
        <v>955</v>
      </c>
      <c r="GL26" s="283" t="s">
        <v>955</v>
      </c>
      <c r="GM26" s="283" t="s">
        <v>955</v>
      </c>
      <c r="GN26" s="283" t="s">
        <v>955</v>
      </c>
      <c r="GO26" s="283" t="s">
        <v>955</v>
      </c>
      <c r="GP26" s="283" t="s">
        <v>955</v>
      </c>
      <c r="GQ26" s="283" t="s">
        <v>955</v>
      </c>
      <c r="GR26" s="283" t="s">
        <v>955</v>
      </c>
      <c r="GS26" s="283" t="s">
        <v>955</v>
      </c>
      <c r="GT26" s="283" t="s">
        <v>955</v>
      </c>
      <c r="GU26" s="283" t="s">
        <v>955</v>
      </c>
      <c r="GV26" s="283" t="s">
        <v>955</v>
      </c>
      <c r="GY26" s="444" t="s">
        <v>953</v>
      </c>
      <c r="GZ26" s="444"/>
      <c r="HA26" s="342" t="e">
        <f>SUMIF(TypeArticleDansEntrepôt,GY26,QtéArticleDansEntrepôt)</f>
        <v>#REF!</v>
      </c>
      <c r="HB26" s="342" t="e">
        <f>IF(COUNTIF(TypeArticleDansEntrepôt,GY26)=0,0,SUMIF(TypeArticleDansEntrepôt,GY26,QtéArticleDansEntrepôt)*VLOOKUP(GY26,#REF!,2,FALSE))</f>
        <v>#REF!</v>
      </c>
      <c r="HK26" s="280" t="s">
        <v>57</v>
      </c>
      <c r="HL26" s="288">
        <v>165</v>
      </c>
      <c r="HN26" s="280" t="s">
        <v>1046</v>
      </c>
      <c r="HO26" s="289">
        <v>12</v>
      </c>
      <c r="HP26" s="293">
        <v>0</v>
      </c>
      <c r="HQ26" s="293">
        <v>0</v>
      </c>
      <c r="HR26" s="293">
        <v>0</v>
      </c>
      <c r="HS26" s="293">
        <v>0</v>
      </c>
      <c r="HT26" s="293">
        <v>0</v>
      </c>
      <c r="HU26" s="293">
        <v>0</v>
      </c>
    </row>
    <row r="27" spans="1:229" ht="12.75" customHeight="1" x14ac:dyDescent="0.2">
      <c r="A27" s="369"/>
      <c r="B27" s="280"/>
      <c r="C27" s="280"/>
      <c r="D27" s="423"/>
      <c r="E27" s="296"/>
      <c r="F27" s="520"/>
      <c r="G27" s="521"/>
      <c r="N27" s="277"/>
      <c r="O27" s="280" t="s">
        <v>830</v>
      </c>
      <c r="P27" s="280"/>
      <c r="Q27" s="280"/>
      <c r="R27" s="280"/>
      <c r="S27" s="280"/>
      <c r="T27" s="280"/>
      <c r="U27" s="280"/>
      <c r="V27" s="280"/>
      <c r="W27" s="280"/>
      <c r="X27" s="280"/>
      <c r="Y27" s="280"/>
      <c r="Z27" s="280"/>
      <c r="AA27" s="280"/>
      <c r="AB27" s="280"/>
      <c r="AC27" s="280"/>
      <c r="AD27" s="280"/>
      <c r="AE27" s="280"/>
      <c r="AF27" s="280"/>
      <c r="AG27" s="280"/>
      <c r="AH27" s="280"/>
      <c r="AI27" s="280"/>
      <c r="AJ27" s="280"/>
      <c r="AK27" s="280"/>
      <c r="AL27" s="280"/>
      <c r="AM27" s="280"/>
      <c r="AN27" s="280"/>
      <c r="AO27" s="280"/>
      <c r="AP27" s="280"/>
      <c r="AQ27" s="280"/>
      <c r="AR27" s="280"/>
      <c r="AS27" s="280"/>
      <c r="AT27" s="280"/>
      <c r="AU27" s="280"/>
      <c r="AV27" s="280"/>
      <c r="AW27" s="280"/>
      <c r="AX27" s="280"/>
      <c r="AY27" s="280"/>
      <c r="BC27" s="278"/>
      <c r="BD27" s="278"/>
      <c r="BE27" s="278"/>
      <c r="BF27" s="278"/>
      <c r="BM27" s="361"/>
      <c r="BN27" s="280"/>
      <c r="BO27" s="280"/>
      <c r="BP27" s="280"/>
      <c r="BQ27" s="280"/>
      <c r="BR27" s="280"/>
      <c r="BS27" s="280"/>
      <c r="BT27" s="280"/>
      <c r="BU27" s="280"/>
      <c r="BV27" s="363"/>
      <c r="BY27" s="280" t="s">
        <v>555</v>
      </c>
      <c r="BZ27" s="280">
        <v>10</v>
      </c>
      <c r="CB27" s="280" t="s">
        <v>555</v>
      </c>
      <c r="CC27" s="280">
        <v>4</v>
      </c>
      <c r="CJ27" s="373" t="s">
        <v>920</v>
      </c>
      <c r="CK27" s="280" t="s">
        <v>220</v>
      </c>
      <c r="CL27" s="280" t="s">
        <v>887</v>
      </c>
      <c r="CM27" s="280">
        <v>2</v>
      </c>
      <c r="CN27" s="280">
        <v>1.6</v>
      </c>
      <c r="CO27" s="280">
        <v>2</v>
      </c>
      <c r="CP27" s="280">
        <v>1</v>
      </c>
      <c r="CQ27" s="423">
        <v>0</v>
      </c>
      <c r="CS27" s="277"/>
      <c r="CT27" s="277"/>
      <c r="CV27" s="277"/>
      <c r="CW27" s="277"/>
      <c r="CZ27" s="280" t="s">
        <v>599</v>
      </c>
      <c r="DA27" s="280">
        <v>7.0000000000000007E-2</v>
      </c>
      <c r="DC27" s="280">
        <v>1.5</v>
      </c>
      <c r="DF27" s="277"/>
      <c r="DG27" s="373" t="s">
        <v>928</v>
      </c>
      <c r="DH27" s="280" t="s">
        <v>508</v>
      </c>
      <c r="DI27" s="280" t="s">
        <v>911</v>
      </c>
      <c r="DJ27" s="280">
        <v>0.1</v>
      </c>
      <c r="DK27" s="280">
        <v>9.0999999999999998E-2</v>
      </c>
      <c r="DL27" s="423">
        <v>5.5E-2</v>
      </c>
      <c r="DN27" s="299" t="s">
        <v>320</v>
      </c>
      <c r="DO27" s="310">
        <v>3</v>
      </c>
      <c r="DP27" s="310">
        <v>80</v>
      </c>
      <c r="DQ27" s="310">
        <v>0</v>
      </c>
      <c r="DR27" s="310">
        <v>0</v>
      </c>
      <c r="DV27" s="376"/>
      <c r="DW27" s="305"/>
      <c r="DX27" s="305"/>
      <c r="DY27" s="305"/>
      <c r="DZ27" s="305"/>
      <c r="EA27" s="305"/>
      <c r="EB27" s="305"/>
      <c r="EC27" s="305"/>
      <c r="ED27" s="448"/>
      <c r="EE27" s="365"/>
      <c r="EG27" s="280" t="s">
        <v>654</v>
      </c>
      <c r="EH27" s="280">
        <v>0.6</v>
      </c>
      <c r="EJ27" s="280" t="s">
        <v>654</v>
      </c>
      <c r="EK27" s="280">
        <v>0.3</v>
      </c>
      <c r="EL27" s="277"/>
      <c r="EN27" s="376" t="s">
        <v>962</v>
      </c>
      <c r="EO27" s="424">
        <v>0.1</v>
      </c>
      <c r="EQ27" s="376" t="s">
        <v>962</v>
      </c>
      <c r="ER27" s="424">
        <v>0.04</v>
      </c>
      <c r="ES27" s="277"/>
      <c r="EU27" s="280" t="s">
        <v>686</v>
      </c>
      <c r="EV27" s="280" t="s">
        <v>688</v>
      </c>
      <c r="EW27" s="280" t="s">
        <v>695</v>
      </c>
      <c r="EX27" s="280" t="s">
        <v>710</v>
      </c>
      <c r="EY27" s="277"/>
      <c r="EZ27" s="298"/>
      <c r="FA27" s="298"/>
      <c r="FB27" s="298"/>
      <c r="FD27" s="373" t="s">
        <v>782</v>
      </c>
      <c r="FE27" s="423">
        <v>80</v>
      </c>
      <c r="FF27" s="277"/>
      <c r="FG27" s="373" t="s">
        <v>782</v>
      </c>
      <c r="FH27" s="423">
        <v>30</v>
      </c>
      <c r="FI27" s="277"/>
      <c r="FJ27" s="373" t="s">
        <v>782</v>
      </c>
      <c r="FK27" s="423">
        <v>12</v>
      </c>
      <c r="FM27" s="277"/>
      <c r="FN27" s="373" t="s">
        <v>783</v>
      </c>
      <c r="FO27" s="423">
        <v>60</v>
      </c>
      <c r="FP27" s="277"/>
      <c r="FQ27" s="373" t="s">
        <v>783</v>
      </c>
      <c r="FR27" s="423">
        <v>30</v>
      </c>
      <c r="FS27" s="277"/>
      <c r="FT27" s="373" t="s">
        <v>783</v>
      </c>
      <c r="FU27" s="423">
        <v>10</v>
      </c>
      <c r="FV27" s="298"/>
      <c r="FW27" s="381" t="s">
        <v>939</v>
      </c>
      <c r="FX27" s="280" t="s">
        <v>905</v>
      </c>
      <c r="FY27" s="280" t="s">
        <v>886</v>
      </c>
      <c r="FZ27" s="280"/>
      <c r="GA27" s="280">
        <v>5.1999999999999998E-2</v>
      </c>
      <c r="GB27" s="280">
        <v>0.04</v>
      </c>
      <c r="GC27" s="423">
        <v>1.2E-2</v>
      </c>
      <c r="GE27" s="280" t="s">
        <v>193</v>
      </c>
      <c r="GF27" s="283"/>
      <c r="GG27" s="280" t="s">
        <v>287</v>
      </c>
      <c r="GH27" s="283" t="s">
        <v>955</v>
      </c>
      <c r="GI27" s="283" t="s">
        <v>955</v>
      </c>
      <c r="GJ27" s="283" t="s">
        <v>955</v>
      </c>
      <c r="GK27" s="283" t="s">
        <v>955</v>
      </c>
      <c r="GL27" s="283" t="s">
        <v>955</v>
      </c>
      <c r="GM27" s="283" t="s">
        <v>955</v>
      </c>
      <c r="GN27" s="283" t="s">
        <v>955</v>
      </c>
      <c r="GO27" s="283" t="s">
        <v>955</v>
      </c>
      <c r="GP27" s="283" t="s">
        <v>955</v>
      </c>
      <c r="GQ27" s="283" t="s">
        <v>955</v>
      </c>
      <c r="GR27" s="283" t="s">
        <v>955</v>
      </c>
      <c r="GS27" s="283" t="s">
        <v>955</v>
      </c>
      <c r="GT27" s="283" t="s">
        <v>955</v>
      </c>
      <c r="GU27" s="283" t="s">
        <v>955</v>
      </c>
      <c r="GV27" s="283" t="s">
        <v>955</v>
      </c>
      <c r="GY27" s="444" t="s">
        <v>954</v>
      </c>
      <c r="GZ27" s="444"/>
      <c r="HA27" s="342" t="e">
        <f>SUMIF(TypeArticleDansEntrepôt,GY27,QtéArticleDansEntrepôt)</f>
        <v>#REF!</v>
      </c>
      <c r="HB27" s="342" t="e">
        <f>IF(COUNTIF(TypeArticleDansEntrepôt,GY27)=0,0,SUMIF(TypeArticleDansEntrepôt,GY27,QtéArticleDansEntrepôt)*VLOOKUP(GY27,#REF!,2,FALSE))</f>
        <v>#REF!</v>
      </c>
      <c r="HK27" s="280" t="s">
        <v>488</v>
      </c>
      <c r="HL27" s="288">
        <v>50</v>
      </c>
      <c r="HN27" s="280" t="s">
        <v>265</v>
      </c>
      <c r="HO27" s="289">
        <v>40</v>
      </c>
      <c r="HP27" s="293">
        <v>0.6</v>
      </c>
      <c r="HQ27" s="293">
        <v>0.33333333333333331</v>
      </c>
      <c r="HR27" s="293">
        <v>0.63636363636363635</v>
      </c>
      <c r="HS27" s="293">
        <f>0.5/1.5</f>
        <v>0.33333333333333331</v>
      </c>
      <c r="HT27" s="293">
        <f>0.5/1.5</f>
        <v>0.33333333333333331</v>
      </c>
      <c r="HU27" s="293">
        <f>0.5/1.5</f>
        <v>0.33333333333333331</v>
      </c>
    </row>
    <row r="28" spans="1:229" ht="12.75" customHeight="1" x14ac:dyDescent="0.2">
      <c r="A28" s="369"/>
      <c r="B28" s="280"/>
      <c r="C28" s="280"/>
      <c r="D28" s="423"/>
      <c r="E28" s="296"/>
      <c r="F28" s="284"/>
      <c r="G28" s="285"/>
      <c r="N28" s="277"/>
      <c r="O28" s="280" t="s">
        <v>831</v>
      </c>
      <c r="P28" s="280"/>
      <c r="Q28" s="280"/>
      <c r="R28" s="280"/>
      <c r="S28" s="280"/>
      <c r="T28" s="280"/>
      <c r="U28" s="280"/>
      <c r="V28" s="280"/>
      <c r="W28" s="280"/>
      <c r="X28" s="280"/>
      <c r="Y28" s="280"/>
      <c r="Z28" s="280"/>
      <c r="AA28" s="280"/>
      <c r="AB28" s="280"/>
      <c r="AC28" s="280"/>
      <c r="AD28" s="280"/>
      <c r="AE28" s="280"/>
      <c r="AF28" s="280"/>
      <c r="AG28" s="280"/>
      <c r="AH28" s="280"/>
      <c r="AI28" s="280"/>
      <c r="AJ28" s="280"/>
      <c r="AK28" s="280"/>
      <c r="AL28" s="280"/>
      <c r="AM28" s="280"/>
      <c r="AN28" s="280"/>
      <c r="AO28" s="280"/>
      <c r="AP28" s="280"/>
      <c r="AQ28" s="280"/>
      <c r="AR28" s="280"/>
      <c r="AS28" s="280"/>
      <c r="AT28" s="280"/>
      <c r="AU28" s="280"/>
      <c r="AV28" s="280"/>
      <c r="AW28" s="280"/>
      <c r="AX28" s="280"/>
      <c r="AY28" s="280"/>
      <c r="BC28" s="291" t="s">
        <v>519</v>
      </c>
      <c r="BD28" s="290"/>
      <c r="BF28" s="291" t="s">
        <v>526</v>
      </c>
      <c r="BG28" s="290"/>
      <c r="BL28" s="298"/>
      <c r="BM28" s="361"/>
      <c r="BN28" s="280"/>
      <c r="BO28" s="280"/>
      <c r="BP28" s="280"/>
      <c r="BQ28" s="280"/>
      <c r="BR28" s="280"/>
      <c r="BS28" s="280"/>
      <c r="BT28" s="280"/>
      <c r="BU28" s="280"/>
      <c r="BV28" s="363"/>
      <c r="BY28" s="280" t="s">
        <v>556</v>
      </c>
      <c r="BZ28" s="280">
        <v>10</v>
      </c>
      <c r="CB28" s="280" t="s">
        <v>556</v>
      </c>
      <c r="CC28" s="280">
        <v>4</v>
      </c>
      <c r="CJ28" s="373" t="s">
        <v>920</v>
      </c>
      <c r="CK28" s="280" t="s">
        <v>70</v>
      </c>
      <c r="CL28" s="280" t="s">
        <v>887</v>
      </c>
      <c r="CM28" s="280">
        <v>2</v>
      </c>
      <c r="CN28" s="280">
        <v>1.6</v>
      </c>
      <c r="CO28" s="280">
        <v>2</v>
      </c>
      <c r="CP28" s="280">
        <v>1</v>
      </c>
      <c r="CQ28" s="423">
        <v>0</v>
      </c>
      <c r="CS28" s="283" t="s">
        <v>967</v>
      </c>
      <c r="CV28" s="277"/>
      <c r="CW28" s="277"/>
      <c r="CZ28" s="280" t="s">
        <v>600</v>
      </c>
      <c r="DA28" s="280">
        <v>7.0000000000000007E-2</v>
      </c>
      <c r="DF28" s="277"/>
      <c r="DG28" s="373" t="s">
        <v>928</v>
      </c>
      <c r="DH28" s="280" t="s">
        <v>220</v>
      </c>
      <c r="DI28" s="280" t="s">
        <v>887</v>
      </c>
      <c r="DJ28" s="280">
        <v>5.5E-2</v>
      </c>
      <c r="DK28" s="280">
        <v>0.05</v>
      </c>
      <c r="DL28" s="423">
        <v>0.03</v>
      </c>
      <c r="DN28" s="299" t="s">
        <v>114</v>
      </c>
      <c r="DO28" s="310">
        <v>4</v>
      </c>
      <c r="DP28" s="310">
        <v>75</v>
      </c>
      <c r="DQ28" s="310">
        <v>0</v>
      </c>
      <c r="DR28" s="310">
        <v>3</v>
      </c>
      <c r="EG28" s="280" t="s">
        <v>655</v>
      </c>
      <c r="EH28" s="280">
        <v>0.2</v>
      </c>
      <c r="EJ28" s="280" t="s">
        <v>655</v>
      </c>
      <c r="EK28" s="280">
        <v>0.15</v>
      </c>
      <c r="EL28" s="277"/>
      <c r="ES28" s="277"/>
      <c r="FD28" s="373" t="s">
        <v>783</v>
      </c>
      <c r="FE28" s="423">
        <v>100</v>
      </c>
      <c r="FF28" s="277"/>
      <c r="FG28" s="373" t="s">
        <v>783</v>
      </c>
      <c r="FH28" s="423">
        <v>40</v>
      </c>
      <c r="FI28" s="277"/>
      <c r="FJ28" s="373" t="s">
        <v>783</v>
      </c>
      <c r="FK28" s="423">
        <v>15</v>
      </c>
      <c r="FM28" s="277"/>
      <c r="FN28" s="376" t="s">
        <v>784</v>
      </c>
      <c r="FO28" s="424">
        <v>60</v>
      </c>
      <c r="FP28" s="277"/>
      <c r="FQ28" s="376" t="s">
        <v>784</v>
      </c>
      <c r="FR28" s="424">
        <v>30</v>
      </c>
      <c r="FS28" s="277"/>
      <c r="FT28" s="376" t="s">
        <v>784</v>
      </c>
      <c r="FU28" s="424">
        <v>10</v>
      </c>
      <c r="FV28" s="298"/>
      <c r="FW28" s="381" t="s">
        <v>939</v>
      </c>
      <c r="FX28" s="280" t="s">
        <v>518</v>
      </c>
      <c r="FY28" s="280" t="s">
        <v>886</v>
      </c>
      <c r="FZ28" s="280">
        <v>0.8</v>
      </c>
      <c r="GA28" s="280">
        <v>0.8</v>
      </c>
      <c r="GB28" s="280">
        <v>0.8</v>
      </c>
      <c r="GC28" s="423">
        <v>0.8</v>
      </c>
      <c r="GE28" s="280" t="s">
        <v>241</v>
      </c>
      <c r="GF28" s="283"/>
      <c r="GG28" s="280" t="s">
        <v>297</v>
      </c>
      <c r="GH28" s="283" t="s">
        <v>955</v>
      </c>
      <c r="GI28" s="283" t="s">
        <v>955</v>
      </c>
      <c r="GJ28" s="283" t="s">
        <v>955</v>
      </c>
      <c r="GK28" s="283" t="s">
        <v>955</v>
      </c>
      <c r="GL28" s="283" t="s">
        <v>955</v>
      </c>
      <c r="GM28" s="283" t="s">
        <v>955</v>
      </c>
      <c r="GN28" s="283" t="s">
        <v>955</v>
      </c>
      <c r="GO28" s="283" t="s">
        <v>955</v>
      </c>
      <c r="GP28" s="283" t="s">
        <v>955</v>
      </c>
      <c r="GQ28" s="283" t="s">
        <v>955</v>
      </c>
      <c r="GR28" s="283" t="s">
        <v>955</v>
      </c>
      <c r="GS28" s="283" t="s">
        <v>955</v>
      </c>
      <c r="GT28" s="283" t="s">
        <v>955</v>
      </c>
      <c r="GU28" s="283" t="s">
        <v>955</v>
      </c>
      <c r="GV28" s="283" t="s">
        <v>955</v>
      </c>
      <c r="GY28" s="444"/>
      <c r="GZ28" s="444"/>
      <c r="HA28" s="342"/>
      <c r="HB28" s="342"/>
      <c r="HK28" s="280" t="s">
        <v>44</v>
      </c>
      <c r="HL28" s="288">
        <v>4500</v>
      </c>
      <c r="HN28" s="280" t="s">
        <v>1044</v>
      </c>
      <c r="HO28" s="289">
        <v>40</v>
      </c>
      <c r="HP28" s="293">
        <f t="shared" ref="HP28:HU28" si="7">HP27</f>
        <v>0.6</v>
      </c>
      <c r="HQ28" s="293">
        <f t="shared" si="7"/>
        <v>0.33333333333333331</v>
      </c>
      <c r="HR28" s="293">
        <f t="shared" si="7"/>
        <v>0.63636363636363635</v>
      </c>
      <c r="HS28" s="293">
        <f t="shared" si="7"/>
        <v>0.33333333333333331</v>
      </c>
      <c r="HT28" s="293">
        <f t="shared" si="7"/>
        <v>0.33333333333333331</v>
      </c>
      <c r="HU28" s="293">
        <f t="shared" si="7"/>
        <v>0.33333333333333331</v>
      </c>
    </row>
    <row r="29" spans="1:229" ht="12.75" customHeight="1" x14ac:dyDescent="0.2">
      <c r="A29" s="369"/>
      <c r="B29" s="280"/>
      <c r="C29" s="280"/>
      <c r="D29" s="423"/>
      <c r="E29" s="296"/>
      <c r="F29" s="284"/>
      <c r="G29" s="285"/>
      <c r="L29" s="311"/>
      <c r="N29" s="277"/>
      <c r="O29" s="280" t="s">
        <v>400</v>
      </c>
      <c r="P29" s="280"/>
      <c r="Q29" s="280"/>
      <c r="R29" s="280"/>
      <c r="S29" s="280"/>
      <c r="T29" s="280"/>
      <c r="U29" s="280"/>
      <c r="V29" s="280"/>
      <c r="W29" s="280"/>
      <c r="X29" s="280"/>
      <c r="Y29" s="280"/>
      <c r="Z29" s="280"/>
      <c r="AA29" s="280"/>
      <c r="AB29" s="280"/>
      <c r="AC29" s="280"/>
      <c r="AD29" s="280"/>
      <c r="AE29" s="280"/>
      <c r="AF29" s="280"/>
      <c r="AG29" s="280"/>
      <c r="AH29" s="280"/>
      <c r="AI29" s="280"/>
      <c r="AJ29" s="280"/>
      <c r="AK29" s="280"/>
      <c r="AL29" s="280"/>
      <c r="AM29" s="280"/>
      <c r="AN29" s="280"/>
      <c r="AO29" s="280"/>
      <c r="AP29" s="280"/>
      <c r="AQ29" s="280"/>
      <c r="AR29" s="280"/>
      <c r="AS29" s="280"/>
      <c r="AT29" s="280"/>
      <c r="AU29" s="280"/>
      <c r="AV29" s="280"/>
      <c r="AW29" s="280"/>
      <c r="AX29" s="280"/>
      <c r="AY29" s="280"/>
      <c r="BC29" s="367" t="s">
        <v>970</v>
      </c>
      <c r="BD29" s="379" t="s">
        <v>972</v>
      </c>
      <c r="BF29" s="367" t="s">
        <v>970</v>
      </c>
      <c r="BG29" s="379" t="s">
        <v>971</v>
      </c>
      <c r="BL29" s="312"/>
      <c r="BM29" s="361"/>
      <c r="BN29" s="280"/>
      <c r="BO29" s="280"/>
      <c r="BP29" s="280"/>
      <c r="BQ29" s="280"/>
      <c r="BR29" s="280"/>
      <c r="BS29" s="280"/>
      <c r="BT29" s="280"/>
      <c r="BU29" s="280"/>
      <c r="BV29" s="363"/>
      <c r="BY29" s="280" t="s">
        <v>557</v>
      </c>
      <c r="BZ29" s="280">
        <v>5</v>
      </c>
      <c r="CB29" s="280" t="s">
        <v>557</v>
      </c>
      <c r="CC29" s="280">
        <v>2</v>
      </c>
      <c r="CJ29" s="373" t="s">
        <v>920</v>
      </c>
      <c r="CK29" s="280" t="s">
        <v>378</v>
      </c>
      <c r="CL29" s="280" t="s">
        <v>887</v>
      </c>
      <c r="CM29" s="280">
        <v>2</v>
      </c>
      <c r="CN29" s="280">
        <v>1.6</v>
      </c>
      <c r="CO29" s="280">
        <v>2</v>
      </c>
      <c r="CP29" s="280">
        <v>1</v>
      </c>
      <c r="CQ29" s="423">
        <v>0</v>
      </c>
      <c r="CS29" s="280" t="s">
        <v>577</v>
      </c>
      <c r="CT29" s="280">
        <v>0</v>
      </c>
      <c r="CV29" s="277"/>
      <c r="CW29" s="277"/>
      <c r="CZ29" s="280" t="s">
        <v>601</v>
      </c>
      <c r="DA29" s="280">
        <v>0.01</v>
      </c>
      <c r="DF29" s="277"/>
      <c r="DG29" s="373" t="s">
        <v>928</v>
      </c>
      <c r="DH29" s="280" t="s">
        <v>70</v>
      </c>
      <c r="DI29" s="280" t="s">
        <v>887</v>
      </c>
      <c r="DJ29" s="280">
        <v>5.5E-2</v>
      </c>
      <c r="DK29" s="280">
        <v>0.05</v>
      </c>
      <c r="DL29" s="423">
        <v>0.03</v>
      </c>
      <c r="DN29" s="299" t="s">
        <v>611</v>
      </c>
      <c r="DO29" s="310">
        <v>3.5</v>
      </c>
      <c r="DP29" s="310">
        <v>65</v>
      </c>
      <c r="DQ29" s="310">
        <v>0</v>
      </c>
      <c r="DR29" s="310">
        <v>1</v>
      </c>
      <c r="EL29" s="277"/>
      <c r="EN29" s="295" t="s">
        <v>931</v>
      </c>
      <c r="EO29" s="277"/>
      <c r="EP29" s="277"/>
      <c r="EQ29" s="277"/>
      <c r="ER29" s="276"/>
      <c r="ES29" s="276"/>
      <c r="EU29" s="283" t="s">
        <v>779</v>
      </c>
      <c r="EX29" s="283" t="s">
        <v>519</v>
      </c>
      <c r="EZ29" s="276"/>
      <c r="FA29" s="283" t="s">
        <v>552</v>
      </c>
      <c r="FB29" s="276"/>
      <c r="FD29" s="376" t="s">
        <v>784</v>
      </c>
      <c r="FE29" s="424">
        <v>100</v>
      </c>
      <c r="FG29" s="376" t="s">
        <v>784</v>
      </c>
      <c r="FH29" s="424">
        <v>40</v>
      </c>
      <c r="FI29" s="276"/>
      <c r="FJ29" s="376" t="s">
        <v>784</v>
      </c>
      <c r="FK29" s="424">
        <v>15</v>
      </c>
      <c r="FM29" s="277"/>
      <c r="FN29" s="277"/>
      <c r="FO29" s="277"/>
      <c r="FP29" s="277"/>
      <c r="FQ29" s="277"/>
      <c r="FR29" s="277"/>
      <c r="FS29" s="298"/>
      <c r="FT29" s="298"/>
      <c r="FU29" s="298"/>
      <c r="FV29" s="298"/>
      <c r="FW29" s="373" t="s">
        <v>940</v>
      </c>
      <c r="FX29" s="280" t="s">
        <v>508</v>
      </c>
      <c r="FY29" s="280" t="s">
        <v>911</v>
      </c>
      <c r="FZ29" s="280"/>
      <c r="GA29" s="280">
        <v>1.36</v>
      </c>
      <c r="GB29" s="280">
        <v>1.04</v>
      </c>
      <c r="GC29" s="423">
        <v>0.315</v>
      </c>
      <c r="GE29" s="280" t="s">
        <v>5</v>
      </c>
      <c r="GF29" s="283"/>
      <c r="GG29" s="280" t="s">
        <v>298</v>
      </c>
      <c r="GH29" s="283" t="s">
        <v>955</v>
      </c>
      <c r="GI29" s="283" t="s">
        <v>955</v>
      </c>
      <c r="GJ29" s="283" t="s">
        <v>955</v>
      </c>
      <c r="GK29" s="283" t="s">
        <v>955</v>
      </c>
      <c r="GL29" s="283" t="s">
        <v>955</v>
      </c>
      <c r="GM29" s="283" t="s">
        <v>955</v>
      </c>
      <c r="GN29" s="283" t="s">
        <v>955</v>
      </c>
      <c r="GO29" s="283" t="s">
        <v>955</v>
      </c>
      <c r="GP29" s="283" t="s">
        <v>955</v>
      </c>
      <c r="GQ29" s="283" t="s">
        <v>955</v>
      </c>
      <c r="GR29" s="283" t="s">
        <v>955</v>
      </c>
      <c r="GS29" s="283" t="s">
        <v>955</v>
      </c>
      <c r="GT29" s="283" t="s">
        <v>955</v>
      </c>
      <c r="GU29" s="283" t="s">
        <v>955</v>
      </c>
      <c r="GV29" s="283" t="s">
        <v>955</v>
      </c>
      <c r="GY29" s="444" t="str">
        <f>GS5</f>
        <v>minéraux &amp; vitamines BQ</v>
      </c>
      <c r="GZ29" s="444"/>
      <c r="HA29" s="342" t="e">
        <f>SUMIF(TypeArticleDansEntrepôt,GY29,QtéArticleDansEntrepôt)</f>
        <v>#REF!</v>
      </c>
      <c r="HB29" s="342" t="e">
        <f>IF(COUNTIF(TypeArticleDansEntrepôt,GY29)=0,0,SUMIF(TypeArticleDansEntrepôt,GY29,QtéArticleDansEntrepôt)*VLOOKUP(GY29,#REF!,2,FALSE))</f>
        <v>#REF!</v>
      </c>
      <c r="HK29" s="280" t="s">
        <v>231</v>
      </c>
      <c r="HL29" s="288">
        <v>230</v>
      </c>
      <c r="HN29" s="280" t="s">
        <v>266</v>
      </c>
      <c r="HO29" s="289">
        <v>100</v>
      </c>
      <c r="HP29" s="293">
        <v>0.63636363636363635</v>
      </c>
      <c r="HQ29" s="293">
        <v>0.5</v>
      </c>
      <c r="HR29" s="293">
        <v>0.66666666666666663</v>
      </c>
      <c r="HS29" s="293">
        <v>0.33333333333333331</v>
      </c>
      <c r="HT29" s="293">
        <v>0.33333333333333331</v>
      </c>
      <c r="HU29" s="293">
        <v>0.33333333333333331</v>
      </c>
    </row>
    <row r="30" spans="1:229" ht="12.75" customHeight="1" x14ac:dyDescent="0.2">
      <c r="A30" s="369"/>
      <c r="B30" s="280"/>
      <c r="C30" s="280"/>
      <c r="D30" s="423"/>
      <c r="E30" s="296"/>
      <c r="F30" s="278"/>
      <c r="G30" s="278"/>
      <c r="L30" s="311"/>
      <c r="N30" s="277"/>
      <c r="O30" s="280" t="s">
        <v>832</v>
      </c>
      <c r="P30" s="280"/>
      <c r="Q30" s="280"/>
      <c r="R30" s="280"/>
      <c r="S30" s="280"/>
      <c r="T30" s="280"/>
      <c r="U30" s="280"/>
      <c r="V30" s="280"/>
      <c r="W30" s="280"/>
      <c r="X30" s="280"/>
      <c r="Y30" s="280"/>
      <c r="Z30" s="280"/>
      <c r="AA30" s="280"/>
      <c r="AB30" s="280"/>
      <c r="AC30" s="280"/>
      <c r="AD30" s="280"/>
      <c r="AE30" s="280"/>
      <c r="AF30" s="280"/>
      <c r="AG30" s="280"/>
      <c r="AH30" s="280"/>
      <c r="AI30" s="280"/>
      <c r="AJ30" s="280"/>
      <c r="AK30" s="280"/>
      <c r="AL30" s="280"/>
      <c r="AM30" s="280"/>
      <c r="AN30" s="280"/>
      <c r="AO30" s="280"/>
      <c r="AP30" s="280"/>
      <c r="AQ30" s="280"/>
      <c r="AR30" s="280"/>
      <c r="AS30" s="280"/>
      <c r="AT30" s="280"/>
      <c r="AU30" s="280"/>
      <c r="AV30" s="280"/>
      <c r="AW30" s="280"/>
      <c r="AX30" s="280"/>
      <c r="AY30" s="280"/>
      <c r="BC30" s="369" t="s">
        <v>520</v>
      </c>
      <c r="BD30" s="382">
        <v>90</v>
      </c>
      <c r="BF30" s="369" t="s">
        <v>520</v>
      </c>
      <c r="BG30" s="382">
        <f>0.2*1000</f>
        <v>200</v>
      </c>
      <c r="BL30" s="312"/>
      <c r="BM30" s="361"/>
      <c r="BN30" s="280"/>
      <c r="BO30" s="280"/>
      <c r="BP30" s="280"/>
      <c r="BQ30" s="280"/>
      <c r="BR30" s="280"/>
      <c r="BS30" s="280"/>
      <c r="BT30" s="280"/>
      <c r="BU30" s="280"/>
      <c r="BV30" s="363"/>
      <c r="CJ30" s="373" t="s">
        <v>920</v>
      </c>
      <c r="CK30" s="280" t="s">
        <v>490</v>
      </c>
      <c r="CL30" s="280" t="s">
        <v>886</v>
      </c>
      <c r="CM30" s="280">
        <v>2</v>
      </c>
      <c r="CN30" s="280">
        <v>1.6</v>
      </c>
      <c r="CO30" s="280">
        <v>0</v>
      </c>
      <c r="CP30" s="280">
        <v>0.6</v>
      </c>
      <c r="CQ30" s="423">
        <v>0</v>
      </c>
      <c r="CS30" s="280" t="s">
        <v>578</v>
      </c>
      <c r="CT30" s="280">
        <v>0</v>
      </c>
      <c r="CV30" s="277"/>
      <c r="CW30" s="277"/>
      <c r="DF30" s="277"/>
      <c r="DG30" s="373" t="s">
        <v>928</v>
      </c>
      <c r="DH30" s="280" t="s">
        <v>268</v>
      </c>
      <c r="DI30" s="280" t="s">
        <v>886</v>
      </c>
      <c r="DJ30" s="280">
        <v>0.02</v>
      </c>
      <c r="DK30" s="280">
        <v>1.4999999999999999E-2</v>
      </c>
      <c r="DL30" s="423">
        <v>0.01</v>
      </c>
      <c r="DN30" s="299" t="s">
        <v>612</v>
      </c>
      <c r="DO30" s="310">
        <v>3.5</v>
      </c>
      <c r="DP30" s="310">
        <v>55</v>
      </c>
      <c r="DQ30" s="310">
        <v>0</v>
      </c>
      <c r="DR30" s="310">
        <v>5.5</v>
      </c>
      <c r="DV30" s="229" t="s">
        <v>909</v>
      </c>
      <c r="DW30" s="229"/>
      <c r="DX30" s="229"/>
      <c r="DY30" s="229"/>
      <c r="DZ30" s="229"/>
      <c r="EA30" s="229"/>
      <c r="EB30" s="229"/>
      <c r="EC30" s="229"/>
      <c r="ED30" s="337"/>
      <c r="EG30" s="295" t="s">
        <v>931</v>
      </c>
      <c r="EH30" s="277"/>
      <c r="EI30" s="277"/>
      <c r="EJ30" s="277"/>
      <c r="EK30" s="276"/>
      <c r="EL30" s="276"/>
      <c r="EN30" s="358" t="s">
        <v>866</v>
      </c>
      <c r="EO30" s="319" t="s">
        <v>884</v>
      </c>
      <c r="EP30" s="359" t="s">
        <v>885</v>
      </c>
      <c r="EQ30" s="319" t="s">
        <v>929</v>
      </c>
      <c r="ER30" s="319" t="s">
        <v>890</v>
      </c>
      <c r="ES30" s="372" t="s">
        <v>889</v>
      </c>
      <c r="EU30" s="358" t="s">
        <v>976</v>
      </c>
      <c r="EV30" s="372" t="s">
        <v>846</v>
      </c>
      <c r="EW30" s="277"/>
      <c r="EX30" s="358" t="s">
        <v>976</v>
      </c>
      <c r="EY30" s="372" t="s">
        <v>413</v>
      </c>
      <c r="EZ30" s="277"/>
      <c r="FA30" s="358" t="s">
        <v>976</v>
      </c>
      <c r="FB30" s="372" t="s">
        <v>300</v>
      </c>
      <c r="FN30" s="283" t="s">
        <v>786</v>
      </c>
      <c r="FO30" s="277"/>
      <c r="FP30" s="277"/>
      <c r="FQ30" s="277"/>
      <c r="FS30" s="276"/>
      <c r="FV30" s="298"/>
      <c r="FW30" s="373" t="s">
        <v>940</v>
      </c>
      <c r="FX30" s="280" t="s">
        <v>268</v>
      </c>
      <c r="FY30" s="280" t="s">
        <v>886</v>
      </c>
      <c r="FZ30" s="280">
        <v>4</v>
      </c>
      <c r="GA30" s="280">
        <v>0.78</v>
      </c>
      <c r="GB30" s="280">
        <v>0.6</v>
      </c>
      <c r="GC30" s="423">
        <v>0.18</v>
      </c>
      <c r="GE30" s="280" t="s">
        <v>197</v>
      </c>
      <c r="GF30" s="283"/>
      <c r="GG30" s="280" t="s">
        <v>171</v>
      </c>
      <c r="GH30" s="283" t="s">
        <v>955</v>
      </c>
      <c r="GI30" s="283" t="s">
        <v>955</v>
      </c>
      <c r="GJ30" s="283" t="s">
        <v>955</v>
      </c>
      <c r="GK30" s="283" t="s">
        <v>955</v>
      </c>
      <c r="GL30" s="283" t="s">
        <v>955</v>
      </c>
      <c r="GM30" s="283" t="s">
        <v>955</v>
      </c>
      <c r="GN30" s="283" t="s">
        <v>955</v>
      </c>
      <c r="GO30" s="283" t="s">
        <v>955</v>
      </c>
      <c r="GP30" s="283" t="s">
        <v>955</v>
      </c>
      <c r="GQ30" s="283" t="s">
        <v>955</v>
      </c>
      <c r="GR30" s="283" t="s">
        <v>955</v>
      </c>
      <c r="GS30" s="283" t="s">
        <v>955</v>
      </c>
      <c r="GT30" s="283" t="s">
        <v>955</v>
      </c>
      <c r="GU30" s="283" t="s">
        <v>955</v>
      </c>
      <c r="GV30" s="283" t="s">
        <v>955</v>
      </c>
      <c r="GY30" s="444" t="str">
        <f t="shared" ref="GY30:GY31" si="8">GS6</f>
        <v>minéraux &amp; vitamines MoQ</v>
      </c>
      <c r="GZ30" s="444"/>
      <c r="HA30" s="342" t="e">
        <f>SUMIF(TypeArticleDansEntrepôt,GY30,QtéArticleDansEntrepôt)</f>
        <v>#REF!</v>
      </c>
      <c r="HB30" s="342" t="e">
        <f>IF(COUNTIF(TypeArticleDansEntrepôt,GY30)=0,0,SUMIF(TypeArticleDansEntrepôt,GY30,QtéArticleDansEntrepôt)*VLOOKUP(GY30,#REF!,2,FALSE))</f>
        <v>#REF!</v>
      </c>
      <c r="HK30" s="280" t="s">
        <v>70</v>
      </c>
      <c r="HL30" s="288">
        <v>125</v>
      </c>
      <c r="HN30" s="280" t="s">
        <v>267</v>
      </c>
      <c r="HO30" s="289">
        <v>150</v>
      </c>
      <c r="HP30" s="293">
        <v>0.66666666666666663</v>
      </c>
      <c r="HQ30" s="293">
        <v>0.7142857142857143</v>
      </c>
      <c r="HR30" s="293">
        <v>0.77777777777777779</v>
      </c>
      <c r="HS30" s="293">
        <v>0.6</v>
      </c>
      <c r="HT30" s="293">
        <v>0.6</v>
      </c>
      <c r="HU30" s="293">
        <v>0.5</v>
      </c>
    </row>
    <row r="31" spans="1:229" ht="12.75" customHeight="1" x14ac:dyDescent="0.2">
      <c r="A31" s="369"/>
      <c r="B31" s="280"/>
      <c r="C31" s="280"/>
      <c r="D31" s="423"/>
      <c r="E31" s="296"/>
      <c r="F31" s="520"/>
      <c r="G31" s="521"/>
      <c r="L31" s="311"/>
      <c r="N31" s="277"/>
      <c r="O31" s="280" t="s">
        <v>833</v>
      </c>
      <c r="P31" s="280"/>
      <c r="Q31" s="280"/>
      <c r="R31" s="280"/>
      <c r="S31" s="280"/>
      <c r="T31" s="280"/>
      <c r="U31" s="280"/>
      <c r="V31" s="280"/>
      <c r="W31" s="280"/>
      <c r="X31" s="280"/>
      <c r="Y31" s="280"/>
      <c r="Z31" s="280"/>
      <c r="AA31" s="280"/>
      <c r="AB31" s="280"/>
      <c r="AC31" s="280"/>
      <c r="AD31" s="280"/>
      <c r="AE31" s="280"/>
      <c r="AF31" s="280"/>
      <c r="AG31" s="280"/>
      <c r="AH31" s="280"/>
      <c r="AI31" s="280"/>
      <c r="AJ31" s="280"/>
      <c r="AK31" s="280"/>
      <c r="AL31" s="280"/>
      <c r="AM31" s="280"/>
      <c r="AN31" s="280"/>
      <c r="AO31" s="280"/>
      <c r="AP31" s="280"/>
      <c r="AQ31" s="280"/>
      <c r="AR31" s="280"/>
      <c r="AS31" s="280"/>
      <c r="AT31" s="280"/>
      <c r="AU31" s="280"/>
      <c r="AV31" s="280"/>
      <c r="AW31" s="280"/>
      <c r="AX31" s="280"/>
      <c r="AY31" s="280"/>
      <c r="BC31" s="369" t="s">
        <v>521</v>
      </c>
      <c r="BD31" s="382">
        <v>72</v>
      </c>
      <c r="BF31" s="369" t="s">
        <v>521</v>
      </c>
      <c r="BG31" s="382">
        <v>200</v>
      </c>
      <c r="BL31" s="312"/>
      <c r="BM31" s="361"/>
      <c r="BN31" s="280"/>
      <c r="BO31" s="280"/>
      <c r="BP31" s="280"/>
      <c r="BQ31" s="280"/>
      <c r="BR31" s="280"/>
      <c r="BS31" s="280"/>
      <c r="BT31" s="280"/>
      <c r="BU31" s="280"/>
      <c r="BV31" s="363"/>
      <c r="BZ31" s="290"/>
      <c r="CJ31" s="373" t="s">
        <v>920</v>
      </c>
      <c r="CK31" s="280" t="s">
        <v>268</v>
      </c>
      <c r="CL31" s="280" t="s">
        <v>886</v>
      </c>
      <c r="CM31" s="280">
        <v>0</v>
      </c>
      <c r="CN31" s="280">
        <v>0</v>
      </c>
      <c r="CO31" s="280">
        <v>3.2</v>
      </c>
      <c r="CP31" s="280">
        <v>1.2</v>
      </c>
      <c r="CQ31" s="423">
        <v>0</v>
      </c>
      <c r="CS31" s="280" t="s">
        <v>957</v>
      </c>
      <c r="CT31" s="280">
        <v>0</v>
      </c>
      <c r="CV31" s="277"/>
      <c r="CW31" s="277"/>
      <c r="CZ31" s="283" t="s">
        <v>596</v>
      </c>
      <c r="DF31" s="277"/>
      <c r="DG31" s="373" t="s">
        <v>928</v>
      </c>
      <c r="DH31" s="280" t="s">
        <v>490</v>
      </c>
      <c r="DI31" s="280" t="s">
        <v>886</v>
      </c>
      <c r="DJ31" s="280">
        <v>0.02</v>
      </c>
      <c r="DK31" s="280">
        <v>1.4999999999999999E-2</v>
      </c>
      <c r="DL31" s="423">
        <v>0.01</v>
      </c>
      <c r="DN31" s="299" t="s">
        <v>613</v>
      </c>
      <c r="DO31" s="310">
        <v>4.5</v>
      </c>
      <c r="DP31" s="310">
        <v>60</v>
      </c>
      <c r="DQ31" s="310">
        <v>0</v>
      </c>
      <c r="DR31" s="310">
        <v>2</v>
      </c>
      <c r="DV31" s="349" t="s">
        <v>910</v>
      </c>
      <c r="DW31" s="349" t="s">
        <v>895</v>
      </c>
      <c r="DX31" s="349" t="s">
        <v>894</v>
      </c>
      <c r="DY31" s="349" t="s">
        <v>893</v>
      </c>
      <c r="DZ31" s="349" t="s">
        <v>892</v>
      </c>
      <c r="EA31" s="349" t="s">
        <v>891</v>
      </c>
      <c r="EB31" s="355" t="s">
        <v>890</v>
      </c>
      <c r="EC31" s="355" t="s">
        <v>889</v>
      </c>
      <c r="ED31" s="349" t="s">
        <v>903</v>
      </c>
      <c r="EG31" s="358" t="s">
        <v>866</v>
      </c>
      <c r="EH31" s="319" t="s">
        <v>884</v>
      </c>
      <c r="EI31" s="359" t="s">
        <v>885</v>
      </c>
      <c r="EJ31" s="319" t="s">
        <v>929</v>
      </c>
      <c r="EK31" s="319" t="s">
        <v>890</v>
      </c>
      <c r="EL31" s="372" t="s">
        <v>889</v>
      </c>
      <c r="EN31" s="381" t="s">
        <v>936</v>
      </c>
      <c r="EO31" s="280" t="s">
        <v>508</v>
      </c>
      <c r="EP31" s="280" t="s">
        <v>911</v>
      </c>
      <c r="EQ31" s="280">
        <v>0.191</v>
      </c>
      <c r="ER31" s="280">
        <v>0.14299999999999999</v>
      </c>
      <c r="ES31" s="423">
        <v>0.95499999999999996</v>
      </c>
      <c r="EU31" s="373" t="s">
        <v>780</v>
      </c>
      <c r="EV31" s="423">
        <v>40</v>
      </c>
      <c r="EW31" s="277"/>
      <c r="EX31" s="373" t="s">
        <v>787</v>
      </c>
      <c r="EY31" s="423">
        <v>27</v>
      </c>
      <c r="EZ31" s="277"/>
      <c r="FA31" s="373" t="s">
        <v>787</v>
      </c>
      <c r="FB31" s="423">
        <v>9</v>
      </c>
      <c r="FD31" s="283" t="s">
        <v>786</v>
      </c>
      <c r="FE31" s="277"/>
      <c r="FF31" s="277"/>
      <c r="FG31" s="277"/>
      <c r="FI31" s="276"/>
      <c r="FL31" s="298"/>
      <c r="FN31" s="358" t="s">
        <v>866</v>
      </c>
      <c r="FO31" s="319" t="s">
        <v>884</v>
      </c>
      <c r="FP31" s="359" t="s">
        <v>885</v>
      </c>
      <c r="FQ31" s="319" t="s">
        <v>895</v>
      </c>
      <c r="FR31" s="319" t="s">
        <v>894</v>
      </c>
      <c r="FS31" s="319" t="s">
        <v>938</v>
      </c>
      <c r="FT31" s="360" t="s">
        <v>937</v>
      </c>
      <c r="FU31" s="298"/>
      <c r="FV31" s="298"/>
      <c r="FW31" s="373" t="s">
        <v>940</v>
      </c>
      <c r="FX31" s="280" t="s">
        <v>220</v>
      </c>
      <c r="FY31" s="280" t="s">
        <v>887</v>
      </c>
      <c r="FZ31" s="280"/>
      <c r="GA31" s="280">
        <v>0.23400000000000001</v>
      </c>
      <c r="GB31" s="280">
        <v>0.18</v>
      </c>
      <c r="GC31" s="423">
        <v>5.3999999999999999E-2</v>
      </c>
      <c r="GE31" s="280" t="s">
        <v>244</v>
      </c>
      <c r="GF31" s="283"/>
      <c r="GG31" s="280" t="s">
        <v>431</v>
      </c>
      <c r="GH31" s="283" t="s">
        <v>955</v>
      </c>
      <c r="GI31" s="283" t="s">
        <v>955</v>
      </c>
      <c r="GJ31" s="283" t="s">
        <v>955</v>
      </c>
      <c r="GK31" s="283" t="s">
        <v>955</v>
      </c>
      <c r="GL31" s="283" t="s">
        <v>955</v>
      </c>
      <c r="GM31" s="283" t="s">
        <v>955</v>
      </c>
      <c r="GN31" s="283" t="s">
        <v>955</v>
      </c>
      <c r="GO31" s="283" t="s">
        <v>955</v>
      </c>
      <c r="GP31" s="283" t="s">
        <v>955</v>
      </c>
      <c r="GQ31" s="283" t="s">
        <v>955</v>
      </c>
      <c r="GR31" s="283" t="s">
        <v>955</v>
      </c>
      <c r="GS31" s="283" t="s">
        <v>955</v>
      </c>
      <c r="GT31" s="283" t="s">
        <v>955</v>
      </c>
      <c r="GU31" s="283" t="s">
        <v>955</v>
      </c>
      <c r="GV31" s="283" t="s">
        <v>955</v>
      </c>
      <c r="GY31" s="444" t="str">
        <f t="shared" si="8"/>
        <v>minéraux &amp; vitamines MaQ</v>
      </c>
      <c r="GZ31" s="444"/>
      <c r="HA31" s="342" t="e">
        <f>SUMIF(TypeArticleDansEntrepôt,GY31,QtéArticleDansEntrepôt)</f>
        <v>#REF!</v>
      </c>
      <c r="HB31" s="342" t="e">
        <f>IF(COUNTIF(TypeArticleDansEntrepôt,GY31)=0,0,SUMIF(TypeArticleDansEntrepôt,GY31,QtéArticleDansEntrepôt)*VLOOKUP(GY31,#REF!,2,FALSE))</f>
        <v>#REF!</v>
      </c>
      <c r="HN31" s="280" t="s">
        <v>987</v>
      </c>
      <c r="HO31" s="289">
        <v>20</v>
      </c>
      <c r="HP31" s="293" t="s">
        <v>1057</v>
      </c>
      <c r="HQ31" s="293">
        <v>0.75</v>
      </c>
      <c r="HR31" s="293">
        <v>0.75</v>
      </c>
      <c r="HS31" s="293">
        <v>0.75</v>
      </c>
      <c r="HT31" s="293">
        <v>0.33333333333333331</v>
      </c>
      <c r="HU31" s="293">
        <v>0.33333333333333331</v>
      </c>
    </row>
    <row r="32" spans="1:229" ht="12.75" customHeight="1" x14ac:dyDescent="0.2">
      <c r="A32" s="369"/>
      <c r="B32" s="280"/>
      <c r="C32" s="280"/>
      <c r="D32" s="423"/>
      <c r="E32" s="296"/>
      <c r="F32" s="284"/>
      <c r="G32" s="285"/>
      <c r="L32" s="311"/>
      <c r="N32" s="277"/>
      <c r="O32" s="277"/>
      <c r="P32" s="295" t="s">
        <v>220</v>
      </c>
      <c r="Q32" s="295" t="s">
        <v>489</v>
      </c>
      <c r="R32" s="295" t="s">
        <v>376</v>
      </c>
      <c r="S32" s="295" t="s">
        <v>490</v>
      </c>
      <c r="T32" s="295" t="s">
        <v>377</v>
      </c>
      <c r="U32" s="295" t="s">
        <v>70</v>
      </c>
      <c r="V32" s="283"/>
      <c r="W32" s="295" t="s">
        <v>268</v>
      </c>
      <c r="X32" s="295" t="s">
        <v>269</v>
      </c>
      <c r="Y32" s="295" t="s">
        <v>392</v>
      </c>
      <c r="Z32" s="295" t="s">
        <v>499</v>
      </c>
      <c r="AA32" s="295" t="s">
        <v>231</v>
      </c>
      <c r="AB32" s="295" t="s">
        <v>232</v>
      </c>
      <c r="AC32" s="295" t="s">
        <v>233</v>
      </c>
      <c r="AD32" s="295" t="s">
        <v>57</v>
      </c>
      <c r="AE32" s="295" t="s">
        <v>58</v>
      </c>
      <c r="AF32" s="295" t="s">
        <v>59</v>
      </c>
      <c r="AG32" s="519" t="s">
        <v>837</v>
      </c>
      <c r="AH32" s="519"/>
      <c r="AI32" s="295" t="s">
        <v>265</v>
      </c>
      <c r="AJ32" s="295" t="s">
        <v>266</v>
      </c>
      <c r="AK32" s="295" t="s">
        <v>267</v>
      </c>
      <c r="AL32" s="295" t="s">
        <v>488</v>
      </c>
      <c r="AM32" s="283"/>
      <c r="AN32" s="295" t="s">
        <v>44</v>
      </c>
      <c r="AO32" s="295" t="s">
        <v>1058</v>
      </c>
      <c r="AP32" s="295" t="s">
        <v>1059</v>
      </c>
      <c r="AQ32" s="295" t="s">
        <v>1060</v>
      </c>
      <c r="AR32" s="295" t="s">
        <v>1061</v>
      </c>
      <c r="AS32" s="295" t="s">
        <v>1062</v>
      </c>
      <c r="AT32" s="295" t="s">
        <v>1063</v>
      </c>
      <c r="AU32" s="295" t="s">
        <v>1085</v>
      </c>
      <c r="AV32" s="295" t="s">
        <v>1086</v>
      </c>
      <c r="AW32" s="295" t="s">
        <v>1087</v>
      </c>
      <c r="AX32" s="295" t="s">
        <v>1088</v>
      </c>
      <c r="AY32" s="295" t="s">
        <v>1089</v>
      </c>
      <c r="BC32" s="369" t="s">
        <v>522</v>
      </c>
      <c r="BD32" s="382">
        <v>48</v>
      </c>
      <c r="BF32" s="369" t="s">
        <v>522</v>
      </c>
      <c r="BG32" s="382">
        <v>153</v>
      </c>
      <c r="BL32" s="312"/>
      <c r="BM32" s="364"/>
      <c r="BN32" s="305"/>
      <c r="BO32" s="305"/>
      <c r="BP32" s="305"/>
      <c r="BQ32" s="305"/>
      <c r="BR32" s="305"/>
      <c r="BS32" s="305"/>
      <c r="BT32" s="305"/>
      <c r="BU32" s="305"/>
      <c r="BV32" s="365"/>
      <c r="BY32" s="291" t="s">
        <v>788</v>
      </c>
      <c r="CJ32" s="373" t="s">
        <v>920</v>
      </c>
      <c r="CK32" s="280" t="s">
        <v>1165</v>
      </c>
      <c r="CL32" s="280" t="s">
        <v>886</v>
      </c>
      <c r="CM32" s="280">
        <v>0</v>
      </c>
      <c r="CN32" s="280">
        <v>0</v>
      </c>
      <c r="CO32" s="280">
        <v>0</v>
      </c>
      <c r="CP32" s="280">
        <v>0</v>
      </c>
      <c r="CQ32" s="423">
        <v>0.4</v>
      </c>
      <c r="CS32" s="280" t="s">
        <v>956</v>
      </c>
      <c r="CT32" s="280">
        <v>0</v>
      </c>
      <c r="CV32" s="277"/>
      <c r="CW32" s="277"/>
      <c r="CZ32" s="280">
        <v>10</v>
      </c>
      <c r="DF32" s="277"/>
      <c r="DG32" s="373" t="s">
        <v>928</v>
      </c>
      <c r="DH32" s="280" t="s">
        <v>905</v>
      </c>
      <c r="DI32" s="280" t="s">
        <v>886</v>
      </c>
      <c r="DJ32" s="280">
        <v>5.0000000000000001E-3</v>
      </c>
      <c r="DK32" s="280">
        <v>3.0000000000000001E-3</v>
      </c>
      <c r="DL32" s="423">
        <v>2E-3</v>
      </c>
      <c r="DN32" s="299" t="s">
        <v>614</v>
      </c>
      <c r="DO32" s="310">
        <v>5</v>
      </c>
      <c r="DP32" s="310">
        <v>70</v>
      </c>
      <c r="DQ32" s="310">
        <v>0</v>
      </c>
      <c r="DR32" s="310">
        <v>0</v>
      </c>
      <c r="DV32" s="350" t="s">
        <v>490</v>
      </c>
      <c r="DW32" s="351">
        <f t="array" ref="DW32">IF(ChoixRationComplèteDaims=OUI,0,IFERROR(IF(OR(AND(INDEX(Règles_daims[Specificite],MATCH(ChoixRationDaims&amp;DV32,Règles_daims[Ration]&amp;Règles_daims[Aliment],0))="s1",IF(DV32=Spécificité1Daims,1)),
AND(INDEX(Règles_daims[Specificite],MATCH(ChoixRationDaims&amp;DV32,Règles_daims[Ration]&amp;Règles_daims[Aliment],0))="s2",IF(DV32=Spécificité2Daims,1)),
INDEX(Règles_daims[Specificite],MATCH(ChoixRationDaims&amp;DV32,Règles_daims[Ration]&amp;Règles_daims[Aliment],0))="c"),
INDEX(Règles_daims[Valeur 36 et plus],MATCH(ChoixRationDaims&amp;DV32,Règles_daims[Ration]&amp;Règles_daims[Aliment],0)),0),0)*SUM(TotalDaimsAdultes)*NbreJoursNourrirBisonsDaims)</f>
        <v>0</v>
      </c>
      <c r="DX32" s="351">
        <f t="array" ref="DX32">IF(ChoixRationComplèteDaims=OUI,0,IFERROR(IF(OR(AND(INDEX(Règles_daims[Specificite],MATCH(ChoixRationDaims&amp;DV32,Règles_daims[Ration]&amp;Règles_daims[Aliment],0))="s1",IF(DV32=Spécificité1Daims,1)),
AND(INDEX(Règles_daims[Specificite],MATCH(ChoixRationDaims&amp;DV32,Règles_daims[Ration]&amp;Règles_daims[Aliment],0))="s2",IF(DV32=Spécificité2Daims,1)),
INDEX(Règles_daims[Specificite],MATCH(ChoixRationDaims&amp;DV32,Règles_daims[Ration]&amp;Règles_daims[Aliment],0))="c"),
INDEX(Règles_daims[Valeur 24-36],MATCH(ChoixRationDaims&amp;DV32,Règles_daims[Ration]&amp;Règles_daims[Aliment],0)),0),0)*SUM(TotalDaims24_36)*NbreJoursNourrirBisonsDaims)</f>
        <v>0</v>
      </c>
      <c r="DY32" s="351">
        <f t="array" ref="DY32">IF(ChoixRationComplèteDaims=OUI,0,IFERROR(IF(OR(AND(INDEX(Règles_daims[Specificite],MATCH(ChoixRationDaims&amp;DV32,Règles_daims[Ration]&amp;Règles_daims[Aliment],0))="s1",IF(DV32=Spécificité1Daims,1)),
AND(INDEX(Règles_daims[Specificite],MATCH(ChoixRationDaims&amp;DV32,Règles_daims[Ration]&amp;Règles_daims[Aliment],0))="s2",IF(DV32=Spécificité2Daims,1)),
INDEX(Règles_daims[Specificite],MATCH(ChoixRationDaims&amp;DV32,Règles_daims[Ration]&amp;Règles_daims[Aliment],0))="c"),
INDEX(Règles_daims[Valeur 18-24],MATCH(ChoixRationDaims&amp;DV32,Règles_daims[Ration]&amp;Règles_daims[Aliment],0)),0),0)*SUM(TotalDaims18_24)*NbreJoursNourrirBisonsDaims)</f>
        <v>0</v>
      </c>
      <c r="DZ32" s="351">
        <f t="array" ref="DZ32">IF(ChoixRationComplèteDaims=OUI,0,IFERROR(IF(OR(AND(INDEX(Règles_daims[Specificite],MATCH(ChoixRationDaims&amp;DV32,Règles_daims[Ration]&amp;Règles_daims[Aliment],0))="s1",IF(DV32=Spécificité1Daims,1)),
AND(INDEX(Règles_daims[Specificite],MATCH(ChoixRationDaims&amp;DV32,Règles_daims[Ration]&amp;Règles_daims[Aliment],0))="s2",IF(DV32=Spécificité2Daims,1)),
INDEX(Règles_daims[Specificite],MATCH(ChoixRationDaims&amp;DV32,Règles_daims[Ration]&amp;Règles_daims[Aliment],0))="c"),
INDEX(Règles_daims[Valeur 12-18],MATCH(ChoixRationDaims&amp;DV32,Règles_daims[Ration]&amp;Règles_daims[Aliment],0)),0),0)*SUM(TotalDaims12_18)*NbreJoursNourrirBisonsDaims)</f>
        <v>0</v>
      </c>
      <c r="EA32" s="351">
        <f t="array" ref="EA32">IF(ChoixRationComplèteDaims=OUI,0,IFERROR(IF(OR(AND(INDEX(Règles_daims[Specificite],MATCH(ChoixRationDaims&amp;DV32,Règles_daims[Ration]&amp;Règles_daims[Aliment],0))="s1",IF(DV32=Spécificité1Daims,1)),
AND(INDEX(Règles_daims[Specificite],MATCH(ChoixRationDaims&amp;DV32,Règles_daims[Ration]&amp;Règles_daims[Aliment],0))="s2",IF(DV32=Spécificité2Daims,1)),
INDEX(Règles_daims[Specificite],MATCH(ChoixRationDaims&amp;DV32,Règles_daims[Ration]&amp;Règles_daims[Aliment],0))="c"),
INDEX(Règles_daims[Valeur 6-12],MATCH(ChoixRationDaims&amp;DV32,Règles_daims[Ration]&amp;Règles_daims[Aliment],0)),0),0)*SUM(TotalDaims6_12)*NbreJoursNourrirBisonsDaims)</f>
        <v>0</v>
      </c>
      <c r="EB32" s="351">
        <f t="array" ref="EB32">IF(ChoixRationComplèteDaims=OUI,0,IFERROR(IF(OR(AND(INDEX(Règles_daims[Specificite],MATCH(ChoixRationDaims&amp;DV32,Règles_daims[Ration]&amp;Règles_daims[Aliment],0))="s1",IF(DV32=Spécificité1Daims,1)),
AND(INDEX(Règles_daims[Specificite],MATCH(ChoixRationDaims&amp;DV32,Règles_daims[Ration]&amp;Règles_daims[Aliment],0))="s2",IF(DV32=Spécificité2Daims,1)),
INDEX(Règles_daims[Specificite],MATCH(ChoixRationDaims&amp;DV32,Règles_daims[Ration]&amp;Règles_daims[Aliment],0))="c"),
INDEX(Règles_daims[Valeur 3-6],MATCH(ChoixRationDaims&amp;DV32,Règles_daims[Ration]&amp;Règles_daims[Aliment],0)),0),0)*SUM(TotalDaims3_6)*NbreJoursNourrirBisonsDaims)</f>
        <v>0</v>
      </c>
      <c r="EC32" s="351">
        <f t="array" ref="EC32">IF(ChoixRationComplèteDaims=OUI,0,IFERROR(IF(OR(AND(INDEX(Règles_daims[Specificite],MATCH(ChoixRationDaims&amp;DV32,Règles_daims[Ration]&amp;Règles_daims[Aliment],0))="s1",IF(DV32=Spécificité1Daims,1)),
AND(INDEX(Règles_daims[Specificite],MATCH(ChoixRationDaims&amp;DV32,Règles_daims[Ration]&amp;Règles_daims[Aliment],0))="s2",IF(DV32=Spécificité2Daims,1)),
INDEX(Règles_daims[Specificite],MATCH(ChoixRationDaims&amp;DV32,Règles_daims[Ration]&amp;Règles_daims[Aliment],0))="c"),
INDEX(Règles_daims[Valeur 0-3],MATCH(ChoixRationDaims&amp;DV32,Règles_daims[Ration]&amp;Règles_daims[Aliment],0)),0),0)*SUM(TotalDaims0_3)*NbreJoursNourrirBisonsDaims)</f>
        <v>0</v>
      </c>
      <c r="ED32" s="441">
        <f>SUM($DW32:$EC32)</f>
        <v>0</v>
      </c>
      <c r="EG32" s="381" t="s">
        <v>1018</v>
      </c>
      <c r="EH32" s="280" t="s">
        <v>508</v>
      </c>
      <c r="EI32" s="280" t="s">
        <v>911</v>
      </c>
      <c r="EJ32" s="280">
        <v>0.38200000000000001</v>
      </c>
      <c r="EK32" s="280">
        <v>0.28699999999999998</v>
      </c>
      <c r="EL32" s="423">
        <v>0.21</v>
      </c>
      <c r="EN32" s="381" t="s">
        <v>936</v>
      </c>
      <c r="EO32" s="280" t="s">
        <v>268</v>
      </c>
      <c r="EP32" s="280" t="s">
        <v>886</v>
      </c>
      <c r="EQ32" s="280">
        <v>0.11</v>
      </c>
      <c r="ER32" s="280">
        <v>0.08</v>
      </c>
      <c r="ES32" s="423">
        <v>0.5</v>
      </c>
      <c r="EU32" s="373" t="s">
        <v>781</v>
      </c>
      <c r="EV32" s="423">
        <v>60</v>
      </c>
      <c r="EW32" s="277"/>
      <c r="EX32" s="373" t="s">
        <v>781</v>
      </c>
      <c r="EY32" s="423">
        <v>27</v>
      </c>
      <c r="EZ32" s="277"/>
      <c r="FA32" s="373" t="s">
        <v>781</v>
      </c>
      <c r="FB32" s="423">
        <v>9</v>
      </c>
      <c r="FD32" s="358" t="s">
        <v>866</v>
      </c>
      <c r="FE32" s="319" t="s">
        <v>884</v>
      </c>
      <c r="FF32" s="359" t="s">
        <v>885</v>
      </c>
      <c r="FG32" s="319" t="s">
        <v>895</v>
      </c>
      <c r="FH32" s="319" t="s">
        <v>894</v>
      </c>
      <c r="FI32" s="319" t="s">
        <v>938</v>
      </c>
      <c r="FJ32" s="360" t="s">
        <v>937</v>
      </c>
      <c r="FK32" s="298"/>
      <c r="FL32" s="298"/>
      <c r="FN32" s="381" t="s">
        <v>1022</v>
      </c>
      <c r="FO32" s="280" t="s">
        <v>508</v>
      </c>
      <c r="FP32" s="280" t="s">
        <v>911</v>
      </c>
      <c r="FQ32" s="280"/>
      <c r="FR32" s="280"/>
      <c r="FS32" s="280"/>
      <c r="FT32" s="423"/>
      <c r="FU32" s="298"/>
      <c r="FV32" s="298"/>
      <c r="FW32" s="373" t="s">
        <v>940</v>
      </c>
      <c r="FX32" s="280" t="s">
        <v>70</v>
      </c>
      <c r="FY32" s="280" t="s">
        <v>887</v>
      </c>
      <c r="FZ32" s="280"/>
      <c r="GA32" s="280">
        <v>0.23400000000000001</v>
      </c>
      <c r="GB32" s="280">
        <v>0.18</v>
      </c>
      <c r="GC32" s="423">
        <v>5.3999999999999999E-2</v>
      </c>
      <c r="GE32" s="280" t="s">
        <v>243</v>
      </c>
      <c r="GF32" s="283"/>
      <c r="GG32" s="280" t="s">
        <v>174</v>
      </c>
      <c r="GH32" s="283" t="s">
        <v>955</v>
      </c>
      <c r="GI32" s="283" t="s">
        <v>955</v>
      </c>
      <c r="GJ32" s="283" t="s">
        <v>955</v>
      </c>
      <c r="GK32" s="283" t="s">
        <v>955</v>
      </c>
      <c r="GL32" s="283" t="s">
        <v>955</v>
      </c>
      <c r="GM32" s="283" t="s">
        <v>955</v>
      </c>
      <c r="GN32" s="283" t="s">
        <v>955</v>
      </c>
      <c r="GO32" s="283" t="s">
        <v>955</v>
      </c>
      <c r="GP32" s="283" t="s">
        <v>955</v>
      </c>
      <c r="GQ32" s="283" t="s">
        <v>955</v>
      </c>
      <c r="GR32" s="283" t="s">
        <v>955</v>
      </c>
      <c r="GS32" s="283" t="s">
        <v>955</v>
      </c>
      <c r="GT32" s="283" t="s">
        <v>955</v>
      </c>
      <c r="GU32" s="283" t="s">
        <v>955</v>
      </c>
      <c r="GV32" s="283" t="s">
        <v>955</v>
      </c>
      <c r="GY32" s="444"/>
      <c r="GZ32" s="444"/>
      <c r="HA32" s="342"/>
      <c r="HB32" s="342"/>
      <c r="HK32" s="280" t="s">
        <v>1061</v>
      </c>
      <c r="HL32" s="288">
        <f>AVERAGE(1.9,2.1)*1000</f>
        <v>2000</v>
      </c>
      <c r="HN32" s="280" t="s">
        <v>989</v>
      </c>
      <c r="HO32" s="289">
        <v>25</v>
      </c>
      <c r="HP32" s="293" t="s">
        <v>1057</v>
      </c>
      <c r="HQ32" s="293">
        <v>0.75</v>
      </c>
      <c r="HR32" s="293">
        <v>0.75</v>
      </c>
      <c r="HS32" s="293">
        <v>0.75</v>
      </c>
      <c r="HT32" s="293">
        <v>0.33333333333333331</v>
      </c>
      <c r="HU32" s="293">
        <v>0.33333333333333331</v>
      </c>
    </row>
    <row r="33" spans="1:241" ht="12.75" customHeight="1" x14ac:dyDescent="0.2">
      <c r="A33" s="369"/>
      <c r="B33" s="280"/>
      <c r="C33" s="280"/>
      <c r="D33" s="423"/>
      <c r="E33" s="296"/>
      <c r="F33" s="284"/>
      <c r="G33" s="285"/>
      <c r="L33" s="311"/>
      <c r="N33" s="277"/>
      <c r="P33" s="280" t="s">
        <v>820</v>
      </c>
      <c r="Q33" s="280" t="s">
        <v>820</v>
      </c>
      <c r="R33" s="280" t="s">
        <v>821</v>
      </c>
      <c r="S33" s="280" t="s">
        <v>820</v>
      </c>
      <c r="T33" s="280" t="s">
        <v>821</v>
      </c>
      <c r="U33" s="280" t="s">
        <v>820</v>
      </c>
      <c r="V33" s="280"/>
      <c r="W33" s="280" t="s">
        <v>821</v>
      </c>
      <c r="X33" s="280" t="s">
        <v>821</v>
      </c>
      <c r="Y33" s="280" t="s">
        <v>834</v>
      </c>
      <c r="Z33" s="280" t="s">
        <v>821</v>
      </c>
      <c r="AA33" s="280" t="s">
        <v>835</v>
      </c>
      <c r="AB33" s="280" t="s">
        <v>835</v>
      </c>
      <c r="AC33" s="280" t="s">
        <v>821</v>
      </c>
      <c r="AD33" s="280" t="s">
        <v>835</v>
      </c>
      <c r="AE33" s="280" t="s">
        <v>836</v>
      </c>
      <c r="AF33" s="280" t="s">
        <v>834</v>
      </c>
      <c r="AG33" s="517" t="s">
        <v>820</v>
      </c>
      <c r="AH33" s="518"/>
      <c r="AI33" s="280" t="s">
        <v>835</v>
      </c>
      <c r="AJ33" s="280" t="s">
        <v>838</v>
      </c>
      <c r="AK33" s="280" t="s">
        <v>821</v>
      </c>
      <c r="AL33" s="280" t="s">
        <v>821</v>
      </c>
      <c r="AM33" s="280"/>
      <c r="AN33" s="280" t="s">
        <v>835</v>
      </c>
      <c r="AO33" s="280"/>
      <c r="AP33" s="280"/>
      <c r="AQ33" s="280"/>
      <c r="AR33" s="280"/>
      <c r="AS33" s="280"/>
      <c r="AT33" s="280"/>
      <c r="AU33" s="280"/>
      <c r="AV33" s="280"/>
      <c r="AW33" s="280"/>
      <c r="AX33" s="280"/>
      <c r="AY33" s="280"/>
      <c r="BC33" s="369" t="s">
        <v>523</v>
      </c>
      <c r="BD33" s="382">
        <v>48</v>
      </c>
      <c r="BF33" s="369" t="s">
        <v>523</v>
      </c>
      <c r="BG33" s="382">
        <v>153</v>
      </c>
      <c r="BL33" s="312"/>
      <c r="BQ33" s="277"/>
      <c r="BY33" s="283" t="s">
        <v>789</v>
      </c>
      <c r="CB33" s="291" t="s">
        <v>803</v>
      </c>
      <c r="CC33" s="290"/>
      <c r="CJ33" s="373" t="s">
        <v>920</v>
      </c>
      <c r="CK33" s="280" t="s">
        <v>907</v>
      </c>
      <c r="CL33" s="280" t="s">
        <v>886</v>
      </c>
      <c r="CM33" s="280">
        <v>0.8</v>
      </c>
      <c r="CN33" s="280">
        <v>1.4</v>
      </c>
      <c r="CO33" s="280">
        <v>1.6</v>
      </c>
      <c r="CP33" s="280">
        <v>1</v>
      </c>
      <c r="CQ33" s="423">
        <v>0</v>
      </c>
      <c r="CS33" s="280" t="s">
        <v>579</v>
      </c>
      <c r="CT33" s="280">
        <v>0</v>
      </c>
      <c r="CV33" s="277"/>
      <c r="CW33" s="277"/>
      <c r="DF33" s="277"/>
      <c r="DG33" s="373" t="s">
        <v>928</v>
      </c>
      <c r="DH33" s="280" t="s">
        <v>518</v>
      </c>
      <c r="DI33" s="280" t="s">
        <v>886</v>
      </c>
      <c r="DJ33" s="280">
        <v>1</v>
      </c>
      <c r="DK33" s="280">
        <v>0.6</v>
      </c>
      <c r="DL33" s="423">
        <v>0.2</v>
      </c>
      <c r="DN33" s="299" t="s">
        <v>615</v>
      </c>
      <c r="DO33" s="310">
        <v>5</v>
      </c>
      <c r="DP33" s="310">
        <v>70</v>
      </c>
      <c r="DQ33" s="310">
        <v>0</v>
      </c>
      <c r="DR33" s="310">
        <v>3</v>
      </c>
      <c r="DV33" s="350" t="s">
        <v>392</v>
      </c>
      <c r="DW33" s="351">
        <f t="array" ref="DW33">IF(ChoixRationComplèteDaims=OUI,0,IFERROR(IF(OR(AND(INDEX(Règles_daims[Specificite],MATCH(ChoixRationDaims&amp;DV33,Règles_daims[Ration]&amp;Règles_daims[Aliment],0))="s1",IF(DV33=Spécificité1Daims,1)),
AND(INDEX(Règles_daims[Specificite],MATCH(ChoixRationDaims&amp;DV33,Règles_daims[Ration]&amp;Règles_daims[Aliment],0))="s2",IF(DV33=Spécificité2Daims,1)),
INDEX(Règles_daims[Specificite],MATCH(ChoixRationDaims&amp;DV33,Règles_daims[Ration]&amp;Règles_daims[Aliment],0))="c"),
INDEX(Règles_daims[Valeur 36 et plus],MATCH(ChoixRationDaims&amp;DV33,Règles_daims[Ration]&amp;Règles_daims[Aliment],0)),0),0)*SUM(TotalDaimsAdultes)*NbreJoursNourrirBisonsDaims)</f>
        <v>0</v>
      </c>
      <c r="DX33" s="351">
        <f t="array" ref="DX33">IF(ChoixRationComplèteDaims=OUI,0,IFERROR(IF(OR(AND(INDEX(Règles_daims[Specificite],MATCH(ChoixRationDaims&amp;DV33,Règles_daims[Ration]&amp;Règles_daims[Aliment],0))="s1",IF(DV33=Spécificité1Daims,1)),
AND(INDEX(Règles_daims[Specificite],MATCH(ChoixRationDaims&amp;DV33,Règles_daims[Ration]&amp;Règles_daims[Aliment],0))="s2",IF(DV33=Spécificité2Daims,1)),
INDEX(Règles_daims[Specificite],MATCH(ChoixRationDaims&amp;DV33,Règles_daims[Ration]&amp;Règles_daims[Aliment],0))="c"),
INDEX(Règles_daims[Valeur 24-36],MATCH(ChoixRationDaims&amp;DV33,Règles_daims[Ration]&amp;Règles_daims[Aliment],0)),0),0)*SUM(TotalDaims24_36)*NbreJoursNourrirBisonsDaims)</f>
        <v>0</v>
      </c>
      <c r="DY33" s="351">
        <f t="array" ref="DY33">IF(ChoixRationComplèteDaims=OUI,0,IFERROR(IF(OR(AND(INDEX(Règles_daims[Specificite],MATCH(ChoixRationDaims&amp;DV33,Règles_daims[Ration]&amp;Règles_daims[Aliment],0))="s1",IF(DV33=Spécificité1Daims,1)),
AND(INDEX(Règles_daims[Specificite],MATCH(ChoixRationDaims&amp;DV33,Règles_daims[Ration]&amp;Règles_daims[Aliment],0))="s2",IF(DV33=Spécificité2Daims,1)),
INDEX(Règles_daims[Specificite],MATCH(ChoixRationDaims&amp;DV33,Règles_daims[Ration]&amp;Règles_daims[Aliment],0))="c"),
INDEX(Règles_daims[Valeur 18-24],MATCH(ChoixRationDaims&amp;DV33,Règles_daims[Ration]&amp;Règles_daims[Aliment],0)),0),0)*SUM(TotalDaims18_24)*NbreJoursNourrirBisonsDaims)</f>
        <v>0</v>
      </c>
      <c r="DZ33" s="441">
        <f t="array" ref="DZ33">IF(ChoixRationComplèteDaims=OUI,0,IFERROR(IF(OR(AND(INDEX(Règles_daims[Specificite],MATCH(ChoixRationDaims&amp;DV33,Règles_daims[Ration]&amp;Règles_daims[Aliment],0))="s1",IF(DV33=Spécificité1Daims,1)),
AND(INDEX(Règles_daims[Specificite],MATCH(ChoixRationDaims&amp;DV33,Règles_daims[Ration]&amp;Règles_daims[Aliment],0))="s2",IF(DV33=Spécificité2Daims,1)),
INDEX(Règles_daims[Specificite],MATCH(ChoixRationDaims&amp;DV33,Règles_daims[Ration]&amp;Règles_daims[Aliment],0))="c"),
INDEX(Règles_daims[Valeur 12-18],MATCH(ChoixRationDaims&amp;DV33,Règles_daims[Ration]&amp;Règles_daims[Aliment],0)),0),0)*SUM(TotalDaims12_18)*NbreJoursNourrirBisonsDaims)</f>
        <v>0</v>
      </c>
      <c r="EA33" s="441">
        <f t="array" ref="EA33">IF(ChoixRationComplèteDaims=OUI,0,IFERROR(IF(OR(AND(INDEX(Règles_daims[Specificite],MATCH(ChoixRationDaims&amp;DV33,Règles_daims[Ration]&amp;Règles_daims[Aliment],0))="s1",IF(DV33=Spécificité1Daims,1)),
AND(INDEX(Règles_daims[Specificite],MATCH(ChoixRationDaims&amp;DV33,Règles_daims[Ration]&amp;Règles_daims[Aliment],0))="s2",IF(DV33=Spécificité2Daims,1)),
INDEX(Règles_daims[Specificite],MATCH(ChoixRationDaims&amp;DV33,Règles_daims[Ration]&amp;Règles_daims[Aliment],0))="c"),
INDEX(Règles_daims[Valeur 6-12],MATCH(ChoixRationDaims&amp;DV33,Règles_daims[Ration]&amp;Règles_daims[Aliment],0)),0),0)*SUM(TotalDaims6_12)*NbreJoursNourrirBisonsDaims)</f>
        <v>0</v>
      </c>
      <c r="EB33" s="441">
        <f t="array" ref="EB33">IF(ChoixRationComplèteDaims=OUI,0,IFERROR(IF(OR(AND(INDEX(Règles_daims[Specificite],MATCH(ChoixRationDaims&amp;DV33,Règles_daims[Ration]&amp;Règles_daims[Aliment],0))="s1",IF(DV33=Spécificité1Daims,1)),
AND(INDEX(Règles_daims[Specificite],MATCH(ChoixRationDaims&amp;DV33,Règles_daims[Ration]&amp;Règles_daims[Aliment],0))="s2",IF(DV33=Spécificité2Daims,1)),
INDEX(Règles_daims[Specificite],MATCH(ChoixRationDaims&amp;DV33,Règles_daims[Ration]&amp;Règles_daims[Aliment],0))="c"),
INDEX(Règles_daims[Valeur 3-6],MATCH(ChoixRationDaims&amp;DV33,Règles_daims[Ration]&amp;Règles_daims[Aliment],0)),0),0)*SUM(TotalDaims3_6)*NbreJoursNourrirBisonsDaims)</f>
        <v>0</v>
      </c>
      <c r="EC33" s="441">
        <f t="array" ref="EC33">IF(ChoixRationComplèteDaims=OUI,0,IFERROR(IF(OR(AND(INDEX(Règles_daims[Specificite],MATCH(ChoixRationDaims&amp;DV33,Règles_daims[Ration]&amp;Règles_daims[Aliment],0))="s1",IF(DV33=Spécificité1Daims,1)),
AND(INDEX(Règles_daims[Specificite],MATCH(ChoixRationDaims&amp;DV33,Règles_daims[Ration]&amp;Règles_daims[Aliment],0))="s2",IF(DV33=Spécificité2Daims,1)),
INDEX(Règles_daims[Specificite],MATCH(ChoixRationDaims&amp;DV33,Règles_daims[Ration]&amp;Règles_daims[Aliment],0))="c"),
INDEX(Règles_daims[Valeur 0-3],MATCH(ChoixRationDaims&amp;DV33,Règles_daims[Ration]&amp;Règles_daims[Aliment],0)),0),0)*SUM(TotalDaims0_3)*NbreJoursNourrirBisonsDaims)</f>
        <v>0</v>
      </c>
      <c r="ED33" s="441">
        <f>SUM($DW33:$EC33)</f>
        <v>0</v>
      </c>
      <c r="EG33" s="381" t="s">
        <v>1018</v>
      </c>
      <c r="EH33" s="280" t="s">
        <v>220</v>
      </c>
      <c r="EI33" s="280" t="s">
        <v>887</v>
      </c>
      <c r="EJ33" s="280">
        <v>0.22</v>
      </c>
      <c r="EK33" s="280">
        <v>0.16</v>
      </c>
      <c r="EL33" s="423">
        <v>0.12</v>
      </c>
      <c r="EN33" s="381" t="s">
        <v>936</v>
      </c>
      <c r="EO33" s="280" t="s">
        <v>220</v>
      </c>
      <c r="EP33" s="280" t="s">
        <v>887</v>
      </c>
      <c r="EQ33" s="280">
        <v>0.04</v>
      </c>
      <c r="ER33" s="280">
        <v>0.03</v>
      </c>
      <c r="ES33" s="423">
        <v>0.2</v>
      </c>
      <c r="EU33" s="373" t="s">
        <v>782</v>
      </c>
      <c r="EV33" s="423">
        <v>60</v>
      </c>
      <c r="EW33" s="277"/>
      <c r="EX33" s="373" t="s">
        <v>782</v>
      </c>
      <c r="EY33" s="423">
        <v>27</v>
      </c>
      <c r="EZ33" s="277"/>
      <c r="FA33" s="373" t="s">
        <v>782</v>
      </c>
      <c r="FB33" s="423">
        <v>9</v>
      </c>
      <c r="FD33" s="381" t="s">
        <v>1022</v>
      </c>
      <c r="FE33" s="280" t="s">
        <v>508</v>
      </c>
      <c r="FF33" s="280" t="s">
        <v>911</v>
      </c>
      <c r="FG33" s="280"/>
      <c r="FH33" s="280"/>
      <c r="FI33" s="280"/>
      <c r="FJ33" s="423"/>
      <c r="FK33" s="298"/>
      <c r="FL33" s="298"/>
      <c r="FN33" s="381" t="s">
        <v>1022</v>
      </c>
      <c r="FO33" s="280" t="s">
        <v>490</v>
      </c>
      <c r="FP33" s="280" t="s">
        <v>886</v>
      </c>
      <c r="FQ33" s="280">
        <v>4</v>
      </c>
      <c r="FR33" s="280">
        <v>3</v>
      </c>
      <c r="FS33" s="280">
        <v>2</v>
      </c>
      <c r="FT33" s="423">
        <v>1</v>
      </c>
      <c r="FU33" s="298"/>
      <c r="FV33" s="298"/>
      <c r="FW33" s="373" t="s">
        <v>940</v>
      </c>
      <c r="FX33" s="280" t="s">
        <v>57</v>
      </c>
      <c r="FY33" s="280" t="s">
        <v>886</v>
      </c>
      <c r="FZ33" s="280"/>
      <c r="GA33" s="280">
        <v>0.23400000000000001</v>
      </c>
      <c r="GB33" s="280">
        <v>0.18</v>
      </c>
      <c r="GC33" s="423">
        <v>5.3999999999999999E-2</v>
      </c>
      <c r="GE33" s="280" t="s">
        <v>264</v>
      </c>
      <c r="GF33" s="283"/>
      <c r="GG33" s="280" t="s">
        <v>432</v>
      </c>
      <c r="GH33" s="283" t="s">
        <v>955</v>
      </c>
      <c r="GI33" s="283" t="s">
        <v>955</v>
      </c>
      <c r="GJ33" s="283" t="s">
        <v>955</v>
      </c>
      <c r="GK33" s="283" t="s">
        <v>955</v>
      </c>
      <c r="GL33" s="283" t="s">
        <v>955</v>
      </c>
      <c r="GM33" s="283" t="s">
        <v>955</v>
      </c>
      <c r="GN33" s="283" t="s">
        <v>955</v>
      </c>
      <c r="GO33" s="283" t="s">
        <v>955</v>
      </c>
      <c r="GP33" s="283" t="s">
        <v>955</v>
      </c>
      <c r="GQ33" s="283" t="s">
        <v>955</v>
      </c>
      <c r="GR33" s="283" t="s">
        <v>955</v>
      </c>
      <c r="GS33" s="283" t="s">
        <v>955</v>
      </c>
      <c r="GT33" s="283" t="s">
        <v>955</v>
      </c>
      <c r="GU33" s="283" t="s">
        <v>955</v>
      </c>
      <c r="GV33" s="283" t="s">
        <v>955</v>
      </c>
      <c r="GY33" s="444" t="str">
        <f>GI2</f>
        <v>défanage chimique</v>
      </c>
      <c r="GZ33" s="444"/>
      <c r="HA33" s="342"/>
      <c r="HB33" s="342" t="e">
        <f>IF(COUNTIF(TypeArticleDansEntrepôt,GY33)=0,0,SUMIF(TypeArticleDansEntrepôt,GY33,QtéArticleDansEntrepôt)*VLOOKUP(GY33,#REF!,2,FALSE))</f>
        <v>#REF!</v>
      </c>
      <c r="HK33" s="280" t="s">
        <v>1087</v>
      </c>
      <c r="HL33" s="288">
        <f>AVERAGE(6.3,6.5)*1000</f>
        <v>6400</v>
      </c>
      <c r="HN33" s="280" t="s">
        <v>991</v>
      </c>
      <c r="HO33" s="289">
        <v>20</v>
      </c>
      <c r="HP33" s="293" t="s">
        <v>1057</v>
      </c>
      <c r="HQ33" s="293">
        <v>0.75</v>
      </c>
      <c r="HR33" s="293">
        <v>0.75</v>
      </c>
      <c r="HS33" s="293">
        <v>0.75</v>
      </c>
      <c r="HT33" s="293">
        <v>0.33333333333333331</v>
      </c>
      <c r="HU33" s="293">
        <v>0.33333333333333331</v>
      </c>
    </row>
    <row r="34" spans="1:241" ht="12.75" customHeight="1" x14ac:dyDescent="0.2">
      <c r="A34" s="369"/>
      <c r="B34" s="280"/>
      <c r="C34" s="280"/>
      <c r="D34" s="423"/>
      <c r="E34" s="296"/>
      <c r="F34" s="278"/>
      <c r="G34" s="278"/>
      <c r="H34" s="279"/>
      <c r="L34" s="311"/>
      <c r="N34" s="277"/>
      <c r="O34" s="280" t="s">
        <v>854</v>
      </c>
      <c r="P34" s="280"/>
      <c r="Q34" s="280"/>
      <c r="R34" s="280"/>
      <c r="S34" s="280"/>
      <c r="T34" s="280"/>
      <c r="U34" s="280"/>
      <c r="V34" s="280"/>
      <c r="W34" s="280"/>
      <c r="X34" s="280"/>
      <c r="Y34" s="280"/>
      <c r="Z34" s="280"/>
      <c r="AA34" s="280"/>
      <c r="AB34" s="280"/>
      <c r="AC34" s="280"/>
      <c r="AD34" s="280"/>
      <c r="AE34" s="280"/>
      <c r="AF34" s="280"/>
      <c r="AG34" s="517"/>
      <c r="AH34" s="518"/>
      <c r="AI34" s="280"/>
      <c r="AJ34" s="280"/>
      <c r="AK34" s="280"/>
      <c r="AL34" s="280"/>
      <c r="AM34" s="280"/>
      <c r="AN34" s="280"/>
      <c r="AO34" s="280"/>
      <c r="AP34" s="280"/>
      <c r="AQ34" s="280"/>
      <c r="AR34" s="280"/>
      <c r="AS34" s="280"/>
      <c r="AT34" s="280"/>
      <c r="AU34" s="280"/>
      <c r="AV34" s="280"/>
      <c r="AW34" s="280"/>
      <c r="AX34" s="280"/>
      <c r="AY34" s="280"/>
      <c r="BC34" s="370" t="s">
        <v>524</v>
      </c>
      <c r="BD34" s="383">
        <v>30</v>
      </c>
      <c r="BF34" s="370" t="s">
        <v>524</v>
      </c>
      <c r="BG34" s="383">
        <v>60</v>
      </c>
      <c r="BL34" s="312"/>
      <c r="BM34" s="338" t="s">
        <v>1152</v>
      </c>
      <c r="BN34" s="229"/>
      <c r="BO34" s="229"/>
      <c r="BP34" s="229"/>
      <c r="BQ34" s="339"/>
      <c r="BR34" s="229"/>
      <c r="BS34" s="229"/>
      <c r="BT34" s="229"/>
      <c r="BU34" s="229"/>
      <c r="BY34" s="280" t="s">
        <v>790</v>
      </c>
      <c r="BZ34" s="280" t="s">
        <v>802</v>
      </c>
      <c r="CB34" s="280" t="s">
        <v>790</v>
      </c>
      <c r="CC34" s="280" t="s">
        <v>802</v>
      </c>
      <c r="CJ34" s="373" t="s">
        <v>920</v>
      </c>
      <c r="CK34" s="280" t="s">
        <v>500</v>
      </c>
      <c r="CL34" s="280" t="s">
        <v>886</v>
      </c>
      <c r="CM34" s="280">
        <v>0.8</v>
      </c>
      <c r="CN34" s="280">
        <v>1.4</v>
      </c>
      <c r="CO34" s="280">
        <v>1.6</v>
      </c>
      <c r="CP34" s="280">
        <v>1</v>
      </c>
      <c r="CQ34" s="423">
        <v>0</v>
      </c>
      <c r="CS34" s="277"/>
      <c r="CT34" s="277"/>
      <c r="CU34" s="277"/>
      <c r="CV34" s="277"/>
      <c r="CZ34" s="295" t="s">
        <v>931</v>
      </c>
      <c r="DA34" s="277"/>
      <c r="DB34" s="277"/>
      <c r="DC34" s="277"/>
      <c r="DF34" s="277"/>
      <c r="DG34" s="373"/>
      <c r="DH34" s="280"/>
      <c r="DI34" s="280"/>
      <c r="DJ34" s="280"/>
      <c r="DK34" s="280"/>
      <c r="DL34" s="423"/>
      <c r="DV34" s="350" t="s">
        <v>220</v>
      </c>
      <c r="DW34" s="351">
        <f t="array" ref="DW34">IF(ChoixRationComplèteDaims=OUI,0,IFERROR(IF(OR(AND(INDEX(Règles_daims[Specificite],MATCH(ChoixRationDaims&amp;DV34,Règles_daims[Ration]&amp;Règles_daims[Aliment],0))="s1",IF(DV34=Spécificité1Daims,1)),
AND(INDEX(Règles_daims[Specificite],MATCH(ChoixRationDaims&amp;DV34,Règles_daims[Ration]&amp;Règles_daims[Aliment],0))="s2",IF(DV34=Spécificité2Daims,1)),
INDEX(Règles_daims[Specificite],MATCH(ChoixRationDaims&amp;DV34,Règles_daims[Ration]&amp;Règles_daims[Aliment],0))="c"),
INDEX(Règles_daims[Valeur 36 et plus],MATCH(ChoixRationDaims&amp;DV34,Règles_daims[Ration]&amp;Règles_daims[Aliment],0)),0),0)*SUM(TotalDaimsAdultes)*NbreJoursNourrirBisonsDaims)</f>
        <v>0</v>
      </c>
      <c r="DX34" s="351">
        <f t="array" ref="DX34">IF(ChoixRationComplèteDaims=OUI,0,IFERROR(IF(OR(AND(INDEX(Règles_daims[Specificite],MATCH(ChoixRationDaims&amp;DV34,Règles_daims[Ration]&amp;Règles_daims[Aliment],0))="s1",IF(DV34=Spécificité1Daims,1)),
AND(INDEX(Règles_daims[Specificite],MATCH(ChoixRationDaims&amp;DV34,Règles_daims[Ration]&amp;Règles_daims[Aliment],0))="s2",IF(DV34=Spécificité2Daims,1)),
INDEX(Règles_daims[Specificite],MATCH(ChoixRationDaims&amp;DV34,Règles_daims[Ration]&amp;Règles_daims[Aliment],0))="c"),
INDEX(Règles_daims[Valeur 24-36],MATCH(ChoixRationDaims&amp;DV34,Règles_daims[Ration]&amp;Règles_daims[Aliment],0)),0),0)*SUM(TotalDaims24_36)*NbreJoursNourrirBisonsDaims)</f>
        <v>0</v>
      </c>
      <c r="DY34" s="351">
        <f t="array" ref="DY34">IF(ChoixRationComplèteDaims=OUI,0,IFERROR(IF(OR(AND(INDEX(Règles_daims[Specificite],MATCH(ChoixRationDaims&amp;DV34,Règles_daims[Ration]&amp;Règles_daims[Aliment],0))="s1",IF(DV34=Spécificité1Daims,1)),
AND(INDEX(Règles_daims[Specificite],MATCH(ChoixRationDaims&amp;DV34,Règles_daims[Ration]&amp;Règles_daims[Aliment],0))="s2",IF(DV34=Spécificité2Daims,1)),
INDEX(Règles_daims[Specificite],MATCH(ChoixRationDaims&amp;DV34,Règles_daims[Ration]&amp;Règles_daims[Aliment],0))="c"),
INDEX(Règles_daims[Valeur 18-24],MATCH(ChoixRationDaims&amp;DV34,Règles_daims[Ration]&amp;Règles_daims[Aliment],0)),0),0)*SUM(TotalDaims18_24)*NbreJoursNourrirBisonsDaims)</f>
        <v>0</v>
      </c>
      <c r="DZ34" s="441">
        <f t="array" ref="DZ34">IF(ChoixRationComplèteDaims=OUI,0,IFERROR(IF(OR(AND(INDEX(Règles_daims[Specificite],MATCH(ChoixRationDaims&amp;DV34,Règles_daims[Ration]&amp;Règles_daims[Aliment],0))="s1",IF(DV34=Spécificité1Daims,1)),
AND(INDEX(Règles_daims[Specificite],MATCH(ChoixRationDaims&amp;DV34,Règles_daims[Ration]&amp;Règles_daims[Aliment],0))="s2",IF(DV34=Spécificité2Daims,1)),
INDEX(Règles_daims[Specificite],MATCH(ChoixRationDaims&amp;DV34,Règles_daims[Ration]&amp;Règles_daims[Aliment],0))="c"),
INDEX(Règles_daims[Valeur 12-18],MATCH(ChoixRationDaims&amp;DV34,Règles_daims[Ration]&amp;Règles_daims[Aliment],0)),0),0)*SUM(TotalDaims12_18)*NbreJoursNourrirBisonsDaims)</f>
        <v>0</v>
      </c>
      <c r="EA34" s="441">
        <f t="array" ref="EA34">IF(ChoixRationComplèteDaims=OUI,0,IFERROR(IF(OR(AND(INDEX(Règles_daims[Specificite],MATCH(ChoixRationDaims&amp;DV34,Règles_daims[Ration]&amp;Règles_daims[Aliment],0))="s1",IF(DV34=Spécificité1Daims,1)),
AND(INDEX(Règles_daims[Specificite],MATCH(ChoixRationDaims&amp;DV34,Règles_daims[Ration]&amp;Règles_daims[Aliment],0))="s2",IF(DV34=Spécificité2Daims,1)),
INDEX(Règles_daims[Specificite],MATCH(ChoixRationDaims&amp;DV34,Règles_daims[Ration]&amp;Règles_daims[Aliment],0))="c"),
INDEX(Règles_daims[Valeur 6-12],MATCH(ChoixRationDaims&amp;DV34,Règles_daims[Ration]&amp;Règles_daims[Aliment],0)),0),0)*SUM(TotalDaims6_12)*NbreJoursNourrirBisonsDaims)</f>
        <v>0</v>
      </c>
      <c r="EB34" s="441">
        <f t="array" ref="EB34">IF(ChoixRationComplèteDaims=OUI,0,IFERROR(IF(OR(AND(INDEX(Règles_daims[Specificite],MATCH(ChoixRationDaims&amp;DV34,Règles_daims[Ration]&amp;Règles_daims[Aliment],0))="s1",IF(DV34=Spécificité1Daims,1)),
AND(INDEX(Règles_daims[Specificite],MATCH(ChoixRationDaims&amp;DV34,Règles_daims[Ration]&amp;Règles_daims[Aliment],0))="s2",IF(DV34=Spécificité2Daims,1)),
INDEX(Règles_daims[Specificite],MATCH(ChoixRationDaims&amp;DV34,Règles_daims[Ration]&amp;Règles_daims[Aliment],0))="c"),
INDEX(Règles_daims[Valeur 3-6],MATCH(ChoixRationDaims&amp;DV34,Règles_daims[Ration]&amp;Règles_daims[Aliment],0)),0),0)*SUM(TotalDaims3_6)*NbreJoursNourrirBisonsDaims)</f>
        <v>0</v>
      </c>
      <c r="EC34" s="441">
        <f t="array" ref="EC34">IF(ChoixRationComplèteDaims=OUI,0,IFERROR(IF(OR(AND(INDEX(Règles_daims[Specificite],MATCH(ChoixRationDaims&amp;DV34,Règles_daims[Ration]&amp;Règles_daims[Aliment],0))="s1",IF(DV34=Spécificité1Daims,1)),
AND(INDEX(Règles_daims[Specificite],MATCH(ChoixRationDaims&amp;DV34,Règles_daims[Ration]&amp;Règles_daims[Aliment],0))="s2",IF(DV34=Spécificité2Daims,1)),
INDEX(Règles_daims[Specificite],MATCH(ChoixRationDaims&amp;DV34,Règles_daims[Ration]&amp;Règles_daims[Aliment],0))="c"),
INDEX(Règles_daims[Valeur 0-3],MATCH(ChoixRationDaims&amp;DV34,Règles_daims[Ration]&amp;Règles_daims[Aliment],0)),0),0)*SUM(TotalDaims0_3)*NbreJoursNourrirBisonsDaims)</f>
        <v>0</v>
      </c>
      <c r="ED34" s="441">
        <f t="shared" ref="ED34:ED70" si="9">SUM($DW34:$EC34)</f>
        <v>0</v>
      </c>
      <c r="EG34" s="381" t="s">
        <v>1018</v>
      </c>
      <c r="EH34" s="280" t="s">
        <v>70</v>
      </c>
      <c r="EI34" s="280" t="s">
        <v>887</v>
      </c>
      <c r="EJ34" s="280">
        <v>0.22</v>
      </c>
      <c r="EK34" s="280">
        <v>0.16</v>
      </c>
      <c r="EL34" s="423">
        <v>0.12</v>
      </c>
      <c r="EN34" s="381" t="s">
        <v>936</v>
      </c>
      <c r="EO34" s="280" t="s">
        <v>70</v>
      </c>
      <c r="EP34" s="280" t="s">
        <v>887</v>
      </c>
      <c r="EQ34" s="280">
        <v>0.04</v>
      </c>
      <c r="ER34" s="280">
        <v>0.03</v>
      </c>
      <c r="ES34" s="423">
        <v>0.2</v>
      </c>
      <c r="EU34" s="373" t="s">
        <v>783</v>
      </c>
      <c r="EV34" s="423">
        <v>80</v>
      </c>
      <c r="EW34" s="277"/>
      <c r="EX34" s="373" t="s">
        <v>783</v>
      </c>
      <c r="EY34" s="423">
        <v>36</v>
      </c>
      <c r="EZ34" s="277"/>
      <c r="FA34" s="373" t="s">
        <v>783</v>
      </c>
      <c r="FB34" s="423">
        <v>12</v>
      </c>
      <c r="FD34" s="381" t="s">
        <v>1022</v>
      </c>
      <c r="FE34" s="280" t="s">
        <v>490</v>
      </c>
      <c r="FF34" s="280" t="s">
        <v>886</v>
      </c>
      <c r="FG34" s="280">
        <v>6</v>
      </c>
      <c r="FH34" s="280">
        <v>4</v>
      </c>
      <c r="FI34" s="280">
        <v>2.5</v>
      </c>
      <c r="FJ34" s="423">
        <v>1.5</v>
      </c>
      <c r="FK34" s="298"/>
      <c r="FL34" s="298"/>
      <c r="FN34" s="381" t="s">
        <v>1022</v>
      </c>
      <c r="FO34" s="280" t="s">
        <v>489</v>
      </c>
      <c r="FP34" s="280" t="s">
        <v>886</v>
      </c>
      <c r="FQ34" s="280">
        <v>4</v>
      </c>
      <c r="FR34" s="280">
        <v>3</v>
      </c>
      <c r="FS34" s="280">
        <v>2</v>
      </c>
      <c r="FT34" s="423">
        <v>1</v>
      </c>
      <c r="FU34" s="298"/>
      <c r="FV34" s="298"/>
      <c r="FW34" s="373" t="s">
        <v>940</v>
      </c>
      <c r="FX34" s="280" t="s">
        <v>905</v>
      </c>
      <c r="FY34" s="280" t="s">
        <v>886</v>
      </c>
      <c r="FZ34" s="280"/>
      <c r="GA34" s="280">
        <v>5.1999999999999998E-2</v>
      </c>
      <c r="GB34" s="280">
        <v>0.04</v>
      </c>
      <c r="GC34" s="423">
        <v>1.2E-2</v>
      </c>
      <c r="GE34" s="280" t="s">
        <v>246</v>
      </c>
      <c r="GF34" s="283"/>
      <c r="GG34" s="280" t="s">
        <v>1037</v>
      </c>
      <c r="GH34" s="283" t="s">
        <v>955</v>
      </c>
      <c r="GI34" s="283" t="s">
        <v>955</v>
      </c>
      <c r="GJ34" s="283" t="s">
        <v>955</v>
      </c>
      <c r="GK34" s="283" t="s">
        <v>955</v>
      </c>
      <c r="GL34" s="283" t="s">
        <v>955</v>
      </c>
      <c r="GM34" s="283" t="s">
        <v>955</v>
      </c>
      <c r="GN34" s="283" t="s">
        <v>955</v>
      </c>
      <c r="GO34" s="283" t="s">
        <v>955</v>
      </c>
      <c r="GP34" s="283" t="s">
        <v>955</v>
      </c>
      <c r="GQ34" s="283" t="s">
        <v>955</v>
      </c>
      <c r="GR34" s="283" t="s">
        <v>955</v>
      </c>
      <c r="GS34" s="283" t="s">
        <v>955</v>
      </c>
      <c r="GT34" s="283" t="s">
        <v>955</v>
      </c>
      <c r="GU34" s="283" t="s">
        <v>955</v>
      </c>
      <c r="GV34" s="283" t="s">
        <v>955</v>
      </c>
      <c r="GY34" s="444"/>
      <c r="GZ34" s="444"/>
      <c r="HA34" s="342"/>
      <c r="HB34" s="342"/>
      <c r="HK34" s="280" t="s">
        <v>1100</v>
      </c>
      <c r="HL34" s="288">
        <f>AVERAGE(3.8,4)*1000</f>
        <v>3900</v>
      </c>
      <c r="HN34" s="280" t="s">
        <v>992</v>
      </c>
      <c r="HO34" s="289">
        <v>20</v>
      </c>
      <c r="HP34" s="293" t="s">
        <v>1057</v>
      </c>
      <c r="HQ34" s="293">
        <v>0.75</v>
      </c>
      <c r="HR34" s="293">
        <v>0.75</v>
      </c>
      <c r="HS34" s="293">
        <v>0.75</v>
      </c>
      <c r="HT34" s="293">
        <v>0.33333333333333331</v>
      </c>
      <c r="HU34" s="293">
        <v>0.33333333333333331</v>
      </c>
    </row>
    <row r="35" spans="1:241" ht="12.75" customHeight="1" x14ac:dyDescent="0.2">
      <c r="A35" s="369"/>
      <c r="B35" s="280"/>
      <c r="C35" s="280"/>
      <c r="D35" s="423"/>
      <c r="E35" s="296"/>
      <c r="F35" s="278"/>
      <c r="G35" s="278"/>
      <c r="H35" s="279"/>
      <c r="L35" s="311"/>
      <c r="N35" s="277"/>
      <c r="O35" s="280" t="s">
        <v>857</v>
      </c>
      <c r="P35" s="280"/>
      <c r="Q35" s="280"/>
      <c r="R35" s="280"/>
      <c r="S35" s="280"/>
      <c r="T35" s="280"/>
      <c r="U35" s="280"/>
      <c r="V35" s="280"/>
      <c r="W35" s="280"/>
      <c r="X35" s="280"/>
      <c r="Y35" s="280"/>
      <c r="Z35" s="280"/>
      <c r="AA35" s="280"/>
      <c r="AB35" s="280"/>
      <c r="AC35" s="280"/>
      <c r="AD35" s="280"/>
      <c r="AE35" s="280"/>
      <c r="AF35" s="280"/>
      <c r="AG35" s="517"/>
      <c r="AH35" s="518"/>
      <c r="AI35" s="280"/>
      <c r="AJ35" s="280"/>
      <c r="AK35" s="280"/>
      <c r="AL35" s="280"/>
      <c r="AM35" s="280"/>
      <c r="AN35" s="280"/>
      <c r="AO35" s="280"/>
      <c r="AP35" s="280"/>
      <c r="AQ35" s="280"/>
      <c r="AR35" s="280"/>
      <c r="AS35" s="280"/>
      <c r="AT35" s="280"/>
      <c r="AU35" s="280"/>
      <c r="AV35" s="280"/>
      <c r="AW35" s="280"/>
      <c r="AX35" s="280"/>
      <c r="AY35" s="280"/>
      <c r="BC35" s="278"/>
      <c r="BD35" s="290"/>
      <c r="BL35" s="312"/>
      <c r="BM35" s="354" t="s">
        <v>910</v>
      </c>
      <c r="BN35" s="349" t="s">
        <v>895</v>
      </c>
      <c r="BO35" s="349" t="s">
        <v>894</v>
      </c>
      <c r="BP35" s="349" t="s">
        <v>893</v>
      </c>
      <c r="BQ35" s="349" t="s">
        <v>892</v>
      </c>
      <c r="BR35" s="349" t="s">
        <v>891</v>
      </c>
      <c r="BS35" s="349" t="s">
        <v>890</v>
      </c>
      <c r="BT35" s="355" t="s">
        <v>889</v>
      </c>
      <c r="BU35" s="349" t="s">
        <v>903</v>
      </c>
      <c r="BY35" s="280" t="s">
        <v>792</v>
      </c>
      <c r="BZ35" s="280">
        <v>550</v>
      </c>
      <c r="CB35" s="280" t="s">
        <v>792</v>
      </c>
      <c r="CC35" s="280">
        <v>660</v>
      </c>
      <c r="CJ35" s="373" t="s">
        <v>920</v>
      </c>
      <c r="CK35" s="280" t="s">
        <v>905</v>
      </c>
      <c r="CL35" s="280" t="s">
        <v>886</v>
      </c>
      <c r="CM35" s="280">
        <v>0.8</v>
      </c>
      <c r="CN35" s="280">
        <v>1.4</v>
      </c>
      <c r="CO35" s="280">
        <v>0.4</v>
      </c>
      <c r="CP35" s="280">
        <v>0.2</v>
      </c>
      <c r="CQ35" s="423">
        <v>0</v>
      </c>
      <c r="CS35" s="295" t="s">
        <v>923</v>
      </c>
      <c r="CT35" s="277"/>
      <c r="CU35" s="277"/>
      <c r="CV35" s="277"/>
      <c r="CZ35" s="358" t="s">
        <v>866</v>
      </c>
      <c r="DA35" s="319" t="s">
        <v>884</v>
      </c>
      <c r="DB35" s="359" t="s">
        <v>885</v>
      </c>
      <c r="DC35" s="319" t="s">
        <v>929</v>
      </c>
      <c r="DD35" s="319" t="s">
        <v>930</v>
      </c>
      <c r="DE35" s="372" t="s">
        <v>918</v>
      </c>
      <c r="DF35" s="277"/>
      <c r="DG35" s="373"/>
      <c r="DH35" s="280"/>
      <c r="DI35" s="280"/>
      <c r="DJ35" s="280"/>
      <c r="DK35" s="280"/>
      <c r="DL35" s="423"/>
      <c r="DN35" s="283" t="s">
        <v>616</v>
      </c>
      <c r="DQ35" s="283" t="s">
        <v>519</v>
      </c>
      <c r="DV35" s="350" t="s">
        <v>515</v>
      </c>
      <c r="DW35" s="351">
        <f t="array" ref="DW35">IF(ChoixRationComplèteDaims=OUI,0,IFERROR(IF(OR(AND(INDEX(Règles_daims[Specificite],MATCH(ChoixRationDaims&amp;DV35,Règles_daims[Ration]&amp;Règles_daims[Aliment],0))="s1",IF(DV35=Spécificité1Daims,1)),
AND(INDEX(Règles_daims[Specificite],MATCH(ChoixRationDaims&amp;DV35,Règles_daims[Ration]&amp;Règles_daims[Aliment],0))="s2",IF(DV35=Spécificité2Daims,1)),
INDEX(Règles_daims[Specificite],MATCH(ChoixRationDaims&amp;DV35,Règles_daims[Ration]&amp;Règles_daims[Aliment],0))="c"),
INDEX(Règles_daims[Valeur 36 et plus],MATCH(ChoixRationDaims&amp;DV35,Règles_daims[Ration]&amp;Règles_daims[Aliment],0)),0),0)*SUM(TotalDaimsAdultes)*NbreJoursNourrirBisonsDaims)</f>
        <v>0</v>
      </c>
      <c r="DX35" s="351">
        <f t="array" ref="DX35">IF(ChoixRationComplèteDaims=OUI,0,IFERROR(IF(OR(AND(INDEX(Règles_daims[Specificite],MATCH(ChoixRationDaims&amp;DV35,Règles_daims[Ration]&amp;Règles_daims[Aliment],0))="s1",IF(DV35=Spécificité1Daims,1)),
AND(INDEX(Règles_daims[Specificite],MATCH(ChoixRationDaims&amp;DV35,Règles_daims[Ration]&amp;Règles_daims[Aliment],0))="s2",IF(DV35=Spécificité2Daims,1)),
INDEX(Règles_daims[Specificite],MATCH(ChoixRationDaims&amp;DV35,Règles_daims[Ration]&amp;Règles_daims[Aliment],0))="c"),
INDEX(Règles_daims[Valeur 24-36],MATCH(ChoixRationDaims&amp;DV35,Règles_daims[Ration]&amp;Règles_daims[Aliment],0)),0),0)*SUM(TotalDaims24_36)*NbreJoursNourrirBisonsDaims)</f>
        <v>0</v>
      </c>
      <c r="DY35" s="351">
        <f t="array" ref="DY35">IF(ChoixRationComplèteDaims=OUI,0,IFERROR(IF(OR(AND(INDEX(Règles_daims[Specificite],MATCH(ChoixRationDaims&amp;DV35,Règles_daims[Ration]&amp;Règles_daims[Aliment],0))="s1",IF(DV35=Spécificité1Daims,1)),
AND(INDEX(Règles_daims[Specificite],MATCH(ChoixRationDaims&amp;DV35,Règles_daims[Ration]&amp;Règles_daims[Aliment],0))="s2",IF(DV35=Spécificité2Daims,1)),
INDEX(Règles_daims[Specificite],MATCH(ChoixRationDaims&amp;DV35,Règles_daims[Ration]&amp;Règles_daims[Aliment],0))="c"),
INDEX(Règles_daims[Valeur 18-24],MATCH(ChoixRationDaims&amp;DV35,Règles_daims[Ration]&amp;Règles_daims[Aliment],0)),0),0)*SUM(TotalDaims18_24)*NbreJoursNourrirBisonsDaims)</f>
        <v>0</v>
      </c>
      <c r="DZ35" s="441">
        <f t="array" ref="DZ35">IF(ChoixRationComplèteDaims=OUI,0,IFERROR(IF(OR(AND(INDEX(Règles_daims[Specificite],MATCH(ChoixRationDaims&amp;DV35,Règles_daims[Ration]&amp;Règles_daims[Aliment],0))="s1",IF(DV35=Spécificité1Daims,1)),
AND(INDEX(Règles_daims[Specificite],MATCH(ChoixRationDaims&amp;DV35,Règles_daims[Ration]&amp;Règles_daims[Aliment],0))="s2",IF(DV35=Spécificité2Daims,1)),
INDEX(Règles_daims[Specificite],MATCH(ChoixRationDaims&amp;DV35,Règles_daims[Ration]&amp;Règles_daims[Aliment],0))="c"),
INDEX(Règles_daims[Valeur 12-18],MATCH(ChoixRationDaims&amp;DV35,Règles_daims[Ration]&amp;Règles_daims[Aliment],0)),0),0)*SUM(TotalDaims12_18)*NbreJoursNourrirBisonsDaims)</f>
        <v>0</v>
      </c>
      <c r="EA35" s="441">
        <f t="array" ref="EA35">IF(ChoixRationComplèteDaims=OUI,0,IFERROR(IF(OR(AND(INDEX(Règles_daims[Specificite],MATCH(ChoixRationDaims&amp;DV35,Règles_daims[Ration]&amp;Règles_daims[Aliment],0))="s1",IF(DV35=Spécificité1Daims,1)),
AND(INDEX(Règles_daims[Specificite],MATCH(ChoixRationDaims&amp;DV35,Règles_daims[Ration]&amp;Règles_daims[Aliment],0))="s2",IF(DV35=Spécificité2Daims,1)),
INDEX(Règles_daims[Specificite],MATCH(ChoixRationDaims&amp;DV35,Règles_daims[Ration]&amp;Règles_daims[Aliment],0))="c"),
INDEX(Règles_daims[Valeur 6-12],MATCH(ChoixRationDaims&amp;DV35,Règles_daims[Ration]&amp;Règles_daims[Aliment],0)),0),0)*SUM(TotalDaims6_12)*NbreJoursNourrirBisonsDaims)</f>
        <v>0</v>
      </c>
      <c r="EB35" s="441">
        <f t="array" ref="EB35">IF(ChoixRationComplèteDaims=OUI,0,IFERROR(IF(OR(AND(INDEX(Règles_daims[Specificite],MATCH(ChoixRationDaims&amp;DV35,Règles_daims[Ration]&amp;Règles_daims[Aliment],0))="s1",IF(DV35=Spécificité1Daims,1)),
AND(INDEX(Règles_daims[Specificite],MATCH(ChoixRationDaims&amp;DV35,Règles_daims[Ration]&amp;Règles_daims[Aliment],0))="s2",IF(DV35=Spécificité2Daims,1)),
INDEX(Règles_daims[Specificite],MATCH(ChoixRationDaims&amp;DV35,Règles_daims[Ration]&amp;Règles_daims[Aliment],0))="c"),
INDEX(Règles_daims[Valeur 3-6],MATCH(ChoixRationDaims&amp;DV35,Règles_daims[Ration]&amp;Règles_daims[Aliment],0)),0),0)*SUM(TotalDaims3_6)*NbreJoursNourrirBisonsDaims)</f>
        <v>0</v>
      </c>
      <c r="EC35" s="441">
        <f t="array" ref="EC35">IF(ChoixRationComplèteDaims=OUI,0,IFERROR(IF(OR(AND(INDEX(Règles_daims[Specificite],MATCH(ChoixRationDaims&amp;DV35,Règles_daims[Ration]&amp;Règles_daims[Aliment],0))="s1",IF(DV35=Spécificité1Daims,1)),
AND(INDEX(Règles_daims[Specificite],MATCH(ChoixRationDaims&amp;DV35,Règles_daims[Ration]&amp;Règles_daims[Aliment],0))="s2",IF(DV35=Spécificité2Daims,1)),
INDEX(Règles_daims[Specificite],MATCH(ChoixRationDaims&amp;DV35,Règles_daims[Ration]&amp;Règles_daims[Aliment],0))="c"),
INDEX(Règles_daims[Valeur 0-3],MATCH(ChoixRationDaims&amp;DV35,Règles_daims[Ration]&amp;Règles_daims[Aliment],0)),0),0)*SUM(TotalDaims0_3)*NbreJoursNourrirBisonsDaims)</f>
        <v>0</v>
      </c>
      <c r="ED35" s="441">
        <f t="shared" si="9"/>
        <v>0</v>
      </c>
      <c r="EG35" s="381" t="s">
        <v>1018</v>
      </c>
      <c r="EH35" s="280" t="s">
        <v>268</v>
      </c>
      <c r="EI35" s="280" t="s">
        <v>886</v>
      </c>
      <c r="EJ35" s="280">
        <v>0.08</v>
      </c>
      <c r="EK35" s="280">
        <v>0.06</v>
      </c>
      <c r="EL35" s="423">
        <v>0.04</v>
      </c>
      <c r="EN35" s="381" t="s">
        <v>936</v>
      </c>
      <c r="EO35" s="280" t="s">
        <v>907</v>
      </c>
      <c r="EP35" s="280" t="s">
        <v>886</v>
      </c>
      <c r="EQ35" s="280">
        <v>0.04</v>
      </c>
      <c r="ER35" s="280">
        <v>0.03</v>
      </c>
      <c r="ES35" s="423">
        <v>0.2</v>
      </c>
      <c r="EU35" s="376" t="s">
        <v>784</v>
      </c>
      <c r="EV35" s="424">
        <v>80</v>
      </c>
      <c r="EW35" s="277"/>
      <c r="EX35" s="376" t="s">
        <v>784</v>
      </c>
      <c r="EY35" s="424">
        <v>36</v>
      </c>
      <c r="EZ35" s="277"/>
      <c r="FA35" s="376" t="s">
        <v>784</v>
      </c>
      <c r="FB35" s="424">
        <v>12</v>
      </c>
      <c r="FD35" s="381" t="s">
        <v>1022</v>
      </c>
      <c r="FE35" s="280" t="s">
        <v>489</v>
      </c>
      <c r="FF35" s="280" t="s">
        <v>886</v>
      </c>
      <c r="FG35" s="280">
        <v>6</v>
      </c>
      <c r="FH35" s="280">
        <v>4</v>
      </c>
      <c r="FI35" s="280">
        <v>2.5</v>
      </c>
      <c r="FJ35" s="423">
        <v>1.5</v>
      </c>
      <c r="FK35" s="298"/>
      <c r="FL35" s="298"/>
      <c r="FN35" s="381" t="s">
        <v>1022</v>
      </c>
      <c r="FO35" s="280" t="s">
        <v>268</v>
      </c>
      <c r="FP35" s="280" t="s">
        <v>886</v>
      </c>
      <c r="FQ35" s="280">
        <v>4</v>
      </c>
      <c r="FR35" s="280">
        <v>3</v>
      </c>
      <c r="FS35" s="280">
        <v>2</v>
      </c>
      <c r="FT35" s="423">
        <v>1</v>
      </c>
      <c r="FU35" s="298"/>
      <c r="FV35" s="298"/>
      <c r="FW35" s="373" t="s">
        <v>940</v>
      </c>
      <c r="FX35" s="280" t="s">
        <v>518</v>
      </c>
      <c r="FY35" s="280" t="s">
        <v>886</v>
      </c>
      <c r="FZ35" s="280">
        <v>2</v>
      </c>
      <c r="GA35" s="280">
        <v>2</v>
      </c>
      <c r="GB35" s="280">
        <v>2</v>
      </c>
      <c r="GC35" s="423">
        <v>2</v>
      </c>
      <c r="GE35" s="280" t="s">
        <v>7</v>
      </c>
      <c r="GF35" s="283"/>
      <c r="GG35" s="280" t="s">
        <v>390</v>
      </c>
      <c r="GH35" s="283" t="s">
        <v>955</v>
      </c>
      <c r="GI35" s="283" t="s">
        <v>955</v>
      </c>
      <c r="GJ35" s="283" t="s">
        <v>955</v>
      </c>
      <c r="GK35" s="283" t="s">
        <v>955</v>
      </c>
      <c r="GL35" s="283" t="s">
        <v>955</v>
      </c>
      <c r="GM35" s="283" t="s">
        <v>955</v>
      </c>
      <c r="GN35" s="283" t="s">
        <v>955</v>
      </c>
      <c r="GO35" s="283" t="s">
        <v>955</v>
      </c>
      <c r="GP35" s="283" t="s">
        <v>955</v>
      </c>
      <c r="GQ35" s="283" t="s">
        <v>955</v>
      </c>
      <c r="GR35" s="283" t="s">
        <v>955</v>
      </c>
      <c r="GS35" s="283" t="s">
        <v>955</v>
      </c>
      <c r="GT35" s="283" t="s">
        <v>955</v>
      </c>
      <c r="GU35" s="283" t="s">
        <v>955</v>
      </c>
      <c r="GV35" s="283" t="s">
        <v>955</v>
      </c>
      <c r="GY35" s="444" t="str">
        <f>GG2</f>
        <v>PDT pour plantation</v>
      </c>
      <c r="GZ35" s="444"/>
      <c r="HA35" s="342"/>
      <c r="HB35" s="342" t="e">
        <f>IF(COUNTIF(TypeArticleDansEntrepôt,GY35)=0,0,SUMIF(TypeArticleDansEntrepôt,GY35,QtéArticleDansEntrepôt)*VLOOKUP(GY35,#REF!,2,FALSE))</f>
        <v>#REF!</v>
      </c>
      <c r="HK35" s="280" t="s">
        <v>1063</v>
      </c>
      <c r="HL35" s="288">
        <f>AVERAGE(1.2,1.5)*1000</f>
        <v>1350</v>
      </c>
      <c r="HN35" s="280" t="s">
        <v>993</v>
      </c>
      <c r="HO35" s="289">
        <v>7</v>
      </c>
      <c r="HP35" s="293" t="s">
        <v>1057</v>
      </c>
      <c r="HQ35" s="293">
        <v>0.75</v>
      </c>
      <c r="HR35" s="293">
        <v>0.75</v>
      </c>
      <c r="HS35" s="293">
        <v>0.75</v>
      </c>
      <c r="HT35" s="293">
        <v>0.33333333333333331</v>
      </c>
      <c r="HU35" s="293">
        <v>0.33333333333333331</v>
      </c>
    </row>
    <row r="36" spans="1:241" ht="12.75" customHeight="1" x14ac:dyDescent="0.2">
      <c r="A36" s="369"/>
      <c r="B36" s="280"/>
      <c r="C36" s="280"/>
      <c r="D36" s="423"/>
      <c r="E36" s="283" t="s">
        <v>818</v>
      </c>
      <c r="F36" s="291"/>
      <c r="G36" s="278"/>
      <c r="H36" s="279"/>
      <c r="N36" s="277"/>
      <c r="O36" s="280" t="s">
        <v>858</v>
      </c>
      <c r="P36" s="280"/>
      <c r="Q36" s="280"/>
      <c r="R36" s="280"/>
      <c r="S36" s="280"/>
      <c r="T36" s="280"/>
      <c r="U36" s="280"/>
      <c r="V36" s="280"/>
      <c r="W36" s="280"/>
      <c r="X36" s="280"/>
      <c r="Y36" s="280"/>
      <c r="Z36" s="280"/>
      <c r="AA36" s="280"/>
      <c r="AB36" s="280"/>
      <c r="AC36" s="280"/>
      <c r="AD36" s="280"/>
      <c r="AE36" s="280"/>
      <c r="AF36" s="280"/>
      <c r="AG36" s="517"/>
      <c r="AH36" s="518"/>
      <c r="AI36" s="280"/>
      <c r="AJ36" s="280"/>
      <c r="AK36" s="280"/>
      <c r="AL36" s="280"/>
      <c r="AM36" s="280"/>
      <c r="AN36" s="280"/>
      <c r="AO36" s="280"/>
      <c r="AP36" s="280"/>
      <c r="AQ36" s="280"/>
      <c r="AR36" s="280"/>
      <c r="AS36" s="280"/>
      <c r="AT36" s="280"/>
      <c r="AU36" s="280"/>
      <c r="AV36" s="280"/>
      <c r="AW36" s="280"/>
      <c r="AX36" s="280"/>
      <c r="AY36" s="280"/>
      <c r="BC36" s="291" t="s">
        <v>525</v>
      </c>
      <c r="BD36" s="290"/>
      <c r="BF36" s="291" t="s">
        <v>501</v>
      </c>
      <c r="BG36" s="290"/>
      <c r="BL36" s="312"/>
      <c r="BM36" s="350" t="s">
        <v>490</v>
      </c>
      <c r="BN36" s="350">
        <f t="array" ref="BN36">IF(Ration_hivernale_complète_bisons[somme]&gt;0,0,IFERROR(IF(OR(AND(INDEX(Règles_bison[Specificite],MATCH(ChoixRationBisons&amp;$BM36,Règles_bison[Ration]&amp;Règles_bison[Aliment],0))="s1",IF($BM36=ChoixSpécificité1Bisons,1)),
INDEX(Règles_bison[Specificite],MATCH(ChoixRationBisons&amp;$BM36,Règles_bison[Ration]&amp;Règles_bison[Aliment],0))="c"),
INDEX(Règles_bison[Valeur 36 et plus],MATCH(ChoixRationBisons&amp;$BM36,Règles_bison[Ration]&amp;Règles_bison[Aliment],0)),0),0)*TotalBisonsMalesAdultes*NbreJoursNourrirBisonsDaims)</f>
        <v>0</v>
      </c>
      <c r="BO36" s="350">
        <f t="array" ref="BO36">IF(Ration_hivernale_complète_bisons[somme]&gt;0,0,IFERROR(IF(OR(AND(INDEX(Règles_bison[Specificite],MATCH(ChoixRationBisons&amp;$BM36,Règles_bison[Ration]&amp;Règles_bison[Aliment],0))="s1",IF($BM36=ChoixSpécificité1Bisons,1)),
INDEX(Règles_bison[Specificite],MATCH(ChoixRationBisons&amp;$BM36,Règles_bison[Ration]&amp;Règles_bison[Aliment],0))="c"),
INDEX(Règles_bison[Valeur 24-36],MATCH(ChoixRationBisons&amp;$BM36,Règles_bison[Ration]&amp;Règles_bison[Aliment],0)),0),0)*TotalBisonsMales_24_36_mois*NbreJoursNourrirBisonsDaims)</f>
        <v>0</v>
      </c>
      <c r="BP36" s="350">
        <f t="array" ref="BP36">IF(Ration_hivernale_complète_bisons[somme]&gt;0,0,IFERROR(IF(OR(AND(INDEX(Règles_bison[Specificite],MATCH(ChoixRationBisons&amp;$BM36,Règles_bison[Ration]&amp;Règles_bison[Aliment],0))="s1",IF($BM36=ChoixSpécificité1Bisons,1)),
INDEX(Règles_bison[Specificite],MATCH(ChoixRationBisons&amp;$BM36,Règles_bison[Ration]&amp;Règles_bison[Aliment],0))="c"),
INDEX(Règles_bison[Valeur 18-24],MATCH(ChoixRationBisons&amp;$BM36,Règles_bison[Ration]&amp;Règles_bison[Aliment],0)),0),0)*TotalBisonsMales_18_24_mois*NbreJoursNourrirBisonsDaims)</f>
        <v>0</v>
      </c>
      <c r="BQ36" s="350">
        <f t="array" ref="BQ36">IF(Ration_hivernale_complète_bisons[somme]&gt;0,0,IFERROR(IF(OR(AND(INDEX(Règles_bison[Specificite],MATCH(ChoixRationBisons&amp;$BM36,Règles_bison[Ration]&amp;Règles_bison[Aliment],0))="s1",IF($BM36=ChoixSpécificité1Bisons,1)),
INDEX(Règles_bison[Specificite],MATCH(ChoixRationBisons&amp;$BM36,Règles_bison[Ration]&amp;Règles_bison[Aliment],0))="c"),
INDEX(Règles_bison[Valeur 12-18],MATCH(ChoixRationBisons&amp;$BM36,Règles_bison[Ration]&amp;Règles_bison[Aliment],0)),0),0)*TotalBisonsMales_12_18_mois*NbreJoursNourrirBisonsDaims)</f>
        <v>0</v>
      </c>
      <c r="BR36" s="350">
        <f t="array" ref="BR36">IF(Ration_hivernale_complète_bisons[somme]&gt;0,0,IFERROR(IF(OR(AND(INDEX(Règles_bison[Specificite],MATCH(ChoixRationBisons&amp;$BM36,Règles_bison[Ration]&amp;Règles_bison[Aliment],0))="s1",IF($BM36=ChoixSpécificité1Bisons,1)),
INDEX(Règles_bison[Specificite],MATCH(ChoixRationBisons&amp;$BM36,Règles_bison[Ration]&amp;Règles_bison[Aliment],0))="c"),
INDEX(Règles_bison[Valeur 6-12],MATCH(ChoixRationBisons&amp;$BM36,Règles_bison[Ration]&amp;Règles_bison[Aliment],0)),0),0)*TotalBisonsMales_6_12_mois*NbreJoursNourrirBisonsDaims)</f>
        <v>0</v>
      </c>
      <c r="BS36" s="350">
        <f t="array" ref="BS36">IF(Ration_hivernale_complète_bisons[somme]&gt;0,0,IFERROR(IF(OR(AND(INDEX(Règles_bison[Specificite],MATCH(ChoixRationBisons&amp;$BM36,Règles_bison[Ration]&amp;Règles_bison[Aliment],0))="s1",IF($BM36=ChoixSpécificité1Bisons,1)),
INDEX(Règles_bison[Specificite],MATCH(ChoixRationBisons&amp;$BM36,Règles_bison[Ration]&amp;Règles_bison[Aliment],0))="c"),
INDEX(Règles_bison[Valeur 3-6],MATCH(ChoixRationBisons&amp;$BM36,Règles_bison[Ration]&amp;Règles_bison[Aliment],0)),0),0)*TotalBisonsMales_3_6_mois*NbreJoursNourrirBisonsDaims)</f>
        <v>0</v>
      </c>
      <c r="BT36" s="350">
        <f t="array" ref="BT36">IF(Ration_hivernale_complète_bisons[somme]&gt;0,0,IFERROR(IF(OR(AND(INDEX(Règles_bison[Specificite],MATCH(ChoixRationBisons&amp;$BM36,Règles_bison[Ration]&amp;Règles_bison[Aliment],0))="s1",IF($BM36=ChoixSpécificité1Bisons,1)),
INDEX(Règles_bison[Specificite],MATCH(ChoixRationBisons&amp;$BM36,Règles_bison[Ration]&amp;Règles_bison[Aliment],0))="c"),
INDEX(Règles_bison[Valeur 0-3],MATCH(ChoixRationBisons&amp;$BM36,Règles_bison[Ration]&amp;Règles_bison[Aliment],0)),0),0)*TotalBisonsMales_0_3_mois*NbreJoursNourrirBisonsDaims)</f>
        <v>0</v>
      </c>
      <c r="BU36" s="350">
        <f t="shared" ref="BU36:BU69" si="10">SUM($BN36:$BT36)</f>
        <v>0</v>
      </c>
      <c r="BY36" s="280" t="s">
        <v>793</v>
      </c>
      <c r="BZ36" s="280">
        <v>560</v>
      </c>
      <c r="CB36" s="280" t="s">
        <v>793</v>
      </c>
      <c r="CC36" s="280">
        <v>672</v>
      </c>
      <c r="CJ36" s="373" t="s">
        <v>920</v>
      </c>
      <c r="CK36" s="280" t="s">
        <v>518</v>
      </c>
      <c r="CL36" s="280" t="s">
        <v>886</v>
      </c>
      <c r="CM36" s="280">
        <v>68</v>
      </c>
      <c r="CN36" s="280">
        <v>48</v>
      </c>
      <c r="CO36" s="280">
        <v>24</v>
      </c>
      <c r="CP36" s="280">
        <v>12</v>
      </c>
      <c r="CQ36" s="423">
        <v>2</v>
      </c>
      <c r="CS36" s="358" t="s">
        <v>866</v>
      </c>
      <c r="CT36" s="319" t="s">
        <v>884</v>
      </c>
      <c r="CU36" s="359" t="s">
        <v>885</v>
      </c>
      <c r="CV36" s="319" t="s">
        <v>924</v>
      </c>
      <c r="CW36" s="319" t="s">
        <v>917</v>
      </c>
      <c r="CX36" s="372" t="s">
        <v>918</v>
      </c>
      <c r="CZ36" s="373" t="s">
        <v>927</v>
      </c>
      <c r="DA36" s="280" t="s">
        <v>508</v>
      </c>
      <c r="DB36" s="280" t="s">
        <v>911</v>
      </c>
      <c r="DC36" s="280">
        <v>0.1</v>
      </c>
      <c r="DD36" s="280">
        <v>7.4999999999999997E-2</v>
      </c>
      <c r="DE36" s="423">
        <v>5.5E-2</v>
      </c>
      <c r="DF36" s="277"/>
      <c r="DG36" s="373"/>
      <c r="DH36" s="280"/>
      <c r="DI36" s="280"/>
      <c r="DJ36" s="280"/>
      <c r="DK36" s="280"/>
      <c r="DL36" s="423"/>
      <c r="DN36" s="280" t="s">
        <v>617</v>
      </c>
      <c r="DO36" s="280">
        <v>68</v>
      </c>
      <c r="DQ36" s="280" t="s">
        <v>617</v>
      </c>
      <c r="DR36" s="280">
        <v>20</v>
      </c>
      <c r="DV36" s="350" t="s">
        <v>904</v>
      </c>
      <c r="DW36" s="351">
        <f t="array" ref="DW36">IF(ChoixRationComplèteDaims=OUI,0,IFERROR(IF(OR(AND(INDEX(Règles_daims[Specificite],MATCH(ChoixRationDaims&amp;DV36,Règles_daims[Ration]&amp;Règles_daims[Aliment],0))="s1",IF(DV36=Spécificité1Daims,1)),
AND(INDEX(Règles_daims[Specificite],MATCH(ChoixRationDaims&amp;DV36,Règles_daims[Ration]&amp;Règles_daims[Aliment],0))="s2",IF(DV36=Spécificité2Daims,1)),
INDEX(Règles_daims[Specificite],MATCH(ChoixRationDaims&amp;DV36,Règles_daims[Ration]&amp;Règles_daims[Aliment],0))="c"),
INDEX(Règles_daims[Valeur 36 et plus],MATCH(ChoixRationDaims&amp;DV36,Règles_daims[Ration]&amp;Règles_daims[Aliment],0)),0),0)*SUM(TotalDaimsAdultes)*NbreJoursNourrirBisonsDaims)</f>
        <v>0</v>
      </c>
      <c r="DX36" s="351">
        <f t="array" ref="DX36">IF(ChoixRationComplèteDaims=OUI,0,IFERROR(IF(OR(AND(INDEX(Règles_daims[Specificite],MATCH(ChoixRationDaims&amp;DV36,Règles_daims[Ration]&amp;Règles_daims[Aliment],0))="s1",IF(DV36=Spécificité1Daims,1)),
AND(INDEX(Règles_daims[Specificite],MATCH(ChoixRationDaims&amp;DV36,Règles_daims[Ration]&amp;Règles_daims[Aliment],0))="s2",IF(DV36=Spécificité2Daims,1)),
INDEX(Règles_daims[Specificite],MATCH(ChoixRationDaims&amp;DV36,Règles_daims[Ration]&amp;Règles_daims[Aliment],0))="c"),
INDEX(Règles_daims[Valeur 24-36],MATCH(ChoixRationDaims&amp;DV36,Règles_daims[Ration]&amp;Règles_daims[Aliment],0)),0),0)*SUM(TotalDaims24_36)*NbreJoursNourrirBisonsDaims)</f>
        <v>0</v>
      </c>
      <c r="DY36" s="351">
        <f t="array" ref="DY36">IF(ChoixRationComplèteDaims=OUI,0,IFERROR(IF(OR(AND(INDEX(Règles_daims[Specificite],MATCH(ChoixRationDaims&amp;DV36,Règles_daims[Ration]&amp;Règles_daims[Aliment],0))="s1",IF(DV36=Spécificité1Daims,1)),
AND(INDEX(Règles_daims[Specificite],MATCH(ChoixRationDaims&amp;DV36,Règles_daims[Ration]&amp;Règles_daims[Aliment],0))="s2",IF(DV36=Spécificité2Daims,1)),
INDEX(Règles_daims[Specificite],MATCH(ChoixRationDaims&amp;DV36,Règles_daims[Ration]&amp;Règles_daims[Aliment],0))="c"),
INDEX(Règles_daims[Valeur 18-24],MATCH(ChoixRationDaims&amp;DV36,Règles_daims[Ration]&amp;Règles_daims[Aliment],0)),0),0)*SUM(TotalDaims18_24)*NbreJoursNourrirBisonsDaims)</f>
        <v>0</v>
      </c>
      <c r="DZ36" s="441">
        <f t="array" ref="DZ36">IF(ChoixRationComplèteDaims=OUI,0,IFERROR(IF(OR(AND(INDEX(Règles_daims[Specificite],MATCH(ChoixRationDaims&amp;DV36,Règles_daims[Ration]&amp;Règles_daims[Aliment],0))="s1",IF(DV36=Spécificité1Daims,1)),
AND(INDEX(Règles_daims[Specificite],MATCH(ChoixRationDaims&amp;DV36,Règles_daims[Ration]&amp;Règles_daims[Aliment],0))="s2",IF(DV36=Spécificité2Daims,1)),
INDEX(Règles_daims[Specificite],MATCH(ChoixRationDaims&amp;DV36,Règles_daims[Ration]&amp;Règles_daims[Aliment],0))="c"),
INDEX(Règles_daims[Valeur 12-18],MATCH(ChoixRationDaims&amp;DV36,Règles_daims[Ration]&amp;Règles_daims[Aliment],0)),0),0)*SUM(TotalDaims12_18)*NbreJoursNourrirBisonsDaims)</f>
        <v>0</v>
      </c>
      <c r="EA36" s="441">
        <f t="array" ref="EA36">IF(ChoixRationComplèteDaims=OUI,0,IFERROR(IF(OR(AND(INDEX(Règles_daims[Specificite],MATCH(ChoixRationDaims&amp;DV36,Règles_daims[Ration]&amp;Règles_daims[Aliment],0))="s1",IF(DV36=Spécificité1Daims,1)),
AND(INDEX(Règles_daims[Specificite],MATCH(ChoixRationDaims&amp;DV36,Règles_daims[Ration]&amp;Règles_daims[Aliment],0))="s2",IF(DV36=Spécificité2Daims,1)),
INDEX(Règles_daims[Specificite],MATCH(ChoixRationDaims&amp;DV36,Règles_daims[Ration]&amp;Règles_daims[Aliment],0))="c"),
INDEX(Règles_daims[Valeur 6-12],MATCH(ChoixRationDaims&amp;DV36,Règles_daims[Ration]&amp;Règles_daims[Aliment],0)),0),0)*SUM(TotalDaims6_12)*NbreJoursNourrirBisonsDaims)</f>
        <v>0</v>
      </c>
      <c r="EB36" s="441">
        <f t="array" ref="EB36">IF(ChoixRationComplèteDaims=OUI,0,IFERROR(IF(OR(AND(INDEX(Règles_daims[Specificite],MATCH(ChoixRationDaims&amp;DV36,Règles_daims[Ration]&amp;Règles_daims[Aliment],0))="s1",IF(DV36=Spécificité1Daims,1)),
AND(INDEX(Règles_daims[Specificite],MATCH(ChoixRationDaims&amp;DV36,Règles_daims[Ration]&amp;Règles_daims[Aliment],0))="s2",IF(DV36=Spécificité2Daims,1)),
INDEX(Règles_daims[Specificite],MATCH(ChoixRationDaims&amp;DV36,Règles_daims[Ration]&amp;Règles_daims[Aliment],0))="c"),
INDEX(Règles_daims[Valeur 3-6],MATCH(ChoixRationDaims&amp;DV36,Règles_daims[Ration]&amp;Règles_daims[Aliment],0)),0),0)*SUM(TotalDaims3_6)*NbreJoursNourrirBisonsDaims)</f>
        <v>0</v>
      </c>
      <c r="EC36" s="441">
        <f t="array" ref="EC36">IF(ChoixRationComplèteDaims=OUI,0,IFERROR(IF(OR(AND(INDEX(Règles_daims[Specificite],MATCH(ChoixRationDaims&amp;DV36,Règles_daims[Ration]&amp;Règles_daims[Aliment],0))="s1",IF(DV36=Spécificité1Daims,1)),
AND(INDEX(Règles_daims[Specificite],MATCH(ChoixRationDaims&amp;DV36,Règles_daims[Ration]&amp;Règles_daims[Aliment],0))="s2",IF(DV36=Spécificité2Daims,1)),
INDEX(Règles_daims[Specificite],MATCH(ChoixRationDaims&amp;DV36,Règles_daims[Ration]&amp;Règles_daims[Aliment],0))="c"),
INDEX(Règles_daims[Valeur 0-3],MATCH(ChoixRationDaims&amp;DV36,Règles_daims[Ration]&amp;Règles_daims[Aliment],0)),0),0)*SUM(TotalDaims0_3)*NbreJoursNourrirBisonsDaims)</f>
        <v>0</v>
      </c>
      <c r="ED36" s="441">
        <f t="shared" si="9"/>
        <v>0</v>
      </c>
      <c r="EG36" s="381" t="s">
        <v>1018</v>
      </c>
      <c r="EH36" s="280" t="s">
        <v>490</v>
      </c>
      <c r="EI36" s="280" t="s">
        <v>886</v>
      </c>
      <c r="EJ36" s="280">
        <v>0.08</v>
      </c>
      <c r="EK36" s="280">
        <v>0.06</v>
      </c>
      <c r="EL36" s="423">
        <v>0.04</v>
      </c>
      <c r="EN36" s="381" t="s">
        <v>936</v>
      </c>
      <c r="EO36" s="280" t="s">
        <v>500</v>
      </c>
      <c r="EP36" s="280" t="s">
        <v>886</v>
      </c>
      <c r="EQ36" s="280">
        <v>0.04</v>
      </c>
      <c r="ER36" s="280">
        <v>0.03</v>
      </c>
      <c r="ES36" s="423">
        <v>0.2</v>
      </c>
      <c r="FD36" s="381" t="s">
        <v>1022</v>
      </c>
      <c r="FE36" s="280" t="s">
        <v>268</v>
      </c>
      <c r="FF36" s="280" t="s">
        <v>886</v>
      </c>
      <c r="FG36" s="280">
        <v>6</v>
      </c>
      <c r="FH36" s="280">
        <v>4</v>
      </c>
      <c r="FI36" s="280">
        <v>2.5</v>
      </c>
      <c r="FJ36" s="423">
        <v>1.5</v>
      </c>
      <c r="FK36" s="298"/>
      <c r="FL36" s="298"/>
      <c r="FN36" s="381" t="s">
        <v>1022</v>
      </c>
      <c r="FO36" s="280" t="s">
        <v>168</v>
      </c>
      <c r="FP36" s="280" t="s">
        <v>886</v>
      </c>
      <c r="FQ36" s="280">
        <v>12</v>
      </c>
      <c r="FR36" s="280">
        <v>9</v>
      </c>
      <c r="FS36" s="280">
        <v>6</v>
      </c>
      <c r="FT36" s="423">
        <v>3</v>
      </c>
      <c r="FU36" s="298"/>
      <c r="FV36" s="298"/>
      <c r="FW36" s="373"/>
      <c r="FX36" s="280"/>
      <c r="FY36" s="280"/>
      <c r="FZ36" s="280"/>
      <c r="GA36" s="280"/>
      <c r="GB36" s="280"/>
      <c r="GC36" s="423"/>
      <c r="GE36" s="280" t="s">
        <v>131</v>
      </c>
      <c r="GF36" s="283"/>
      <c r="GG36" s="280" t="s">
        <v>291</v>
      </c>
      <c r="GH36" s="283" t="s">
        <v>955</v>
      </c>
      <c r="GI36" s="283" t="s">
        <v>955</v>
      </c>
      <c r="GJ36" s="283" t="s">
        <v>955</v>
      </c>
      <c r="GK36" s="283" t="s">
        <v>955</v>
      </c>
      <c r="GL36" s="283" t="s">
        <v>955</v>
      </c>
      <c r="GM36" s="283" t="s">
        <v>955</v>
      </c>
      <c r="GN36" s="283" t="s">
        <v>955</v>
      </c>
      <c r="GO36" s="283" t="s">
        <v>955</v>
      </c>
      <c r="GP36" s="283" t="s">
        <v>955</v>
      </c>
      <c r="GQ36" s="283" t="s">
        <v>955</v>
      </c>
      <c r="GR36" s="283" t="s">
        <v>955</v>
      </c>
      <c r="GS36" s="283" t="s">
        <v>955</v>
      </c>
      <c r="GT36" s="283" t="s">
        <v>955</v>
      </c>
      <c r="GU36" s="283" t="s">
        <v>955</v>
      </c>
      <c r="GV36" s="283" t="s">
        <v>955</v>
      </c>
      <c r="GY36" s="444" t="str">
        <f t="shared" ref="GY36:GY80" si="11">GG3</f>
        <v>semences d'avoine (G)</v>
      </c>
      <c r="GZ36" s="444"/>
      <c r="HA36" s="342"/>
      <c r="HB36" s="342" t="e">
        <f>IF(COUNTIF(TypeArticleDansEntrepôt,GY36)=0,0,SUMIF(TypeArticleDansEntrepôt,GY36,QtéArticleDansEntrepôt)*VLOOKUP(GY36,#REF!,2,FALSE))</f>
        <v>#REF!</v>
      </c>
      <c r="HK36" s="280" t="s">
        <v>1089</v>
      </c>
      <c r="HL36" s="288">
        <f>AVERAGE(4,4.2)*1000</f>
        <v>4100</v>
      </c>
      <c r="HN36" s="280" t="s">
        <v>994</v>
      </c>
      <c r="HO36" s="289">
        <v>50</v>
      </c>
      <c r="HP36" s="293" t="s">
        <v>1057</v>
      </c>
      <c r="HQ36" s="293">
        <v>0.75</v>
      </c>
      <c r="HR36" s="293">
        <v>0.75</v>
      </c>
      <c r="HS36" s="293">
        <v>0.75</v>
      </c>
      <c r="HT36" s="293">
        <v>0.33333333333333331</v>
      </c>
      <c r="HU36" s="293">
        <v>0.33333333333333331</v>
      </c>
    </row>
    <row r="37" spans="1:241" ht="12.75" customHeight="1" x14ac:dyDescent="0.2">
      <c r="A37" s="369"/>
      <c r="B37" s="280"/>
      <c r="C37" s="280"/>
      <c r="D37" s="423"/>
      <c r="E37" s="283" t="s">
        <v>818</v>
      </c>
      <c r="F37" s="291" t="s">
        <v>625</v>
      </c>
      <c r="H37" s="290"/>
      <c r="N37" s="277"/>
      <c r="O37" s="280" t="s">
        <v>859</v>
      </c>
      <c r="P37" s="280"/>
      <c r="Q37" s="280"/>
      <c r="R37" s="280"/>
      <c r="S37" s="280"/>
      <c r="T37" s="280"/>
      <c r="U37" s="280"/>
      <c r="V37" s="280"/>
      <c r="W37" s="280"/>
      <c r="X37" s="280"/>
      <c r="Y37" s="280"/>
      <c r="Z37" s="280"/>
      <c r="AA37" s="280"/>
      <c r="AB37" s="280"/>
      <c r="AC37" s="280"/>
      <c r="AD37" s="280"/>
      <c r="AE37" s="280"/>
      <c r="AF37" s="280"/>
      <c r="AG37" s="517"/>
      <c r="AH37" s="518"/>
      <c r="AI37" s="280"/>
      <c r="AJ37" s="280"/>
      <c r="AK37" s="280"/>
      <c r="AL37" s="280"/>
      <c r="AM37" s="280"/>
      <c r="AN37" s="280"/>
      <c r="AO37" s="280"/>
      <c r="AP37" s="280"/>
      <c r="AQ37" s="280"/>
      <c r="AR37" s="280"/>
      <c r="AS37" s="280"/>
      <c r="AT37" s="280"/>
      <c r="AU37" s="280"/>
      <c r="AV37" s="280"/>
      <c r="AW37" s="280"/>
      <c r="AX37" s="280"/>
      <c r="AY37" s="280"/>
      <c r="BC37" s="284" t="s">
        <v>520</v>
      </c>
      <c r="BD37" s="285">
        <v>15</v>
      </c>
      <c r="BF37" s="284" t="s">
        <v>502</v>
      </c>
      <c r="BG37" s="285">
        <v>88</v>
      </c>
      <c r="BL37" s="312"/>
      <c r="BM37" s="350" t="s">
        <v>392</v>
      </c>
      <c r="BN37" s="350">
        <f t="array" ref="BN37">IF(Ration_hivernale_complète_bisons[somme]&gt;0,0,IFERROR(IF(OR(AND(INDEX(Règles_bison[Specificite],MATCH(ChoixRationBisons&amp;$BM37,Règles_bison[Ration]&amp;Règles_bison[Aliment],0))="s1",IF($BM37=ChoixSpécificité1Bisons,1)),
INDEX(Règles_bison[Specificite],MATCH(ChoixRationBisons&amp;$BM37,Règles_bison[Ration]&amp;Règles_bison[Aliment],0))="c"),
INDEX(Règles_bison[Valeur 36 et plus],MATCH(ChoixRationBisons&amp;$BM37,Règles_bison[Ration]&amp;Règles_bison[Aliment],0)),0),0)*TotalBisonsMalesAdultes*NbreJoursNourrirBisonsDaims)</f>
        <v>0</v>
      </c>
      <c r="BO37" s="350">
        <f t="array" ref="BO37">IF(Ration_hivernale_complète_bisons[somme]&gt;0,0,IFERROR(IF(OR(AND(INDEX(Règles_bison[Specificite],MATCH(ChoixRationBisons&amp;$BM37,Règles_bison[Ration]&amp;Règles_bison[Aliment],0))="s1",IF($BM37=ChoixSpécificité1Bisons,1)),
INDEX(Règles_bison[Specificite],MATCH(ChoixRationBisons&amp;$BM37,Règles_bison[Ration]&amp;Règles_bison[Aliment],0))="c"),
INDEX(Règles_bison[Valeur 24-36],MATCH(ChoixRationBisons&amp;$BM37,Règles_bison[Ration]&amp;Règles_bison[Aliment],0)),0),0)*TotalBisonsMales_24_36_mois*NbreJoursNourrirBisonsDaims)</f>
        <v>0</v>
      </c>
      <c r="BP37" s="350">
        <f t="array" ref="BP37">IF(Ration_hivernale_complète_bisons[somme]&gt;0,0,IFERROR(IF(OR(AND(INDEX(Règles_bison[Specificite],MATCH(ChoixRationBisons&amp;$BM37,Règles_bison[Ration]&amp;Règles_bison[Aliment],0))="s1",IF($BM37=ChoixSpécificité1Bisons,1)),
INDEX(Règles_bison[Specificite],MATCH(ChoixRationBisons&amp;$BM37,Règles_bison[Ration]&amp;Règles_bison[Aliment],0))="c"),
INDEX(Règles_bison[Valeur 18-24],MATCH(ChoixRationBisons&amp;$BM37,Règles_bison[Ration]&amp;Règles_bison[Aliment],0)),0),0)*TotalBisonsMales_18_24_mois*NbreJoursNourrirBisonsDaims)</f>
        <v>0</v>
      </c>
      <c r="BQ37" s="350">
        <f t="array" ref="BQ37">IF(Ration_hivernale_complète_bisons[somme]&gt;0,0,IFERROR(IF(OR(AND(INDEX(Règles_bison[Specificite],MATCH(ChoixRationBisons&amp;$BM37,Règles_bison[Ration]&amp;Règles_bison[Aliment],0))="s1",IF($BM37=ChoixSpécificité1Bisons,1)),
INDEX(Règles_bison[Specificite],MATCH(ChoixRationBisons&amp;$BM37,Règles_bison[Ration]&amp;Règles_bison[Aliment],0))="c"),
INDEX(Règles_bison[Valeur 12-18],MATCH(ChoixRationBisons&amp;$BM37,Règles_bison[Ration]&amp;Règles_bison[Aliment],0)),0),0)*TotalBisonsMales_12_18_mois*NbreJoursNourrirBisonsDaims)</f>
        <v>0</v>
      </c>
      <c r="BR37" s="350">
        <f t="array" ref="BR37">IF(Ration_hivernale_complète_bisons[somme]&gt;0,0,IFERROR(IF(OR(AND(INDEX(Règles_bison[Specificite],MATCH(ChoixRationBisons&amp;$BM37,Règles_bison[Ration]&amp;Règles_bison[Aliment],0))="s1",IF($BM37=ChoixSpécificité1Bisons,1)),
INDEX(Règles_bison[Specificite],MATCH(ChoixRationBisons&amp;$BM37,Règles_bison[Ration]&amp;Règles_bison[Aliment],0))="c"),
INDEX(Règles_bison[Valeur 6-12],MATCH(ChoixRationBisons&amp;$BM37,Règles_bison[Ration]&amp;Règles_bison[Aliment],0)),0),0)*TotalBisonsMales_6_12_mois*NbreJoursNourrirBisonsDaims)</f>
        <v>0</v>
      </c>
      <c r="BS37" s="350">
        <f t="array" ref="BS37">IF(Ration_hivernale_complète_bisons[somme]&gt;0,0,IFERROR(IF(OR(AND(INDEX(Règles_bison[Specificite],MATCH(ChoixRationBisons&amp;$BM37,Règles_bison[Ration]&amp;Règles_bison[Aliment],0))="s1",IF($BM37=ChoixSpécificité1Bisons,1)),
INDEX(Règles_bison[Specificite],MATCH(ChoixRationBisons&amp;$BM37,Règles_bison[Ration]&amp;Règles_bison[Aliment],0))="c"),
INDEX(Règles_bison[Valeur 3-6],MATCH(ChoixRationBisons&amp;$BM37,Règles_bison[Ration]&amp;Règles_bison[Aliment],0)),0),0)*TotalBisonsMales_3_6_mois*NbreJoursNourrirBisonsDaims)</f>
        <v>0</v>
      </c>
      <c r="BT37" s="350">
        <f t="array" ref="BT37">IF(Ration_hivernale_complète_bisons[somme]&gt;0,0,IFERROR(IF(OR(AND(INDEX(Règles_bison[Specificite],MATCH(ChoixRationBisons&amp;$BM37,Règles_bison[Ration]&amp;Règles_bison[Aliment],0))="s1",IF($BM37=ChoixSpécificité1Bisons,1)),
INDEX(Règles_bison[Specificite],MATCH(ChoixRationBisons&amp;$BM37,Règles_bison[Ration]&amp;Règles_bison[Aliment],0))="c"),
INDEX(Règles_bison[Valeur 0-3],MATCH(ChoixRationBisons&amp;$BM37,Règles_bison[Ration]&amp;Règles_bison[Aliment],0)),0),0)*TotalBisonsMales_0_3_mois*NbreJoursNourrirBisonsDaims)</f>
        <v>0</v>
      </c>
      <c r="BU37" s="350">
        <f t="shared" si="10"/>
        <v>0</v>
      </c>
      <c r="BY37" s="280" t="s">
        <v>794</v>
      </c>
      <c r="BZ37" s="280">
        <v>570</v>
      </c>
      <c r="CB37" s="280" t="s">
        <v>794</v>
      </c>
      <c r="CC37" s="280">
        <v>684</v>
      </c>
      <c r="CJ37" s="373"/>
      <c r="CK37" s="280"/>
      <c r="CL37" s="280"/>
      <c r="CM37" s="280"/>
      <c r="CN37" s="280"/>
      <c r="CO37" s="280"/>
      <c r="CP37" s="280"/>
      <c r="CQ37" s="423"/>
      <c r="CS37" s="373" t="s">
        <v>926</v>
      </c>
      <c r="CT37" s="280" t="s">
        <v>508</v>
      </c>
      <c r="CU37" s="280" t="s">
        <v>911</v>
      </c>
      <c r="CV37" s="280">
        <v>1.8</v>
      </c>
      <c r="CW37" s="280">
        <v>1.2</v>
      </c>
      <c r="CX37" s="423">
        <v>0</v>
      </c>
      <c r="CZ37" s="373" t="s">
        <v>927</v>
      </c>
      <c r="DA37" s="280" t="s">
        <v>220</v>
      </c>
      <c r="DB37" s="280" t="s">
        <v>887</v>
      </c>
      <c r="DC37" s="280">
        <v>5.5E-2</v>
      </c>
      <c r="DD37" s="280">
        <v>0.04</v>
      </c>
      <c r="DE37" s="423">
        <v>0.03</v>
      </c>
      <c r="DF37" s="277"/>
      <c r="DG37" s="373"/>
      <c r="DH37" s="280"/>
      <c r="DI37" s="280"/>
      <c r="DJ37" s="280"/>
      <c r="DK37" s="280"/>
      <c r="DL37" s="423"/>
      <c r="DN37" s="280" t="s">
        <v>618</v>
      </c>
      <c r="DO37" s="280">
        <v>60</v>
      </c>
      <c r="DQ37" s="280" t="s">
        <v>618</v>
      </c>
      <c r="DR37" s="280">
        <v>15</v>
      </c>
      <c r="DV37" s="350" t="s">
        <v>500</v>
      </c>
      <c r="DW37" s="351">
        <f t="array" ref="DW37">IF(ChoixRationComplèteDaims=OUI,0,IFERROR(IF(OR(AND(INDEX(Règles_daims[Specificite],MATCH(ChoixRationDaims&amp;DV37,Règles_daims[Ration]&amp;Règles_daims[Aliment],0))="s1",IF(DV37=Spécificité1Daims,1)),
AND(INDEX(Règles_daims[Specificite],MATCH(ChoixRationDaims&amp;DV37,Règles_daims[Ration]&amp;Règles_daims[Aliment],0))="s2",IF(DV37=Spécificité2Daims,1)),
INDEX(Règles_daims[Specificite],MATCH(ChoixRationDaims&amp;DV37,Règles_daims[Ration]&amp;Règles_daims[Aliment],0))="c"),
INDEX(Règles_daims[Valeur 36 et plus],MATCH(ChoixRationDaims&amp;DV37,Règles_daims[Ration]&amp;Règles_daims[Aliment],0)),0),0)*SUM(TotalDaimsAdultes)*NbreJoursNourrirBisonsDaims)</f>
        <v>0</v>
      </c>
      <c r="DX37" s="351">
        <f t="array" ref="DX37">IF(ChoixRationComplèteDaims=OUI,0,IFERROR(IF(OR(AND(INDEX(Règles_daims[Specificite],MATCH(ChoixRationDaims&amp;DV37,Règles_daims[Ration]&amp;Règles_daims[Aliment],0))="s1",IF(DV37=Spécificité1Daims,1)),
AND(INDEX(Règles_daims[Specificite],MATCH(ChoixRationDaims&amp;DV37,Règles_daims[Ration]&amp;Règles_daims[Aliment],0))="s2",IF(DV37=Spécificité2Daims,1)),
INDEX(Règles_daims[Specificite],MATCH(ChoixRationDaims&amp;DV37,Règles_daims[Ration]&amp;Règles_daims[Aliment],0))="c"),
INDEX(Règles_daims[Valeur 24-36],MATCH(ChoixRationDaims&amp;DV37,Règles_daims[Ration]&amp;Règles_daims[Aliment],0)),0),0)*SUM(TotalDaims24_36)*NbreJoursNourrirBisonsDaims)</f>
        <v>0</v>
      </c>
      <c r="DY37" s="351">
        <f t="array" ref="DY37">IF(ChoixRationComplèteDaims=OUI,0,IFERROR(IF(OR(AND(INDEX(Règles_daims[Specificite],MATCH(ChoixRationDaims&amp;DV37,Règles_daims[Ration]&amp;Règles_daims[Aliment],0))="s1",IF(DV37=Spécificité1Daims,1)),
AND(INDEX(Règles_daims[Specificite],MATCH(ChoixRationDaims&amp;DV37,Règles_daims[Ration]&amp;Règles_daims[Aliment],0))="s2",IF(DV37=Spécificité2Daims,1)),
INDEX(Règles_daims[Specificite],MATCH(ChoixRationDaims&amp;DV37,Règles_daims[Ration]&amp;Règles_daims[Aliment],0))="c"),
INDEX(Règles_daims[Valeur 18-24],MATCH(ChoixRationDaims&amp;DV37,Règles_daims[Ration]&amp;Règles_daims[Aliment],0)),0),0)*SUM(TotalDaims18_24)*NbreJoursNourrirBisonsDaims)</f>
        <v>0</v>
      </c>
      <c r="DZ37" s="441">
        <f t="array" ref="DZ37">IF(ChoixRationComplèteDaims=OUI,0,IFERROR(IF(OR(AND(INDEX(Règles_daims[Specificite],MATCH(ChoixRationDaims&amp;DV37,Règles_daims[Ration]&amp;Règles_daims[Aliment],0))="s1",IF(DV37=Spécificité1Daims,1)),
AND(INDEX(Règles_daims[Specificite],MATCH(ChoixRationDaims&amp;DV37,Règles_daims[Ration]&amp;Règles_daims[Aliment],0))="s2",IF(DV37=Spécificité2Daims,1)),
INDEX(Règles_daims[Specificite],MATCH(ChoixRationDaims&amp;DV37,Règles_daims[Ration]&amp;Règles_daims[Aliment],0))="c"),
INDEX(Règles_daims[Valeur 12-18],MATCH(ChoixRationDaims&amp;DV37,Règles_daims[Ration]&amp;Règles_daims[Aliment],0)),0),0)*SUM(TotalDaims12_18)*NbreJoursNourrirBisonsDaims)</f>
        <v>0</v>
      </c>
      <c r="EA37" s="441">
        <f t="array" ref="EA37">IF(ChoixRationComplèteDaims=OUI,0,IFERROR(IF(OR(AND(INDEX(Règles_daims[Specificite],MATCH(ChoixRationDaims&amp;DV37,Règles_daims[Ration]&amp;Règles_daims[Aliment],0))="s1",IF(DV37=Spécificité1Daims,1)),
AND(INDEX(Règles_daims[Specificite],MATCH(ChoixRationDaims&amp;DV37,Règles_daims[Ration]&amp;Règles_daims[Aliment],0))="s2",IF(DV37=Spécificité2Daims,1)),
INDEX(Règles_daims[Specificite],MATCH(ChoixRationDaims&amp;DV37,Règles_daims[Ration]&amp;Règles_daims[Aliment],0))="c"),
INDEX(Règles_daims[Valeur 6-12],MATCH(ChoixRationDaims&amp;DV37,Règles_daims[Ration]&amp;Règles_daims[Aliment],0)),0),0)*SUM(TotalDaims6_12)*NbreJoursNourrirBisonsDaims)</f>
        <v>0</v>
      </c>
      <c r="EB37" s="441">
        <f t="array" ref="EB37">IF(ChoixRationComplèteDaims=OUI,0,IFERROR(IF(OR(AND(INDEX(Règles_daims[Specificite],MATCH(ChoixRationDaims&amp;DV37,Règles_daims[Ration]&amp;Règles_daims[Aliment],0))="s1",IF(DV37=Spécificité1Daims,1)),
AND(INDEX(Règles_daims[Specificite],MATCH(ChoixRationDaims&amp;DV37,Règles_daims[Ration]&amp;Règles_daims[Aliment],0))="s2",IF(DV37=Spécificité2Daims,1)),
INDEX(Règles_daims[Specificite],MATCH(ChoixRationDaims&amp;DV37,Règles_daims[Ration]&amp;Règles_daims[Aliment],0))="c"),
INDEX(Règles_daims[Valeur 3-6],MATCH(ChoixRationDaims&amp;DV37,Règles_daims[Ration]&amp;Règles_daims[Aliment],0)),0),0)*SUM(TotalDaims3_6)*NbreJoursNourrirBisonsDaims)</f>
        <v>0</v>
      </c>
      <c r="EC37" s="441">
        <f t="array" ref="EC37">IF(ChoixRationComplèteDaims=OUI,0,IFERROR(IF(OR(AND(INDEX(Règles_daims[Specificite],MATCH(ChoixRationDaims&amp;DV37,Règles_daims[Ration]&amp;Règles_daims[Aliment],0))="s1",IF(DV37=Spécificité1Daims,1)),
AND(INDEX(Règles_daims[Specificite],MATCH(ChoixRationDaims&amp;DV37,Règles_daims[Ration]&amp;Règles_daims[Aliment],0))="s2",IF(DV37=Spécificité2Daims,1)),
INDEX(Règles_daims[Specificite],MATCH(ChoixRationDaims&amp;DV37,Règles_daims[Ration]&amp;Règles_daims[Aliment],0))="c"),
INDEX(Règles_daims[Valeur 0-3],MATCH(ChoixRationDaims&amp;DV37,Règles_daims[Ration]&amp;Règles_daims[Aliment],0)),0),0)*SUM(TotalDaims0_3)*NbreJoursNourrirBisonsDaims)</f>
        <v>0</v>
      </c>
      <c r="ED37" s="441">
        <f t="shared" si="9"/>
        <v>0</v>
      </c>
      <c r="EG37" s="381" t="s">
        <v>1018</v>
      </c>
      <c r="EH37" s="280" t="s">
        <v>905</v>
      </c>
      <c r="EI37" s="280" t="s">
        <v>886</v>
      </c>
      <c r="EJ37" s="280">
        <v>2E-3</v>
      </c>
      <c r="EK37" s="280">
        <v>1.2E-2</v>
      </c>
      <c r="EL37" s="423">
        <v>8.0000000000000002E-3</v>
      </c>
      <c r="EN37" s="381" t="s">
        <v>936</v>
      </c>
      <c r="EO37" s="280" t="s">
        <v>57</v>
      </c>
      <c r="EP37" s="280" t="s">
        <v>886</v>
      </c>
      <c r="EQ37" s="280">
        <v>0.04</v>
      </c>
      <c r="ER37" s="280">
        <v>0.03</v>
      </c>
      <c r="ES37" s="423">
        <v>0.2</v>
      </c>
      <c r="EU37" s="283" t="s">
        <v>786</v>
      </c>
      <c r="EV37" s="277"/>
      <c r="EW37" s="277"/>
      <c r="EX37" s="277"/>
      <c r="EZ37" s="276"/>
      <c r="FD37" s="381" t="s">
        <v>1022</v>
      </c>
      <c r="FE37" s="280" t="s">
        <v>168</v>
      </c>
      <c r="FF37" s="280" t="s">
        <v>886</v>
      </c>
      <c r="FG37" s="280">
        <v>18</v>
      </c>
      <c r="FH37" s="280">
        <v>12</v>
      </c>
      <c r="FI37" s="280">
        <v>7</v>
      </c>
      <c r="FJ37" s="423">
        <v>4</v>
      </c>
      <c r="FK37" s="298"/>
      <c r="FL37" s="298"/>
      <c r="FN37" s="381" t="s">
        <v>1022</v>
      </c>
      <c r="FO37" s="280" t="s">
        <v>510</v>
      </c>
      <c r="FP37" s="280" t="s">
        <v>886</v>
      </c>
      <c r="FQ37" s="280">
        <v>12</v>
      </c>
      <c r="FR37" s="280">
        <v>9</v>
      </c>
      <c r="FS37" s="280">
        <v>6</v>
      </c>
      <c r="FT37" s="423">
        <v>3</v>
      </c>
      <c r="FU37" s="298"/>
      <c r="FV37" s="298"/>
      <c r="FW37" s="373"/>
      <c r="FX37" s="280"/>
      <c r="FY37" s="280"/>
      <c r="FZ37" s="280"/>
      <c r="GA37" s="280"/>
      <c r="GB37" s="280"/>
      <c r="GC37" s="423"/>
      <c r="GE37" s="280" t="s">
        <v>245</v>
      </c>
      <c r="GF37" s="283"/>
      <c r="GG37" s="280" t="s">
        <v>292</v>
      </c>
      <c r="GH37" s="283" t="s">
        <v>955</v>
      </c>
      <c r="GI37" s="283" t="s">
        <v>955</v>
      </c>
      <c r="GJ37" s="283" t="s">
        <v>955</v>
      </c>
      <c r="GK37" s="283" t="s">
        <v>955</v>
      </c>
      <c r="GL37" s="283" t="s">
        <v>955</v>
      </c>
      <c r="GM37" s="283" t="s">
        <v>955</v>
      </c>
      <c r="GN37" s="283" t="s">
        <v>955</v>
      </c>
      <c r="GO37" s="283" t="s">
        <v>955</v>
      </c>
      <c r="GP37" s="283" t="s">
        <v>955</v>
      </c>
      <c r="GQ37" s="283" t="s">
        <v>955</v>
      </c>
      <c r="GR37" s="283" t="s">
        <v>955</v>
      </c>
      <c r="GS37" s="283" t="s">
        <v>955</v>
      </c>
      <c r="GT37" s="283" t="s">
        <v>955</v>
      </c>
      <c r="GU37" s="283" t="s">
        <v>955</v>
      </c>
      <c r="GV37" s="283" t="s">
        <v>955</v>
      </c>
      <c r="GY37" s="444" t="str">
        <f t="shared" si="11"/>
        <v>semences d'avoine (GP)</v>
      </c>
      <c r="GZ37" s="444"/>
      <c r="HA37" s="342"/>
      <c r="HB37" s="342" t="e">
        <f>IF(COUNTIF(TypeArticleDansEntrepôt,GY37)=0,0,SUMIF(TypeArticleDansEntrepôt,GY37,QtéArticleDansEntrepôt)*VLOOKUP(GY37,#REF!,2,FALSE))</f>
        <v>#REF!</v>
      </c>
      <c r="HK37" s="280" t="s">
        <v>1085</v>
      </c>
      <c r="HL37" s="288">
        <f>AVERAGE(3.8,4)*1000</f>
        <v>3900</v>
      </c>
      <c r="HN37" s="280" t="s">
        <v>146</v>
      </c>
      <c r="HO37" s="289">
        <v>25</v>
      </c>
      <c r="HP37" s="293">
        <v>0</v>
      </c>
      <c r="HQ37" s="293">
        <v>0.7142857142857143</v>
      </c>
      <c r="HR37" s="293">
        <v>0.81818181818181823</v>
      </c>
      <c r="HS37" s="293">
        <v>0.81818181818181823</v>
      </c>
      <c r="HT37" s="293">
        <v>0.5</v>
      </c>
      <c r="HU37" s="293">
        <v>0.33333333333333331</v>
      </c>
    </row>
    <row r="38" spans="1:241" ht="12.75" customHeight="1" x14ac:dyDescent="0.2">
      <c r="A38" s="369"/>
      <c r="B38" s="280"/>
      <c r="C38" s="280"/>
      <c r="D38" s="423"/>
      <c r="E38" s="283" t="s">
        <v>818</v>
      </c>
      <c r="F38" s="284"/>
      <c r="G38" s="285"/>
      <c r="H38" s="280"/>
      <c r="I38" s="280"/>
      <c r="N38" s="277"/>
      <c r="O38" s="280" t="s">
        <v>855</v>
      </c>
      <c r="P38" s="280"/>
      <c r="Q38" s="280"/>
      <c r="R38" s="280"/>
      <c r="S38" s="280"/>
      <c r="T38" s="280"/>
      <c r="U38" s="280"/>
      <c r="V38" s="280"/>
      <c r="W38" s="280"/>
      <c r="X38" s="280"/>
      <c r="Y38" s="280"/>
      <c r="Z38" s="280"/>
      <c r="AA38" s="280"/>
      <c r="AB38" s="280"/>
      <c r="AC38" s="280"/>
      <c r="AD38" s="280"/>
      <c r="AE38" s="280"/>
      <c r="AF38" s="280"/>
      <c r="AG38" s="517"/>
      <c r="AH38" s="518"/>
      <c r="AI38" s="280"/>
      <c r="AJ38" s="280"/>
      <c r="AK38" s="280"/>
      <c r="AL38" s="280"/>
      <c r="AM38" s="280"/>
      <c r="AN38" s="280"/>
      <c r="AO38" s="280"/>
      <c r="AP38" s="280"/>
      <c r="AQ38" s="280"/>
      <c r="AR38" s="280"/>
      <c r="AS38" s="280"/>
      <c r="AT38" s="280"/>
      <c r="AU38" s="280"/>
      <c r="AV38" s="280"/>
      <c r="AW38" s="280"/>
      <c r="AX38" s="280"/>
      <c r="AY38" s="280"/>
      <c r="BC38" s="284" t="s">
        <v>521</v>
      </c>
      <c r="BD38" s="285">
        <v>12</v>
      </c>
      <c r="BF38" s="284" t="s">
        <v>503</v>
      </c>
      <c r="BG38" s="285">
        <v>80</v>
      </c>
      <c r="BL38" s="312"/>
      <c r="BM38" s="350" t="s">
        <v>220</v>
      </c>
      <c r="BN38" s="350">
        <f t="array" ref="BN38">IF(Ration_hivernale_complète_bisons[somme]&gt;0,0,IFERROR(IF(OR(AND(INDEX(Règles_bison[Specificite],MATCH(ChoixRationBisons&amp;$BM38,Règles_bison[Ration]&amp;Règles_bison[Aliment],0))="s1",IF($BM38=ChoixSpécificité1Bisons,1)),
INDEX(Règles_bison[Specificite],MATCH(ChoixRationBisons&amp;$BM38,Règles_bison[Ration]&amp;Règles_bison[Aliment],0))="c"),
INDEX(Règles_bison[Valeur 36 et plus],MATCH(ChoixRationBisons&amp;$BM38,Règles_bison[Ration]&amp;Règles_bison[Aliment],0)),0),0)*TotalBisonsMalesAdultes*NbreJoursNourrirBisonsDaims)</f>
        <v>0</v>
      </c>
      <c r="BO38" s="350">
        <f t="array" ref="BO38">IF(Ration_hivernale_complète_bisons[somme]&gt;0,0,IFERROR(IF(OR(AND(INDEX(Règles_bison[Specificite],MATCH(ChoixRationBisons&amp;$BM38,Règles_bison[Ration]&amp;Règles_bison[Aliment],0))="s1",IF($BM38=ChoixSpécificité1Bisons,1)),
INDEX(Règles_bison[Specificite],MATCH(ChoixRationBisons&amp;$BM38,Règles_bison[Ration]&amp;Règles_bison[Aliment],0))="c"),
INDEX(Règles_bison[Valeur 24-36],MATCH(ChoixRationBisons&amp;$BM38,Règles_bison[Ration]&amp;Règles_bison[Aliment],0)),0),0)*TotalBisonsMales_24_36_mois*NbreJoursNourrirBisonsDaims)</f>
        <v>0</v>
      </c>
      <c r="BP38" s="350">
        <f t="array" ref="BP38">IF(Ration_hivernale_complète_bisons[somme]&gt;0,0,IFERROR(IF(OR(AND(INDEX(Règles_bison[Specificite],MATCH(ChoixRationBisons&amp;$BM38,Règles_bison[Ration]&amp;Règles_bison[Aliment],0))="s1",IF($BM38=ChoixSpécificité1Bisons,1)),
INDEX(Règles_bison[Specificite],MATCH(ChoixRationBisons&amp;$BM38,Règles_bison[Ration]&amp;Règles_bison[Aliment],0))="c"),
INDEX(Règles_bison[Valeur 18-24],MATCH(ChoixRationBisons&amp;$BM38,Règles_bison[Ration]&amp;Règles_bison[Aliment],0)),0),0)*TotalBisonsMales_18_24_mois*NbreJoursNourrirBisonsDaims)</f>
        <v>0</v>
      </c>
      <c r="BQ38" s="350">
        <f t="array" ref="BQ38">IF(Ration_hivernale_complète_bisons[somme]&gt;0,0,IFERROR(IF(OR(AND(INDEX(Règles_bison[Specificite],MATCH(ChoixRationBisons&amp;$BM38,Règles_bison[Ration]&amp;Règles_bison[Aliment],0))="s1",IF($BM38=ChoixSpécificité1Bisons,1)),
INDEX(Règles_bison[Specificite],MATCH(ChoixRationBisons&amp;$BM38,Règles_bison[Ration]&amp;Règles_bison[Aliment],0))="c"),
INDEX(Règles_bison[Valeur 12-18],MATCH(ChoixRationBisons&amp;$BM38,Règles_bison[Ration]&amp;Règles_bison[Aliment],0)),0),0)*TotalBisonsMales_12_18_mois*NbreJoursNourrirBisonsDaims)</f>
        <v>0</v>
      </c>
      <c r="BR38" s="350">
        <f t="array" ref="BR38">IF(Ration_hivernale_complète_bisons[somme]&gt;0,0,IFERROR(IF(OR(AND(INDEX(Règles_bison[Specificite],MATCH(ChoixRationBisons&amp;$BM38,Règles_bison[Ration]&amp;Règles_bison[Aliment],0))="s1",IF($BM38=ChoixSpécificité1Bisons,1)),
INDEX(Règles_bison[Specificite],MATCH(ChoixRationBisons&amp;$BM38,Règles_bison[Ration]&amp;Règles_bison[Aliment],0))="c"),
INDEX(Règles_bison[Valeur 6-12],MATCH(ChoixRationBisons&amp;$BM38,Règles_bison[Ration]&amp;Règles_bison[Aliment],0)),0),0)*TotalBisonsMales_6_12_mois*NbreJoursNourrirBisonsDaims)</f>
        <v>0</v>
      </c>
      <c r="BS38" s="350">
        <f t="array" ref="BS38">IF(Ration_hivernale_complète_bisons[somme]&gt;0,0,IFERROR(IF(OR(AND(INDEX(Règles_bison[Specificite],MATCH(ChoixRationBisons&amp;$BM38,Règles_bison[Ration]&amp;Règles_bison[Aliment],0))="s1",IF($BM38=ChoixSpécificité1Bisons,1)),
INDEX(Règles_bison[Specificite],MATCH(ChoixRationBisons&amp;$BM38,Règles_bison[Ration]&amp;Règles_bison[Aliment],0))="c"),
INDEX(Règles_bison[Valeur 3-6],MATCH(ChoixRationBisons&amp;$BM38,Règles_bison[Ration]&amp;Règles_bison[Aliment],0)),0),0)*TotalBisonsMales_3_6_mois*NbreJoursNourrirBisonsDaims)</f>
        <v>0</v>
      </c>
      <c r="BT38" s="350">
        <f t="array" ref="BT38">IF(Ration_hivernale_complète_bisons[somme]&gt;0,0,IFERROR(IF(OR(AND(INDEX(Règles_bison[Specificite],MATCH(ChoixRationBisons&amp;$BM38,Règles_bison[Ration]&amp;Règles_bison[Aliment],0))="s1",IF($BM38=ChoixSpécificité1Bisons,1)),
INDEX(Règles_bison[Specificite],MATCH(ChoixRationBisons&amp;$BM38,Règles_bison[Ration]&amp;Règles_bison[Aliment],0))="c"),
INDEX(Règles_bison[Valeur 0-3],MATCH(ChoixRationBisons&amp;$BM38,Règles_bison[Ration]&amp;Règles_bison[Aliment],0)),0),0)*TotalBisonsMales_0_3_mois*NbreJoursNourrirBisonsDaims)</f>
        <v>0</v>
      </c>
      <c r="BU38" s="350">
        <f t="shared" si="10"/>
        <v>0</v>
      </c>
      <c r="BY38" s="280" t="s">
        <v>795</v>
      </c>
      <c r="BZ38" s="280">
        <v>580</v>
      </c>
      <c r="CB38" s="280" t="s">
        <v>795</v>
      </c>
      <c r="CC38" s="280">
        <v>696</v>
      </c>
      <c r="CJ38" s="373"/>
      <c r="CK38" s="280"/>
      <c r="CL38" s="280"/>
      <c r="CM38" s="280"/>
      <c r="CN38" s="280"/>
      <c r="CO38" s="280"/>
      <c r="CP38" s="280"/>
      <c r="CQ38" s="423"/>
      <c r="CS38" s="373" t="s">
        <v>926</v>
      </c>
      <c r="CT38" s="280" t="s">
        <v>168</v>
      </c>
      <c r="CU38" s="280" t="s">
        <v>886</v>
      </c>
      <c r="CV38" s="280">
        <v>0.8</v>
      </c>
      <c r="CW38" s="280">
        <v>0.54</v>
      </c>
      <c r="CX38" s="423">
        <v>0</v>
      </c>
      <c r="CZ38" s="373" t="s">
        <v>927</v>
      </c>
      <c r="DA38" s="280" t="s">
        <v>70</v>
      </c>
      <c r="DB38" s="280" t="s">
        <v>887</v>
      </c>
      <c r="DC38" s="280">
        <v>5.5E-2</v>
      </c>
      <c r="DD38" s="280">
        <v>0.04</v>
      </c>
      <c r="DE38" s="423">
        <v>0.03</v>
      </c>
      <c r="DF38" s="277"/>
      <c r="DG38" s="373"/>
      <c r="DH38" s="280"/>
      <c r="DI38" s="280"/>
      <c r="DJ38" s="280"/>
      <c r="DK38" s="280"/>
      <c r="DL38" s="423"/>
      <c r="DN38" s="280" t="s">
        <v>619</v>
      </c>
      <c r="DO38" s="280">
        <v>52</v>
      </c>
      <c r="DQ38" s="280" t="s">
        <v>619</v>
      </c>
      <c r="DR38" s="280">
        <v>10</v>
      </c>
      <c r="DV38" s="350" t="s">
        <v>499</v>
      </c>
      <c r="DW38" s="351">
        <f t="array" ref="DW38">IF(ChoixRationComplèteDaims=OUI,0,IFERROR(IF(OR(AND(INDEX(Règles_daims[Specificite],MATCH(ChoixRationDaims&amp;DV38,Règles_daims[Ration]&amp;Règles_daims[Aliment],0))="s1",IF(DV38=Spécificité1Daims,1)),
AND(INDEX(Règles_daims[Specificite],MATCH(ChoixRationDaims&amp;DV38,Règles_daims[Ration]&amp;Règles_daims[Aliment],0))="s2",IF(DV38=Spécificité2Daims,1)),
INDEX(Règles_daims[Specificite],MATCH(ChoixRationDaims&amp;DV38,Règles_daims[Ration]&amp;Règles_daims[Aliment],0))="c"),
INDEX(Règles_daims[Valeur 36 et plus],MATCH(ChoixRationDaims&amp;DV38,Règles_daims[Ration]&amp;Règles_daims[Aliment],0)),0),0)*SUM(TotalDaimsAdultes)*NbreJoursNourrirBisonsDaims)</f>
        <v>0</v>
      </c>
      <c r="DX38" s="351">
        <f t="array" ref="DX38">IF(ChoixRationComplèteDaims=OUI,0,IFERROR(IF(OR(AND(INDEX(Règles_daims[Specificite],MATCH(ChoixRationDaims&amp;DV38,Règles_daims[Ration]&amp;Règles_daims[Aliment],0))="s1",IF(DV38=Spécificité1Daims,1)),
AND(INDEX(Règles_daims[Specificite],MATCH(ChoixRationDaims&amp;DV38,Règles_daims[Ration]&amp;Règles_daims[Aliment],0))="s2",IF(DV38=Spécificité2Daims,1)),
INDEX(Règles_daims[Specificite],MATCH(ChoixRationDaims&amp;DV38,Règles_daims[Ration]&amp;Règles_daims[Aliment],0))="c"),
INDEX(Règles_daims[Valeur 24-36],MATCH(ChoixRationDaims&amp;DV38,Règles_daims[Ration]&amp;Règles_daims[Aliment],0)),0),0)*SUM(TotalDaims24_36)*NbreJoursNourrirBisonsDaims)</f>
        <v>0</v>
      </c>
      <c r="DY38" s="351">
        <f t="array" ref="DY38">IF(ChoixRationComplèteDaims=OUI,0,IFERROR(IF(OR(AND(INDEX(Règles_daims[Specificite],MATCH(ChoixRationDaims&amp;DV38,Règles_daims[Ration]&amp;Règles_daims[Aliment],0))="s1",IF(DV38=Spécificité1Daims,1)),
AND(INDEX(Règles_daims[Specificite],MATCH(ChoixRationDaims&amp;DV38,Règles_daims[Ration]&amp;Règles_daims[Aliment],0))="s2",IF(DV38=Spécificité2Daims,1)),
INDEX(Règles_daims[Specificite],MATCH(ChoixRationDaims&amp;DV38,Règles_daims[Ration]&amp;Règles_daims[Aliment],0))="c"),
INDEX(Règles_daims[Valeur 18-24],MATCH(ChoixRationDaims&amp;DV38,Règles_daims[Ration]&amp;Règles_daims[Aliment],0)),0),0)*SUM(TotalDaims18_24)*NbreJoursNourrirBisonsDaims)</f>
        <v>0</v>
      </c>
      <c r="DZ38" s="441">
        <f t="array" ref="DZ38">IF(ChoixRationComplèteDaims=OUI,0,IFERROR(IF(OR(AND(INDEX(Règles_daims[Specificite],MATCH(ChoixRationDaims&amp;DV38,Règles_daims[Ration]&amp;Règles_daims[Aliment],0))="s1",IF(DV38=Spécificité1Daims,1)),
AND(INDEX(Règles_daims[Specificite],MATCH(ChoixRationDaims&amp;DV38,Règles_daims[Ration]&amp;Règles_daims[Aliment],0))="s2",IF(DV38=Spécificité2Daims,1)),
INDEX(Règles_daims[Specificite],MATCH(ChoixRationDaims&amp;DV38,Règles_daims[Ration]&amp;Règles_daims[Aliment],0))="c"),
INDEX(Règles_daims[Valeur 12-18],MATCH(ChoixRationDaims&amp;DV38,Règles_daims[Ration]&amp;Règles_daims[Aliment],0)),0),0)*SUM(TotalDaims12_18)*NbreJoursNourrirBisonsDaims)</f>
        <v>0</v>
      </c>
      <c r="EA38" s="441">
        <f t="array" ref="EA38">IF(ChoixRationComplèteDaims=OUI,0,IFERROR(IF(OR(AND(INDEX(Règles_daims[Specificite],MATCH(ChoixRationDaims&amp;DV38,Règles_daims[Ration]&amp;Règles_daims[Aliment],0))="s1",IF(DV38=Spécificité1Daims,1)),
AND(INDEX(Règles_daims[Specificite],MATCH(ChoixRationDaims&amp;DV38,Règles_daims[Ration]&amp;Règles_daims[Aliment],0))="s2",IF(DV38=Spécificité2Daims,1)),
INDEX(Règles_daims[Specificite],MATCH(ChoixRationDaims&amp;DV38,Règles_daims[Ration]&amp;Règles_daims[Aliment],0))="c"),
INDEX(Règles_daims[Valeur 6-12],MATCH(ChoixRationDaims&amp;DV38,Règles_daims[Ration]&amp;Règles_daims[Aliment],0)),0),0)*SUM(TotalDaims6_12)*NbreJoursNourrirBisonsDaims)</f>
        <v>0</v>
      </c>
      <c r="EB38" s="441">
        <f t="array" ref="EB38">IF(ChoixRationComplèteDaims=OUI,0,IFERROR(IF(OR(AND(INDEX(Règles_daims[Specificite],MATCH(ChoixRationDaims&amp;DV38,Règles_daims[Ration]&amp;Règles_daims[Aliment],0))="s1",IF(DV38=Spécificité1Daims,1)),
AND(INDEX(Règles_daims[Specificite],MATCH(ChoixRationDaims&amp;DV38,Règles_daims[Ration]&amp;Règles_daims[Aliment],0))="s2",IF(DV38=Spécificité2Daims,1)),
INDEX(Règles_daims[Specificite],MATCH(ChoixRationDaims&amp;DV38,Règles_daims[Ration]&amp;Règles_daims[Aliment],0))="c"),
INDEX(Règles_daims[Valeur 3-6],MATCH(ChoixRationDaims&amp;DV38,Règles_daims[Ration]&amp;Règles_daims[Aliment],0)),0),0)*SUM(TotalDaims3_6)*NbreJoursNourrirBisonsDaims)</f>
        <v>0</v>
      </c>
      <c r="EC38" s="441">
        <f t="array" ref="EC38">IF(ChoixRationComplèteDaims=OUI,0,IFERROR(IF(OR(AND(INDEX(Règles_daims[Specificite],MATCH(ChoixRationDaims&amp;DV38,Règles_daims[Ration]&amp;Règles_daims[Aliment],0))="s1",IF(DV38=Spécificité1Daims,1)),
AND(INDEX(Règles_daims[Specificite],MATCH(ChoixRationDaims&amp;DV38,Règles_daims[Ration]&amp;Règles_daims[Aliment],0))="s2",IF(DV38=Spécificité2Daims,1)),
INDEX(Règles_daims[Specificite],MATCH(ChoixRationDaims&amp;DV38,Règles_daims[Ration]&amp;Règles_daims[Aliment],0))="c"),
INDEX(Règles_daims[Valeur 0-3],MATCH(ChoixRationDaims&amp;DV38,Règles_daims[Ration]&amp;Règles_daims[Aliment],0)),0),0)*SUM(TotalDaims0_3)*NbreJoursNourrirBisonsDaims)</f>
        <v>0</v>
      </c>
      <c r="ED38" s="441">
        <f t="shared" si="9"/>
        <v>0</v>
      </c>
      <c r="EG38" s="381" t="s">
        <v>1018</v>
      </c>
      <c r="EH38" s="280" t="s">
        <v>518</v>
      </c>
      <c r="EI38" s="280" t="s">
        <v>886</v>
      </c>
      <c r="EJ38" s="280">
        <v>4</v>
      </c>
      <c r="EK38" s="280">
        <v>2.4</v>
      </c>
      <c r="EL38" s="423">
        <v>0.8</v>
      </c>
      <c r="EN38" s="373" t="s">
        <v>936</v>
      </c>
      <c r="EO38" s="280" t="s">
        <v>905</v>
      </c>
      <c r="EP38" s="280" t="s">
        <v>886</v>
      </c>
      <c r="EQ38" s="280">
        <v>0.01</v>
      </c>
      <c r="ER38" s="280">
        <v>6.0000000000000001E-3</v>
      </c>
      <c r="ES38" s="423">
        <v>0.1</v>
      </c>
      <c r="EU38" s="358" t="s">
        <v>866</v>
      </c>
      <c r="EV38" s="319" t="s">
        <v>884</v>
      </c>
      <c r="EW38" s="359" t="s">
        <v>885</v>
      </c>
      <c r="EX38" s="319" t="s">
        <v>895</v>
      </c>
      <c r="EY38" s="319" t="s">
        <v>894</v>
      </c>
      <c r="EZ38" s="319" t="s">
        <v>938</v>
      </c>
      <c r="FA38" s="360" t="s">
        <v>937</v>
      </c>
      <c r="FB38" s="298"/>
      <c r="FD38" s="381" t="s">
        <v>1022</v>
      </c>
      <c r="FE38" s="280" t="s">
        <v>510</v>
      </c>
      <c r="FF38" s="280" t="s">
        <v>886</v>
      </c>
      <c r="FG38" s="280">
        <v>18</v>
      </c>
      <c r="FH38" s="280">
        <v>12</v>
      </c>
      <c r="FI38" s="280">
        <v>7</v>
      </c>
      <c r="FJ38" s="423">
        <v>4</v>
      </c>
      <c r="FK38" s="298"/>
      <c r="FL38" s="298"/>
      <c r="FN38" s="381" t="s">
        <v>1022</v>
      </c>
      <c r="FO38" s="280" t="s">
        <v>518</v>
      </c>
      <c r="FP38" s="280" t="s">
        <v>886</v>
      </c>
      <c r="FQ38" s="280">
        <v>100</v>
      </c>
      <c r="FR38" s="280">
        <v>75</v>
      </c>
      <c r="FS38" s="280">
        <v>50</v>
      </c>
      <c r="FT38" s="423">
        <v>25</v>
      </c>
      <c r="FU38" s="298"/>
      <c r="FV38" s="298"/>
      <c r="FW38" s="376"/>
      <c r="FX38" s="305"/>
      <c r="FY38" s="305"/>
      <c r="FZ38" s="305"/>
      <c r="GA38" s="305"/>
      <c r="GB38" s="305"/>
      <c r="GC38" s="424"/>
      <c r="GE38" s="280" t="s">
        <v>80</v>
      </c>
      <c r="GF38" s="283"/>
      <c r="GG38" s="280" t="s">
        <v>293</v>
      </c>
      <c r="GH38" s="283" t="s">
        <v>955</v>
      </c>
      <c r="GI38" s="283" t="s">
        <v>955</v>
      </c>
      <c r="GJ38" s="283" t="s">
        <v>955</v>
      </c>
      <c r="GK38" s="283" t="s">
        <v>955</v>
      </c>
      <c r="GL38" s="283" t="s">
        <v>955</v>
      </c>
      <c r="GM38" s="283" t="s">
        <v>955</v>
      </c>
      <c r="GN38" s="283" t="s">
        <v>955</v>
      </c>
      <c r="GO38" s="283" t="s">
        <v>955</v>
      </c>
      <c r="GP38" s="283" t="s">
        <v>955</v>
      </c>
      <c r="GQ38" s="283" t="s">
        <v>955</v>
      </c>
      <c r="GR38" s="283" t="s">
        <v>955</v>
      </c>
      <c r="GS38" s="283" t="s">
        <v>955</v>
      </c>
      <c r="GT38" s="283" t="s">
        <v>955</v>
      </c>
      <c r="GU38" s="283" t="s">
        <v>955</v>
      </c>
      <c r="GV38" s="283" t="s">
        <v>955</v>
      </c>
      <c r="GY38" s="444" t="str">
        <f t="shared" si="11"/>
        <v>semences d'avoine (P)</v>
      </c>
      <c r="GZ38" s="444"/>
      <c r="HA38" s="342"/>
      <c r="HB38" s="342" t="e">
        <f>IF(COUNTIF(TypeArticleDansEntrepôt,GY38)=0,0,SUMIF(TypeArticleDansEntrepôt,GY38,QtéArticleDansEntrepôt)*VLOOKUP(GY38,#REF!,2,FALSE))</f>
        <v>#REF!</v>
      </c>
      <c r="HK38" s="280" t="s">
        <v>1086</v>
      </c>
      <c r="HL38" s="288">
        <f>AVERAGE(4,4.2)*1000</f>
        <v>4100</v>
      </c>
      <c r="HN38" s="280" t="s">
        <v>147</v>
      </c>
      <c r="HO38" s="289">
        <v>20000</v>
      </c>
      <c r="HP38" s="293">
        <f>6.5/7.5</f>
        <v>0.8666666666666667</v>
      </c>
      <c r="HQ38" s="293">
        <f>0.5/1.1</f>
        <v>0.45454545454545453</v>
      </c>
      <c r="HR38" s="293">
        <v>0.75</v>
      </c>
      <c r="HS38" s="293">
        <f>0.6/1.2</f>
        <v>0.5</v>
      </c>
      <c r="HT38" s="293">
        <v>0</v>
      </c>
      <c r="HU38" s="293">
        <v>0</v>
      </c>
    </row>
    <row r="39" spans="1:241" ht="12.75" customHeight="1" x14ac:dyDescent="0.2">
      <c r="A39" s="369"/>
      <c r="B39" s="280"/>
      <c r="C39" s="280"/>
      <c r="D39" s="423"/>
      <c r="F39" s="280"/>
      <c r="G39" s="280"/>
      <c r="H39" s="280"/>
      <c r="I39" s="280"/>
      <c r="N39" s="277"/>
      <c r="O39" s="280" t="s">
        <v>856</v>
      </c>
      <c r="P39" s="280"/>
      <c r="Q39" s="280"/>
      <c r="R39" s="280"/>
      <c r="S39" s="280"/>
      <c r="T39" s="280"/>
      <c r="U39" s="280"/>
      <c r="V39" s="280"/>
      <c r="W39" s="280"/>
      <c r="X39" s="280"/>
      <c r="Y39" s="280"/>
      <c r="Z39" s="280"/>
      <c r="AA39" s="280"/>
      <c r="AB39" s="280"/>
      <c r="AC39" s="280"/>
      <c r="AD39" s="280"/>
      <c r="AE39" s="280"/>
      <c r="AF39" s="280"/>
      <c r="AG39" s="517"/>
      <c r="AH39" s="518"/>
      <c r="AI39" s="280"/>
      <c r="AJ39" s="280"/>
      <c r="AK39" s="280"/>
      <c r="AL39" s="280"/>
      <c r="AM39" s="280"/>
      <c r="AN39" s="280"/>
      <c r="AO39" s="280"/>
      <c r="AP39" s="280"/>
      <c r="AQ39" s="280"/>
      <c r="AR39" s="280"/>
      <c r="AS39" s="280"/>
      <c r="AT39" s="280"/>
      <c r="AU39" s="280"/>
      <c r="AV39" s="280"/>
      <c r="AW39" s="280"/>
      <c r="AX39" s="280"/>
      <c r="AY39" s="280"/>
      <c r="BC39" s="284" t="s">
        <v>522</v>
      </c>
      <c r="BD39" s="285">
        <v>8</v>
      </c>
      <c r="BF39" s="284" t="s">
        <v>504</v>
      </c>
      <c r="BG39" s="285">
        <v>80</v>
      </c>
      <c r="BL39" s="312"/>
      <c r="BM39" s="350" t="s">
        <v>515</v>
      </c>
      <c r="BN39" s="350">
        <f t="array" ref="BN39">IF(Ration_hivernale_complète_bisons[somme]&gt;0,0,IFERROR(IF(OR(AND(INDEX(Règles_bison[Specificite],MATCH(ChoixRationBisons&amp;$BM39,Règles_bison[Ration]&amp;Règles_bison[Aliment],0))="s1",IF($BM39=ChoixSpécificité1Bisons,1)),
INDEX(Règles_bison[Specificite],MATCH(ChoixRationBisons&amp;$BM39,Règles_bison[Ration]&amp;Règles_bison[Aliment],0))="c"),
INDEX(Règles_bison[Valeur 36 et plus],MATCH(ChoixRationBisons&amp;$BM39,Règles_bison[Ration]&amp;Règles_bison[Aliment],0)),0),0)*TotalBisonsMalesAdultes*NbreJoursNourrirBisonsDaims)</f>
        <v>0</v>
      </c>
      <c r="BO39" s="350">
        <f t="array" ref="BO39">IF(Ration_hivernale_complète_bisons[somme]&gt;0,0,IFERROR(IF(OR(AND(INDEX(Règles_bison[Specificite],MATCH(ChoixRationBisons&amp;$BM39,Règles_bison[Ration]&amp;Règles_bison[Aliment],0))="s1",IF($BM39=ChoixSpécificité1Bisons,1)),
INDEX(Règles_bison[Specificite],MATCH(ChoixRationBisons&amp;$BM39,Règles_bison[Ration]&amp;Règles_bison[Aliment],0))="c"),
INDEX(Règles_bison[Valeur 24-36],MATCH(ChoixRationBisons&amp;$BM39,Règles_bison[Ration]&amp;Règles_bison[Aliment],0)),0),0)*TotalBisonsMales_24_36_mois*NbreJoursNourrirBisonsDaims)</f>
        <v>0</v>
      </c>
      <c r="BP39" s="350">
        <f t="array" ref="BP39">IF(Ration_hivernale_complète_bisons[somme]&gt;0,0,IFERROR(IF(OR(AND(INDEX(Règles_bison[Specificite],MATCH(ChoixRationBisons&amp;$BM39,Règles_bison[Ration]&amp;Règles_bison[Aliment],0))="s1",IF($BM39=ChoixSpécificité1Bisons,1)),
INDEX(Règles_bison[Specificite],MATCH(ChoixRationBisons&amp;$BM39,Règles_bison[Ration]&amp;Règles_bison[Aliment],0))="c"),
INDEX(Règles_bison[Valeur 18-24],MATCH(ChoixRationBisons&amp;$BM39,Règles_bison[Ration]&amp;Règles_bison[Aliment],0)),0),0)*TotalBisonsMales_18_24_mois*NbreJoursNourrirBisonsDaims)</f>
        <v>0</v>
      </c>
      <c r="BQ39" s="350">
        <f t="array" ref="BQ39">IF(Ration_hivernale_complète_bisons[somme]&gt;0,0,IFERROR(IF(OR(AND(INDEX(Règles_bison[Specificite],MATCH(ChoixRationBisons&amp;$BM39,Règles_bison[Ration]&amp;Règles_bison[Aliment],0))="s1",IF($BM39=ChoixSpécificité1Bisons,1)),
INDEX(Règles_bison[Specificite],MATCH(ChoixRationBisons&amp;$BM39,Règles_bison[Ration]&amp;Règles_bison[Aliment],0))="c"),
INDEX(Règles_bison[Valeur 12-18],MATCH(ChoixRationBisons&amp;$BM39,Règles_bison[Ration]&amp;Règles_bison[Aliment],0)),0),0)*TotalBisonsMales_12_18_mois*NbreJoursNourrirBisonsDaims)</f>
        <v>0</v>
      </c>
      <c r="BR39" s="350">
        <f t="array" ref="BR39">IF(Ration_hivernale_complète_bisons[somme]&gt;0,0,IFERROR(IF(OR(AND(INDEX(Règles_bison[Specificite],MATCH(ChoixRationBisons&amp;$BM39,Règles_bison[Ration]&amp;Règles_bison[Aliment],0))="s1",IF($BM39=ChoixSpécificité1Bisons,1)),
INDEX(Règles_bison[Specificite],MATCH(ChoixRationBisons&amp;$BM39,Règles_bison[Ration]&amp;Règles_bison[Aliment],0))="c"),
INDEX(Règles_bison[Valeur 6-12],MATCH(ChoixRationBisons&amp;$BM39,Règles_bison[Ration]&amp;Règles_bison[Aliment],0)),0),0)*TotalBisonsMales_6_12_mois*NbreJoursNourrirBisonsDaims)</f>
        <v>0</v>
      </c>
      <c r="BS39" s="350">
        <f t="array" ref="BS39">IF(Ration_hivernale_complète_bisons[somme]&gt;0,0,IFERROR(IF(OR(AND(INDEX(Règles_bison[Specificite],MATCH(ChoixRationBisons&amp;$BM39,Règles_bison[Ration]&amp;Règles_bison[Aliment],0))="s1",IF($BM39=ChoixSpécificité1Bisons,1)),
INDEX(Règles_bison[Specificite],MATCH(ChoixRationBisons&amp;$BM39,Règles_bison[Ration]&amp;Règles_bison[Aliment],0))="c"),
INDEX(Règles_bison[Valeur 3-6],MATCH(ChoixRationBisons&amp;$BM39,Règles_bison[Ration]&amp;Règles_bison[Aliment],0)),0),0)*TotalBisonsMales_3_6_mois*NbreJoursNourrirBisonsDaims)</f>
        <v>0</v>
      </c>
      <c r="BT39" s="350">
        <f t="array" ref="BT39">IF(Ration_hivernale_complète_bisons[somme]&gt;0,0,IFERROR(IF(OR(AND(INDEX(Règles_bison[Specificite],MATCH(ChoixRationBisons&amp;$BM39,Règles_bison[Ration]&amp;Règles_bison[Aliment],0))="s1",IF($BM39=ChoixSpécificité1Bisons,1)),
INDEX(Règles_bison[Specificite],MATCH(ChoixRationBisons&amp;$BM39,Règles_bison[Ration]&amp;Règles_bison[Aliment],0))="c"),
INDEX(Règles_bison[Valeur 0-3],MATCH(ChoixRationBisons&amp;$BM39,Règles_bison[Ration]&amp;Règles_bison[Aliment],0)),0),0)*TotalBisonsMales_0_3_mois*NbreJoursNourrirBisonsDaims)</f>
        <v>0</v>
      </c>
      <c r="BU39" s="350">
        <f t="shared" si="10"/>
        <v>0</v>
      </c>
      <c r="BY39" s="280" t="s">
        <v>796</v>
      </c>
      <c r="BZ39" s="280">
        <v>590</v>
      </c>
      <c r="CB39" s="280" t="s">
        <v>796</v>
      </c>
      <c r="CC39" s="280">
        <v>708</v>
      </c>
      <c r="CJ39" s="373"/>
      <c r="CK39" s="280"/>
      <c r="CL39" s="280"/>
      <c r="CM39" s="280"/>
      <c r="CN39" s="280"/>
      <c r="CO39" s="280"/>
      <c r="CP39" s="280"/>
      <c r="CQ39" s="423"/>
      <c r="CS39" s="373" t="s">
        <v>926</v>
      </c>
      <c r="CT39" s="280" t="s">
        <v>220</v>
      </c>
      <c r="CU39" s="280" t="s">
        <v>887</v>
      </c>
      <c r="CV39" s="280">
        <v>0.16</v>
      </c>
      <c r="CW39" s="280">
        <v>0.104</v>
      </c>
      <c r="CX39" s="423">
        <v>0</v>
      </c>
      <c r="CZ39" s="373" t="s">
        <v>927</v>
      </c>
      <c r="DA39" s="280" t="s">
        <v>268</v>
      </c>
      <c r="DB39" s="280" t="s">
        <v>886</v>
      </c>
      <c r="DC39" s="280">
        <v>0.02</v>
      </c>
      <c r="DD39" s="280">
        <v>1.4999999999999999E-2</v>
      </c>
      <c r="DE39" s="423">
        <v>0.01</v>
      </c>
      <c r="DF39" s="277"/>
      <c r="DG39" s="373"/>
      <c r="DH39" s="280"/>
      <c r="DI39" s="280"/>
      <c r="DJ39" s="280"/>
      <c r="DK39" s="280"/>
      <c r="DL39" s="423"/>
      <c r="DN39" s="280" t="s">
        <v>620</v>
      </c>
      <c r="DO39" s="280">
        <v>52</v>
      </c>
      <c r="DQ39" s="280" t="s">
        <v>620</v>
      </c>
      <c r="DR39" s="280">
        <v>10</v>
      </c>
      <c r="DV39" s="350" t="s">
        <v>1166</v>
      </c>
      <c r="DW39" s="351">
        <f t="array" ref="DW39">IF(ChoixRationComplèteDaims=OUI,0,IFERROR(IF(OR(AND(INDEX(Règles_daims[Specificite],MATCH(ChoixRationDaims&amp;DV39,Règles_daims[Ration]&amp;Règles_daims[Aliment],0))="s1",IF(DV39=Spécificité1Daims,1)),
AND(INDEX(Règles_daims[Specificite],MATCH(ChoixRationDaims&amp;DV39,Règles_daims[Ration]&amp;Règles_daims[Aliment],0))="s2",IF(DV39=Spécificité2Daims,1)),
INDEX(Règles_daims[Specificite],MATCH(ChoixRationDaims&amp;DV39,Règles_daims[Ration]&amp;Règles_daims[Aliment],0))="c"),
INDEX(Règles_daims[Valeur 36 et plus],MATCH(ChoixRationDaims&amp;DV39,Règles_daims[Ration]&amp;Règles_daims[Aliment],0)),0),0)*SUM(TotalDaimsAdultes)*NbreJoursNourrirBisonsDaims)</f>
        <v>0</v>
      </c>
      <c r="DX39" s="351">
        <f t="array" ref="DX39">IF(ChoixRationComplèteDaims=OUI,0,IFERROR(IF(OR(AND(INDEX(Règles_daims[Specificite],MATCH(ChoixRationDaims&amp;DV39,Règles_daims[Ration]&amp;Règles_daims[Aliment],0))="s1",IF(DV39=Spécificité1Daims,1)),
AND(INDEX(Règles_daims[Specificite],MATCH(ChoixRationDaims&amp;DV39,Règles_daims[Ration]&amp;Règles_daims[Aliment],0))="s2",IF(DV39=Spécificité2Daims,1)),
INDEX(Règles_daims[Specificite],MATCH(ChoixRationDaims&amp;DV39,Règles_daims[Ration]&amp;Règles_daims[Aliment],0))="c"),
INDEX(Règles_daims[Valeur 24-36],MATCH(ChoixRationDaims&amp;DV39,Règles_daims[Ration]&amp;Règles_daims[Aliment],0)),0),0)*SUM(TotalDaims24_36)*NbreJoursNourrirBisonsDaims)</f>
        <v>0</v>
      </c>
      <c r="DY39" s="351">
        <f t="array" ref="DY39">IF(ChoixRationComplèteDaims=OUI,0,IFERROR(IF(OR(AND(INDEX(Règles_daims[Specificite],MATCH(ChoixRationDaims&amp;DV39,Règles_daims[Ration]&amp;Règles_daims[Aliment],0))="s1",IF(DV39=Spécificité1Daims,1)),
AND(INDEX(Règles_daims[Specificite],MATCH(ChoixRationDaims&amp;DV39,Règles_daims[Ration]&amp;Règles_daims[Aliment],0))="s2",IF(DV39=Spécificité2Daims,1)),
INDEX(Règles_daims[Specificite],MATCH(ChoixRationDaims&amp;DV39,Règles_daims[Ration]&amp;Règles_daims[Aliment],0))="c"),
INDEX(Règles_daims[Valeur 18-24],MATCH(ChoixRationDaims&amp;DV39,Règles_daims[Ration]&amp;Règles_daims[Aliment],0)),0),0)*SUM(TotalDaims18_24)*NbreJoursNourrirBisonsDaims)</f>
        <v>0</v>
      </c>
      <c r="DZ39" s="441">
        <f t="array" ref="DZ39">IF(ChoixRationComplèteDaims=OUI,0,IFERROR(IF(OR(AND(INDEX(Règles_daims[Specificite],MATCH(ChoixRationDaims&amp;DV39,Règles_daims[Ration]&amp;Règles_daims[Aliment],0))="s1",IF(DV39=Spécificité1Daims,1)),
AND(INDEX(Règles_daims[Specificite],MATCH(ChoixRationDaims&amp;DV39,Règles_daims[Ration]&amp;Règles_daims[Aliment],0))="s2",IF(DV39=Spécificité2Daims,1)),
INDEX(Règles_daims[Specificite],MATCH(ChoixRationDaims&amp;DV39,Règles_daims[Ration]&amp;Règles_daims[Aliment],0))="c"),
INDEX(Règles_daims[Valeur 12-18],MATCH(ChoixRationDaims&amp;DV39,Règles_daims[Ration]&amp;Règles_daims[Aliment],0)),0),0)*SUM(TotalDaims12_18)*NbreJoursNourrirBisonsDaims)</f>
        <v>0</v>
      </c>
      <c r="EA39" s="441">
        <f t="array" ref="EA39">IF(ChoixRationComplèteDaims=OUI,0,IFERROR(IF(OR(AND(INDEX(Règles_daims[Specificite],MATCH(ChoixRationDaims&amp;DV39,Règles_daims[Ration]&amp;Règles_daims[Aliment],0))="s1",IF(DV39=Spécificité1Daims,1)),
AND(INDEX(Règles_daims[Specificite],MATCH(ChoixRationDaims&amp;DV39,Règles_daims[Ration]&amp;Règles_daims[Aliment],0))="s2",IF(DV39=Spécificité2Daims,1)),
INDEX(Règles_daims[Specificite],MATCH(ChoixRationDaims&amp;DV39,Règles_daims[Ration]&amp;Règles_daims[Aliment],0))="c"),
INDEX(Règles_daims[Valeur 6-12],MATCH(ChoixRationDaims&amp;DV39,Règles_daims[Ration]&amp;Règles_daims[Aliment],0)),0),0)*SUM(TotalDaims6_12)*NbreJoursNourrirBisonsDaims)</f>
        <v>0</v>
      </c>
      <c r="EB39" s="441">
        <f t="array" ref="EB39">IF(ChoixRationComplèteDaims=OUI,0,IFERROR(IF(OR(AND(INDEX(Règles_daims[Specificite],MATCH(ChoixRationDaims&amp;DV39,Règles_daims[Ration]&amp;Règles_daims[Aliment],0))="s1",IF(DV39=Spécificité1Daims,1)),
AND(INDEX(Règles_daims[Specificite],MATCH(ChoixRationDaims&amp;DV39,Règles_daims[Ration]&amp;Règles_daims[Aliment],0))="s2",IF(DV39=Spécificité2Daims,1)),
INDEX(Règles_daims[Specificite],MATCH(ChoixRationDaims&amp;DV39,Règles_daims[Ration]&amp;Règles_daims[Aliment],0))="c"),
INDEX(Règles_daims[Valeur 3-6],MATCH(ChoixRationDaims&amp;DV39,Règles_daims[Ration]&amp;Règles_daims[Aliment],0)),0),0)*SUM(TotalDaims3_6)*NbreJoursNourrirBisonsDaims)</f>
        <v>0</v>
      </c>
      <c r="EC39" s="441">
        <f t="array" ref="EC39">IF(ChoixRationComplèteDaims=OUI,0,IFERROR(IF(OR(AND(INDEX(Règles_daims[Specificite],MATCH(ChoixRationDaims&amp;DV39,Règles_daims[Ration]&amp;Règles_daims[Aliment],0))="s1",IF(DV39=Spécificité1Daims,1)),
AND(INDEX(Règles_daims[Specificite],MATCH(ChoixRationDaims&amp;DV39,Règles_daims[Ration]&amp;Règles_daims[Aliment],0))="s2",IF(DV39=Spécificité2Daims,1)),
INDEX(Règles_daims[Specificite],MATCH(ChoixRationDaims&amp;DV39,Règles_daims[Ration]&amp;Règles_daims[Aliment],0))="c"),
INDEX(Règles_daims[Valeur 0-3],MATCH(ChoixRationDaims&amp;DV39,Règles_daims[Ration]&amp;Règles_daims[Aliment],0)),0),0)*SUM(TotalDaims0_3)*NbreJoursNourrirBisonsDaims)</f>
        <v>0</v>
      </c>
      <c r="ED39" s="441">
        <f t="shared" si="9"/>
        <v>0</v>
      </c>
      <c r="EG39" s="373"/>
      <c r="EH39" s="280"/>
      <c r="EI39" s="280"/>
      <c r="EJ39" s="280"/>
      <c r="EK39" s="280"/>
      <c r="EL39" s="423"/>
      <c r="EN39" s="373" t="s">
        <v>936</v>
      </c>
      <c r="EO39" s="280" t="s">
        <v>518</v>
      </c>
      <c r="EP39" s="280" t="s">
        <v>886</v>
      </c>
      <c r="EQ39" s="280">
        <v>4</v>
      </c>
      <c r="ER39" s="280">
        <v>3</v>
      </c>
      <c r="ES39" s="423">
        <v>2</v>
      </c>
      <c r="EU39" s="381" t="s">
        <v>1022</v>
      </c>
      <c r="EV39" s="280" t="s">
        <v>508</v>
      </c>
      <c r="EW39" s="280" t="s">
        <v>911</v>
      </c>
      <c r="EX39" s="280"/>
      <c r="EY39" s="280"/>
      <c r="EZ39" s="280"/>
      <c r="FA39" s="423"/>
      <c r="FB39" s="298"/>
      <c r="FD39" s="381" t="s">
        <v>1022</v>
      </c>
      <c r="FE39" s="280" t="s">
        <v>518</v>
      </c>
      <c r="FF39" s="280" t="s">
        <v>886</v>
      </c>
      <c r="FG39" s="280">
        <v>150</v>
      </c>
      <c r="FH39" s="280">
        <v>100</v>
      </c>
      <c r="FI39" s="280">
        <v>60</v>
      </c>
      <c r="FJ39" s="423">
        <v>30</v>
      </c>
      <c r="FK39" s="298"/>
      <c r="FL39" s="298"/>
      <c r="FN39" s="373" t="s">
        <v>875</v>
      </c>
      <c r="FO39" s="280" t="s">
        <v>508</v>
      </c>
      <c r="FP39" s="280" t="s">
        <v>911</v>
      </c>
      <c r="FQ39" s="280">
        <v>16.149999999999999</v>
      </c>
      <c r="FR39" s="280">
        <v>11.1</v>
      </c>
      <c r="FS39" s="280">
        <v>7.57</v>
      </c>
      <c r="FT39" s="423">
        <v>5.55</v>
      </c>
      <c r="FU39" s="298"/>
      <c r="FV39" s="298"/>
      <c r="GA39" s="276"/>
      <c r="GE39" s="280" t="s">
        <v>307</v>
      </c>
      <c r="GF39" s="283"/>
      <c r="GG39" s="280" t="s">
        <v>1034</v>
      </c>
      <c r="GH39" s="283" t="s">
        <v>955</v>
      </c>
      <c r="GI39" s="283" t="s">
        <v>955</v>
      </c>
      <c r="GJ39" s="283" t="s">
        <v>955</v>
      </c>
      <c r="GK39" s="283" t="s">
        <v>955</v>
      </c>
      <c r="GL39" s="283" t="s">
        <v>955</v>
      </c>
      <c r="GM39" s="283" t="s">
        <v>955</v>
      </c>
      <c r="GN39" s="283" t="s">
        <v>955</v>
      </c>
      <c r="GO39" s="283" t="s">
        <v>955</v>
      </c>
      <c r="GP39" s="283" t="s">
        <v>955</v>
      </c>
      <c r="GQ39" s="283" t="s">
        <v>955</v>
      </c>
      <c r="GR39" s="283" t="s">
        <v>955</v>
      </c>
      <c r="GS39" s="283" t="s">
        <v>955</v>
      </c>
      <c r="GT39" s="283" t="s">
        <v>955</v>
      </c>
      <c r="GU39" s="283" t="s">
        <v>955</v>
      </c>
      <c r="GV39" s="283" t="s">
        <v>955</v>
      </c>
      <c r="GY39" s="444" t="str">
        <f t="shared" si="11"/>
        <v>semences d'épinards</v>
      </c>
      <c r="GZ39" s="444"/>
      <c r="HA39" s="342"/>
      <c r="HB39" s="342" t="e">
        <f>IF(COUNTIF(TypeArticleDansEntrepôt,GY39)=0,0,SUMIF(TypeArticleDansEntrepôt,GY39,QtéArticleDansEntrepôt)*VLOOKUP(GY39,#REF!,2,FALSE))</f>
        <v>#REF!</v>
      </c>
      <c r="HK39" s="280" t="s">
        <v>1060</v>
      </c>
      <c r="HL39" s="288">
        <f>AVERAGE(1.25,1.9)*1000</f>
        <v>1575</v>
      </c>
      <c r="HP39" s="314"/>
      <c r="HQ39" s="314"/>
      <c r="HR39" s="314"/>
      <c r="HS39" s="314"/>
      <c r="HT39" s="314"/>
      <c r="HU39" s="314"/>
    </row>
    <row r="40" spans="1:241" ht="12.75" customHeight="1" x14ac:dyDescent="0.2">
      <c r="A40" s="369"/>
      <c r="B40" s="280"/>
      <c r="C40" s="280"/>
      <c r="D40" s="423"/>
      <c r="F40" s="280"/>
      <c r="G40" s="280"/>
      <c r="H40" s="280"/>
      <c r="I40" s="280"/>
      <c r="N40" s="277"/>
      <c r="O40" s="283" t="str">
        <f>UPPER("France")</f>
        <v>FRANCE</v>
      </c>
      <c r="AO40" s="277"/>
      <c r="AP40" s="277"/>
      <c r="AQ40" s="277"/>
      <c r="AR40" s="277"/>
      <c r="AS40" s="277"/>
      <c r="AT40" s="277"/>
      <c r="AU40" s="277"/>
      <c r="AV40" s="277"/>
      <c r="AW40" s="277"/>
      <c r="AX40" s="277"/>
      <c r="AY40" s="277"/>
      <c r="BC40" s="284" t="s">
        <v>523</v>
      </c>
      <c r="BD40" s="285">
        <v>8</v>
      </c>
      <c r="BF40" s="284" t="s">
        <v>505</v>
      </c>
      <c r="BG40" s="285">
        <v>72</v>
      </c>
      <c r="BL40" s="312"/>
      <c r="BM40" s="350" t="s">
        <v>904</v>
      </c>
      <c r="BN40" s="350">
        <f t="array" ref="BN40">IF(Ration_hivernale_complète_bisons[somme]&gt;0,0,IFERROR(IF(OR(AND(INDEX(Règles_bison[Specificite],MATCH(ChoixRationBisons&amp;$BM40,Règles_bison[Ration]&amp;Règles_bison[Aliment],0))="s1",IF($BM40=ChoixSpécificité1Bisons,1)),
INDEX(Règles_bison[Specificite],MATCH(ChoixRationBisons&amp;$BM40,Règles_bison[Ration]&amp;Règles_bison[Aliment],0))="c"),
INDEX(Règles_bison[Valeur 36 et plus],MATCH(ChoixRationBisons&amp;$BM40,Règles_bison[Ration]&amp;Règles_bison[Aliment],0)),0),0)*TotalBisonsMalesAdultes*NbreJoursNourrirBisonsDaims)</f>
        <v>0</v>
      </c>
      <c r="BO40" s="350">
        <f t="array" ref="BO40">IF(Ration_hivernale_complète_bisons[somme]&gt;0,0,IFERROR(IF(OR(AND(INDEX(Règles_bison[Specificite],MATCH(ChoixRationBisons&amp;$BM40,Règles_bison[Ration]&amp;Règles_bison[Aliment],0))="s1",IF($BM40=ChoixSpécificité1Bisons,1)),
INDEX(Règles_bison[Specificite],MATCH(ChoixRationBisons&amp;$BM40,Règles_bison[Ration]&amp;Règles_bison[Aliment],0))="c"),
INDEX(Règles_bison[Valeur 24-36],MATCH(ChoixRationBisons&amp;$BM40,Règles_bison[Ration]&amp;Règles_bison[Aliment],0)),0),0)*TotalBisonsMales_24_36_mois*NbreJoursNourrirBisonsDaims)</f>
        <v>0</v>
      </c>
      <c r="BP40" s="350">
        <f t="array" ref="BP40">IF(Ration_hivernale_complète_bisons[somme]&gt;0,0,IFERROR(IF(OR(AND(INDEX(Règles_bison[Specificite],MATCH(ChoixRationBisons&amp;$BM40,Règles_bison[Ration]&amp;Règles_bison[Aliment],0))="s1",IF($BM40=ChoixSpécificité1Bisons,1)),
INDEX(Règles_bison[Specificite],MATCH(ChoixRationBisons&amp;$BM40,Règles_bison[Ration]&amp;Règles_bison[Aliment],0))="c"),
INDEX(Règles_bison[Valeur 18-24],MATCH(ChoixRationBisons&amp;$BM40,Règles_bison[Ration]&amp;Règles_bison[Aliment],0)),0),0)*TotalBisonsMales_18_24_mois*NbreJoursNourrirBisonsDaims)</f>
        <v>0</v>
      </c>
      <c r="BQ40" s="350">
        <f t="array" ref="BQ40">IF(Ration_hivernale_complète_bisons[somme]&gt;0,0,IFERROR(IF(OR(AND(INDEX(Règles_bison[Specificite],MATCH(ChoixRationBisons&amp;$BM40,Règles_bison[Ration]&amp;Règles_bison[Aliment],0))="s1",IF($BM40=ChoixSpécificité1Bisons,1)),
INDEX(Règles_bison[Specificite],MATCH(ChoixRationBisons&amp;$BM40,Règles_bison[Ration]&amp;Règles_bison[Aliment],0))="c"),
INDEX(Règles_bison[Valeur 12-18],MATCH(ChoixRationBisons&amp;$BM40,Règles_bison[Ration]&amp;Règles_bison[Aliment],0)),0),0)*TotalBisonsMales_12_18_mois*NbreJoursNourrirBisonsDaims)</f>
        <v>0</v>
      </c>
      <c r="BR40" s="350">
        <f t="array" ref="BR40">IF(Ration_hivernale_complète_bisons[somme]&gt;0,0,IFERROR(IF(OR(AND(INDEX(Règles_bison[Specificite],MATCH(ChoixRationBisons&amp;$BM40,Règles_bison[Ration]&amp;Règles_bison[Aliment],0))="s1",IF($BM40=ChoixSpécificité1Bisons,1)),
INDEX(Règles_bison[Specificite],MATCH(ChoixRationBisons&amp;$BM40,Règles_bison[Ration]&amp;Règles_bison[Aliment],0))="c"),
INDEX(Règles_bison[Valeur 6-12],MATCH(ChoixRationBisons&amp;$BM40,Règles_bison[Ration]&amp;Règles_bison[Aliment],0)),0),0)*TotalBisonsMales_6_12_mois*NbreJoursNourrirBisonsDaims)</f>
        <v>0</v>
      </c>
      <c r="BS40" s="350">
        <f t="array" ref="BS40">IF(Ration_hivernale_complète_bisons[somme]&gt;0,0,IFERROR(IF(OR(AND(INDEX(Règles_bison[Specificite],MATCH(ChoixRationBisons&amp;$BM40,Règles_bison[Ration]&amp;Règles_bison[Aliment],0))="s1",IF($BM40=ChoixSpécificité1Bisons,1)),
INDEX(Règles_bison[Specificite],MATCH(ChoixRationBisons&amp;$BM40,Règles_bison[Ration]&amp;Règles_bison[Aliment],0))="c"),
INDEX(Règles_bison[Valeur 3-6],MATCH(ChoixRationBisons&amp;$BM40,Règles_bison[Ration]&amp;Règles_bison[Aliment],0)),0),0)*TotalBisonsMales_3_6_mois*NbreJoursNourrirBisonsDaims)</f>
        <v>0</v>
      </c>
      <c r="BT40" s="350">
        <f t="array" ref="BT40">IF(Ration_hivernale_complète_bisons[somme]&gt;0,0,IFERROR(IF(OR(AND(INDEX(Règles_bison[Specificite],MATCH(ChoixRationBisons&amp;$BM40,Règles_bison[Ration]&amp;Règles_bison[Aliment],0))="s1",IF($BM40=ChoixSpécificité1Bisons,1)),
INDEX(Règles_bison[Specificite],MATCH(ChoixRationBisons&amp;$BM40,Règles_bison[Ration]&amp;Règles_bison[Aliment],0))="c"),
INDEX(Règles_bison[Valeur 0-3],MATCH(ChoixRationBisons&amp;$BM40,Règles_bison[Ration]&amp;Règles_bison[Aliment],0)),0),0)*TotalBisonsMales_0_3_mois*NbreJoursNourrirBisonsDaims)</f>
        <v>0</v>
      </c>
      <c r="BU40" s="350">
        <f t="shared" si="10"/>
        <v>0</v>
      </c>
      <c r="BY40" s="280" t="s">
        <v>797</v>
      </c>
      <c r="BZ40" s="280">
        <v>600</v>
      </c>
      <c r="CB40" s="280" t="s">
        <v>797</v>
      </c>
      <c r="CC40" s="280">
        <v>720</v>
      </c>
      <c r="CJ40" s="373"/>
      <c r="CK40" s="280"/>
      <c r="CL40" s="280"/>
      <c r="CM40" s="280"/>
      <c r="CN40" s="280"/>
      <c r="CO40" s="280"/>
      <c r="CP40" s="280"/>
      <c r="CQ40" s="423"/>
      <c r="CS40" s="373" t="s">
        <v>926</v>
      </c>
      <c r="CT40" s="280" t="s">
        <v>70</v>
      </c>
      <c r="CU40" s="280" t="s">
        <v>887</v>
      </c>
      <c r="CV40" s="280">
        <v>0.16</v>
      </c>
      <c r="CW40" s="280">
        <v>0.104</v>
      </c>
      <c r="CX40" s="423">
        <v>0</v>
      </c>
      <c r="CZ40" s="373" t="s">
        <v>927</v>
      </c>
      <c r="DA40" s="280" t="s">
        <v>490</v>
      </c>
      <c r="DB40" s="280" t="s">
        <v>886</v>
      </c>
      <c r="DC40" s="280">
        <v>0.02</v>
      </c>
      <c r="DD40" s="280">
        <v>1.4999999999999999E-2</v>
      </c>
      <c r="DE40" s="423">
        <v>0.01</v>
      </c>
      <c r="DF40" s="277"/>
      <c r="DG40" s="373"/>
      <c r="DH40" s="280"/>
      <c r="DI40" s="280"/>
      <c r="DJ40" s="280"/>
      <c r="DK40" s="280"/>
      <c r="DL40" s="423"/>
      <c r="DN40" s="280" t="s">
        <v>621</v>
      </c>
      <c r="DO40" s="280">
        <v>40</v>
      </c>
      <c r="DQ40" s="280" t="s">
        <v>621</v>
      </c>
      <c r="DR40" s="280">
        <v>5</v>
      </c>
      <c r="DV40" s="350" t="s">
        <v>1167</v>
      </c>
      <c r="DW40" s="351">
        <f t="array" ref="DW40">IF(ChoixRationComplèteDaims=OUI,0,IFERROR(IF(OR(AND(INDEX(Règles_daims[Specificite],MATCH(ChoixRationDaims&amp;DV40,Règles_daims[Ration]&amp;Règles_daims[Aliment],0))="s1",IF(DV40=Spécificité1Daims,1)),
AND(INDEX(Règles_daims[Specificite],MATCH(ChoixRationDaims&amp;DV40,Règles_daims[Ration]&amp;Règles_daims[Aliment],0))="s2",IF(DV40=Spécificité2Daims,1)),
INDEX(Règles_daims[Specificite],MATCH(ChoixRationDaims&amp;DV40,Règles_daims[Ration]&amp;Règles_daims[Aliment],0))="c"),
INDEX(Règles_daims[Valeur 36 et plus],MATCH(ChoixRationDaims&amp;DV40,Règles_daims[Ration]&amp;Règles_daims[Aliment],0)),0),0)*SUM(TotalDaimsAdultes)*NbreJoursNourrirBisonsDaims)</f>
        <v>0</v>
      </c>
      <c r="DX40" s="351">
        <f t="array" ref="DX40">IF(ChoixRationComplèteDaims=OUI,0,IFERROR(IF(OR(AND(INDEX(Règles_daims[Specificite],MATCH(ChoixRationDaims&amp;DV40,Règles_daims[Ration]&amp;Règles_daims[Aliment],0))="s1",IF(DV40=Spécificité1Daims,1)),
AND(INDEX(Règles_daims[Specificite],MATCH(ChoixRationDaims&amp;DV40,Règles_daims[Ration]&amp;Règles_daims[Aliment],0))="s2",IF(DV40=Spécificité2Daims,1)),
INDEX(Règles_daims[Specificite],MATCH(ChoixRationDaims&amp;DV40,Règles_daims[Ration]&amp;Règles_daims[Aliment],0))="c"),
INDEX(Règles_daims[Valeur 24-36],MATCH(ChoixRationDaims&amp;DV40,Règles_daims[Ration]&amp;Règles_daims[Aliment],0)),0),0)*SUM(TotalDaims24_36)*NbreJoursNourrirBisonsDaims)</f>
        <v>0</v>
      </c>
      <c r="DY40" s="351">
        <f t="array" ref="DY40">IF(ChoixRationComplèteDaims=OUI,0,IFERROR(IF(OR(AND(INDEX(Règles_daims[Specificite],MATCH(ChoixRationDaims&amp;DV40,Règles_daims[Ration]&amp;Règles_daims[Aliment],0))="s1",IF(DV40=Spécificité1Daims,1)),
AND(INDEX(Règles_daims[Specificite],MATCH(ChoixRationDaims&amp;DV40,Règles_daims[Ration]&amp;Règles_daims[Aliment],0))="s2",IF(DV40=Spécificité2Daims,1)),
INDEX(Règles_daims[Specificite],MATCH(ChoixRationDaims&amp;DV40,Règles_daims[Ration]&amp;Règles_daims[Aliment],0))="c"),
INDEX(Règles_daims[Valeur 18-24],MATCH(ChoixRationDaims&amp;DV40,Règles_daims[Ration]&amp;Règles_daims[Aliment],0)),0),0)*SUM(TotalDaims18_24)*NbreJoursNourrirBisonsDaims)</f>
        <v>0</v>
      </c>
      <c r="DZ40" s="441">
        <f t="array" ref="DZ40">IF(ChoixRationComplèteDaims=OUI,0,IFERROR(IF(OR(AND(INDEX(Règles_daims[Specificite],MATCH(ChoixRationDaims&amp;DV40,Règles_daims[Ration]&amp;Règles_daims[Aliment],0))="s1",IF(DV40=Spécificité1Daims,1)),
AND(INDEX(Règles_daims[Specificite],MATCH(ChoixRationDaims&amp;DV40,Règles_daims[Ration]&amp;Règles_daims[Aliment],0))="s2",IF(DV40=Spécificité2Daims,1)),
INDEX(Règles_daims[Specificite],MATCH(ChoixRationDaims&amp;DV40,Règles_daims[Ration]&amp;Règles_daims[Aliment],0))="c"),
INDEX(Règles_daims[Valeur 12-18],MATCH(ChoixRationDaims&amp;DV40,Règles_daims[Ration]&amp;Règles_daims[Aliment],0)),0),0)*SUM(TotalDaims12_18)*NbreJoursNourrirBisonsDaims)</f>
        <v>0</v>
      </c>
      <c r="EA40" s="441">
        <f t="array" ref="EA40">IF(ChoixRationComplèteDaims=OUI,0,IFERROR(IF(OR(AND(INDEX(Règles_daims[Specificite],MATCH(ChoixRationDaims&amp;DV40,Règles_daims[Ration]&amp;Règles_daims[Aliment],0))="s1",IF(DV40=Spécificité1Daims,1)),
AND(INDEX(Règles_daims[Specificite],MATCH(ChoixRationDaims&amp;DV40,Règles_daims[Ration]&amp;Règles_daims[Aliment],0))="s2",IF(DV40=Spécificité2Daims,1)),
INDEX(Règles_daims[Specificite],MATCH(ChoixRationDaims&amp;DV40,Règles_daims[Ration]&amp;Règles_daims[Aliment],0))="c"),
INDEX(Règles_daims[Valeur 6-12],MATCH(ChoixRationDaims&amp;DV40,Règles_daims[Ration]&amp;Règles_daims[Aliment],0)),0),0)*SUM(TotalDaims6_12)*NbreJoursNourrirBisonsDaims)</f>
        <v>0</v>
      </c>
      <c r="EB40" s="441">
        <f t="array" ref="EB40">IF(ChoixRationComplèteDaims=OUI,0,IFERROR(IF(OR(AND(INDEX(Règles_daims[Specificite],MATCH(ChoixRationDaims&amp;DV40,Règles_daims[Ration]&amp;Règles_daims[Aliment],0))="s1",IF(DV40=Spécificité1Daims,1)),
AND(INDEX(Règles_daims[Specificite],MATCH(ChoixRationDaims&amp;DV40,Règles_daims[Ration]&amp;Règles_daims[Aliment],0))="s2",IF(DV40=Spécificité2Daims,1)),
INDEX(Règles_daims[Specificite],MATCH(ChoixRationDaims&amp;DV40,Règles_daims[Ration]&amp;Règles_daims[Aliment],0))="c"),
INDEX(Règles_daims[Valeur 3-6],MATCH(ChoixRationDaims&amp;DV40,Règles_daims[Ration]&amp;Règles_daims[Aliment],0)),0),0)*SUM(TotalDaims3_6)*NbreJoursNourrirBisonsDaims)</f>
        <v>0</v>
      </c>
      <c r="EC40" s="441">
        <f t="array" ref="EC40">IF(ChoixRationComplèteDaims=OUI,0,IFERROR(IF(OR(AND(INDEX(Règles_daims[Specificite],MATCH(ChoixRationDaims&amp;DV40,Règles_daims[Ration]&amp;Règles_daims[Aliment],0))="s1",IF(DV40=Spécificité1Daims,1)),
AND(INDEX(Règles_daims[Specificite],MATCH(ChoixRationDaims&amp;DV40,Règles_daims[Ration]&amp;Règles_daims[Aliment],0))="s2",IF(DV40=Spécificité2Daims,1)),
INDEX(Règles_daims[Specificite],MATCH(ChoixRationDaims&amp;DV40,Règles_daims[Ration]&amp;Règles_daims[Aliment],0))="c"),
INDEX(Règles_daims[Valeur 0-3],MATCH(ChoixRationDaims&amp;DV40,Règles_daims[Ration]&amp;Règles_daims[Aliment],0)),0),0)*SUM(TotalDaims0_3)*NbreJoursNourrirBisonsDaims)</f>
        <v>0</v>
      </c>
      <c r="ED40" s="441">
        <f t="shared" si="9"/>
        <v>0</v>
      </c>
      <c r="EG40" s="373"/>
      <c r="EH40" s="280"/>
      <c r="EI40" s="280"/>
      <c r="EJ40" s="280"/>
      <c r="EK40" s="280"/>
      <c r="EL40" s="423"/>
      <c r="EN40" s="373"/>
      <c r="EO40" s="280"/>
      <c r="EP40" s="280"/>
      <c r="EQ40" s="280"/>
      <c r="ER40" s="280"/>
      <c r="ES40" s="423"/>
      <c r="EU40" s="381" t="s">
        <v>1022</v>
      </c>
      <c r="EV40" s="280" t="s">
        <v>490</v>
      </c>
      <c r="EW40" s="280" t="s">
        <v>886</v>
      </c>
      <c r="EX40" s="280">
        <v>6</v>
      </c>
      <c r="EY40" s="280">
        <v>4</v>
      </c>
      <c r="EZ40" s="280">
        <v>2.5</v>
      </c>
      <c r="FA40" s="423">
        <v>1.5</v>
      </c>
      <c r="FB40" s="298"/>
      <c r="FD40" s="373" t="s">
        <v>875</v>
      </c>
      <c r="FE40" s="280" t="s">
        <v>508</v>
      </c>
      <c r="FF40" s="280" t="s">
        <v>911</v>
      </c>
      <c r="FG40" s="280">
        <v>3.03</v>
      </c>
      <c r="FH40" s="280">
        <v>21.2</v>
      </c>
      <c r="FI40" s="280">
        <v>15.15</v>
      </c>
      <c r="FJ40" s="423">
        <v>10.6</v>
      </c>
      <c r="FK40" s="298"/>
      <c r="FL40" s="298"/>
      <c r="FN40" s="373" t="s">
        <v>875</v>
      </c>
      <c r="FO40" s="280" t="s">
        <v>905</v>
      </c>
      <c r="FP40" s="280" t="s">
        <v>886</v>
      </c>
      <c r="FQ40" s="280">
        <v>0.15</v>
      </c>
      <c r="FR40" s="280">
        <v>0.11</v>
      </c>
      <c r="FS40" s="280">
        <v>7.0000000000000007E-2</v>
      </c>
      <c r="FT40" s="423">
        <v>0.05</v>
      </c>
      <c r="FU40" s="298"/>
      <c r="FV40" s="298"/>
      <c r="GA40" s="276"/>
      <c r="GE40" s="280" t="s">
        <v>194</v>
      </c>
      <c r="GF40" s="283"/>
      <c r="GG40" s="280" t="s">
        <v>1035</v>
      </c>
      <c r="GH40" s="283" t="s">
        <v>955</v>
      </c>
      <c r="GI40" s="283" t="s">
        <v>955</v>
      </c>
      <c r="GJ40" s="283" t="s">
        <v>955</v>
      </c>
      <c r="GK40" s="283" t="s">
        <v>955</v>
      </c>
      <c r="GL40" s="283" t="s">
        <v>955</v>
      </c>
      <c r="GM40" s="283" t="s">
        <v>955</v>
      </c>
      <c r="GN40" s="283" t="s">
        <v>955</v>
      </c>
      <c r="GO40" s="283" t="s">
        <v>955</v>
      </c>
      <c r="GP40" s="283" t="s">
        <v>955</v>
      </c>
      <c r="GQ40" s="283" t="s">
        <v>955</v>
      </c>
      <c r="GR40" s="283" t="s">
        <v>955</v>
      </c>
      <c r="GS40" s="283" t="s">
        <v>955</v>
      </c>
      <c r="GT40" s="283" t="s">
        <v>955</v>
      </c>
      <c r="GU40" s="283" t="s">
        <v>955</v>
      </c>
      <c r="GV40" s="283" t="s">
        <v>955</v>
      </c>
      <c r="GY40" s="444" t="str">
        <f t="shared" si="11"/>
        <v>semences de ray-grass Italie</v>
      </c>
      <c r="GZ40" s="444"/>
      <c r="HA40" s="342"/>
      <c r="HB40" s="342" t="e">
        <f>IF(COUNTIF(TypeArticleDansEntrepôt,GY40)=0,0,SUMIF(TypeArticleDansEntrepôt,GY40,QtéArticleDansEntrepôt)*VLOOKUP(GY40,#REF!,2,FALSE))</f>
        <v>#REF!</v>
      </c>
      <c r="HK40" s="280" t="s">
        <v>1059</v>
      </c>
      <c r="HL40" s="288">
        <f>AVERAGE(0.55,0.95)*1000</f>
        <v>750</v>
      </c>
    </row>
    <row r="41" spans="1:241" ht="12.75" customHeight="1" x14ac:dyDescent="0.2">
      <c r="A41" s="369"/>
      <c r="B41" s="280"/>
      <c r="C41" s="280"/>
      <c r="D41" s="423"/>
      <c r="F41" s="280"/>
      <c r="G41" s="280"/>
      <c r="H41" s="280"/>
      <c r="I41" s="280"/>
      <c r="N41" s="277"/>
      <c r="O41" s="280" t="s">
        <v>394</v>
      </c>
      <c r="P41" s="280"/>
      <c r="Q41" s="280"/>
      <c r="R41" s="280"/>
      <c r="S41" s="280"/>
      <c r="T41" s="280"/>
      <c r="U41" s="280"/>
      <c r="V41" s="280"/>
      <c r="W41" s="280"/>
      <c r="X41" s="280"/>
      <c r="Y41" s="280"/>
      <c r="Z41" s="280"/>
      <c r="AA41" s="280"/>
      <c r="AB41" s="280"/>
      <c r="AC41" s="280"/>
      <c r="AD41" s="280"/>
      <c r="AE41" s="280"/>
      <c r="AF41" s="280"/>
      <c r="AG41" s="280"/>
      <c r="AH41" s="280"/>
      <c r="AI41" s="280"/>
      <c r="AJ41" s="280"/>
      <c r="AK41" s="280"/>
      <c r="AL41" s="280"/>
      <c r="AM41" s="280"/>
      <c r="AN41" s="280"/>
      <c r="AO41" s="280"/>
      <c r="AP41" s="280"/>
      <c r="AQ41" s="280"/>
      <c r="AR41" s="280"/>
      <c r="AS41" s="280"/>
      <c r="AT41" s="280"/>
      <c r="AU41" s="280"/>
      <c r="AV41" s="280"/>
      <c r="AW41" s="280"/>
      <c r="AX41" s="280"/>
      <c r="AY41" s="280"/>
      <c r="BC41" s="284" t="s">
        <v>524</v>
      </c>
      <c r="BD41" s="285">
        <v>5</v>
      </c>
      <c r="BF41" s="284" t="s">
        <v>506</v>
      </c>
      <c r="BG41" s="285">
        <v>56</v>
      </c>
      <c r="BL41" s="312"/>
      <c r="BM41" s="350" t="s">
        <v>500</v>
      </c>
      <c r="BN41" s="350">
        <f t="array" ref="BN41">IF(Ration_hivernale_complète_bisons[somme]&gt;0,0,IFERROR(IF(OR(AND(INDEX(Règles_bison[Specificite],MATCH(ChoixRationBisons&amp;$BM41,Règles_bison[Ration]&amp;Règles_bison[Aliment],0))="s1",IF($BM41=ChoixSpécificité1Bisons,1)),
INDEX(Règles_bison[Specificite],MATCH(ChoixRationBisons&amp;$BM41,Règles_bison[Ration]&amp;Règles_bison[Aliment],0))="c"),
INDEX(Règles_bison[Valeur 36 et plus],MATCH(ChoixRationBisons&amp;$BM41,Règles_bison[Ration]&amp;Règles_bison[Aliment],0)),0),0)*TotalBisonsMalesAdultes*NbreJoursNourrirBisonsDaims)</f>
        <v>0</v>
      </c>
      <c r="BO41" s="350">
        <f t="array" ref="BO41">IF(Ration_hivernale_complète_bisons[somme]&gt;0,0,IFERROR(IF(OR(AND(INDEX(Règles_bison[Specificite],MATCH(ChoixRationBisons&amp;$BM41,Règles_bison[Ration]&amp;Règles_bison[Aliment],0))="s1",IF($BM41=ChoixSpécificité1Bisons,1)),
INDEX(Règles_bison[Specificite],MATCH(ChoixRationBisons&amp;$BM41,Règles_bison[Ration]&amp;Règles_bison[Aliment],0))="c"),
INDEX(Règles_bison[Valeur 24-36],MATCH(ChoixRationBisons&amp;$BM41,Règles_bison[Ration]&amp;Règles_bison[Aliment],0)),0),0)*TotalBisonsMales_24_36_mois*NbreJoursNourrirBisonsDaims)</f>
        <v>0</v>
      </c>
      <c r="BP41" s="350">
        <f t="array" ref="BP41">IF(Ration_hivernale_complète_bisons[somme]&gt;0,0,IFERROR(IF(OR(AND(INDEX(Règles_bison[Specificite],MATCH(ChoixRationBisons&amp;$BM41,Règles_bison[Ration]&amp;Règles_bison[Aliment],0))="s1",IF($BM41=ChoixSpécificité1Bisons,1)),
INDEX(Règles_bison[Specificite],MATCH(ChoixRationBisons&amp;$BM41,Règles_bison[Ration]&amp;Règles_bison[Aliment],0))="c"),
INDEX(Règles_bison[Valeur 18-24],MATCH(ChoixRationBisons&amp;$BM41,Règles_bison[Ration]&amp;Règles_bison[Aliment],0)),0),0)*TotalBisonsMales_18_24_mois*NbreJoursNourrirBisonsDaims)</f>
        <v>0</v>
      </c>
      <c r="BQ41" s="350">
        <f t="array" ref="BQ41">IF(Ration_hivernale_complète_bisons[somme]&gt;0,0,IFERROR(IF(OR(AND(INDEX(Règles_bison[Specificite],MATCH(ChoixRationBisons&amp;$BM41,Règles_bison[Ration]&amp;Règles_bison[Aliment],0))="s1",IF($BM41=ChoixSpécificité1Bisons,1)),
INDEX(Règles_bison[Specificite],MATCH(ChoixRationBisons&amp;$BM41,Règles_bison[Ration]&amp;Règles_bison[Aliment],0))="c"),
INDEX(Règles_bison[Valeur 12-18],MATCH(ChoixRationBisons&amp;$BM41,Règles_bison[Ration]&amp;Règles_bison[Aliment],0)),0),0)*TotalBisonsMales_12_18_mois*NbreJoursNourrirBisonsDaims)</f>
        <v>0</v>
      </c>
      <c r="BR41" s="350">
        <f t="array" ref="BR41">IF(Ration_hivernale_complète_bisons[somme]&gt;0,0,IFERROR(IF(OR(AND(INDEX(Règles_bison[Specificite],MATCH(ChoixRationBisons&amp;$BM41,Règles_bison[Ration]&amp;Règles_bison[Aliment],0))="s1",IF($BM41=ChoixSpécificité1Bisons,1)),
INDEX(Règles_bison[Specificite],MATCH(ChoixRationBisons&amp;$BM41,Règles_bison[Ration]&amp;Règles_bison[Aliment],0))="c"),
INDEX(Règles_bison[Valeur 6-12],MATCH(ChoixRationBisons&amp;$BM41,Règles_bison[Ration]&amp;Règles_bison[Aliment],0)),0),0)*TotalBisonsMales_6_12_mois*NbreJoursNourrirBisonsDaims)</f>
        <v>0</v>
      </c>
      <c r="BS41" s="350">
        <f t="array" ref="BS41">IF(Ration_hivernale_complète_bisons[somme]&gt;0,0,IFERROR(IF(OR(AND(INDEX(Règles_bison[Specificite],MATCH(ChoixRationBisons&amp;$BM41,Règles_bison[Ration]&amp;Règles_bison[Aliment],0))="s1",IF($BM41=ChoixSpécificité1Bisons,1)),
INDEX(Règles_bison[Specificite],MATCH(ChoixRationBisons&amp;$BM41,Règles_bison[Ration]&amp;Règles_bison[Aliment],0))="c"),
INDEX(Règles_bison[Valeur 3-6],MATCH(ChoixRationBisons&amp;$BM41,Règles_bison[Ration]&amp;Règles_bison[Aliment],0)),0),0)*TotalBisonsMales_3_6_mois*NbreJoursNourrirBisonsDaims)</f>
        <v>0</v>
      </c>
      <c r="BT41" s="350">
        <f t="array" ref="BT41">IF(Ration_hivernale_complète_bisons[somme]&gt;0,0,IFERROR(IF(OR(AND(INDEX(Règles_bison[Specificite],MATCH(ChoixRationBisons&amp;$BM41,Règles_bison[Ration]&amp;Règles_bison[Aliment],0))="s1",IF($BM41=ChoixSpécificité1Bisons,1)),
INDEX(Règles_bison[Specificite],MATCH(ChoixRationBisons&amp;$BM41,Règles_bison[Ration]&amp;Règles_bison[Aliment],0))="c"),
INDEX(Règles_bison[Valeur 0-3],MATCH(ChoixRationBisons&amp;$BM41,Règles_bison[Ration]&amp;Règles_bison[Aliment],0)),0),0)*TotalBisonsMales_0_3_mois*NbreJoursNourrirBisonsDaims)</f>
        <v>0</v>
      </c>
      <c r="BU41" s="350">
        <f t="shared" si="10"/>
        <v>0</v>
      </c>
      <c r="BY41" s="280" t="s">
        <v>798</v>
      </c>
      <c r="BZ41" s="280">
        <v>610</v>
      </c>
      <c r="CB41" s="280" t="s">
        <v>798</v>
      </c>
      <c r="CC41" s="280">
        <v>732</v>
      </c>
      <c r="CJ41" s="373"/>
      <c r="CK41" s="280"/>
      <c r="CL41" s="280"/>
      <c r="CM41" s="280"/>
      <c r="CN41" s="280"/>
      <c r="CO41" s="280"/>
      <c r="CP41" s="280"/>
      <c r="CQ41" s="423"/>
      <c r="CS41" s="373" t="s">
        <v>926</v>
      </c>
      <c r="CT41" s="280" t="s">
        <v>489</v>
      </c>
      <c r="CU41" s="280" t="s">
        <v>886</v>
      </c>
      <c r="CV41" s="280">
        <v>0.16</v>
      </c>
      <c r="CW41" s="280">
        <v>0.104</v>
      </c>
      <c r="CX41" s="423">
        <v>0</v>
      </c>
      <c r="CZ41" s="373" t="s">
        <v>927</v>
      </c>
      <c r="DA41" s="280" t="s">
        <v>905</v>
      </c>
      <c r="DB41" s="280" t="s">
        <v>886</v>
      </c>
      <c r="DC41" s="280">
        <v>5.0000000000000001E-3</v>
      </c>
      <c r="DD41" s="280">
        <v>3.0000000000000001E-3</v>
      </c>
      <c r="DE41" s="423">
        <v>2E-3</v>
      </c>
      <c r="DF41" s="277"/>
      <c r="DG41" s="373"/>
      <c r="DH41" s="280"/>
      <c r="DI41" s="280"/>
      <c r="DJ41" s="280"/>
      <c r="DK41" s="280"/>
      <c r="DL41" s="423"/>
      <c r="DV41" s="350" t="s">
        <v>1165</v>
      </c>
      <c r="DW41" s="351">
        <f t="array" ref="DW41">IF(ChoixRationComplèteDaims=OUI,0,IFERROR(IF(OR(AND(INDEX(Règles_daims[Specificite],MATCH(ChoixRationDaims&amp;DV41,Règles_daims[Ration]&amp;Règles_daims[Aliment],0))="s1",IF(DV41=Spécificité1Daims,1)),
AND(INDEX(Règles_daims[Specificite],MATCH(ChoixRationDaims&amp;DV41,Règles_daims[Ration]&amp;Règles_daims[Aliment],0))="s2",IF(DV41=Spécificité2Daims,1)),
INDEX(Règles_daims[Specificite],MATCH(ChoixRationDaims&amp;DV41,Règles_daims[Ration]&amp;Règles_daims[Aliment],0))="c"),
INDEX(Règles_daims[Valeur 36 et plus],MATCH(ChoixRationDaims&amp;DV41,Règles_daims[Ration]&amp;Règles_daims[Aliment],0)),0),0)*SUM(TotalDaimsAdultes)*NbreJoursNourrirBisonsDaims)</f>
        <v>0</v>
      </c>
      <c r="DX41" s="351">
        <f t="array" ref="DX41">IF(ChoixRationComplèteDaims=OUI,0,IFERROR(IF(OR(AND(INDEX(Règles_daims[Specificite],MATCH(ChoixRationDaims&amp;DV41,Règles_daims[Ration]&amp;Règles_daims[Aliment],0))="s1",IF(DV41=Spécificité1Daims,1)),
AND(INDEX(Règles_daims[Specificite],MATCH(ChoixRationDaims&amp;DV41,Règles_daims[Ration]&amp;Règles_daims[Aliment],0))="s2",IF(DV41=Spécificité2Daims,1)),
INDEX(Règles_daims[Specificite],MATCH(ChoixRationDaims&amp;DV41,Règles_daims[Ration]&amp;Règles_daims[Aliment],0))="c"),
INDEX(Règles_daims[Valeur 24-36],MATCH(ChoixRationDaims&amp;DV41,Règles_daims[Ration]&amp;Règles_daims[Aliment],0)),0),0)*SUM(TotalDaims24_36)*NbreJoursNourrirBisonsDaims)</f>
        <v>0</v>
      </c>
      <c r="DY41" s="351">
        <f t="array" ref="DY41">IF(ChoixRationComplèteDaims=OUI,0,IFERROR(IF(OR(AND(INDEX(Règles_daims[Specificite],MATCH(ChoixRationDaims&amp;DV41,Règles_daims[Ration]&amp;Règles_daims[Aliment],0))="s1",IF(DV41=Spécificité1Daims,1)),
AND(INDEX(Règles_daims[Specificite],MATCH(ChoixRationDaims&amp;DV41,Règles_daims[Ration]&amp;Règles_daims[Aliment],0))="s2",IF(DV41=Spécificité2Daims,1)),
INDEX(Règles_daims[Specificite],MATCH(ChoixRationDaims&amp;DV41,Règles_daims[Ration]&amp;Règles_daims[Aliment],0))="c"),
INDEX(Règles_daims[Valeur 18-24],MATCH(ChoixRationDaims&amp;DV41,Règles_daims[Ration]&amp;Règles_daims[Aliment],0)),0),0)*SUM(TotalDaims18_24)*NbreJoursNourrirBisonsDaims)</f>
        <v>0</v>
      </c>
      <c r="DZ41" s="441">
        <f t="array" ref="DZ41">IF(ChoixRationComplèteDaims=OUI,0,IFERROR(IF(OR(AND(INDEX(Règles_daims[Specificite],MATCH(ChoixRationDaims&amp;DV41,Règles_daims[Ration]&amp;Règles_daims[Aliment],0))="s1",IF(DV41=Spécificité1Daims,1)),
AND(INDEX(Règles_daims[Specificite],MATCH(ChoixRationDaims&amp;DV41,Règles_daims[Ration]&amp;Règles_daims[Aliment],0))="s2",IF(DV41=Spécificité2Daims,1)),
INDEX(Règles_daims[Specificite],MATCH(ChoixRationDaims&amp;DV41,Règles_daims[Ration]&amp;Règles_daims[Aliment],0))="c"),
INDEX(Règles_daims[Valeur 12-18],MATCH(ChoixRationDaims&amp;DV41,Règles_daims[Ration]&amp;Règles_daims[Aliment],0)),0),0)*SUM(TotalDaims12_18)*NbreJoursNourrirBisonsDaims)</f>
        <v>0</v>
      </c>
      <c r="EA41" s="441">
        <f t="array" ref="EA41">IF(ChoixRationComplèteDaims=OUI,0,IFERROR(IF(OR(AND(INDEX(Règles_daims[Specificite],MATCH(ChoixRationDaims&amp;DV41,Règles_daims[Ration]&amp;Règles_daims[Aliment],0))="s1",IF(DV41=Spécificité1Daims,1)),
AND(INDEX(Règles_daims[Specificite],MATCH(ChoixRationDaims&amp;DV41,Règles_daims[Ration]&amp;Règles_daims[Aliment],0))="s2",IF(DV41=Spécificité2Daims,1)),
INDEX(Règles_daims[Specificite],MATCH(ChoixRationDaims&amp;DV41,Règles_daims[Ration]&amp;Règles_daims[Aliment],0))="c"),
INDEX(Règles_daims[Valeur 6-12],MATCH(ChoixRationDaims&amp;DV41,Règles_daims[Ration]&amp;Règles_daims[Aliment],0)),0),0)*SUM(TotalDaims6_12)*NbreJoursNourrirBisonsDaims)</f>
        <v>0</v>
      </c>
      <c r="EB41" s="441">
        <f t="array" ref="EB41">IF(ChoixRationComplèteDaims=OUI,0,IFERROR(IF(OR(AND(INDEX(Règles_daims[Specificite],MATCH(ChoixRationDaims&amp;DV41,Règles_daims[Ration]&amp;Règles_daims[Aliment],0))="s1",IF(DV41=Spécificité1Daims,1)),
AND(INDEX(Règles_daims[Specificite],MATCH(ChoixRationDaims&amp;DV41,Règles_daims[Ration]&amp;Règles_daims[Aliment],0))="s2",IF(DV41=Spécificité2Daims,1)),
INDEX(Règles_daims[Specificite],MATCH(ChoixRationDaims&amp;DV41,Règles_daims[Ration]&amp;Règles_daims[Aliment],0))="c"),
INDEX(Règles_daims[Valeur 3-6],MATCH(ChoixRationDaims&amp;DV41,Règles_daims[Ration]&amp;Règles_daims[Aliment],0)),0),0)*SUM(TotalDaims3_6)*NbreJoursNourrirBisonsDaims)</f>
        <v>0</v>
      </c>
      <c r="EC41" s="441">
        <f t="array" ref="EC41">IF(ChoixRationComplèteDaims=OUI,0,IFERROR(IF(OR(AND(INDEX(Règles_daims[Specificite],MATCH(ChoixRationDaims&amp;DV41,Règles_daims[Ration]&amp;Règles_daims[Aliment],0))="s1",IF(DV41=Spécificité1Daims,1)),
AND(INDEX(Règles_daims[Specificite],MATCH(ChoixRationDaims&amp;DV41,Règles_daims[Ration]&amp;Règles_daims[Aliment],0))="s2",IF(DV41=Spécificité2Daims,1)),
INDEX(Règles_daims[Specificite],MATCH(ChoixRationDaims&amp;DV41,Règles_daims[Ration]&amp;Règles_daims[Aliment],0))="c"),
INDEX(Règles_daims[Valeur 0-3],MATCH(ChoixRationDaims&amp;DV41,Règles_daims[Ration]&amp;Règles_daims[Aliment],0)),0),0)*SUM(TotalDaims0_3)*NbreJoursNourrirBisonsDaims)</f>
        <v>0</v>
      </c>
      <c r="ED41" s="441">
        <f t="shared" si="9"/>
        <v>0</v>
      </c>
      <c r="EG41" s="373"/>
      <c r="EH41" s="280"/>
      <c r="EI41" s="280"/>
      <c r="EJ41" s="280"/>
      <c r="EK41" s="280"/>
      <c r="EL41" s="423"/>
      <c r="EN41" s="373"/>
      <c r="EO41" s="280"/>
      <c r="EP41" s="280"/>
      <c r="EQ41" s="280"/>
      <c r="ER41" s="280"/>
      <c r="ES41" s="423"/>
      <c r="EU41" s="381" t="s">
        <v>1022</v>
      </c>
      <c r="EV41" s="280" t="s">
        <v>489</v>
      </c>
      <c r="EW41" s="280" t="s">
        <v>886</v>
      </c>
      <c r="EX41" s="280">
        <v>6</v>
      </c>
      <c r="EY41" s="280">
        <v>4</v>
      </c>
      <c r="EZ41" s="280">
        <v>2.5</v>
      </c>
      <c r="FA41" s="423">
        <v>1.5</v>
      </c>
      <c r="FB41" s="298"/>
      <c r="FD41" s="373" t="s">
        <v>875</v>
      </c>
      <c r="FE41" s="280" t="s">
        <v>905</v>
      </c>
      <c r="FF41" s="280" t="s">
        <v>886</v>
      </c>
      <c r="FG41" s="280">
        <v>0.2</v>
      </c>
      <c r="FH41" s="280">
        <v>0.15</v>
      </c>
      <c r="FI41" s="280">
        <v>0.1</v>
      </c>
      <c r="FJ41" s="423">
        <v>0.05</v>
      </c>
      <c r="FK41" s="298"/>
      <c r="FL41" s="298"/>
      <c r="FN41" s="373" t="s">
        <v>875</v>
      </c>
      <c r="FO41" s="280" t="s">
        <v>489</v>
      </c>
      <c r="FP41" s="280" t="s">
        <v>886</v>
      </c>
      <c r="FQ41" s="280">
        <v>4</v>
      </c>
      <c r="FR41" s="280">
        <v>3</v>
      </c>
      <c r="FS41" s="280">
        <v>2</v>
      </c>
      <c r="FT41" s="423">
        <v>1.5</v>
      </c>
      <c r="FU41" s="298"/>
      <c r="FV41" s="298"/>
      <c r="FW41" s="335" t="s">
        <v>941</v>
      </c>
      <c r="FX41" s="335"/>
      <c r="FY41" s="335"/>
      <c r="FZ41" s="335"/>
      <c r="GA41" s="335"/>
      <c r="GB41" s="335"/>
      <c r="GE41" s="280" t="s">
        <v>247</v>
      </c>
      <c r="GF41" s="283"/>
      <c r="GG41" s="280" t="s">
        <v>1036</v>
      </c>
      <c r="GH41" s="283" t="s">
        <v>955</v>
      </c>
      <c r="GI41" s="283" t="s">
        <v>955</v>
      </c>
      <c r="GJ41" s="283" t="s">
        <v>955</v>
      </c>
      <c r="GK41" s="283" t="s">
        <v>955</v>
      </c>
      <c r="GL41" s="283" t="s">
        <v>955</v>
      </c>
      <c r="GM41" s="283" t="s">
        <v>955</v>
      </c>
      <c r="GN41" s="283" t="s">
        <v>955</v>
      </c>
      <c r="GO41" s="283" t="s">
        <v>955</v>
      </c>
      <c r="GP41" s="283" t="s">
        <v>955</v>
      </c>
      <c r="GQ41" s="283" t="s">
        <v>955</v>
      </c>
      <c r="GR41" s="283" t="s">
        <v>955</v>
      </c>
      <c r="GS41" s="283" t="s">
        <v>955</v>
      </c>
      <c r="GT41" s="283" t="s">
        <v>955</v>
      </c>
      <c r="GU41" s="283" t="s">
        <v>955</v>
      </c>
      <c r="GV41" s="283" t="s">
        <v>955</v>
      </c>
      <c r="GY41" s="444" t="str">
        <f t="shared" si="11"/>
        <v>semences de ray-grass anglais</v>
      </c>
      <c r="GZ41" s="444"/>
      <c r="HA41" s="342"/>
      <c r="HB41" s="342" t="e">
        <f>IF(COUNTIF(TypeArticleDansEntrepôt,GY41)=0,0,SUMIF(TypeArticleDansEntrepôt,GY41,QtéArticleDansEntrepôt)*VLOOKUP(GY41,#REF!,2,FALSE))</f>
        <v>#REF!</v>
      </c>
      <c r="HK41" s="280" t="s">
        <v>1058</v>
      </c>
      <c r="HL41" s="288">
        <f>AVERAGE(0.51,0.65)*1000</f>
        <v>580.00000000000011</v>
      </c>
      <c r="HN41" s="335" t="s">
        <v>1081</v>
      </c>
      <c r="HO41" s="335"/>
      <c r="HP41" s="335"/>
      <c r="HQ41" s="335"/>
      <c r="HR41" s="335"/>
      <c r="HS41" s="335"/>
      <c r="HT41" s="335"/>
      <c r="HU41" s="335"/>
      <c r="HV41" s="335"/>
      <c r="HW41" s="335"/>
      <c r="HX41" s="335"/>
      <c r="HY41" s="335"/>
      <c r="HZ41" s="335"/>
      <c r="IA41" s="335"/>
      <c r="IB41" s="335"/>
      <c r="IC41" s="335"/>
      <c r="ID41" s="335"/>
      <c r="IE41" s="335"/>
      <c r="IF41" s="335"/>
      <c r="IG41" s="335"/>
    </row>
    <row r="42" spans="1:241" ht="12.75" customHeight="1" x14ac:dyDescent="0.2">
      <c r="A42" s="369"/>
      <c r="B42" s="280"/>
      <c r="C42" s="280"/>
      <c r="D42" s="423"/>
      <c r="F42" s="280"/>
      <c r="G42" s="280"/>
      <c r="H42" s="280"/>
      <c r="I42" s="280"/>
      <c r="N42" s="277"/>
      <c r="O42" s="280" t="s">
        <v>395</v>
      </c>
      <c r="P42" s="280"/>
      <c r="Q42" s="280"/>
      <c r="R42" s="280"/>
      <c r="S42" s="280"/>
      <c r="T42" s="280"/>
      <c r="U42" s="280"/>
      <c r="V42" s="280"/>
      <c r="W42" s="280"/>
      <c r="X42" s="280"/>
      <c r="Y42" s="280"/>
      <c r="Z42" s="280"/>
      <c r="AA42" s="280"/>
      <c r="AB42" s="280"/>
      <c r="AC42" s="280"/>
      <c r="AD42" s="280"/>
      <c r="AE42" s="280"/>
      <c r="AF42" s="280"/>
      <c r="AG42" s="280"/>
      <c r="AH42" s="280"/>
      <c r="AI42" s="280"/>
      <c r="AJ42" s="280"/>
      <c r="AK42" s="280"/>
      <c r="AL42" s="280"/>
      <c r="AM42" s="280"/>
      <c r="AN42" s="280"/>
      <c r="AO42" s="280"/>
      <c r="AP42" s="280"/>
      <c r="AQ42" s="280"/>
      <c r="AR42" s="280"/>
      <c r="AS42" s="280"/>
      <c r="AT42" s="280"/>
      <c r="AU42" s="280"/>
      <c r="AV42" s="280"/>
      <c r="AW42" s="280"/>
      <c r="AX42" s="280"/>
      <c r="AY42" s="280"/>
      <c r="BL42" s="312"/>
      <c r="BM42" s="350" t="s">
        <v>499</v>
      </c>
      <c r="BN42" s="350">
        <f t="array" ref="BN42">IF(Ration_hivernale_complète_bisons[somme]&gt;0,0,IFERROR(IF(OR(AND(INDEX(Règles_bison[Specificite],MATCH(ChoixRationBisons&amp;$BM42,Règles_bison[Ration]&amp;Règles_bison[Aliment],0))="s1",IF($BM42=ChoixSpécificité1Bisons,1)),
INDEX(Règles_bison[Specificite],MATCH(ChoixRationBisons&amp;$BM42,Règles_bison[Ration]&amp;Règles_bison[Aliment],0))="c"),
INDEX(Règles_bison[Valeur 36 et plus],MATCH(ChoixRationBisons&amp;$BM42,Règles_bison[Ration]&amp;Règles_bison[Aliment],0)),0),0)*TotalBisonsMalesAdultes*NbreJoursNourrirBisonsDaims)</f>
        <v>0</v>
      </c>
      <c r="BO42" s="350">
        <f t="array" ref="BO42">IF(Ration_hivernale_complète_bisons[somme]&gt;0,0,IFERROR(IF(OR(AND(INDEX(Règles_bison[Specificite],MATCH(ChoixRationBisons&amp;$BM42,Règles_bison[Ration]&amp;Règles_bison[Aliment],0))="s1",IF($BM42=ChoixSpécificité1Bisons,1)),
INDEX(Règles_bison[Specificite],MATCH(ChoixRationBisons&amp;$BM42,Règles_bison[Ration]&amp;Règles_bison[Aliment],0))="c"),
INDEX(Règles_bison[Valeur 24-36],MATCH(ChoixRationBisons&amp;$BM42,Règles_bison[Ration]&amp;Règles_bison[Aliment],0)),0),0)*TotalBisonsMales_24_36_mois*NbreJoursNourrirBisonsDaims)</f>
        <v>0</v>
      </c>
      <c r="BP42" s="350">
        <f t="array" ref="BP42">IF(Ration_hivernale_complète_bisons[somme]&gt;0,0,IFERROR(IF(OR(AND(INDEX(Règles_bison[Specificite],MATCH(ChoixRationBisons&amp;$BM42,Règles_bison[Ration]&amp;Règles_bison[Aliment],0))="s1",IF($BM42=ChoixSpécificité1Bisons,1)),
INDEX(Règles_bison[Specificite],MATCH(ChoixRationBisons&amp;$BM42,Règles_bison[Ration]&amp;Règles_bison[Aliment],0))="c"),
INDEX(Règles_bison[Valeur 18-24],MATCH(ChoixRationBisons&amp;$BM42,Règles_bison[Ration]&amp;Règles_bison[Aliment],0)),0),0)*TotalBisonsMales_18_24_mois*NbreJoursNourrirBisonsDaims)</f>
        <v>0</v>
      </c>
      <c r="BQ42" s="350">
        <f t="array" ref="BQ42">IF(Ration_hivernale_complète_bisons[somme]&gt;0,0,IFERROR(IF(OR(AND(INDEX(Règles_bison[Specificite],MATCH(ChoixRationBisons&amp;$BM42,Règles_bison[Ration]&amp;Règles_bison[Aliment],0))="s1",IF($BM42=ChoixSpécificité1Bisons,1)),
INDEX(Règles_bison[Specificite],MATCH(ChoixRationBisons&amp;$BM42,Règles_bison[Ration]&amp;Règles_bison[Aliment],0))="c"),
INDEX(Règles_bison[Valeur 12-18],MATCH(ChoixRationBisons&amp;$BM42,Règles_bison[Ration]&amp;Règles_bison[Aliment],0)),0),0)*TotalBisonsMales_12_18_mois*NbreJoursNourrirBisonsDaims)</f>
        <v>0</v>
      </c>
      <c r="BR42" s="350">
        <f t="array" ref="BR42">IF(Ration_hivernale_complète_bisons[somme]&gt;0,0,IFERROR(IF(OR(AND(INDEX(Règles_bison[Specificite],MATCH(ChoixRationBisons&amp;$BM42,Règles_bison[Ration]&amp;Règles_bison[Aliment],0))="s1",IF($BM42=ChoixSpécificité1Bisons,1)),
INDEX(Règles_bison[Specificite],MATCH(ChoixRationBisons&amp;$BM42,Règles_bison[Ration]&amp;Règles_bison[Aliment],0))="c"),
INDEX(Règles_bison[Valeur 6-12],MATCH(ChoixRationBisons&amp;$BM42,Règles_bison[Ration]&amp;Règles_bison[Aliment],0)),0),0)*TotalBisonsMales_6_12_mois*NbreJoursNourrirBisonsDaims)</f>
        <v>0</v>
      </c>
      <c r="BS42" s="350">
        <f t="array" ref="BS42">IF(Ration_hivernale_complète_bisons[somme]&gt;0,0,IFERROR(IF(OR(AND(INDEX(Règles_bison[Specificite],MATCH(ChoixRationBisons&amp;$BM42,Règles_bison[Ration]&amp;Règles_bison[Aliment],0))="s1",IF($BM42=ChoixSpécificité1Bisons,1)),
INDEX(Règles_bison[Specificite],MATCH(ChoixRationBisons&amp;$BM42,Règles_bison[Ration]&amp;Règles_bison[Aliment],0))="c"),
INDEX(Règles_bison[Valeur 3-6],MATCH(ChoixRationBisons&amp;$BM42,Règles_bison[Ration]&amp;Règles_bison[Aliment],0)),0),0)*TotalBisonsMales_3_6_mois*NbreJoursNourrirBisonsDaims)</f>
        <v>0</v>
      </c>
      <c r="BT42" s="350">
        <f t="array" ref="BT42">IF(Ration_hivernale_complète_bisons[somme]&gt;0,0,IFERROR(IF(OR(AND(INDEX(Règles_bison[Specificite],MATCH(ChoixRationBisons&amp;$BM42,Règles_bison[Ration]&amp;Règles_bison[Aliment],0))="s1",IF($BM42=ChoixSpécificité1Bisons,1)),
INDEX(Règles_bison[Specificite],MATCH(ChoixRationBisons&amp;$BM42,Règles_bison[Ration]&amp;Règles_bison[Aliment],0))="c"),
INDEX(Règles_bison[Valeur 0-3],MATCH(ChoixRationBisons&amp;$BM42,Règles_bison[Ration]&amp;Règles_bison[Aliment],0)),0),0)*TotalBisonsMales_0_3_mois*NbreJoursNourrirBisonsDaims)</f>
        <v>0</v>
      </c>
      <c r="BU42" s="350">
        <f t="shared" si="10"/>
        <v>0</v>
      </c>
      <c r="BY42" s="280" t="s">
        <v>799</v>
      </c>
      <c r="BZ42" s="280">
        <v>620</v>
      </c>
      <c r="CB42" s="280" t="s">
        <v>799</v>
      </c>
      <c r="CC42" s="280">
        <v>744</v>
      </c>
      <c r="CJ42" s="373"/>
      <c r="CK42" s="280"/>
      <c r="CL42" s="280"/>
      <c r="CM42" s="280"/>
      <c r="CN42" s="280"/>
      <c r="CO42" s="280"/>
      <c r="CP42" s="280"/>
      <c r="CQ42" s="423"/>
      <c r="CS42" s="373" t="s">
        <v>926</v>
      </c>
      <c r="CT42" s="280" t="s">
        <v>232</v>
      </c>
      <c r="CU42" s="280" t="s">
        <v>888</v>
      </c>
      <c r="CV42" s="280">
        <v>0.16</v>
      </c>
      <c r="CW42" s="280">
        <v>0.104</v>
      </c>
      <c r="CX42" s="423">
        <v>0</v>
      </c>
      <c r="CZ42" s="373" t="s">
        <v>927</v>
      </c>
      <c r="DA42" s="280" t="s">
        <v>518</v>
      </c>
      <c r="DB42" s="280" t="s">
        <v>886</v>
      </c>
      <c r="DC42" s="280">
        <v>1</v>
      </c>
      <c r="DD42" s="280">
        <v>0.6</v>
      </c>
      <c r="DE42" s="423">
        <v>0.2</v>
      </c>
      <c r="DF42" s="277"/>
      <c r="DG42" s="373"/>
      <c r="DH42" s="280"/>
      <c r="DI42" s="280"/>
      <c r="DJ42" s="280"/>
      <c r="DK42" s="280"/>
      <c r="DL42" s="423"/>
      <c r="DN42" s="283" t="s">
        <v>552</v>
      </c>
      <c r="DV42" s="350" t="s">
        <v>513</v>
      </c>
      <c r="DW42" s="351">
        <f t="array" ref="DW42">IF(ChoixRationComplèteDaims=OUI,0,IFERROR(IF(OR(AND(INDEX(Règles_daims[Specificite],MATCH(ChoixRationDaims&amp;DV42,Règles_daims[Ration]&amp;Règles_daims[Aliment],0))="s1",IF(DV42=Spécificité1Daims,1)),
AND(INDEX(Règles_daims[Specificite],MATCH(ChoixRationDaims&amp;DV42,Règles_daims[Ration]&amp;Règles_daims[Aliment],0))="s2",IF(DV42=Spécificité2Daims,1)),
INDEX(Règles_daims[Specificite],MATCH(ChoixRationDaims&amp;DV42,Règles_daims[Ration]&amp;Règles_daims[Aliment],0))="c"),
INDEX(Règles_daims[Valeur 36 et plus],MATCH(ChoixRationDaims&amp;DV42,Règles_daims[Ration]&amp;Règles_daims[Aliment],0)),0),0)*SUM(TotalDaimsAdultes)*NbreJoursNourrirBisonsDaims)</f>
        <v>0</v>
      </c>
      <c r="DX42" s="351">
        <f t="array" ref="DX42">IF(ChoixRationComplèteDaims=OUI,0,IFERROR(IF(OR(AND(INDEX(Règles_daims[Specificite],MATCH(ChoixRationDaims&amp;DV42,Règles_daims[Ration]&amp;Règles_daims[Aliment],0))="s1",IF(DV42=Spécificité1Daims,1)),
AND(INDEX(Règles_daims[Specificite],MATCH(ChoixRationDaims&amp;DV42,Règles_daims[Ration]&amp;Règles_daims[Aliment],0))="s2",IF(DV42=Spécificité2Daims,1)),
INDEX(Règles_daims[Specificite],MATCH(ChoixRationDaims&amp;DV42,Règles_daims[Ration]&amp;Règles_daims[Aliment],0))="c"),
INDEX(Règles_daims[Valeur 24-36],MATCH(ChoixRationDaims&amp;DV42,Règles_daims[Ration]&amp;Règles_daims[Aliment],0)),0),0)*SUM(TotalDaims24_36)*NbreJoursNourrirBisonsDaims)</f>
        <v>0</v>
      </c>
      <c r="DY42" s="351">
        <f t="array" ref="DY42">IF(ChoixRationComplèteDaims=OUI,0,IFERROR(IF(OR(AND(INDEX(Règles_daims[Specificite],MATCH(ChoixRationDaims&amp;DV42,Règles_daims[Ration]&amp;Règles_daims[Aliment],0))="s1",IF(DV42=Spécificité1Daims,1)),
AND(INDEX(Règles_daims[Specificite],MATCH(ChoixRationDaims&amp;DV42,Règles_daims[Ration]&amp;Règles_daims[Aliment],0))="s2",IF(DV42=Spécificité2Daims,1)),
INDEX(Règles_daims[Specificite],MATCH(ChoixRationDaims&amp;DV42,Règles_daims[Ration]&amp;Règles_daims[Aliment],0))="c"),
INDEX(Règles_daims[Valeur 18-24],MATCH(ChoixRationDaims&amp;DV42,Règles_daims[Ration]&amp;Règles_daims[Aliment],0)),0),0)*SUM(TotalDaims18_24)*NbreJoursNourrirBisonsDaims)</f>
        <v>0</v>
      </c>
      <c r="DZ42" s="441">
        <f t="array" ref="DZ42">IF(ChoixRationComplèteDaims=OUI,0,IFERROR(IF(OR(AND(INDEX(Règles_daims[Specificite],MATCH(ChoixRationDaims&amp;DV42,Règles_daims[Ration]&amp;Règles_daims[Aliment],0))="s1",IF(DV42=Spécificité1Daims,1)),
AND(INDEX(Règles_daims[Specificite],MATCH(ChoixRationDaims&amp;DV42,Règles_daims[Ration]&amp;Règles_daims[Aliment],0))="s2",IF(DV42=Spécificité2Daims,1)),
INDEX(Règles_daims[Specificite],MATCH(ChoixRationDaims&amp;DV42,Règles_daims[Ration]&amp;Règles_daims[Aliment],0))="c"),
INDEX(Règles_daims[Valeur 12-18],MATCH(ChoixRationDaims&amp;DV42,Règles_daims[Ration]&amp;Règles_daims[Aliment],0)),0),0)*SUM(TotalDaims12_18)*NbreJoursNourrirBisonsDaims)</f>
        <v>0</v>
      </c>
      <c r="EA42" s="441">
        <f t="array" ref="EA42">IF(ChoixRationComplèteDaims=OUI,0,IFERROR(IF(OR(AND(INDEX(Règles_daims[Specificite],MATCH(ChoixRationDaims&amp;DV42,Règles_daims[Ration]&amp;Règles_daims[Aliment],0))="s1",IF(DV42=Spécificité1Daims,1)),
AND(INDEX(Règles_daims[Specificite],MATCH(ChoixRationDaims&amp;DV42,Règles_daims[Ration]&amp;Règles_daims[Aliment],0))="s2",IF(DV42=Spécificité2Daims,1)),
INDEX(Règles_daims[Specificite],MATCH(ChoixRationDaims&amp;DV42,Règles_daims[Ration]&amp;Règles_daims[Aliment],0))="c"),
INDEX(Règles_daims[Valeur 6-12],MATCH(ChoixRationDaims&amp;DV42,Règles_daims[Ration]&amp;Règles_daims[Aliment],0)),0),0)*SUM(TotalDaims6_12)*NbreJoursNourrirBisonsDaims)</f>
        <v>0</v>
      </c>
      <c r="EB42" s="441">
        <f t="array" ref="EB42">IF(ChoixRationComplèteDaims=OUI,0,IFERROR(IF(OR(AND(INDEX(Règles_daims[Specificite],MATCH(ChoixRationDaims&amp;DV42,Règles_daims[Ration]&amp;Règles_daims[Aliment],0))="s1",IF(DV42=Spécificité1Daims,1)),
AND(INDEX(Règles_daims[Specificite],MATCH(ChoixRationDaims&amp;DV42,Règles_daims[Ration]&amp;Règles_daims[Aliment],0))="s2",IF(DV42=Spécificité2Daims,1)),
INDEX(Règles_daims[Specificite],MATCH(ChoixRationDaims&amp;DV42,Règles_daims[Ration]&amp;Règles_daims[Aliment],0))="c"),
INDEX(Règles_daims[Valeur 3-6],MATCH(ChoixRationDaims&amp;DV42,Règles_daims[Ration]&amp;Règles_daims[Aliment],0)),0),0)*SUM(TotalDaims3_6)*NbreJoursNourrirBisonsDaims)</f>
        <v>0</v>
      </c>
      <c r="EC42" s="441">
        <f t="array" ref="EC42">IF(ChoixRationComplèteDaims=OUI,0,IFERROR(IF(OR(AND(INDEX(Règles_daims[Specificite],MATCH(ChoixRationDaims&amp;DV42,Règles_daims[Ration]&amp;Règles_daims[Aliment],0))="s1",IF(DV42=Spécificité1Daims,1)),
AND(INDEX(Règles_daims[Specificite],MATCH(ChoixRationDaims&amp;DV42,Règles_daims[Ration]&amp;Règles_daims[Aliment],0))="s2",IF(DV42=Spécificité2Daims,1)),
INDEX(Règles_daims[Specificite],MATCH(ChoixRationDaims&amp;DV42,Règles_daims[Ration]&amp;Règles_daims[Aliment],0))="c"),
INDEX(Règles_daims[Valeur 0-3],MATCH(ChoixRationDaims&amp;DV42,Règles_daims[Ration]&amp;Règles_daims[Aliment],0)),0),0)*SUM(TotalDaims0_3)*NbreJoursNourrirBisonsDaims)</f>
        <v>0</v>
      </c>
      <c r="ED42" s="441">
        <f t="shared" si="9"/>
        <v>0</v>
      </c>
      <c r="EG42" s="373"/>
      <c r="EH42" s="280"/>
      <c r="EI42" s="280"/>
      <c r="EJ42" s="280"/>
      <c r="EK42" s="280"/>
      <c r="EL42" s="423"/>
      <c r="EN42" s="373"/>
      <c r="EO42" s="280"/>
      <c r="EP42" s="280"/>
      <c r="EQ42" s="280"/>
      <c r="ER42" s="280"/>
      <c r="ES42" s="423"/>
      <c r="EU42" s="381" t="s">
        <v>1022</v>
      </c>
      <c r="EV42" s="280" t="s">
        <v>268</v>
      </c>
      <c r="EW42" s="280" t="s">
        <v>886</v>
      </c>
      <c r="EX42" s="280">
        <v>6</v>
      </c>
      <c r="EY42" s="280">
        <v>4</v>
      </c>
      <c r="EZ42" s="280">
        <v>2.5</v>
      </c>
      <c r="FA42" s="423">
        <v>1.5</v>
      </c>
      <c r="FB42" s="298"/>
      <c r="FD42" s="373" t="s">
        <v>875</v>
      </c>
      <c r="FE42" s="280" t="s">
        <v>489</v>
      </c>
      <c r="FF42" s="280" t="s">
        <v>886</v>
      </c>
      <c r="FG42" s="280">
        <v>6</v>
      </c>
      <c r="FH42" s="280">
        <v>4</v>
      </c>
      <c r="FI42" s="280">
        <v>3</v>
      </c>
      <c r="FJ42" s="423">
        <v>1.5</v>
      </c>
      <c r="FK42" s="298"/>
      <c r="FL42" s="298"/>
      <c r="FN42" s="373" t="s">
        <v>875</v>
      </c>
      <c r="FO42" s="280" t="s">
        <v>168</v>
      </c>
      <c r="FP42" s="280" t="s">
        <v>886</v>
      </c>
      <c r="FQ42" s="280">
        <v>3</v>
      </c>
      <c r="FR42" s="280">
        <v>2</v>
      </c>
      <c r="FS42" s="280">
        <v>1.5</v>
      </c>
      <c r="FT42" s="423">
        <v>1</v>
      </c>
      <c r="FU42" s="298"/>
      <c r="FV42" s="298"/>
      <c r="FW42" s="394" t="s">
        <v>910</v>
      </c>
      <c r="FX42" s="461" t="s">
        <v>929</v>
      </c>
      <c r="FY42" s="395" t="s">
        <v>946</v>
      </c>
      <c r="FZ42" s="395" t="s">
        <v>945</v>
      </c>
      <c r="GA42" s="395" t="s">
        <v>918</v>
      </c>
      <c r="GB42" s="396" t="s">
        <v>903</v>
      </c>
      <c r="GE42" s="280" t="s">
        <v>1</v>
      </c>
      <c r="GF42" s="283"/>
      <c r="GG42" s="280" t="s">
        <v>170</v>
      </c>
      <c r="GH42" s="283" t="s">
        <v>955</v>
      </c>
      <c r="GI42" s="283" t="s">
        <v>955</v>
      </c>
      <c r="GJ42" s="283" t="s">
        <v>955</v>
      </c>
      <c r="GK42" s="283" t="s">
        <v>955</v>
      </c>
      <c r="GL42" s="283" t="s">
        <v>955</v>
      </c>
      <c r="GM42" s="283" t="s">
        <v>955</v>
      </c>
      <c r="GN42" s="283" t="s">
        <v>955</v>
      </c>
      <c r="GO42" s="283" t="s">
        <v>955</v>
      </c>
      <c r="GP42" s="283" t="s">
        <v>955</v>
      </c>
      <c r="GQ42" s="283" t="s">
        <v>955</v>
      </c>
      <c r="GR42" s="283" t="s">
        <v>955</v>
      </c>
      <c r="GS42" s="283" t="s">
        <v>955</v>
      </c>
      <c r="GT42" s="283" t="s">
        <v>955</v>
      </c>
      <c r="GU42" s="283" t="s">
        <v>955</v>
      </c>
      <c r="GV42" s="283" t="s">
        <v>955</v>
      </c>
      <c r="GY42" s="444" t="str">
        <f t="shared" si="11"/>
        <v>semences de dactyle</v>
      </c>
      <c r="GZ42" s="444"/>
      <c r="HA42" s="342"/>
      <c r="HB42" s="342" t="e">
        <f>IF(COUNTIF(TypeArticleDansEntrepôt,GY42)=0,0,SUMIF(TypeArticleDansEntrepôt,GY42,QtéArticleDansEntrepôt)*VLOOKUP(GY42,#REF!,2,FALSE))</f>
        <v>#REF!</v>
      </c>
      <c r="HK42" s="280" t="s">
        <v>1062</v>
      </c>
      <c r="HL42" s="288">
        <f>AVERAGE(0.9,1.1)*1000</f>
        <v>1000</v>
      </c>
      <c r="HN42" s="342"/>
      <c r="HO42" s="514" t="s">
        <v>1047</v>
      </c>
      <c r="HP42" s="514"/>
      <c r="HQ42" s="514"/>
      <c r="HR42" s="514"/>
      <c r="HS42" s="514"/>
      <c r="HT42" s="514"/>
      <c r="HU42" s="514" t="s">
        <v>1048</v>
      </c>
      <c r="HV42" s="514"/>
      <c r="HW42" s="514"/>
      <c r="HX42" s="342"/>
      <c r="HY42" s="514" t="s">
        <v>1047</v>
      </c>
      <c r="HZ42" s="514"/>
      <c r="IA42" s="514"/>
      <c r="IB42" s="514"/>
      <c r="IC42" s="514"/>
      <c r="ID42" s="514"/>
      <c r="IE42" s="514" t="s">
        <v>1048</v>
      </c>
      <c r="IF42" s="514"/>
      <c r="IG42" s="514"/>
    </row>
    <row r="43" spans="1:241" ht="12.75" customHeight="1" x14ac:dyDescent="0.2">
      <c r="A43" s="369"/>
      <c r="B43" s="280"/>
      <c r="C43" s="280"/>
      <c r="D43" s="423"/>
      <c r="F43" s="280"/>
      <c r="G43" s="280"/>
      <c r="H43" s="280"/>
      <c r="I43" s="280"/>
      <c r="N43" s="277"/>
      <c r="O43" s="280" t="s">
        <v>396</v>
      </c>
      <c r="P43" s="280"/>
      <c r="Q43" s="280"/>
      <c r="R43" s="280"/>
      <c r="S43" s="280"/>
      <c r="T43" s="280"/>
      <c r="U43" s="280"/>
      <c r="V43" s="280"/>
      <c r="W43" s="280"/>
      <c r="X43" s="280"/>
      <c r="Y43" s="280"/>
      <c r="Z43" s="280"/>
      <c r="AA43" s="280"/>
      <c r="AB43" s="280"/>
      <c r="AC43" s="280"/>
      <c r="AD43" s="280"/>
      <c r="AE43" s="280"/>
      <c r="AF43" s="280"/>
      <c r="AG43" s="280"/>
      <c r="AH43" s="280"/>
      <c r="AI43" s="280"/>
      <c r="AJ43" s="280"/>
      <c r="AK43" s="280"/>
      <c r="AL43" s="280"/>
      <c r="AM43" s="280"/>
      <c r="AN43" s="280"/>
      <c r="AO43" s="280"/>
      <c r="AP43" s="280"/>
      <c r="AQ43" s="280"/>
      <c r="AR43" s="280"/>
      <c r="AS43" s="280"/>
      <c r="AT43" s="280"/>
      <c r="AU43" s="280"/>
      <c r="AV43" s="280"/>
      <c r="AW43" s="280"/>
      <c r="AX43" s="280"/>
      <c r="AY43" s="280"/>
      <c r="BC43" s="291" t="s">
        <v>788</v>
      </c>
      <c r="BD43" s="290"/>
      <c r="BL43" s="312"/>
      <c r="BM43" s="350" t="s">
        <v>1166</v>
      </c>
      <c r="BN43" s="350">
        <f t="array" ref="BN43">IF(Ration_hivernale_complète_bisons[somme]&gt;0,0,IFERROR(IF(OR(AND(INDEX(Règles_bison[Specificite],MATCH(ChoixRationBisons&amp;$BM43,Règles_bison[Ration]&amp;Règles_bison[Aliment],0))="s1",IF($BM43=ChoixSpécificité1Bisons,1)),
INDEX(Règles_bison[Specificite],MATCH(ChoixRationBisons&amp;$BM43,Règles_bison[Ration]&amp;Règles_bison[Aliment],0))="c"),
INDEX(Règles_bison[Valeur 36 et plus],MATCH(ChoixRationBisons&amp;$BM43,Règles_bison[Ration]&amp;Règles_bison[Aliment],0)),0),0)*TotalBisonsMalesAdultes*NbreJoursNourrirBisonsDaims)</f>
        <v>0</v>
      </c>
      <c r="BO43" s="350">
        <f t="array" ref="BO43">IF(Ration_hivernale_complète_bisons[somme]&gt;0,0,IFERROR(IF(OR(AND(INDEX(Règles_bison[Specificite],MATCH(ChoixRationBisons&amp;$BM43,Règles_bison[Ration]&amp;Règles_bison[Aliment],0))="s1",IF($BM43=ChoixSpécificité1Bisons,1)),
INDEX(Règles_bison[Specificite],MATCH(ChoixRationBisons&amp;$BM43,Règles_bison[Ration]&amp;Règles_bison[Aliment],0))="c"),
INDEX(Règles_bison[Valeur 24-36],MATCH(ChoixRationBisons&amp;$BM43,Règles_bison[Ration]&amp;Règles_bison[Aliment],0)),0),0)*TotalBisonsMales_24_36_mois*NbreJoursNourrirBisonsDaims)</f>
        <v>0</v>
      </c>
      <c r="BP43" s="350">
        <f t="array" ref="BP43">IF(Ration_hivernale_complète_bisons[somme]&gt;0,0,IFERROR(IF(OR(AND(INDEX(Règles_bison[Specificite],MATCH(ChoixRationBisons&amp;$BM43,Règles_bison[Ration]&amp;Règles_bison[Aliment],0))="s1",IF($BM43=ChoixSpécificité1Bisons,1)),
INDEX(Règles_bison[Specificite],MATCH(ChoixRationBisons&amp;$BM43,Règles_bison[Ration]&amp;Règles_bison[Aliment],0))="c"),
INDEX(Règles_bison[Valeur 18-24],MATCH(ChoixRationBisons&amp;$BM43,Règles_bison[Ration]&amp;Règles_bison[Aliment],0)),0),0)*TotalBisonsMales_18_24_mois*NbreJoursNourrirBisonsDaims)</f>
        <v>0</v>
      </c>
      <c r="BQ43" s="350">
        <f t="array" ref="BQ43">IF(Ration_hivernale_complète_bisons[somme]&gt;0,0,IFERROR(IF(OR(AND(INDEX(Règles_bison[Specificite],MATCH(ChoixRationBisons&amp;$BM43,Règles_bison[Ration]&amp;Règles_bison[Aliment],0))="s1",IF($BM43=ChoixSpécificité1Bisons,1)),
INDEX(Règles_bison[Specificite],MATCH(ChoixRationBisons&amp;$BM43,Règles_bison[Ration]&amp;Règles_bison[Aliment],0))="c"),
INDEX(Règles_bison[Valeur 12-18],MATCH(ChoixRationBisons&amp;$BM43,Règles_bison[Ration]&amp;Règles_bison[Aliment],0)),0),0)*TotalBisonsMales_12_18_mois*NbreJoursNourrirBisonsDaims)</f>
        <v>0</v>
      </c>
      <c r="BR43" s="350">
        <f t="array" ref="BR43">IF(Ration_hivernale_complète_bisons[somme]&gt;0,0,IFERROR(IF(OR(AND(INDEX(Règles_bison[Specificite],MATCH(ChoixRationBisons&amp;$BM43,Règles_bison[Ration]&amp;Règles_bison[Aliment],0))="s1",IF($BM43=ChoixSpécificité1Bisons,1)),
INDEX(Règles_bison[Specificite],MATCH(ChoixRationBisons&amp;$BM43,Règles_bison[Ration]&amp;Règles_bison[Aliment],0))="c"),
INDEX(Règles_bison[Valeur 6-12],MATCH(ChoixRationBisons&amp;$BM43,Règles_bison[Ration]&amp;Règles_bison[Aliment],0)),0),0)*TotalBisonsMales_6_12_mois*NbreJoursNourrirBisonsDaims)</f>
        <v>0</v>
      </c>
      <c r="BS43" s="350">
        <f t="array" ref="BS43">IF(Ration_hivernale_complète_bisons[somme]&gt;0,0,IFERROR(IF(OR(AND(INDEX(Règles_bison[Specificite],MATCH(ChoixRationBisons&amp;$BM43,Règles_bison[Ration]&amp;Règles_bison[Aliment],0))="s1",IF($BM43=ChoixSpécificité1Bisons,1)),
INDEX(Règles_bison[Specificite],MATCH(ChoixRationBisons&amp;$BM43,Règles_bison[Ration]&amp;Règles_bison[Aliment],0))="c"),
INDEX(Règles_bison[Valeur 3-6],MATCH(ChoixRationBisons&amp;$BM43,Règles_bison[Ration]&amp;Règles_bison[Aliment],0)),0),0)*TotalBisonsMales_3_6_mois*NbreJoursNourrirBisonsDaims)</f>
        <v>0</v>
      </c>
      <c r="BT43" s="350">
        <f t="array" ref="BT43">IF(Ration_hivernale_complète_bisons[somme]&gt;0,0,IFERROR(IF(OR(AND(INDEX(Règles_bison[Specificite],MATCH(ChoixRationBisons&amp;$BM43,Règles_bison[Ration]&amp;Règles_bison[Aliment],0))="s1",IF($BM43=ChoixSpécificité1Bisons,1)),
INDEX(Règles_bison[Specificite],MATCH(ChoixRationBisons&amp;$BM43,Règles_bison[Ration]&amp;Règles_bison[Aliment],0))="c"),
INDEX(Règles_bison[Valeur 0-3],MATCH(ChoixRationBisons&amp;$BM43,Règles_bison[Ration]&amp;Règles_bison[Aliment],0)),0),0)*TotalBisonsMales_0_3_mois*NbreJoursNourrirBisonsDaims)</f>
        <v>0</v>
      </c>
      <c r="BU43" s="350">
        <f t="shared" si="10"/>
        <v>0</v>
      </c>
      <c r="BY43" s="280" t="s">
        <v>800</v>
      </c>
      <c r="BZ43" s="280">
        <v>630</v>
      </c>
      <c r="CB43" s="280" t="s">
        <v>800</v>
      </c>
      <c r="CC43" s="280">
        <v>756</v>
      </c>
      <c r="CJ43" s="373"/>
      <c r="CK43" s="280"/>
      <c r="CL43" s="280"/>
      <c r="CM43" s="280"/>
      <c r="CN43" s="280"/>
      <c r="CO43" s="280"/>
      <c r="CP43" s="280"/>
      <c r="CQ43" s="423"/>
      <c r="CS43" s="373" t="s">
        <v>926</v>
      </c>
      <c r="CT43" s="280" t="s">
        <v>233</v>
      </c>
      <c r="CU43" s="280" t="s">
        <v>888</v>
      </c>
      <c r="CV43" s="280">
        <v>0.16</v>
      </c>
      <c r="CW43" s="280">
        <v>0.104</v>
      </c>
      <c r="CX43" s="423">
        <v>0</v>
      </c>
      <c r="CZ43" s="373"/>
      <c r="DA43" s="280"/>
      <c r="DB43" s="280"/>
      <c r="DC43" s="280"/>
      <c r="DD43" s="280"/>
      <c r="DE43" s="423"/>
      <c r="DF43" s="277"/>
      <c r="DG43" s="376"/>
      <c r="DH43" s="305"/>
      <c r="DI43" s="305"/>
      <c r="DJ43" s="305"/>
      <c r="DK43" s="305"/>
      <c r="DL43" s="424"/>
      <c r="DN43" s="280" t="s">
        <v>617</v>
      </c>
      <c r="DO43" s="280">
        <v>7</v>
      </c>
      <c r="DV43" s="350" t="s">
        <v>518</v>
      </c>
      <c r="DW43" s="351">
        <f t="array" ref="DW43">IF(ChoixRationComplèteDaims=OUI,0,IFERROR(IF(OR(AND(INDEX(Règles_daims[Specificite],MATCH(ChoixRationDaims&amp;DV43,Règles_daims[Ration]&amp;Règles_daims[Aliment],0))="s1",IF(DV43=Spécificité1Daims,1)),
AND(INDEX(Règles_daims[Specificite],MATCH(ChoixRationDaims&amp;DV43,Règles_daims[Ration]&amp;Règles_daims[Aliment],0))="s2",IF(DV43=Spécificité2Daims,1)),
INDEX(Règles_daims[Specificite],MATCH(ChoixRationDaims&amp;DV43,Règles_daims[Ration]&amp;Règles_daims[Aliment],0))="c"),
INDEX(Règles_daims[Valeur 36 et plus],MATCH(ChoixRationDaims&amp;DV43,Règles_daims[Ration]&amp;Règles_daims[Aliment],0)),0),0)*SUM(TotalDaimsAdultes)*NbreJoursNourrirBisonsDaims)</f>
        <v>0</v>
      </c>
      <c r="DX43" s="351">
        <f t="array" ref="DX43">IF(ChoixRationComplèteDaims=OUI,0,IFERROR(IF(OR(AND(INDEX(Règles_daims[Specificite],MATCH(ChoixRationDaims&amp;DV43,Règles_daims[Ration]&amp;Règles_daims[Aliment],0))="s1",IF(DV43=Spécificité1Daims,1)),
AND(INDEX(Règles_daims[Specificite],MATCH(ChoixRationDaims&amp;DV43,Règles_daims[Ration]&amp;Règles_daims[Aliment],0))="s2",IF(DV43=Spécificité2Daims,1)),
INDEX(Règles_daims[Specificite],MATCH(ChoixRationDaims&amp;DV43,Règles_daims[Ration]&amp;Règles_daims[Aliment],0))="c"),
INDEX(Règles_daims[Valeur 24-36],MATCH(ChoixRationDaims&amp;DV43,Règles_daims[Ration]&amp;Règles_daims[Aliment],0)),0),0)*SUM(TotalDaims24_36)*NbreJoursNourrirBisonsDaims)</f>
        <v>0</v>
      </c>
      <c r="DY43" s="351">
        <f t="array" ref="DY43">IF(ChoixRationComplèteDaims=OUI,0,IFERROR(IF(OR(AND(INDEX(Règles_daims[Specificite],MATCH(ChoixRationDaims&amp;DV43,Règles_daims[Ration]&amp;Règles_daims[Aliment],0))="s1",IF(DV43=Spécificité1Daims,1)),
AND(INDEX(Règles_daims[Specificite],MATCH(ChoixRationDaims&amp;DV43,Règles_daims[Ration]&amp;Règles_daims[Aliment],0))="s2",IF(DV43=Spécificité2Daims,1)),
INDEX(Règles_daims[Specificite],MATCH(ChoixRationDaims&amp;DV43,Règles_daims[Ration]&amp;Règles_daims[Aliment],0))="c"),
INDEX(Règles_daims[Valeur 18-24],MATCH(ChoixRationDaims&amp;DV43,Règles_daims[Ration]&amp;Règles_daims[Aliment],0)),0),0)*SUM(TotalDaims18_24)*NbreJoursNourrirBisonsDaims)</f>
        <v>0</v>
      </c>
      <c r="DZ43" s="441">
        <f t="array" ref="DZ43">IF(ChoixRationComplèteDaims=OUI,0,IFERROR(IF(OR(AND(INDEX(Règles_daims[Specificite],MATCH(ChoixRationDaims&amp;DV43,Règles_daims[Ration]&amp;Règles_daims[Aliment],0))="s1",IF(DV43=Spécificité1Daims,1)),
AND(INDEX(Règles_daims[Specificite],MATCH(ChoixRationDaims&amp;DV43,Règles_daims[Ration]&amp;Règles_daims[Aliment],0))="s2",IF(DV43=Spécificité2Daims,1)),
INDEX(Règles_daims[Specificite],MATCH(ChoixRationDaims&amp;DV43,Règles_daims[Ration]&amp;Règles_daims[Aliment],0))="c"),
INDEX(Règles_daims[Valeur 12-18],MATCH(ChoixRationDaims&amp;DV43,Règles_daims[Ration]&amp;Règles_daims[Aliment],0)),0),0)*SUM(TotalDaims12_18)*NbreJoursNourrirBisonsDaims)</f>
        <v>0</v>
      </c>
      <c r="EA43" s="441">
        <f t="array" ref="EA43">IF(ChoixRationComplèteDaims=OUI,0,IFERROR(IF(OR(AND(INDEX(Règles_daims[Specificite],MATCH(ChoixRationDaims&amp;DV43,Règles_daims[Ration]&amp;Règles_daims[Aliment],0))="s1",IF(DV43=Spécificité1Daims,1)),
AND(INDEX(Règles_daims[Specificite],MATCH(ChoixRationDaims&amp;DV43,Règles_daims[Ration]&amp;Règles_daims[Aliment],0))="s2",IF(DV43=Spécificité2Daims,1)),
INDEX(Règles_daims[Specificite],MATCH(ChoixRationDaims&amp;DV43,Règles_daims[Ration]&amp;Règles_daims[Aliment],0))="c"),
INDEX(Règles_daims[Valeur 6-12],MATCH(ChoixRationDaims&amp;DV43,Règles_daims[Ration]&amp;Règles_daims[Aliment],0)),0),0)*SUM(TotalDaims6_12)*NbreJoursNourrirBisonsDaims)</f>
        <v>0</v>
      </c>
      <c r="EB43" s="441">
        <f t="array" ref="EB43">IF(ChoixRationComplèteDaims=OUI,0,IFERROR(IF(OR(AND(INDEX(Règles_daims[Specificite],MATCH(ChoixRationDaims&amp;DV43,Règles_daims[Ration]&amp;Règles_daims[Aliment],0))="s1",IF(DV43=Spécificité1Daims,1)),
AND(INDEX(Règles_daims[Specificite],MATCH(ChoixRationDaims&amp;DV43,Règles_daims[Ration]&amp;Règles_daims[Aliment],0))="s2",IF(DV43=Spécificité2Daims,1)),
INDEX(Règles_daims[Specificite],MATCH(ChoixRationDaims&amp;DV43,Règles_daims[Ration]&amp;Règles_daims[Aliment],0))="c"),
INDEX(Règles_daims[Valeur 3-6],MATCH(ChoixRationDaims&amp;DV43,Règles_daims[Ration]&amp;Règles_daims[Aliment],0)),0),0)*SUM(TotalDaims3_6)*NbreJoursNourrirBisonsDaims)</f>
        <v>0</v>
      </c>
      <c r="EC43" s="441">
        <f t="array" ref="EC43">IF(ChoixRationComplèteDaims=OUI,0,IFERROR(IF(OR(AND(INDEX(Règles_daims[Specificite],MATCH(ChoixRationDaims&amp;DV43,Règles_daims[Ration]&amp;Règles_daims[Aliment],0))="s1",IF(DV43=Spécificité1Daims,1)),
AND(INDEX(Règles_daims[Specificite],MATCH(ChoixRationDaims&amp;DV43,Règles_daims[Ration]&amp;Règles_daims[Aliment],0))="s2",IF(DV43=Spécificité2Daims,1)),
INDEX(Règles_daims[Specificite],MATCH(ChoixRationDaims&amp;DV43,Règles_daims[Ration]&amp;Règles_daims[Aliment],0))="c"),
INDEX(Règles_daims[Valeur 0-3],MATCH(ChoixRationDaims&amp;DV43,Règles_daims[Ration]&amp;Règles_daims[Aliment],0)),0),0)*SUM(TotalDaims0_3)*NbreJoursNourrirBisonsDaims)</f>
        <v>0</v>
      </c>
      <c r="ED43" s="441">
        <f t="shared" si="9"/>
        <v>0</v>
      </c>
      <c r="EG43" s="373"/>
      <c r="EH43" s="280"/>
      <c r="EI43" s="280"/>
      <c r="EJ43" s="280"/>
      <c r="EK43" s="280"/>
      <c r="EL43" s="423"/>
      <c r="EN43" s="373"/>
      <c r="EO43" s="280"/>
      <c r="EP43" s="280"/>
      <c r="EQ43" s="280"/>
      <c r="ER43" s="280"/>
      <c r="ES43" s="423"/>
      <c r="EU43" s="381" t="s">
        <v>1022</v>
      </c>
      <c r="EV43" s="280" t="s">
        <v>168</v>
      </c>
      <c r="EW43" s="280" t="s">
        <v>886</v>
      </c>
      <c r="EX43" s="280">
        <v>18</v>
      </c>
      <c r="EY43" s="280">
        <v>12</v>
      </c>
      <c r="EZ43" s="280">
        <v>8</v>
      </c>
      <c r="FA43" s="423">
        <v>4</v>
      </c>
      <c r="FB43" s="298"/>
      <c r="FD43" s="373" t="s">
        <v>875</v>
      </c>
      <c r="FE43" s="280" t="s">
        <v>168</v>
      </c>
      <c r="FF43" s="280" t="s">
        <v>886</v>
      </c>
      <c r="FG43" s="280">
        <v>4</v>
      </c>
      <c r="FH43" s="280">
        <v>3</v>
      </c>
      <c r="FI43" s="280">
        <v>2.5</v>
      </c>
      <c r="FJ43" s="423">
        <v>1</v>
      </c>
      <c r="FK43" s="298"/>
      <c r="FL43" s="298"/>
      <c r="FM43" s="282"/>
      <c r="FN43" s="373" t="s">
        <v>875</v>
      </c>
      <c r="FO43" s="280" t="s">
        <v>510</v>
      </c>
      <c r="FP43" s="280" t="s">
        <v>886</v>
      </c>
      <c r="FQ43" s="280">
        <v>9</v>
      </c>
      <c r="FR43" s="280">
        <v>6</v>
      </c>
      <c r="FS43" s="280">
        <v>4</v>
      </c>
      <c r="FT43" s="423">
        <v>3</v>
      </c>
      <c r="FU43" s="298"/>
      <c r="FV43" s="298"/>
      <c r="FW43" s="443" t="s">
        <v>490</v>
      </c>
      <c r="FX43" s="450">
        <f t="array" ref="FX43">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43" s="450">
        <f t="array" ref="FY43">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43" s="450">
        <f t="array" ref="FZ43">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43" s="450">
        <f t="array" ref="GA43">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43" s="451">
        <f>SUM(AlimentsGavageOies[[#This Row],[Valeur 6 et plus]:[Valeur 0-1]])</f>
        <v>0</v>
      </c>
      <c r="GC43" s="316"/>
      <c r="GE43" s="280" t="s">
        <v>309</v>
      </c>
      <c r="GF43" s="283"/>
      <c r="GG43" s="280" t="s">
        <v>46</v>
      </c>
      <c r="GH43" s="283" t="s">
        <v>955</v>
      </c>
      <c r="GI43" s="283" t="s">
        <v>955</v>
      </c>
      <c r="GJ43" s="283" t="s">
        <v>955</v>
      </c>
      <c r="GK43" s="283" t="s">
        <v>955</v>
      </c>
      <c r="GL43" s="283" t="s">
        <v>955</v>
      </c>
      <c r="GM43" s="283" t="s">
        <v>955</v>
      </c>
      <c r="GN43" s="283" t="s">
        <v>955</v>
      </c>
      <c r="GO43" s="283" t="s">
        <v>955</v>
      </c>
      <c r="GP43" s="283" t="s">
        <v>955</v>
      </c>
      <c r="GQ43" s="283" t="s">
        <v>955</v>
      </c>
      <c r="GR43" s="283" t="s">
        <v>955</v>
      </c>
      <c r="GS43" s="283" t="s">
        <v>955</v>
      </c>
      <c r="GT43" s="283" t="s">
        <v>955</v>
      </c>
      <c r="GU43" s="283" t="s">
        <v>955</v>
      </c>
      <c r="GV43" s="283" t="s">
        <v>955</v>
      </c>
      <c r="GY43" s="444" t="str">
        <f t="shared" si="11"/>
        <v>semences de fétuque élevée</v>
      </c>
      <c r="GZ43" s="444"/>
      <c r="HA43" s="342"/>
      <c r="HB43" s="342" t="e">
        <f>IF(COUNTIF(TypeArticleDansEntrepôt,GY43)=0,0,SUMIF(TypeArticleDansEntrepôt,GY43,QtéArticleDansEntrepôt)*VLOOKUP(GY43,#REF!,2,FALSE))</f>
        <v>#REF!</v>
      </c>
      <c r="HN43" s="342"/>
      <c r="HO43" s="342" t="s">
        <v>1051</v>
      </c>
      <c r="HP43" s="342" t="s">
        <v>1052</v>
      </c>
      <c r="HQ43" s="342" t="s">
        <v>1053</v>
      </c>
      <c r="HR43" s="342" t="s">
        <v>1054</v>
      </c>
      <c r="HS43" s="342" t="s">
        <v>1055</v>
      </c>
      <c r="HT43" s="342" t="s">
        <v>1056</v>
      </c>
      <c r="HU43" s="342" t="s">
        <v>380</v>
      </c>
      <c r="HV43" s="342" t="s">
        <v>381</v>
      </c>
      <c r="HW43" s="342" t="s">
        <v>382</v>
      </c>
      <c r="HX43" s="342"/>
      <c r="HY43" s="342" t="s">
        <v>1051</v>
      </c>
      <c r="HZ43" s="342" t="s">
        <v>1052</v>
      </c>
      <c r="IA43" s="342" t="s">
        <v>1053</v>
      </c>
      <c r="IB43" s="342" t="s">
        <v>1054</v>
      </c>
      <c r="IC43" s="342" t="s">
        <v>1055</v>
      </c>
      <c r="ID43" s="342" t="s">
        <v>1056</v>
      </c>
      <c r="IE43" s="342" t="s">
        <v>380</v>
      </c>
      <c r="IF43" s="342" t="s">
        <v>381</v>
      </c>
      <c r="IG43" s="342" t="s">
        <v>382</v>
      </c>
    </row>
    <row r="44" spans="1:241" ht="12.75" customHeight="1" x14ac:dyDescent="0.2">
      <c r="A44" s="369"/>
      <c r="B44" s="280"/>
      <c r="C44" s="280"/>
      <c r="D44" s="423"/>
      <c r="F44" s="280"/>
      <c r="G44" s="280"/>
      <c r="H44" s="280"/>
      <c r="I44" s="280"/>
      <c r="N44" s="277"/>
      <c r="O44" s="280" t="s">
        <v>397</v>
      </c>
      <c r="P44" s="280"/>
      <c r="Q44" s="280"/>
      <c r="R44" s="280"/>
      <c r="S44" s="280"/>
      <c r="T44" s="280"/>
      <c r="U44" s="280"/>
      <c r="V44" s="280"/>
      <c r="W44" s="280"/>
      <c r="X44" s="280"/>
      <c r="Y44" s="280"/>
      <c r="Z44" s="280"/>
      <c r="AA44" s="280"/>
      <c r="AB44" s="280"/>
      <c r="AC44" s="280"/>
      <c r="AD44" s="280"/>
      <c r="AE44" s="280"/>
      <c r="AF44" s="280"/>
      <c r="AG44" s="280"/>
      <c r="AH44" s="280"/>
      <c r="AI44" s="280"/>
      <c r="AJ44" s="280"/>
      <c r="AK44" s="280"/>
      <c r="AL44" s="280"/>
      <c r="AM44" s="280"/>
      <c r="AN44" s="280"/>
      <c r="AO44" s="280"/>
      <c r="AP44" s="280"/>
      <c r="AQ44" s="280"/>
      <c r="AR44" s="280"/>
      <c r="AS44" s="280"/>
      <c r="AT44" s="280"/>
      <c r="AU44" s="280"/>
      <c r="AV44" s="280"/>
      <c r="AW44" s="280"/>
      <c r="AX44" s="280"/>
      <c r="AY44" s="280"/>
      <c r="BC44" s="283" t="s">
        <v>789</v>
      </c>
      <c r="BF44" s="291" t="s">
        <v>803</v>
      </c>
      <c r="BG44" s="290"/>
      <c r="BL44" s="312"/>
      <c r="BM44" s="350" t="s">
        <v>1167</v>
      </c>
      <c r="BN44" s="350">
        <f t="array" ref="BN44">IF(Ration_hivernale_complète_bisons[somme]&gt;0,0,IFERROR(IF(OR(AND(INDEX(Règles_bison[Specificite],MATCH(ChoixRationBisons&amp;$BM44,Règles_bison[Ration]&amp;Règles_bison[Aliment],0))="s1",IF($BM44=ChoixSpécificité1Bisons,1)),
INDEX(Règles_bison[Specificite],MATCH(ChoixRationBisons&amp;$BM44,Règles_bison[Ration]&amp;Règles_bison[Aliment],0))="c"),
INDEX(Règles_bison[Valeur 36 et plus],MATCH(ChoixRationBisons&amp;$BM44,Règles_bison[Ration]&amp;Règles_bison[Aliment],0)),0),0)*TotalBisonsMalesAdultes*NbreJoursNourrirBisonsDaims)</f>
        <v>0</v>
      </c>
      <c r="BO44" s="350">
        <f t="array" ref="BO44">IF(Ration_hivernale_complète_bisons[somme]&gt;0,0,IFERROR(IF(OR(AND(INDEX(Règles_bison[Specificite],MATCH(ChoixRationBisons&amp;$BM44,Règles_bison[Ration]&amp;Règles_bison[Aliment],0))="s1",IF($BM44=ChoixSpécificité1Bisons,1)),
INDEX(Règles_bison[Specificite],MATCH(ChoixRationBisons&amp;$BM44,Règles_bison[Ration]&amp;Règles_bison[Aliment],0))="c"),
INDEX(Règles_bison[Valeur 24-36],MATCH(ChoixRationBisons&amp;$BM44,Règles_bison[Ration]&amp;Règles_bison[Aliment],0)),0),0)*TotalBisonsMales_24_36_mois*NbreJoursNourrirBisonsDaims)</f>
        <v>0</v>
      </c>
      <c r="BP44" s="350">
        <f t="array" ref="BP44">IF(Ration_hivernale_complète_bisons[somme]&gt;0,0,IFERROR(IF(OR(AND(INDEX(Règles_bison[Specificite],MATCH(ChoixRationBisons&amp;$BM44,Règles_bison[Ration]&amp;Règles_bison[Aliment],0))="s1",IF($BM44=ChoixSpécificité1Bisons,1)),
INDEX(Règles_bison[Specificite],MATCH(ChoixRationBisons&amp;$BM44,Règles_bison[Ration]&amp;Règles_bison[Aliment],0))="c"),
INDEX(Règles_bison[Valeur 18-24],MATCH(ChoixRationBisons&amp;$BM44,Règles_bison[Ration]&amp;Règles_bison[Aliment],0)),0),0)*TotalBisonsMales_18_24_mois*NbreJoursNourrirBisonsDaims)</f>
        <v>0</v>
      </c>
      <c r="BQ44" s="350">
        <f t="array" ref="BQ44">IF(Ration_hivernale_complète_bisons[somme]&gt;0,0,IFERROR(IF(OR(AND(INDEX(Règles_bison[Specificite],MATCH(ChoixRationBisons&amp;$BM44,Règles_bison[Ration]&amp;Règles_bison[Aliment],0))="s1",IF($BM44=ChoixSpécificité1Bisons,1)),
INDEX(Règles_bison[Specificite],MATCH(ChoixRationBisons&amp;$BM44,Règles_bison[Ration]&amp;Règles_bison[Aliment],0))="c"),
INDEX(Règles_bison[Valeur 12-18],MATCH(ChoixRationBisons&amp;$BM44,Règles_bison[Ration]&amp;Règles_bison[Aliment],0)),0),0)*TotalBisonsMales_12_18_mois*NbreJoursNourrirBisonsDaims)</f>
        <v>0</v>
      </c>
      <c r="BR44" s="350">
        <f t="array" ref="BR44">IF(Ration_hivernale_complète_bisons[somme]&gt;0,0,IFERROR(IF(OR(AND(INDEX(Règles_bison[Specificite],MATCH(ChoixRationBisons&amp;$BM44,Règles_bison[Ration]&amp;Règles_bison[Aliment],0))="s1",IF($BM44=ChoixSpécificité1Bisons,1)),
INDEX(Règles_bison[Specificite],MATCH(ChoixRationBisons&amp;$BM44,Règles_bison[Ration]&amp;Règles_bison[Aliment],0))="c"),
INDEX(Règles_bison[Valeur 6-12],MATCH(ChoixRationBisons&amp;$BM44,Règles_bison[Ration]&amp;Règles_bison[Aliment],0)),0),0)*TotalBisonsMales_6_12_mois*NbreJoursNourrirBisonsDaims)</f>
        <v>0</v>
      </c>
      <c r="BS44" s="350">
        <f t="array" ref="BS44">IF(Ration_hivernale_complète_bisons[somme]&gt;0,0,IFERROR(IF(OR(AND(INDEX(Règles_bison[Specificite],MATCH(ChoixRationBisons&amp;$BM44,Règles_bison[Ration]&amp;Règles_bison[Aliment],0))="s1",IF($BM44=ChoixSpécificité1Bisons,1)),
INDEX(Règles_bison[Specificite],MATCH(ChoixRationBisons&amp;$BM44,Règles_bison[Ration]&amp;Règles_bison[Aliment],0))="c"),
INDEX(Règles_bison[Valeur 3-6],MATCH(ChoixRationBisons&amp;$BM44,Règles_bison[Ration]&amp;Règles_bison[Aliment],0)),0),0)*TotalBisonsMales_3_6_mois*NbreJoursNourrirBisonsDaims)</f>
        <v>0</v>
      </c>
      <c r="BT44" s="350">
        <f t="array" ref="BT44">IF(Ration_hivernale_complète_bisons[somme]&gt;0,0,IFERROR(IF(OR(AND(INDEX(Règles_bison[Specificite],MATCH(ChoixRationBisons&amp;$BM44,Règles_bison[Ration]&amp;Règles_bison[Aliment],0))="s1",IF($BM44=ChoixSpécificité1Bisons,1)),
INDEX(Règles_bison[Specificite],MATCH(ChoixRationBisons&amp;$BM44,Règles_bison[Ration]&amp;Règles_bison[Aliment],0))="c"),
INDEX(Règles_bison[Valeur 0-3],MATCH(ChoixRationBisons&amp;$BM44,Règles_bison[Ration]&amp;Règles_bison[Aliment],0)),0),0)*TotalBisonsMales_0_3_mois*NbreJoursNourrirBisonsDaims)</f>
        <v>0</v>
      </c>
      <c r="BU44" s="350">
        <f t="shared" si="10"/>
        <v>0</v>
      </c>
      <c r="BY44" s="280" t="s">
        <v>801</v>
      </c>
      <c r="BZ44" s="280">
        <v>640</v>
      </c>
      <c r="CB44" s="280" t="s">
        <v>801</v>
      </c>
      <c r="CC44" s="280">
        <v>768</v>
      </c>
      <c r="CJ44" s="373"/>
      <c r="CK44" s="280"/>
      <c r="CL44" s="280"/>
      <c r="CM44" s="280"/>
      <c r="CN44" s="280"/>
      <c r="CO44" s="280"/>
      <c r="CP44" s="280"/>
      <c r="CQ44" s="423"/>
      <c r="CS44" s="373" t="s">
        <v>926</v>
      </c>
      <c r="CT44" s="280" t="s">
        <v>490</v>
      </c>
      <c r="CU44" s="280" t="s">
        <v>886</v>
      </c>
      <c r="CV44" s="280">
        <v>0.16</v>
      </c>
      <c r="CW44" s="280">
        <v>0.104</v>
      </c>
      <c r="CX44" s="423">
        <v>0</v>
      </c>
      <c r="CZ44" s="373"/>
      <c r="DA44" s="280"/>
      <c r="DB44" s="280"/>
      <c r="DC44" s="280"/>
      <c r="DD44" s="280"/>
      <c r="DE44" s="423"/>
      <c r="DF44" s="277"/>
      <c r="DN44" s="280" t="s">
        <v>618</v>
      </c>
      <c r="DO44" s="280">
        <v>5</v>
      </c>
      <c r="DV44" s="350" t="s">
        <v>265</v>
      </c>
      <c r="DW44" s="351">
        <f t="array" ref="DW44">IF(ChoixRationComplèteDaims=OUI,0,IFERROR(IF(OR(AND(INDEX(Règles_daims[Specificite],MATCH(ChoixRationDaims&amp;DV44,Règles_daims[Ration]&amp;Règles_daims[Aliment],0))="s1",IF(DV44=Spécificité1Daims,1)),
AND(INDEX(Règles_daims[Specificite],MATCH(ChoixRationDaims&amp;DV44,Règles_daims[Ration]&amp;Règles_daims[Aliment],0))="s2",IF(DV44=Spécificité2Daims,1)),
INDEX(Règles_daims[Specificite],MATCH(ChoixRationDaims&amp;DV44,Règles_daims[Ration]&amp;Règles_daims[Aliment],0))="c"),
INDEX(Règles_daims[Valeur 36 et plus],MATCH(ChoixRationDaims&amp;DV44,Règles_daims[Ration]&amp;Règles_daims[Aliment],0)),0),0)*SUM(TotalDaimsAdultes)*NbreJoursNourrirBisonsDaims)</f>
        <v>0</v>
      </c>
      <c r="DX44" s="351">
        <f t="array" ref="DX44">IF(ChoixRationComplèteDaims=OUI,0,IFERROR(IF(OR(AND(INDEX(Règles_daims[Specificite],MATCH(ChoixRationDaims&amp;DV44,Règles_daims[Ration]&amp;Règles_daims[Aliment],0))="s1",IF(DV44=Spécificité1Daims,1)),
AND(INDEX(Règles_daims[Specificite],MATCH(ChoixRationDaims&amp;DV44,Règles_daims[Ration]&amp;Règles_daims[Aliment],0))="s2",IF(DV44=Spécificité2Daims,1)),
INDEX(Règles_daims[Specificite],MATCH(ChoixRationDaims&amp;DV44,Règles_daims[Ration]&amp;Règles_daims[Aliment],0))="c"),
INDEX(Règles_daims[Valeur 24-36],MATCH(ChoixRationDaims&amp;DV44,Règles_daims[Ration]&amp;Règles_daims[Aliment],0)),0),0)*SUM(TotalDaims24_36)*NbreJoursNourrirBisonsDaims)</f>
        <v>0</v>
      </c>
      <c r="DY44" s="351">
        <f t="array" ref="DY44">IF(ChoixRationComplèteDaims=OUI,0,IFERROR(IF(OR(AND(INDEX(Règles_daims[Specificite],MATCH(ChoixRationDaims&amp;DV44,Règles_daims[Ration]&amp;Règles_daims[Aliment],0))="s1",IF(DV44=Spécificité1Daims,1)),
AND(INDEX(Règles_daims[Specificite],MATCH(ChoixRationDaims&amp;DV44,Règles_daims[Ration]&amp;Règles_daims[Aliment],0))="s2",IF(DV44=Spécificité2Daims,1)),
INDEX(Règles_daims[Specificite],MATCH(ChoixRationDaims&amp;DV44,Règles_daims[Ration]&amp;Règles_daims[Aliment],0))="c"),
INDEX(Règles_daims[Valeur 18-24],MATCH(ChoixRationDaims&amp;DV44,Règles_daims[Ration]&amp;Règles_daims[Aliment],0)),0),0)*SUM(TotalDaims18_24)*NbreJoursNourrirBisonsDaims)</f>
        <v>0</v>
      </c>
      <c r="DZ44" s="441">
        <f t="array" ref="DZ44">IF(ChoixRationComplèteDaims=OUI,0,IFERROR(IF(OR(AND(INDEX(Règles_daims[Specificite],MATCH(ChoixRationDaims&amp;DV44,Règles_daims[Ration]&amp;Règles_daims[Aliment],0))="s1",IF(DV44=Spécificité1Daims,1)),
AND(INDEX(Règles_daims[Specificite],MATCH(ChoixRationDaims&amp;DV44,Règles_daims[Ration]&amp;Règles_daims[Aliment],0))="s2",IF(DV44=Spécificité2Daims,1)),
INDEX(Règles_daims[Specificite],MATCH(ChoixRationDaims&amp;DV44,Règles_daims[Ration]&amp;Règles_daims[Aliment],0))="c"),
INDEX(Règles_daims[Valeur 12-18],MATCH(ChoixRationDaims&amp;DV44,Règles_daims[Ration]&amp;Règles_daims[Aliment],0)),0),0)*SUM(TotalDaims12_18)*NbreJoursNourrirBisonsDaims)</f>
        <v>0</v>
      </c>
      <c r="EA44" s="441">
        <f t="array" ref="EA44">IF(ChoixRationComplèteDaims=OUI,0,IFERROR(IF(OR(AND(INDEX(Règles_daims[Specificite],MATCH(ChoixRationDaims&amp;DV44,Règles_daims[Ration]&amp;Règles_daims[Aliment],0))="s1",IF(DV44=Spécificité1Daims,1)),
AND(INDEX(Règles_daims[Specificite],MATCH(ChoixRationDaims&amp;DV44,Règles_daims[Ration]&amp;Règles_daims[Aliment],0))="s2",IF(DV44=Spécificité2Daims,1)),
INDEX(Règles_daims[Specificite],MATCH(ChoixRationDaims&amp;DV44,Règles_daims[Ration]&amp;Règles_daims[Aliment],0))="c"),
INDEX(Règles_daims[Valeur 6-12],MATCH(ChoixRationDaims&amp;DV44,Règles_daims[Ration]&amp;Règles_daims[Aliment],0)),0),0)*SUM(TotalDaims6_12)*NbreJoursNourrirBisonsDaims)</f>
        <v>0</v>
      </c>
      <c r="EB44" s="441">
        <f t="array" ref="EB44">IF(ChoixRationComplèteDaims=OUI,0,IFERROR(IF(OR(AND(INDEX(Règles_daims[Specificite],MATCH(ChoixRationDaims&amp;DV44,Règles_daims[Ration]&amp;Règles_daims[Aliment],0))="s1",IF(DV44=Spécificité1Daims,1)),
AND(INDEX(Règles_daims[Specificite],MATCH(ChoixRationDaims&amp;DV44,Règles_daims[Ration]&amp;Règles_daims[Aliment],0))="s2",IF(DV44=Spécificité2Daims,1)),
INDEX(Règles_daims[Specificite],MATCH(ChoixRationDaims&amp;DV44,Règles_daims[Ration]&amp;Règles_daims[Aliment],0))="c"),
INDEX(Règles_daims[Valeur 3-6],MATCH(ChoixRationDaims&amp;DV44,Règles_daims[Ration]&amp;Règles_daims[Aliment],0)),0),0)*SUM(TotalDaims3_6)*NbreJoursNourrirBisonsDaims)</f>
        <v>0</v>
      </c>
      <c r="EC44" s="441">
        <f t="array" ref="EC44">IF(ChoixRationComplèteDaims=OUI,0,IFERROR(IF(OR(AND(INDEX(Règles_daims[Specificite],MATCH(ChoixRationDaims&amp;DV44,Règles_daims[Ration]&amp;Règles_daims[Aliment],0))="s1",IF(DV44=Spécificité1Daims,1)),
AND(INDEX(Règles_daims[Specificite],MATCH(ChoixRationDaims&amp;DV44,Règles_daims[Ration]&amp;Règles_daims[Aliment],0))="s2",IF(DV44=Spécificité2Daims,1)),
INDEX(Règles_daims[Specificite],MATCH(ChoixRationDaims&amp;DV44,Règles_daims[Ration]&amp;Règles_daims[Aliment],0))="c"),
INDEX(Règles_daims[Valeur 0-3],MATCH(ChoixRationDaims&amp;DV44,Règles_daims[Ration]&amp;Règles_daims[Aliment],0)),0),0)*SUM(TotalDaims0_3)*NbreJoursNourrirBisonsDaims)</f>
        <v>0</v>
      </c>
      <c r="ED44" s="441">
        <f t="shared" si="9"/>
        <v>0</v>
      </c>
      <c r="EG44" s="373"/>
      <c r="EH44" s="280"/>
      <c r="EI44" s="280"/>
      <c r="EJ44" s="280"/>
      <c r="EK44" s="280"/>
      <c r="EL44" s="423"/>
      <c r="EN44" s="373"/>
      <c r="EO44" s="280"/>
      <c r="EP44" s="280"/>
      <c r="EQ44" s="280"/>
      <c r="ER44" s="280"/>
      <c r="ES44" s="423"/>
      <c r="EU44" s="381" t="s">
        <v>1022</v>
      </c>
      <c r="EV44" s="280" t="s">
        <v>510</v>
      </c>
      <c r="EW44" s="280" t="s">
        <v>886</v>
      </c>
      <c r="EX44" s="280">
        <v>18</v>
      </c>
      <c r="EY44" s="280">
        <v>12</v>
      </c>
      <c r="EZ44" s="280">
        <v>8</v>
      </c>
      <c r="FA44" s="423">
        <v>4</v>
      </c>
      <c r="FB44" s="298"/>
      <c r="FC44" s="282"/>
      <c r="FD44" s="373" t="s">
        <v>875</v>
      </c>
      <c r="FE44" s="280" t="s">
        <v>510</v>
      </c>
      <c r="FF44" s="280" t="s">
        <v>886</v>
      </c>
      <c r="FG44" s="280">
        <v>11</v>
      </c>
      <c r="FH44" s="280">
        <v>8</v>
      </c>
      <c r="FI44" s="280">
        <v>5</v>
      </c>
      <c r="FJ44" s="423">
        <v>3</v>
      </c>
      <c r="FK44" s="298"/>
      <c r="FL44" s="298"/>
      <c r="FM44" s="282"/>
      <c r="FN44" s="373" t="s">
        <v>875</v>
      </c>
      <c r="FO44" s="280" t="s">
        <v>518</v>
      </c>
      <c r="FP44" s="280" t="s">
        <v>886</v>
      </c>
      <c r="FQ44" s="280">
        <v>100</v>
      </c>
      <c r="FR44" s="280">
        <v>75</v>
      </c>
      <c r="FS44" s="280">
        <v>50</v>
      </c>
      <c r="FT44" s="423">
        <v>25</v>
      </c>
      <c r="FU44" s="298"/>
      <c r="FV44" s="298"/>
      <c r="FW44" s="443" t="s">
        <v>392</v>
      </c>
      <c r="FX44" s="450">
        <f t="array" ref="FX44">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44" s="450">
        <f t="array" ref="FY44">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44" s="450">
        <f t="array" ref="FZ44">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44" s="450">
        <f t="array" ref="GA44">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44" s="451">
        <f>SUM(AlimentsGavageOies[[#This Row],[Valeur 6 et plus]:[Valeur 0-1]])</f>
        <v>0</v>
      </c>
      <c r="GC44" s="316"/>
      <c r="GE44" s="280" t="s">
        <v>335</v>
      </c>
      <c r="GF44" s="283"/>
      <c r="GG44" s="280" t="s">
        <v>173</v>
      </c>
      <c r="GH44" s="283" t="s">
        <v>955</v>
      </c>
      <c r="GI44" s="283" t="s">
        <v>955</v>
      </c>
      <c r="GJ44" s="283" t="s">
        <v>955</v>
      </c>
      <c r="GK44" s="283" t="s">
        <v>955</v>
      </c>
      <c r="GL44" s="283" t="s">
        <v>955</v>
      </c>
      <c r="GM44" s="283" t="s">
        <v>955</v>
      </c>
      <c r="GN44" s="283" t="s">
        <v>955</v>
      </c>
      <c r="GO44" s="283" t="s">
        <v>955</v>
      </c>
      <c r="GP44" s="283" t="s">
        <v>955</v>
      </c>
      <c r="GQ44" s="283" t="s">
        <v>955</v>
      </c>
      <c r="GR44" s="283" t="s">
        <v>955</v>
      </c>
      <c r="GS44" s="283" t="s">
        <v>955</v>
      </c>
      <c r="GT44" s="283" t="s">
        <v>955</v>
      </c>
      <c r="GU44" s="283" t="s">
        <v>955</v>
      </c>
      <c r="GV44" s="283" t="s">
        <v>955</v>
      </c>
      <c r="GY44" s="444" t="str">
        <f t="shared" si="11"/>
        <v>semences de fléole</v>
      </c>
      <c r="GZ44" s="444"/>
      <c r="HA44" s="342"/>
      <c r="HB44" s="342" t="e">
        <f>IF(COUNTIF(TypeArticleDansEntrepôt,GY44)=0,0,SUMIF(TypeArticleDansEntrepôt,GY44,QtéArticleDansEntrepôt)*VLOOKUP(GY44,#REF!,2,FALSE))</f>
        <v>#REF!</v>
      </c>
      <c r="HN44" s="342"/>
      <c r="HO44" s="342"/>
      <c r="HP44" s="342"/>
      <c r="HQ44" s="342"/>
      <c r="HR44" s="342"/>
      <c r="HS44" s="342"/>
      <c r="HT44" s="342"/>
      <c r="HU44" s="342"/>
      <c r="HV44" s="342"/>
      <c r="HW44" s="342"/>
      <c r="HX44" s="342"/>
      <c r="HY44" s="342"/>
      <c r="HZ44" s="342"/>
      <c r="IA44" s="342"/>
      <c r="IB44" s="342"/>
      <c r="IC44" s="342"/>
      <c r="ID44" s="342"/>
      <c r="IE44" s="342"/>
      <c r="IF44" s="342"/>
      <c r="IG44" s="342"/>
    </row>
    <row r="45" spans="1:241" ht="12.75" customHeight="1" x14ac:dyDescent="0.2">
      <c r="A45" s="369"/>
      <c r="B45" s="280"/>
      <c r="C45" s="280"/>
      <c r="D45" s="423"/>
      <c r="F45" s="280"/>
      <c r="G45" s="280"/>
      <c r="H45" s="280"/>
      <c r="I45" s="280"/>
      <c r="N45" s="277"/>
      <c r="O45" s="280" t="s">
        <v>398</v>
      </c>
      <c r="P45" s="280"/>
      <c r="Q45" s="280"/>
      <c r="R45" s="280"/>
      <c r="S45" s="280"/>
      <c r="T45" s="280"/>
      <c r="U45" s="280"/>
      <c r="V45" s="280"/>
      <c r="W45" s="280"/>
      <c r="X45" s="280"/>
      <c r="Y45" s="280"/>
      <c r="Z45" s="280"/>
      <c r="AA45" s="280"/>
      <c r="AB45" s="280"/>
      <c r="AC45" s="280"/>
      <c r="AD45" s="280"/>
      <c r="AE45" s="280"/>
      <c r="AF45" s="280"/>
      <c r="AG45" s="280"/>
      <c r="AH45" s="280"/>
      <c r="AI45" s="280"/>
      <c r="AJ45" s="280"/>
      <c r="AK45" s="280"/>
      <c r="AL45" s="280"/>
      <c r="AM45" s="280"/>
      <c r="AN45" s="280"/>
      <c r="AO45" s="280"/>
      <c r="AP45" s="280"/>
      <c r="AQ45" s="280"/>
      <c r="AR45" s="280"/>
      <c r="AS45" s="280"/>
      <c r="AT45" s="280"/>
      <c r="AU45" s="280"/>
      <c r="AV45" s="280"/>
      <c r="AW45" s="280"/>
      <c r="AX45" s="280"/>
      <c r="AY45" s="280"/>
      <c r="BC45" s="283" t="s">
        <v>790</v>
      </c>
      <c r="BD45" s="283" t="s">
        <v>791</v>
      </c>
      <c r="BF45" s="291" t="s">
        <v>790</v>
      </c>
      <c r="BG45" s="286" t="s">
        <v>791</v>
      </c>
      <c r="BL45" s="312"/>
      <c r="BM45" s="350" t="s">
        <v>1165</v>
      </c>
      <c r="BN45" s="350">
        <f t="array" ref="BN45">IF(Ration_hivernale_complète_bisons[somme]&gt;0,0,IFERROR(IF(OR(AND(INDEX(Règles_bison[Specificite],MATCH(ChoixRationBisons&amp;$BM45,Règles_bison[Ration]&amp;Règles_bison[Aliment],0))="s1",IF($BM45=ChoixSpécificité1Bisons,1)),
INDEX(Règles_bison[Specificite],MATCH(ChoixRationBisons&amp;$BM45,Règles_bison[Ration]&amp;Règles_bison[Aliment],0))="c"),
INDEX(Règles_bison[Valeur 36 et plus],MATCH(ChoixRationBisons&amp;$BM45,Règles_bison[Ration]&amp;Règles_bison[Aliment],0)),0),0)*TotalBisonsMalesAdultes*NbreJoursNourrirBisonsDaims)</f>
        <v>0</v>
      </c>
      <c r="BO45" s="350">
        <f t="array" ref="BO45">IF(Ration_hivernale_complète_bisons[somme]&gt;0,0,IFERROR(IF(OR(AND(INDEX(Règles_bison[Specificite],MATCH(ChoixRationBisons&amp;$BM45,Règles_bison[Ration]&amp;Règles_bison[Aliment],0))="s1",IF($BM45=ChoixSpécificité1Bisons,1)),
INDEX(Règles_bison[Specificite],MATCH(ChoixRationBisons&amp;$BM45,Règles_bison[Ration]&amp;Règles_bison[Aliment],0))="c"),
INDEX(Règles_bison[Valeur 24-36],MATCH(ChoixRationBisons&amp;$BM45,Règles_bison[Ration]&amp;Règles_bison[Aliment],0)),0),0)*TotalBisonsMales_24_36_mois*NbreJoursNourrirBisonsDaims)</f>
        <v>0</v>
      </c>
      <c r="BP45" s="350">
        <f t="array" ref="BP45">IF(Ration_hivernale_complète_bisons[somme]&gt;0,0,IFERROR(IF(OR(AND(INDEX(Règles_bison[Specificite],MATCH(ChoixRationBisons&amp;$BM45,Règles_bison[Ration]&amp;Règles_bison[Aliment],0))="s1",IF($BM45=ChoixSpécificité1Bisons,1)),
INDEX(Règles_bison[Specificite],MATCH(ChoixRationBisons&amp;$BM45,Règles_bison[Ration]&amp;Règles_bison[Aliment],0))="c"),
INDEX(Règles_bison[Valeur 18-24],MATCH(ChoixRationBisons&amp;$BM45,Règles_bison[Ration]&amp;Règles_bison[Aliment],0)),0),0)*TotalBisonsMales_18_24_mois*NbreJoursNourrirBisonsDaims)</f>
        <v>0</v>
      </c>
      <c r="BQ45" s="350">
        <f t="array" ref="BQ45">IF(Ration_hivernale_complète_bisons[somme]&gt;0,0,IFERROR(IF(OR(AND(INDEX(Règles_bison[Specificite],MATCH(ChoixRationBisons&amp;$BM45,Règles_bison[Ration]&amp;Règles_bison[Aliment],0))="s1",IF($BM45=ChoixSpécificité1Bisons,1)),
INDEX(Règles_bison[Specificite],MATCH(ChoixRationBisons&amp;$BM45,Règles_bison[Ration]&amp;Règles_bison[Aliment],0))="c"),
INDEX(Règles_bison[Valeur 12-18],MATCH(ChoixRationBisons&amp;$BM45,Règles_bison[Ration]&amp;Règles_bison[Aliment],0)),0),0)*TotalBisonsMales_12_18_mois*NbreJoursNourrirBisonsDaims)</f>
        <v>0</v>
      </c>
      <c r="BR45" s="350">
        <f t="array" ref="BR45">IF(Ration_hivernale_complète_bisons[somme]&gt;0,0,IFERROR(IF(OR(AND(INDEX(Règles_bison[Specificite],MATCH(ChoixRationBisons&amp;$BM45,Règles_bison[Ration]&amp;Règles_bison[Aliment],0))="s1",IF($BM45=ChoixSpécificité1Bisons,1)),
INDEX(Règles_bison[Specificite],MATCH(ChoixRationBisons&amp;$BM45,Règles_bison[Ration]&amp;Règles_bison[Aliment],0))="c"),
INDEX(Règles_bison[Valeur 6-12],MATCH(ChoixRationBisons&amp;$BM45,Règles_bison[Ration]&amp;Règles_bison[Aliment],0)),0),0)*TotalBisonsMales_6_12_mois*NbreJoursNourrirBisonsDaims)</f>
        <v>0</v>
      </c>
      <c r="BS45" s="350">
        <f t="array" ref="BS45">IF(Ration_hivernale_complète_bisons[somme]&gt;0,0,IFERROR(IF(OR(AND(INDEX(Règles_bison[Specificite],MATCH(ChoixRationBisons&amp;$BM45,Règles_bison[Ration]&amp;Règles_bison[Aliment],0))="s1",IF($BM45=ChoixSpécificité1Bisons,1)),
INDEX(Règles_bison[Specificite],MATCH(ChoixRationBisons&amp;$BM45,Règles_bison[Ration]&amp;Règles_bison[Aliment],0))="c"),
INDEX(Règles_bison[Valeur 3-6],MATCH(ChoixRationBisons&amp;$BM45,Règles_bison[Ration]&amp;Règles_bison[Aliment],0)),0),0)*TotalBisonsMales_3_6_mois*NbreJoursNourrirBisonsDaims)</f>
        <v>0</v>
      </c>
      <c r="BT45" s="350">
        <f t="array" ref="BT45">IF(Ration_hivernale_complète_bisons[somme]&gt;0,0,IFERROR(IF(OR(AND(INDEX(Règles_bison[Specificite],MATCH(ChoixRationBisons&amp;$BM45,Règles_bison[Ration]&amp;Règles_bison[Aliment],0))="s1",IF($BM45=ChoixSpécificité1Bisons,1)),
INDEX(Règles_bison[Specificite],MATCH(ChoixRationBisons&amp;$BM45,Règles_bison[Ration]&amp;Règles_bison[Aliment],0))="c"),
INDEX(Règles_bison[Valeur 0-3],MATCH(ChoixRationBisons&amp;$BM45,Règles_bison[Ration]&amp;Règles_bison[Aliment],0)),0),0)*TotalBisonsMales_0_3_mois*NbreJoursNourrirBisonsDaims)</f>
        <v>0</v>
      </c>
      <c r="BU45" s="350">
        <f t="shared" si="10"/>
        <v>0</v>
      </c>
      <c r="CJ45" s="376"/>
      <c r="CK45" s="305"/>
      <c r="CL45" s="305"/>
      <c r="CM45" s="305"/>
      <c r="CN45" s="305"/>
      <c r="CO45" s="305"/>
      <c r="CP45" s="305"/>
      <c r="CQ45" s="424"/>
      <c r="CS45" s="373" t="s">
        <v>926</v>
      </c>
      <c r="CT45" s="280" t="s">
        <v>392</v>
      </c>
      <c r="CU45" s="280" t="s">
        <v>886</v>
      </c>
      <c r="CV45" s="280">
        <v>0.18</v>
      </c>
      <c r="CW45" s="280">
        <v>0.12</v>
      </c>
      <c r="CX45" s="423">
        <v>0</v>
      </c>
      <c r="CZ45" s="373"/>
      <c r="DA45" s="280"/>
      <c r="DB45" s="280"/>
      <c r="DC45" s="280"/>
      <c r="DD45" s="280"/>
      <c r="DE45" s="423"/>
      <c r="DF45" s="277"/>
      <c r="DN45" s="280" t="s">
        <v>619</v>
      </c>
      <c r="DO45" s="280">
        <v>4</v>
      </c>
      <c r="DV45" s="350" t="s">
        <v>233</v>
      </c>
      <c r="DW45" s="351">
        <f t="array" ref="DW45">IF(ChoixRationComplèteDaims=OUI,0,IFERROR(IF(OR(AND(INDEX(Règles_daims[Specificite],MATCH(ChoixRationDaims&amp;DV45,Règles_daims[Ration]&amp;Règles_daims[Aliment],0))="s1",IF(DV45=Spécificité1Daims,1)),
AND(INDEX(Règles_daims[Specificite],MATCH(ChoixRationDaims&amp;DV45,Règles_daims[Ration]&amp;Règles_daims[Aliment],0))="s2",IF(DV45=Spécificité2Daims,1)),
INDEX(Règles_daims[Specificite],MATCH(ChoixRationDaims&amp;DV45,Règles_daims[Ration]&amp;Règles_daims[Aliment],0))="c"),
INDEX(Règles_daims[Valeur 36 et plus],MATCH(ChoixRationDaims&amp;DV45,Règles_daims[Ration]&amp;Règles_daims[Aliment],0)),0),0)*SUM(TotalDaimsAdultes)*NbreJoursNourrirBisonsDaims)</f>
        <v>0</v>
      </c>
      <c r="DX45" s="351">
        <f t="array" ref="DX45">IF(ChoixRationComplèteDaims=OUI,0,IFERROR(IF(OR(AND(INDEX(Règles_daims[Specificite],MATCH(ChoixRationDaims&amp;DV45,Règles_daims[Ration]&amp;Règles_daims[Aliment],0))="s1",IF(DV45=Spécificité1Daims,1)),
AND(INDEX(Règles_daims[Specificite],MATCH(ChoixRationDaims&amp;DV45,Règles_daims[Ration]&amp;Règles_daims[Aliment],0))="s2",IF(DV45=Spécificité2Daims,1)),
INDEX(Règles_daims[Specificite],MATCH(ChoixRationDaims&amp;DV45,Règles_daims[Ration]&amp;Règles_daims[Aliment],0))="c"),
INDEX(Règles_daims[Valeur 24-36],MATCH(ChoixRationDaims&amp;DV45,Règles_daims[Ration]&amp;Règles_daims[Aliment],0)),0),0)*SUM(TotalDaims24_36)*NbreJoursNourrirBisonsDaims)</f>
        <v>0</v>
      </c>
      <c r="DY45" s="351">
        <f t="array" ref="DY45">IF(ChoixRationComplèteDaims=OUI,0,IFERROR(IF(OR(AND(INDEX(Règles_daims[Specificite],MATCH(ChoixRationDaims&amp;DV45,Règles_daims[Ration]&amp;Règles_daims[Aliment],0))="s1",IF(DV45=Spécificité1Daims,1)),
AND(INDEX(Règles_daims[Specificite],MATCH(ChoixRationDaims&amp;DV45,Règles_daims[Ration]&amp;Règles_daims[Aliment],0))="s2",IF(DV45=Spécificité2Daims,1)),
INDEX(Règles_daims[Specificite],MATCH(ChoixRationDaims&amp;DV45,Règles_daims[Ration]&amp;Règles_daims[Aliment],0))="c"),
INDEX(Règles_daims[Valeur 18-24],MATCH(ChoixRationDaims&amp;DV45,Règles_daims[Ration]&amp;Règles_daims[Aliment],0)),0),0)*SUM(TotalDaims18_24)*NbreJoursNourrirBisonsDaims)</f>
        <v>0</v>
      </c>
      <c r="DZ45" s="441">
        <f t="array" ref="DZ45">IF(ChoixRationComplèteDaims=OUI,0,IFERROR(IF(OR(AND(INDEX(Règles_daims[Specificite],MATCH(ChoixRationDaims&amp;DV45,Règles_daims[Ration]&amp;Règles_daims[Aliment],0))="s1",IF(DV45=Spécificité1Daims,1)),
AND(INDEX(Règles_daims[Specificite],MATCH(ChoixRationDaims&amp;DV45,Règles_daims[Ration]&amp;Règles_daims[Aliment],0))="s2",IF(DV45=Spécificité2Daims,1)),
INDEX(Règles_daims[Specificite],MATCH(ChoixRationDaims&amp;DV45,Règles_daims[Ration]&amp;Règles_daims[Aliment],0))="c"),
INDEX(Règles_daims[Valeur 12-18],MATCH(ChoixRationDaims&amp;DV45,Règles_daims[Ration]&amp;Règles_daims[Aliment],0)),0),0)*SUM(TotalDaims12_18)*NbreJoursNourrirBisonsDaims)</f>
        <v>0</v>
      </c>
      <c r="EA45" s="441">
        <f t="array" ref="EA45">IF(ChoixRationComplèteDaims=OUI,0,IFERROR(IF(OR(AND(INDEX(Règles_daims[Specificite],MATCH(ChoixRationDaims&amp;DV45,Règles_daims[Ration]&amp;Règles_daims[Aliment],0))="s1",IF(DV45=Spécificité1Daims,1)),
AND(INDEX(Règles_daims[Specificite],MATCH(ChoixRationDaims&amp;DV45,Règles_daims[Ration]&amp;Règles_daims[Aliment],0))="s2",IF(DV45=Spécificité2Daims,1)),
INDEX(Règles_daims[Specificite],MATCH(ChoixRationDaims&amp;DV45,Règles_daims[Ration]&amp;Règles_daims[Aliment],0))="c"),
INDEX(Règles_daims[Valeur 6-12],MATCH(ChoixRationDaims&amp;DV45,Règles_daims[Ration]&amp;Règles_daims[Aliment],0)),0),0)*SUM(TotalDaims6_12)*NbreJoursNourrirBisonsDaims)</f>
        <v>0</v>
      </c>
      <c r="EB45" s="441">
        <f t="array" ref="EB45">IF(ChoixRationComplèteDaims=OUI,0,IFERROR(IF(OR(AND(INDEX(Règles_daims[Specificite],MATCH(ChoixRationDaims&amp;DV45,Règles_daims[Ration]&amp;Règles_daims[Aliment],0))="s1",IF(DV45=Spécificité1Daims,1)),
AND(INDEX(Règles_daims[Specificite],MATCH(ChoixRationDaims&amp;DV45,Règles_daims[Ration]&amp;Règles_daims[Aliment],0))="s2",IF(DV45=Spécificité2Daims,1)),
INDEX(Règles_daims[Specificite],MATCH(ChoixRationDaims&amp;DV45,Règles_daims[Ration]&amp;Règles_daims[Aliment],0))="c"),
INDEX(Règles_daims[Valeur 3-6],MATCH(ChoixRationDaims&amp;DV45,Règles_daims[Ration]&amp;Règles_daims[Aliment],0)),0),0)*SUM(TotalDaims3_6)*NbreJoursNourrirBisonsDaims)</f>
        <v>0</v>
      </c>
      <c r="EC45" s="441">
        <f t="array" ref="EC45">IF(ChoixRationComplèteDaims=OUI,0,IFERROR(IF(OR(AND(INDEX(Règles_daims[Specificite],MATCH(ChoixRationDaims&amp;DV45,Règles_daims[Ration]&amp;Règles_daims[Aliment],0))="s1",IF(DV45=Spécificité1Daims,1)),
AND(INDEX(Règles_daims[Specificite],MATCH(ChoixRationDaims&amp;DV45,Règles_daims[Ration]&amp;Règles_daims[Aliment],0))="s2",IF(DV45=Spécificité2Daims,1)),
INDEX(Règles_daims[Specificite],MATCH(ChoixRationDaims&amp;DV45,Règles_daims[Ration]&amp;Règles_daims[Aliment],0))="c"),
INDEX(Règles_daims[Valeur 0-3],MATCH(ChoixRationDaims&amp;DV45,Règles_daims[Ration]&amp;Règles_daims[Aliment],0)),0),0)*SUM(TotalDaims0_3)*NbreJoursNourrirBisonsDaims)</f>
        <v>0</v>
      </c>
      <c r="ED45" s="441">
        <f t="shared" si="9"/>
        <v>0</v>
      </c>
      <c r="EG45" s="373"/>
      <c r="EH45" s="280"/>
      <c r="EI45" s="280"/>
      <c r="EJ45" s="280"/>
      <c r="EK45" s="280"/>
      <c r="EL45" s="423"/>
      <c r="EN45" s="373"/>
      <c r="EO45" s="280"/>
      <c r="EP45" s="280"/>
      <c r="EQ45" s="280"/>
      <c r="ER45" s="280"/>
      <c r="ES45" s="423"/>
      <c r="EU45" s="381" t="s">
        <v>1022</v>
      </c>
      <c r="EV45" s="280" t="s">
        <v>518</v>
      </c>
      <c r="EW45" s="280" t="s">
        <v>886</v>
      </c>
      <c r="EX45" s="280">
        <v>150</v>
      </c>
      <c r="EY45" s="280">
        <v>100</v>
      </c>
      <c r="EZ45" s="280">
        <v>70</v>
      </c>
      <c r="FA45" s="423">
        <v>30</v>
      </c>
      <c r="FB45" s="298"/>
      <c r="FC45" s="282"/>
      <c r="FD45" s="373" t="s">
        <v>875</v>
      </c>
      <c r="FE45" s="280" t="s">
        <v>518</v>
      </c>
      <c r="FF45" s="280" t="s">
        <v>886</v>
      </c>
      <c r="FG45" s="280">
        <v>150</v>
      </c>
      <c r="FH45" s="280">
        <v>100</v>
      </c>
      <c r="FI45" s="280">
        <v>60</v>
      </c>
      <c r="FJ45" s="423">
        <v>30</v>
      </c>
      <c r="FK45" s="298"/>
      <c r="FL45" s="298"/>
      <c r="FM45" s="282"/>
      <c r="FN45" s="373"/>
      <c r="FO45" s="280"/>
      <c r="FP45" s="280"/>
      <c r="FQ45" s="280"/>
      <c r="FR45" s="280"/>
      <c r="FS45" s="280"/>
      <c r="FT45" s="363"/>
      <c r="FU45" s="298"/>
      <c r="FV45" s="298"/>
      <c r="FW45" s="443" t="s">
        <v>220</v>
      </c>
      <c r="FX45" s="450">
        <f t="array" ref="FX45">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45" s="450">
        <f t="array" ref="FY45">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45" s="450">
        <f t="array" ref="FZ45">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45" s="450">
        <f t="array" ref="GA45">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45" s="451">
        <f>SUM(AlimentsGavageOies[[#This Row],[Valeur 6 et plus]:[Valeur 0-1]])</f>
        <v>0</v>
      </c>
      <c r="GC45" s="316"/>
      <c r="GE45" s="280" t="s">
        <v>191</v>
      </c>
      <c r="GF45" s="283"/>
      <c r="GG45" s="280" t="s">
        <v>294</v>
      </c>
      <c r="GH45" s="283" t="s">
        <v>955</v>
      </c>
      <c r="GI45" s="283" t="s">
        <v>955</v>
      </c>
      <c r="GJ45" s="283" t="s">
        <v>955</v>
      </c>
      <c r="GK45" s="283" t="s">
        <v>955</v>
      </c>
      <c r="GL45" s="283" t="s">
        <v>955</v>
      </c>
      <c r="GM45" s="283" t="s">
        <v>955</v>
      </c>
      <c r="GN45" s="283" t="s">
        <v>955</v>
      </c>
      <c r="GO45" s="283" t="s">
        <v>955</v>
      </c>
      <c r="GP45" s="283" t="s">
        <v>955</v>
      </c>
      <c r="GQ45" s="283" t="s">
        <v>955</v>
      </c>
      <c r="GR45" s="283" t="s">
        <v>955</v>
      </c>
      <c r="GS45" s="283" t="s">
        <v>955</v>
      </c>
      <c r="GT45" s="283" t="s">
        <v>955</v>
      </c>
      <c r="GU45" s="283" t="s">
        <v>955</v>
      </c>
      <c r="GV45" s="283" t="s">
        <v>955</v>
      </c>
      <c r="GY45" s="444" t="str">
        <f t="shared" si="11"/>
        <v>semences de brome</v>
      </c>
      <c r="GZ45" s="444"/>
      <c r="HA45" s="342"/>
      <c r="HB45" s="342" t="e">
        <f>IF(COUNTIF(TypeArticleDansEntrepôt,GY45)=0,0,SUMIF(TypeArticleDansEntrepôt,GY45,QtéArticleDansEntrepôt)*VLOOKUP(GY45,#REF!,2,FALSE))</f>
        <v>#REF!</v>
      </c>
      <c r="HN45" s="342" t="s">
        <v>1050</v>
      </c>
      <c r="HO45" s="342" t="e">
        <f t="shared" ref="HO45:HV45" si="12">ROUNDUP(SUM(HO46:HO93),0)</f>
        <v>#REF!</v>
      </c>
      <c r="HP45" s="342" t="e">
        <f t="shared" si="12"/>
        <v>#REF!</v>
      </c>
      <c r="HQ45" s="342" t="e">
        <f t="shared" si="12"/>
        <v>#REF!</v>
      </c>
      <c r="HR45" s="342" t="e">
        <f t="shared" si="12"/>
        <v>#REF!</v>
      </c>
      <c r="HS45" s="342" t="e">
        <f t="shared" si="12"/>
        <v>#REF!</v>
      </c>
      <c r="HT45" s="342" t="e">
        <f t="shared" si="12"/>
        <v>#REF!</v>
      </c>
      <c r="HU45" s="342" t="e">
        <f t="shared" si="12"/>
        <v>#REF!</v>
      </c>
      <c r="HV45" s="342" t="e">
        <f t="shared" si="12"/>
        <v>#REF!</v>
      </c>
      <c r="HW45" s="342" t="e">
        <f>ROUNDUP(SUM(HW46:HW93),0)</f>
        <v>#REF!</v>
      </c>
      <c r="HX45" s="342" t="s">
        <v>1050</v>
      </c>
      <c r="HY45" s="342" t="e">
        <f>ROUNDUP(SUM(HY46:HY93),0)</f>
        <v>#REF!</v>
      </c>
      <c r="HZ45" s="342" t="e">
        <f>ROUNDUP(SUM(HZ46:HZ93),0)</f>
        <v>#REF!</v>
      </c>
      <c r="IA45" s="342" t="e">
        <f>ROUNDUP(SUM(IA46:IA93),0)</f>
        <v>#REF!</v>
      </c>
      <c r="IB45" s="342" t="e">
        <f t="shared" ref="IB45:IG45" si="13">ROUNDUP(SUM(IB46:IB93),0)</f>
        <v>#REF!</v>
      </c>
      <c r="IC45" s="342" t="e">
        <f t="shared" si="13"/>
        <v>#REF!</v>
      </c>
      <c r="ID45" s="342" t="e">
        <f t="shared" si="13"/>
        <v>#REF!</v>
      </c>
      <c r="IE45" s="342" t="e">
        <f t="shared" si="13"/>
        <v>#REF!</v>
      </c>
      <c r="IF45" s="342" t="e">
        <f t="shared" si="13"/>
        <v>#REF!</v>
      </c>
      <c r="IG45" s="342" t="e">
        <f t="shared" si="13"/>
        <v>#REF!</v>
      </c>
    </row>
    <row r="46" spans="1:241" ht="12.75" customHeight="1" x14ac:dyDescent="0.2">
      <c r="A46" s="369"/>
      <c r="B46" s="280"/>
      <c r="C46" s="280"/>
      <c r="D46" s="423"/>
      <c r="F46" s="280"/>
      <c r="G46" s="280"/>
      <c r="H46" s="280"/>
      <c r="I46" s="280"/>
      <c r="N46" s="277"/>
      <c r="O46" s="280" t="s">
        <v>399</v>
      </c>
      <c r="P46" s="280"/>
      <c r="Q46" s="280"/>
      <c r="R46" s="280"/>
      <c r="S46" s="280"/>
      <c r="T46" s="280"/>
      <c r="U46" s="280"/>
      <c r="V46" s="280"/>
      <c r="W46" s="280"/>
      <c r="X46" s="280"/>
      <c r="Y46" s="280"/>
      <c r="Z46" s="280"/>
      <c r="AA46" s="280"/>
      <c r="AB46" s="280"/>
      <c r="AC46" s="280"/>
      <c r="AD46" s="280"/>
      <c r="AE46" s="280"/>
      <c r="AF46" s="280"/>
      <c r="AG46" s="280"/>
      <c r="AH46" s="280"/>
      <c r="AI46" s="280"/>
      <c r="AJ46" s="280"/>
      <c r="AK46" s="280"/>
      <c r="AL46" s="280"/>
      <c r="AM46" s="280"/>
      <c r="AN46" s="280"/>
      <c r="AO46" s="280"/>
      <c r="AP46" s="280"/>
      <c r="AQ46" s="280"/>
      <c r="AR46" s="280"/>
      <c r="AS46" s="280"/>
      <c r="AT46" s="280"/>
      <c r="AU46" s="280"/>
      <c r="AV46" s="280"/>
      <c r="AW46" s="280"/>
      <c r="AX46" s="280"/>
      <c r="AY46" s="280"/>
      <c r="BC46" s="280" t="s">
        <v>792</v>
      </c>
      <c r="BD46" s="299">
        <v>265</v>
      </c>
      <c r="BF46" s="284" t="s">
        <v>792</v>
      </c>
      <c r="BG46" s="299">
        <v>318</v>
      </c>
      <c r="BL46" s="312"/>
      <c r="BM46" s="350" t="s">
        <v>513</v>
      </c>
      <c r="BN46" s="350">
        <f t="array" ref="BN46">IF(Ration_hivernale_complète_bisons[somme]&gt;0,0,IFERROR(IF(OR(AND(INDEX(Règles_bison[Specificite],MATCH(ChoixRationBisons&amp;$BM46,Règles_bison[Ration]&amp;Règles_bison[Aliment],0))="s1",IF($BM46=ChoixSpécificité1Bisons,1)),
INDEX(Règles_bison[Specificite],MATCH(ChoixRationBisons&amp;$BM46,Règles_bison[Ration]&amp;Règles_bison[Aliment],0))="c"),
INDEX(Règles_bison[Valeur 36 et plus],MATCH(ChoixRationBisons&amp;$BM46,Règles_bison[Ration]&amp;Règles_bison[Aliment],0)),0),0)*TotalBisonsMalesAdultes*NbreJoursNourrirBisonsDaims)</f>
        <v>0</v>
      </c>
      <c r="BO46" s="350">
        <f t="array" ref="BO46">IF(Ration_hivernale_complète_bisons[somme]&gt;0,0,IFERROR(IF(OR(AND(INDEX(Règles_bison[Specificite],MATCH(ChoixRationBisons&amp;$BM46,Règles_bison[Ration]&amp;Règles_bison[Aliment],0))="s1",IF($BM46=ChoixSpécificité1Bisons,1)),
INDEX(Règles_bison[Specificite],MATCH(ChoixRationBisons&amp;$BM46,Règles_bison[Ration]&amp;Règles_bison[Aliment],0))="c"),
INDEX(Règles_bison[Valeur 24-36],MATCH(ChoixRationBisons&amp;$BM46,Règles_bison[Ration]&amp;Règles_bison[Aliment],0)),0),0)*TotalBisonsMales_24_36_mois*NbreJoursNourrirBisonsDaims)</f>
        <v>0</v>
      </c>
      <c r="BP46" s="350">
        <f t="array" ref="BP46">IF(Ration_hivernale_complète_bisons[somme]&gt;0,0,IFERROR(IF(OR(AND(INDEX(Règles_bison[Specificite],MATCH(ChoixRationBisons&amp;$BM46,Règles_bison[Ration]&amp;Règles_bison[Aliment],0))="s1",IF($BM46=ChoixSpécificité1Bisons,1)),
INDEX(Règles_bison[Specificite],MATCH(ChoixRationBisons&amp;$BM46,Règles_bison[Ration]&amp;Règles_bison[Aliment],0))="c"),
INDEX(Règles_bison[Valeur 18-24],MATCH(ChoixRationBisons&amp;$BM46,Règles_bison[Ration]&amp;Règles_bison[Aliment],0)),0),0)*TotalBisonsMales_18_24_mois*NbreJoursNourrirBisonsDaims)</f>
        <v>0</v>
      </c>
      <c r="BQ46" s="350">
        <f t="array" ref="BQ46">IF(Ration_hivernale_complète_bisons[somme]&gt;0,0,IFERROR(IF(OR(AND(INDEX(Règles_bison[Specificite],MATCH(ChoixRationBisons&amp;$BM46,Règles_bison[Ration]&amp;Règles_bison[Aliment],0))="s1",IF($BM46=ChoixSpécificité1Bisons,1)),
INDEX(Règles_bison[Specificite],MATCH(ChoixRationBisons&amp;$BM46,Règles_bison[Ration]&amp;Règles_bison[Aliment],0))="c"),
INDEX(Règles_bison[Valeur 12-18],MATCH(ChoixRationBisons&amp;$BM46,Règles_bison[Ration]&amp;Règles_bison[Aliment],0)),0),0)*TotalBisonsMales_12_18_mois*NbreJoursNourrirBisonsDaims)</f>
        <v>0</v>
      </c>
      <c r="BR46" s="350">
        <f t="array" ref="BR46">IF(Ration_hivernale_complète_bisons[somme]&gt;0,0,IFERROR(IF(OR(AND(INDEX(Règles_bison[Specificite],MATCH(ChoixRationBisons&amp;$BM46,Règles_bison[Ration]&amp;Règles_bison[Aliment],0))="s1",IF($BM46=ChoixSpécificité1Bisons,1)),
INDEX(Règles_bison[Specificite],MATCH(ChoixRationBisons&amp;$BM46,Règles_bison[Ration]&amp;Règles_bison[Aliment],0))="c"),
INDEX(Règles_bison[Valeur 6-12],MATCH(ChoixRationBisons&amp;$BM46,Règles_bison[Ration]&amp;Règles_bison[Aliment],0)),0),0)*TotalBisonsMales_6_12_mois*NbreJoursNourrirBisonsDaims)</f>
        <v>0</v>
      </c>
      <c r="BS46" s="350">
        <f t="array" ref="BS46">IF(Ration_hivernale_complète_bisons[somme]&gt;0,0,IFERROR(IF(OR(AND(INDEX(Règles_bison[Specificite],MATCH(ChoixRationBisons&amp;$BM46,Règles_bison[Ration]&amp;Règles_bison[Aliment],0))="s1",IF($BM46=ChoixSpécificité1Bisons,1)),
INDEX(Règles_bison[Specificite],MATCH(ChoixRationBisons&amp;$BM46,Règles_bison[Ration]&amp;Règles_bison[Aliment],0))="c"),
INDEX(Règles_bison[Valeur 3-6],MATCH(ChoixRationBisons&amp;$BM46,Règles_bison[Ration]&amp;Règles_bison[Aliment],0)),0),0)*TotalBisonsMales_3_6_mois*NbreJoursNourrirBisonsDaims)</f>
        <v>0</v>
      </c>
      <c r="BT46" s="350">
        <f t="array" ref="BT46">IF(Ration_hivernale_complète_bisons[somme]&gt;0,0,IFERROR(IF(OR(AND(INDEX(Règles_bison[Specificite],MATCH(ChoixRationBisons&amp;$BM46,Règles_bison[Ration]&amp;Règles_bison[Aliment],0))="s1",IF($BM46=ChoixSpécificité1Bisons,1)),
INDEX(Règles_bison[Specificite],MATCH(ChoixRationBisons&amp;$BM46,Règles_bison[Ration]&amp;Règles_bison[Aliment],0))="c"),
INDEX(Règles_bison[Valeur 0-3],MATCH(ChoixRationBisons&amp;$BM46,Règles_bison[Ration]&amp;Règles_bison[Aliment],0)),0),0)*TotalBisonsMales_0_3_mois*NbreJoursNourrirBisonsDaims)</f>
        <v>0</v>
      </c>
      <c r="BU46" s="350">
        <f t="shared" si="10"/>
        <v>0</v>
      </c>
      <c r="CJ46" s="276"/>
      <c r="CM46" s="277"/>
      <c r="CS46" s="373" t="s">
        <v>926</v>
      </c>
      <c r="CT46" s="280" t="s">
        <v>1167</v>
      </c>
      <c r="CU46" s="280" t="s">
        <v>886</v>
      </c>
      <c r="CV46" s="280">
        <v>0</v>
      </c>
      <c r="CW46" s="280">
        <v>0</v>
      </c>
      <c r="CX46" s="423">
        <v>0.04</v>
      </c>
      <c r="CZ46" s="373"/>
      <c r="DA46" s="280"/>
      <c r="DB46" s="280"/>
      <c r="DC46" s="280"/>
      <c r="DD46" s="280"/>
      <c r="DE46" s="423"/>
      <c r="DF46" s="277"/>
      <c r="DG46" s="229" t="s">
        <v>1157</v>
      </c>
      <c r="DH46" s="229"/>
      <c r="DI46" s="229"/>
      <c r="DJ46" s="229"/>
      <c r="DK46" s="229"/>
      <c r="DM46" s="316"/>
      <c r="DN46" s="280" t="s">
        <v>620</v>
      </c>
      <c r="DO46" s="280">
        <v>4</v>
      </c>
      <c r="DV46" s="350" t="s">
        <v>168</v>
      </c>
      <c r="DW46" s="351">
        <f t="array" ref="DW46">IF(ChoixRationComplèteDaims=OUI,0,IFERROR(IF(OR(AND(INDEX(Règles_daims[Specificite],MATCH(ChoixRationDaims&amp;DV46,Règles_daims[Ration]&amp;Règles_daims[Aliment],0))="s1",IF(DV46=Spécificité1Daims,1)),
AND(INDEX(Règles_daims[Specificite],MATCH(ChoixRationDaims&amp;DV46,Règles_daims[Ration]&amp;Règles_daims[Aliment],0))="s2",IF(DV46=Spécificité2Daims,1)),
INDEX(Règles_daims[Specificite],MATCH(ChoixRationDaims&amp;DV46,Règles_daims[Ration]&amp;Règles_daims[Aliment],0))="c"),
INDEX(Règles_daims[Valeur 36 et plus],MATCH(ChoixRationDaims&amp;DV46,Règles_daims[Ration]&amp;Règles_daims[Aliment],0)),0),0)*SUM(TotalDaimsAdultes)*NbreJoursNourrirBisonsDaims)</f>
        <v>0</v>
      </c>
      <c r="DX46" s="351">
        <f t="array" ref="DX46">IF(ChoixRationComplèteDaims=OUI,0,IFERROR(IF(OR(AND(INDEX(Règles_daims[Specificite],MATCH(ChoixRationDaims&amp;DV46,Règles_daims[Ration]&amp;Règles_daims[Aliment],0))="s1",IF(DV46=Spécificité1Daims,1)),
AND(INDEX(Règles_daims[Specificite],MATCH(ChoixRationDaims&amp;DV46,Règles_daims[Ration]&amp;Règles_daims[Aliment],0))="s2",IF(DV46=Spécificité2Daims,1)),
INDEX(Règles_daims[Specificite],MATCH(ChoixRationDaims&amp;DV46,Règles_daims[Ration]&amp;Règles_daims[Aliment],0))="c"),
INDEX(Règles_daims[Valeur 24-36],MATCH(ChoixRationDaims&amp;DV46,Règles_daims[Ration]&amp;Règles_daims[Aliment],0)),0),0)*SUM(TotalDaims24_36)*NbreJoursNourrirBisonsDaims)</f>
        <v>0</v>
      </c>
      <c r="DY46" s="351">
        <f t="array" ref="DY46">IF(ChoixRationComplèteDaims=OUI,0,IFERROR(IF(OR(AND(INDEX(Règles_daims[Specificite],MATCH(ChoixRationDaims&amp;DV46,Règles_daims[Ration]&amp;Règles_daims[Aliment],0))="s1",IF(DV46=Spécificité1Daims,1)),
AND(INDEX(Règles_daims[Specificite],MATCH(ChoixRationDaims&amp;DV46,Règles_daims[Ration]&amp;Règles_daims[Aliment],0))="s2",IF(DV46=Spécificité2Daims,1)),
INDEX(Règles_daims[Specificite],MATCH(ChoixRationDaims&amp;DV46,Règles_daims[Ration]&amp;Règles_daims[Aliment],0))="c"),
INDEX(Règles_daims[Valeur 18-24],MATCH(ChoixRationDaims&amp;DV46,Règles_daims[Ration]&amp;Règles_daims[Aliment],0)),0),0)*SUM(TotalDaims18_24)*NbreJoursNourrirBisonsDaims)</f>
        <v>0</v>
      </c>
      <c r="DZ46" s="441">
        <f t="array" ref="DZ46">IF(ChoixRationComplèteDaims=OUI,0,IFERROR(IF(OR(AND(INDEX(Règles_daims[Specificite],MATCH(ChoixRationDaims&amp;DV46,Règles_daims[Ration]&amp;Règles_daims[Aliment],0))="s1",IF(DV46=Spécificité1Daims,1)),
AND(INDEX(Règles_daims[Specificite],MATCH(ChoixRationDaims&amp;DV46,Règles_daims[Ration]&amp;Règles_daims[Aliment],0))="s2",IF(DV46=Spécificité2Daims,1)),
INDEX(Règles_daims[Specificite],MATCH(ChoixRationDaims&amp;DV46,Règles_daims[Ration]&amp;Règles_daims[Aliment],0))="c"),
INDEX(Règles_daims[Valeur 12-18],MATCH(ChoixRationDaims&amp;DV46,Règles_daims[Ration]&amp;Règles_daims[Aliment],0)),0),0)*SUM(TotalDaims12_18)*NbreJoursNourrirBisonsDaims)</f>
        <v>0</v>
      </c>
      <c r="EA46" s="441">
        <f t="array" ref="EA46">IF(ChoixRationComplèteDaims=OUI,0,IFERROR(IF(OR(AND(INDEX(Règles_daims[Specificite],MATCH(ChoixRationDaims&amp;DV46,Règles_daims[Ration]&amp;Règles_daims[Aliment],0))="s1",IF(DV46=Spécificité1Daims,1)),
AND(INDEX(Règles_daims[Specificite],MATCH(ChoixRationDaims&amp;DV46,Règles_daims[Ration]&amp;Règles_daims[Aliment],0))="s2",IF(DV46=Spécificité2Daims,1)),
INDEX(Règles_daims[Specificite],MATCH(ChoixRationDaims&amp;DV46,Règles_daims[Ration]&amp;Règles_daims[Aliment],0))="c"),
INDEX(Règles_daims[Valeur 6-12],MATCH(ChoixRationDaims&amp;DV46,Règles_daims[Ration]&amp;Règles_daims[Aliment],0)),0),0)*SUM(TotalDaims6_12)*NbreJoursNourrirBisonsDaims)</f>
        <v>0</v>
      </c>
      <c r="EB46" s="441">
        <f t="array" ref="EB46">IF(ChoixRationComplèteDaims=OUI,0,IFERROR(IF(OR(AND(INDEX(Règles_daims[Specificite],MATCH(ChoixRationDaims&amp;DV46,Règles_daims[Ration]&amp;Règles_daims[Aliment],0))="s1",IF(DV46=Spécificité1Daims,1)),
AND(INDEX(Règles_daims[Specificite],MATCH(ChoixRationDaims&amp;DV46,Règles_daims[Ration]&amp;Règles_daims[Aliment],0))="s2",IF(DV46=Spécificité2Daims,1)),
INDEX(Règles_daims[Specificite],MATCH(ChoixRationDaims&amp;DV46,Règles_daims[Ration]&amp;Règles_daims[Aliment],0))="c"),
INDEX(Règles_daims[Valeur 3-6],MATCH(ChoixRationDaims&amp;DV46,Règles_daims[Ration]&amp;Règles_daims[Aliment],0)),0),0)*SUM(TotalDaims3_6)*NbreJoursNourrirBisonsDaims)</f>
        <v>0</v>
      </c>
      <c r="EC46" s="441">
        <f t="array" ref="EC46">IF(ChoixRationComplèteDaims=OUI,0,IFERROR(IF(OR(AND(INDEX(Règles_daims[Specificite],MATCH(ChoixRationDaims&amp;DV46,Règles_daims[Ration]&amp;Règles_daims[Aliment],0))="s1",IF(DV46=Spécificité1Daims,1)),
AND(INDEX(Règles_daims[Specificite],MATCH(ChoixRationDaims&amp;DV46,Règles_daims[Ration]&amp;Règles_daims[Aliment],0))="s2",IF(DV46=Spécificité2Daims,1)),
INDEX(Règles_daims[Specificite],MATCH(ChoixRationDaims&amp;DV46,Règles_daims[Ration]&amp;Règles_daims[Aliment],0))="c"),
INDEX(Règles_daims[Valeur 0-3],MATCH(ChoixRationDaims&amp;DV46,Règles_daims[Ration]&amp;Règles_daims[Aliment],0)),0),0)*SUM(TotalDaims0_3)*NbreJoursNourrirBisonsDaims)</f>
        <v>0</v>
      </c>
      <c r="ED46" s="441">
        <f t="shared" si="9"/>
        <v>0</v>
      </c>
      <c r="EG46" s="373"/>
      <c r="EH46" s="280"/>
      <c r="EI46" s="280"/>
      <c r="EJ46" s="280"/>
      <c r="EK46" s="280"/>
      <c r="EL46" s="423"/>
      <c r="EN46" s="373"/>
      <c r="EO46" s="280"/>
      <c r="EP46" s="280"/>
      <c r="EQ46" s="280"/>
      <c r="ER46" s="280"/>
      <c r="ES46" s="423"/>
      <c r="EU46" s="373" t="s">
        <v>875</v>
      </c>
      <c r="EV46" s="280" t="s">
        <v>508</v>
      </c>
      <c r="EW46" s="280" t="s">
        <v>911</v>
      </c>
      <c r="EX46" s="280">
        <v>22.2</v>
      </c>
      <c r="EY46" s="280">
        <v>16.649999999999999</v>
      </c>
      <c r="EZ46" s="280">
        <v>11.1</v>
      </c>
      <c r="FA46" s="423">
        <v>5.55</v>
      </c>
      <c r="FB46" s="298"/>
      <c r="FC46" s="282"/>
      <c r="FD46" s="373"/>
      <c r="FE46" s="280"/>
      <c r="FF46" s="280"/>
      <c r="FG46" s="280"/>
      <c r="FH46" s="280"/>
      <c r="FI46" s="280"/>
      <c r="FJ46" s="363"/>
      <c r="FK46" s="298"/>
      <c r="FL46" s="298"/>
      <c r="FM46" s="282"/>
      <c r="FN46" s="373"/>
      <c r="FO46" s="280"/>
      <c r="FP46" s="280"/>
      <c r="FQ46" s="280"/>
      <c r="FR46" s="280"/>
      <c r="FS46" s="280"/>
      <c r="FT46" s="363"/>
      <c r="FU46" s="298"/>
      <c r="FV46" s="298"/>
      <c r="FW46" s="443" t="s">
        <v>515</v>
      </c>
      <c r="FX46" s="450">
        <f t="array" ref="FX46">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46" s="450">
        <f t="array" ref="FY46">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46" s="450">
        <f t="array" ref="FZ46">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46" s="450">
        <f t="array" ref="GA46">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46" s="451">
        <f>SUM(AlimentsGavageOies[[#This Row],[Valeur 6 et plus]:[Valeur 0-1]])</f>
        <v>0</v>
      </c>
      <c r="GC46" s="316"/>
      <c r="GE46" s="280" t="s">
        <v>330</v>
      </c>
      <c r="GF46" s="283"/>
      <c r="GG46" s="280" t="s">
        <v>295</v>
      </c>
      <c r="GH46" s="283" t="s">
        <v>955</v>
      </c>
      <c r="GI46" s="283" t="s">
        <v>955</v>
      </c>
      <c r="GJ46" s="283" t="s">
        <v>955</v>
      </c>
      <c r="GK46" s="283" t="s">
        <v>955</v>
      </c>
      <c r="GL46" s="283" t="s">
        <v>955</v>
      </c>
      <c r="GM46" s="283" t="s">
        <v>955</v>
      </c>
      <c r="GN46" s="283" t="s">
        <v>955</v>
      </c>
      <c r="GO46" s="283" t="s">
        <v>955</v>
      </c>
      <c r="GP46" s="283" t="s">
        <v>955</v>
      </c>
      <c r="GQ46" s="283" t="s">
        <v>955</v>
      </c>
      <c r="GR46" s="283" t="s">
        <v>955</v>
      </c>
      <c r="GS46" s="283" t="s">
        <v>955</v>
      </c>
      <c r="GT46" s="283" t="s">
        <v>955</v>
      </c>
      <c r="GU46" s="283" t="s">
        <v>955</v>
      </c>
      <c r="GV46" s="283" t="s">
        <v>955</v>
      </c>
      <c r="GY46" s="444" t="str">
        <f t="shared" si="11"/>
        <v>semences d'orge (G)</v>
      </c>
      <c r="GZ46" s="444"/>
      <c r="HA46" s="342"/>
      <c r="HB46" s="342" t="e">
        <f>IF(COUNTIF(TypeArticleDansEntrepôt,GY46)=0,0,SUMIF(TypeArticleDansEntrepôt,GY46,QtéArticleDansEntrepôt)*VLOOKUP(GY46,#REF!,2,FALSE))</f>
        <v>#REF!</v>
      </c>
      <c r="HN46" s="342" t="e">
        <f>IF(#REF!="","",(VLOOKUP(#REF!,BDD!$HN$5:$HU$38,2,FALSE))*#REF!)</f>
        <v>#REF!</v>
      </c>
      <c r="HO46" s="342" t="e">
        <f>IF(#REF!="","",IF(OR(#REF!=Moutarde,#REF!=Phacélie),0,IF(#REF!=Luzerne,10*#REF!*VLOOKUP(#REF!,BDD!$HN$5:$HU$38,3,FALSE),IF(#REF!=Miscanthus,10.5*#REF!*VLOOKUP(#REF!,BDD!$HN$5:$HU$38,3,FALSE),INDEX(#REF!:#REF!,MATCH(#REF!,#REF!:#REF!,0),MATCH(#REF!,#REF!:#REF!,0))*#REF!*VLOOKUP(#REF!,BDD!$HN$5:$HU$38,3,FALSE)))))</f>
        <v>#REF!</v>
      </c>
      <c r="HP46" s="342" t="e">
        <f>IF(#REF!="","",IF(OR(#REF!=Moutarde,#REF!=Phacélie),0,IF(#REF!=Luzerne,10*#REF!*VLOOKUP(#REF!,BDD!$HN$5:$HU$38,4,FALSE),IF(#REF!=Miscanthus,10.5*#REF!*VLOOKUP(#REF!,BDD!$HN$5:$HU$38,4,FALSE),INDEX(#REF!:#REF!,MATCH(#REF!,#REF!:#REF!,0),MATCH(#REF!,#REF!:#REF!,0))*#REF!*VLOOKUP(#REF!,BDD!$HN$5:$HU$38,4,FALSE)))))</f>
        <v>#REF!</v>
      </c>
      <c r="HQ46" s="342" t="e">
        <f>IF(#REF!="","",IF(OR(#REF!=Moutarde,#REF!=Phacélie),0,IF(#REF!=Luzerne,10*#REF!*VLOOKUP(#REF!,BDD!$HN$5:$HU$38,5,FALSE),IF(#REF!=Miscanthus,10.5*#REF!*VLOOKUP(#REF!,BDD!$HN$5:$HU$38,5,FALSE),INDEX(#REF!:#REF!,MATCH(#REF!,#REF!:#REF!,0),MATCH(#REF!,#REF!:#REF!,0))*#REF!*VLOOKUP(#REF!,BDD!$HN$5:$HU$38,5,FALSE)))))</f>
        <v>#REF!</v>
      </c>
      <c r="HR46" s="342" t="e">
        <f>IF(#REF!="","",IF(OR(#REF!=Moutarde,#REF!=Phacélie),0,IF(#REF!=Luzerne,10*#REF!*VLOOKUP(#REF!,BDD!$HN$5:$HU$38,6,FALSE),IF(#REF!=Miscanthus,10.5*#REF!*VLOOKUP(#REF!,BDD!$HN$5:$HU$38,6,FALSE),INDEX(#REF!:#REF!,MATCH(#REF!,#REF!:#REF!,0),MATCH(#REF!,#REF!:#REF!,0))*#REF!*VLOOKUP(#REF!,BDD!$HN$5:$HU$38,6,FALSE)))))</f>
        <v>#REF!</v>
      </c>
      <c r="HS46" s="342" t="e">
        <f>IF(#REF!="","",IF(OR(#REF!=Moutarde,#REF!=Phacélie),0,IF(#REF!=Luzerne,10*#REF!*VLOOKUP(#REF!,BDD!$HN$5:$HU$38,7,FALSE),IF(#REF!=Miscanthus,10.5*#REF!*VLOOKUP(#REF!,BDD!$HN$5:$HU$38,7,FALSE),INDEX(#REF!:#REF!,MATCH(#REF!,#REF!:#REF!,0),MATCH(#REF!,#REF!:#REF!,0))*#REF!*VLOOKUP(#REF!,BDD!$HN$5:$HU$38,7,FALSE)))))</f>
        <v>#REF!</v>
      </c>
      <c r="HT46" s="342" t="e">
        <f>IF(#REF!="","",IF(OR(#REF!=Moutarde,#REF!=Phacélie),0,IF(#REF!=Luzerne,10*#REF!*VLOOKUP(#REF!,BDD!$HN$5:$HU$38,8,FALSE),IF(#REF!=Miscanthus,10.5*#REF!*VLOOKUP(#REF!,BDD!$HN$5:$HU$38,8,FALSE),INDEX(#REF!:#REF!,MATCH(#REF!,#REF!:#REF!,0),MATCH(#REF!,#REF!:#REF!,0))*#REF!*VLOOKUP(#REF!,BDD!$HN$5:$HU$38,8,FALSE)))))</f>
        <v>#REF!</v>
      </c>
      <c r="HU46" s="342" t="e">
        <f>IF(#REF!="","",IF(OR(#REF!=Moutarde,#REF!=Phacélie),0,1.6*#REF!))</f>
        <v>#REF!</v>
      </c>
      <c r="HV46" s="342" t="e">
        <f>IF(#REF!="","",IF(OR(#REF!=Moutarde,#REF!=Phacélie),0,1.6*#REF!))</f>
        <v>#REF!</v>
      </c>
      <c r="HW46" s="342" t="e">
        <f>IF(#REF!="","",IF(OR(#REF!=Moutarde,#REF!=Phacélie),0,1.6*#REF!))</f>
        <v>#REF!</v>
      </c>
      <c r="HX46" s="342" t="e">
        <f>IF(#REF!="","",(VLOOKUP(#REF!,BDD!$HN$5:$HU$38,2,FALSE))*#REF!)</f>
        <v>#REF!</v>
      </c>
      <c r="HY46" s="342" t="e">
        <f>IF(#REF!="","",IF(OR(#REF!=Moutarde,#REF!=Phacélie),0,IF(#REF!=Luzerne,10*#REF!*VLOOKUP(#REF!,BDD!$HN$5:$HU$38,3,FALSE),IF(#REF!=Miscanthus,10.5*#REF!*VLOOKUP(#REF!,BDD!$HN$5:$HU$38,3,FALSE),INDEX(#REF!:#REF!,MATCH(#REF!,#REF!:#REF!,0),MATCH(#REF!,#REF!:#REF!,0))*#REF!*VLOOKUP(#REF!,BDD!$HN$5:$HU$38,3,FALSE)))))</f>
        <v>#REF!</v>
      </c>
      <c r="HZ46" s="342" t="e">
        <f>IF(#REF!="","",IF(OR(#REF!=Moutarde,#REF!=Phacélie),0,IF(#REF!=Luzerne,10*#REF!*VLOOKUP(#REF!,BDD!$HN$5:$HU$38,4,FALSE),IF(#REF!=Miscanthus,10.5*#REF!*VLOOKUP(#REF!,BDD!$HN$5:$HU$38,4,FALSE),INDEX(#REF!:#REF!,MATCH(#REF!,#REF!:#REF!,0),MATCH(#REF!,#REF!:#REF!,0))*#REF!*VLOOKUP(#REF!,BDD!$HN$5:$HU$38,4,FALSE)))))</f>
        <v>#REF!</v>
      </c>
      <c r="IA46" s="342" t="e">
        <f>IF(#REF!="","",IF(OR(#REF!=Moutarde,#REF!=Phacélie),0,IF(#REF!=Luzerne,10*#REF!*VLOOKUP(#REF!,BDD!$HN$5:$HU$38,5,FALSE),IF(#REF!=Miscanthus,10.5*#REF!*VLOOKUP(#REF!,BDD!$HN$5:$HU$38,5,FALSE),INDEX(#REF!:#REF!,MATCH(#REF!,#REF!:#REF!,0),MATCH(#REF!,#REF!:#REF!,0))*#REF!*VLOOKUP(#REF!,BDD!$HN$5:$HU$38,5,FALSE)))))</f>
        <v>#REF!</v>
      </c>
      <c r="IB46" s="342" t="e">
        <f>IF(#REF!="","",IF(OR(#REF!=Moutarde,#REF!=Phacélie),0,IF(#REF!=Luzerne,10*#REF!*VLOOKUP(#REF!,BDD!$HN$5:$HU$38,6,FALSE),IF(#REF!=Miscanthus,10.5*#REF!*VLOOKUP(#REF!,BDD!$HN$5:$HU$38,6,FALSE),INDEX(#REF!:#REF!,MATCH(#REF!,#REF!:#REF!,0),MATCH(#REF!,#REF!:#REF!,0))*#REF!*VLOOKUP(#REF!,BDD!$HN$5:$HU$38,6,FALSE)))))</f>
        <v>#REF!</v>
      </c>
      <c r="IC46" s="342" t="e">
        <f>IF(#REF!="","",IF(OR(#REF!=Moutarde,#REF!=Phacélie),0,IF(#REF!=Luzerne,10*#REF!*VLOOKUP(#REF!,BDD!$HN$5:$HU$38,7,FALSE),IF(#REF!=Miscanthus,10.5*#REF!*VLOOKUP(#REF!,BDD!$HN$5:$HU$38,7,FALSE),INDEX(#REF!:#REF!,MATCH(#REF!,#REF!:#REF!,0),MATCH(#REF!,#REF!:#REF!,0))*#REF!*VLOOKUP(#REF!,BDD!$HN$5:$HU$38,7,FALSE)))))</f>
        <v>#REF!</v>
      </c>
      <c r="ID46" s="342" t="e">
        <f>IF(#REF!="","",IF(OR(#REF!=Moutarde,#REF!=Phacélie),0,IF(#REF!=Luzerne,10*#REF!*VLOOKUP(#REF!,BDD!$HN$5:$HU$38,8,FALSE),IF(#REF!=Miscanthus,10.5*#REF!*VLOOKUP(#REF!,BDD!$HN$5:$HU$38,8,FALSE),INDEX(#REF!:#REF!,MATCH(#REF!,#REF!:#REF!,0),MATCH(#REF!,#REF!:#REF!,0))*#REF!*VLOOKUP(#REF!,BDD!$HN$5:$HU$38,8,FALSE)))))</f>
        <v>#REF!</v>
      </c>
      <c r="IE46" s="342" t="e">
        <f>IF(#REF!="","",IF(OR(#REF!=Moutarde,#REF!=Phacélie),0,1.6*#REF!))</f>
        <v>#REF!</v>
      </c>
      <c r="IF46" s="342" t="e">
        <f>IF(#REF!="","",IF(OR(#REF!=Moutarde,#REF!=Phacélie),0,1.6*#REF!))</f>
        <v>#REF!</v>
      </c>
      <c r="IG46" s="342" t="e">
        <f>IF(#REF!="","",IF(OR(#REF!=Moutarde,#REF!=Phacélie),0,1.6*#REF!))</f>
        <v>#REF!</v>
      </c>
    </row>
    <row r="47" spans="1:241" ht="12.75" customHeight="1" x14ac:dyDescent="0.2">
      <c r="A47" s="369"/>
      <c r="B47" s="280"/>
      <c r="C47" s="280"/>
      <c r="D47" s="423"/>
      <c r="E47" s="283" t="s">
        <v>819</v>
      </c>
      <c r="F47" s="280"/>
      <c r="G47" s="280"/>
      <c r="H47" s="280"/>
      <c r="I47" s="280"/>
      <c r="N47" s="277"/>
      <c r="O47" s="280" t="s">
        <v>400</v>
      </c>
      <c r="P47" s="280"/>
      <c r="Q47" s="280"/>
      <c r="R47" s="280"/>
      <c r="S47" s="280"/>
      <c r="T47" s="280"/>
      <c r="U47" s="280"/>
      <c r="V47" s="280"/>
      <c r="W47" s="280"/>
      <c r="X47" s="280"/>
      <c r="Y47" s="280"/>
      <c r="Z47" s="280"/>
      <c r="AA47" s="280"/>
      <c r="AB47" s="280"/>
      <c r="AC47" s="280"/>
      <c r="AD47" s="280"/>
      <c r="AE47" s="280"/>
      <c r="AF47" s="280"/>
      <c r="AG47" s="280"/>
      <c r="AH47" s="280"/>
      <c r="AI47" s="280"/>
      <c r="AJ47" s="280"/>
      <c r="AK47" s="280"/>
      <c r="AL47" s="280"/>
      <c r="AM47" s="280"/>
      <c r="AN47" s="280"/>
      <c r="AO47" s="280"/>
      <c r="AP47" s="280"/>
      <c r="AQ47" s="280"/>
      <c r="AR47" s="280"/>
      <c r="AS47" s="280"/>
      <c r="AT47" s="280"/>
      <c r="AU47" s="280"/>
      <c r="AV47" s="280"/>
      <c r="AW47" s="280"/>
      <c r="AX47" s="280"/>
      <c r="AY47" s="280"/>
      <c r="BC47" s="280" t="s">
        <v>793</v>
      </c>
      <c r="BD47" s="299">
        <v>275</v>
      </c>
      <c r="BF47" s="284" t="s">
        <v>793</v>
      </c>
      <c r="BG47" s="299">
        <v>330</v>
      </c>
      <c r="BL47" s="312"/>
      <c r="BM47" s="350" t="s">
        <v>518</v>
      </c>
      <c r="BN47" s="350">
        <f t="array" ref="BN47">IF(Ration_hivernale_complète_bisons[somme]&gt;0,0,IFERROR(IF(OR(AND(INDEX(Règles_bison[Specificite],MATCH(ChoixRationBisons&amp;$BM47,Règles_bison[Ration]&amp;Règles_bison[Aliment],0))="s1",IF($BM47=ChoixSpécificité1Bisons,1)),
INDEX(Règles_bison[Specificite],MATCH(ChoixRationBisons&amp;$BM47,Règles_bison[Ration]&amp;Règles_bison[Aliment],0))="c"),
INDEX(Règles_bison[Valeur 36 et plus],MATCH(ChoixRationBisons&amp;$BM47,Règles_bison[Ration]&amp;Règles_bison[Aliment],0)),0),0)*TotalBisonsMalesAdultes*NbreJoursNourrirBisonsDaims)</f>
        <v>0</v>
      </c>
      <c r="BO47" s="350">
        <f t="array" ref="BO47">IF(Ration_hivernale_complète_bisons[somme]&gt;0,0,IFERROR(IF(OR(AND(INDEX(Règles_bison[Specificite],MATCH(ChoixRationBisons&amp;$BM47,Règles_bison[Ration]&amp;Règles_bison[Aliment],0))="s1",IF($BM47=ChoixSpécificité1Bisons,1)),
INDEX(Règles_bison[Specificite],MATCH(ChoixRationBisons&amp;$BM47,Règles_bison[Ration]&amp;Règles_bison[Aliment],0))="c"),
INDEX(Règles_bison[Valeur 24-36],MATCH(ChoixRationBisons&amp;$BM47,Règles_bison[Ration]&amp;Règles_bison[Aliment],0)),0),0)*TotalBisonsMales_24_36_mois*NbreJoursNourrirBisonsDaims)</f>
        <v>0</v>
      </c>
      <c r="BP47" s="350">
        <f t="array" ref="BP47">IF(Ration_hivernale_complète_bisons[somme]&gt;0,0,IFERROR(IF(OR(AND(INDEX(Règles_bison[Specificite],MATCH(ChoixRationBisons&amp;$BM47,Règles_bison[Ration]&amp;Règles_bison[Aliment],0))="s1",IF($BM47=ChoixSpécificité1Bisons,1)),
INDEX(Règles_bison[Specificite],MATCH(ChoixRationBisons&amp;$BM47,Règles_bison[Ration]&amp;Règles_bison[Aliment],0))="c"),
INDEX(Règles_bison[Valeur 18-24],MATCH(ChoixRationBisons&amp;$BM47,Règles_bison[Ration]&amp;Règles_bison[Aliment],0)),0),0)*TotalBisonsMales_18_24_mois*NbreJoursNourrirBisonsDaims)</f>
        <v>0</v>
      </c>
      <c r="BQ47" s="350">
        <f t="array" ref="BQ47">IF(Ration_hivernale_complète_bisons[somme]&gt;0,0,IFERROR(IF(OR(AND(INDEX(Règles_bison[Specificite],MATCH(ChoixRationBisons&amp;$BM47,Règles_bison[Ration]&amp;Règles_bison[Aliment],0))="s1",IF($BM47=ChoixSpécificité1Bisons,1)),
INDEX(Règles_bison[Specificite],MATCH(ChoixRationBisons&amp;$BM47,Règles_bison[Ration]&amp;Règles_bison[Aliment],0))="c"),
INDEX(Règles_bison[Valeur 12-18],MATCH(ChoixRationBisons&amp;$BM47,Règles_bison[Ration]&amp;Règles_bison[Aliment],0)),0),0)*TotalBisonsMales_12_18_mois*NbreJoursNourrirBisonsDaims)</f>
        <v>0</v>
      </c>
      <c r="BR47" s="350">
        <f t="array" ref="BR47">IF(Ration_hivernale_complète_bisons[somme]&gt;0,0,IFERROR(IF(OR(AND(INDEX(Règles_bison[Specificite],MATCH(ChoixRationBisons&amp;$BM47,Règles_bison[Ration]&amp;Règles_bison[Aliment],0))="s1",IF($BM47=ChoixSpécificité1Bisons,1)),
INDEX(Règles_bison[Specificite],MATCH(ChoixRationBisons&amp;$BM47,Règles_bison[Ration]&amp;Règles_bison[Aliment],0))="c"),
INDEX(Règles_bison[Valeur 6-12],MATCH(ChoixRationBisons&amp;$BM47,Règles_bison[Ration]&amp;Règles_bison[Aliment],0)),0),0)*TotalBisonsMales_6_12_mois*NbreJoursNourrirBisonsDaims)</f>
        <v>0</v>
      </c>
      <c r="BS47" s="350">
        <f t="array" ref="BS47">IF(Ration_hivernale_complète_bisons[somme]&gt;0,0,IFERROR(IF(OR(AND(INDEX(Règles_bison[Specificite],MATCH(ChoixRationBisons&amp;$BM47,Règles_bison[Ration]&amp;Règles_bison[Aliment],0))="s1",IF($BM47=ChoixSpécificité1Bisons,1)),
INDEX(Règles_bison[Specificite],MATCH(ChoixRationBisons&amp;$BM47,Règles_bison[Ration]&amp;Règles_bison[Aliment],0))="c"),
INDEX(Règles_bison[Valeur 3-6],MATCH(ChoixRationBisons&amp;$BM47,Règles_bison[Ration]&amp;Règles_bison[Aliment],0)),0),0)*TotalBisonsMales_3_6_mois*NbreJoursNourrirBisonsDaims)</f>
        <v>0</v>
      </c>
      <c r="BT47" s="350">
        <f t="array" ref="BT47">IF(Ration_hivernale_complète_bisons[somme]&gt;0,0,IFERROR(IF(OR(AND(INDEX(Règles_bison[Specificite],MATCH(ChoixRationBisons&amp;$BM47,Règles_bison[Ration]&amp;Règles_bison[Aliment],0))="s1",IF($BM47=ChoixSpécificité1Bisons,1)),
INDEX(Règles_bison[Specificite],MATCH(ChoixRationBisons&amp;$BM47,Règles_bison[Ration]&amp;Règles_bison[Aliment],0))="c"),
INDEX(Règles_bison[Valeur 0-3],MATCH(ChoixRationBisons&amp;$BM47,Règles_bison[Ration]&amp;Règles_bison[Aliment],0)),0),0)*TotalBisonsMales_0_3_mois*NbreJoursNourrirBisonsDaims)</f>
        <v>0</v>
      </c>
      <c r="BU47" s="350">
        <f t="shared" si="10"/>
        <v>0</v>
      </c>
      <c r="BX47" s="283" t="s">
        <v>916</v>
      </c>
      <c r="CJ47" s="276"/>
      <c r="CM47" s="277"/>
      <c r="CS47" s="373" t="s">
        <v>926</v>
      </c>
      <c r="CT47" s="280" t="s">
        <v>908</v>
      </c>
      <c r="CU47" s="280" t="s">
        <v>886</v>
      </c>
      <c r="CV47" s="280">
        <v>0.18</v>
      </c>
      <c r="CW47" s="280">
        <v>0.12</v>
      </c>
      <c r="CX47" s="423">
        <v>0</v>
      </c>
      <c r="CZ47" s="373"/>
      <c r="DA47" s="280"/>
      <c r="DB47" s="280"/>
      <c r="DC47" s="280"/>
      <c r="DD47" s="280"/>
      <c r="DE47" s="423"/>
      <c r="DF47" s="277"/>
      <c r="DG47" s="394" t="s">
        <v>910</v>
      </c>
      <c r="DH47" s="395" t="s">
        <v>1160</v>
      </c>
      <c r="DI47" s="395" t="s">
        <v>1159</v>
      </c>
      <c r="DJ47" s="395" t="s">
        <v>918</v>
      </c>
      <c r="DK47" s="396" t="s">
        <v>903</v>
      </c>
      <c r="DM47" s="316"/>
      <c r="DN47" s="280" t="s">
        <v>621</v>
      </c>
      <c r="DO47" s="280">
        <v>2</v>
      </c>
      <c r="DV47" s="350" t="s">
        <v>266</v>
      </c>
      <c r="DW47" s="351">
        <f t="array" ref="DW47">IF(ChoixRationComplèteDaims=OUI,0,IFERROR(IF(OR(AND(INDEX(Règles_daims[Specificite],MATCH(ChoixRationDaims&amp;DV47,Règles_daims[Ration]&amp;Règles_daims[Aliment],0))="s1",IF(DV47=Spécificité1Daims,1)),
AND(INDEX(Règles_daims[Specificite],MATCH(ChoixRationDaims&amp;DV47,Règles_daims[Ration]&amp;Règles_daims[Aliment],0))="s2",IF(DV47=Spécificité2Daims,1)),
INDEX(Règles_daims[Specificite],MATCH(ChoixRationDaims&amp;DV47,Règles_daims[Ration]&amp;Règles_daims[Aliment],0))="c"),
INDEX(Règles_daims[Valeur 36 et plus],MATCH(ChoixRationDaims&amp;DV47,Règles_daims[Ration]&amp;Règles_daims[Aliment],0)),0),0)*SUM(TotalDaimsAdultes)*NbreJoursNourrirBisonsDaims)</f>
        <v>0</v>
      </c>
      <c r="DX47" s="351">
        <f t="array" ref="DX47">IF(ChoixRationComplèteDaims=OUI,0,IFERROR(IF(OR(AND(INDEX(Règles_daims[Specificite],MATCH(ChoixRationDaims&amp;DV47,Règles_daims[Ration]&amp;Règles_daims[Aliment],0))="s1",IF(DV47=Spécificité1Daims,1)),
AND(INDEX(Règles_daims[Specificite],MATCH(ChoixRationDaims&amp;DV47,Règles_daims[Ration]&amp;Règles_daims[Aliment],0))="s2",IF(DV47=Spécificité2Daims,1)),
INDEX(Règles_daims[Specificite],MATCH(ChoixRationDaims&amp;DV47,Règles_daims[Ration]&amp;Règles_daims[Aliment],0))="c"),
INDEX(Règles_daims[Valeur 24-36],MATCH(ChoixRationDaims&amp;DV47,Règles_daims[Ration]&amp;Règles_daims[Aliment],0)),0),0)*SUM(TotalDaims24_36)*NbreJoursNourrirBisonsDaims)</f>
        <v>0</v>
      </c>
      <c r="DY47" s="351">
        <f t="array" ref="DY47">IF(ChoixRationComplèteDaims=OUI,0,IFERROR(IF(OR(AND(INDEX(Règles_daims[Specificite],MATCH(ChoixRationDaims&amp;DV47,Règles_daims[Ration]&amp;Règles_daims[Aliment],0))="s1",IF(DV47=Spécificité1Daims,1)),
AND(INDEX(Règles_daims[Specificite],MATCH(ChoixRationDaims&amp;DV47,Règles_daims[Ration]&amp;Règles_daims[Aliment],0))="s2",IF(DV47=Spécificité2Daims,1)),
INDEX(Règles_daims[Specificite],MATCH(ChoixRationDaims&amp;DV47,Règles_daims[Ration]&amp;Règles_daims[Aliment],0))="c"),
INDEX(Règles_daims[Valeur 18-24],MATCH(ChoixRationDaims&amp;DV47,Règles_daims[Ration]&amp;Règles_daims[Aliment],0)),0),0)*SUM(TotalDaims18_24)*NbreJoursNourrirBisonsDaims)</f>
        <v>0</v>
      </c>
      <c r="DZ47" s="441">
        <f t="array" ref="DZ47">IF(ChoixRationComplèteDaims=OUI,0,IFERROR(IF(OR(AND(INDEX(Règles_daims[Specificite],MATCH(ChoixRationDaims&amp;DV47,Règles_daims[Ration]&amp;Règles_daims[Aliment],0))="s1",IF(DV47=Spécificité1Daims,1)),
AND(INDEX(Règles_daims[Specificite],MATCH(ChoixRationDaims&amp;DV47,Règles_daims[Ration]&amp;Règles_daims[Aliment],0))="s2",IF(DV47=Spécificité2Daims,1)),
INDEX(Règles_daims[Specificite],MATCH(ChoixRationDaims&amp;DV47,Règles_daims[Ration]&amp;Règles_daims[Aliment],0))="c"),
INDEX(Règles_daims[Valeur 12-18],MATCH(ChoixRationDaims&amp;DV47,Règles_daims[Ration]&amp;Règles_daims[Aliment],0)),0),0)*SUM(TotalDaims12_18)*NbreJoursNourrirBisonsDaims)</f>
        <v>0</v>
      </c>
      <c r="EA47" s="441">
        <f t="array" ref="EA47">IF(ChoixRationComplèteDaims=OUI,0,IFERROR(IF(OR(AND(INDEX(Règles_daims[Specificite],MATCH(ChoixRationDaims&amp;DV47,Règles_daims[Ration]&amp;Règles_daims[Aliment],0))="s1",IF(DV47=Spécificité1Daims,1)),
AND(INDEX(Règles_daims[Specificite],MATCH(ChoixRationDaims&amp;DV47,Règles_daims[Ration]&amp;Règles_daims[Aliment],0))="s2",IF(DV47=Spécificité2Daims,1)),
INDEX(Règles_daims[Specificite],MATCH(ChoixRationDaims&amp;DV47,Règles_daims[Ration]&amp;Règles_daims[Aliment],0))="c"),
INDEX(Règles_daims[Valeur 6-12],MATCH(ChoixRationDaims&amp;DV47,Règles_daims[Ration]&amp;Règles_daims[Aliment],0)),0),0)*SUM(TotalDaims6_12)*NbreJoursNourrirBisonsDaims)</f>
        <v>0</v>
      </c>
      <c r="EB47" s="441">
        <f t="array" ref="EB47">IF(ChoixRationComplèteDaims=OUI,0,IFERROR(IF(OR(AND(INDEX(Règles_daims[Specificite],MATCH(ChoixRationDaims&amp;DV47,Règles_daims[Ration]&amp;Règles_daims[Aliment],0))="s1",IF(DV47=Spécificité1Daims,1)),
AND(INDEX(Règles_daims[Specificite],MATCH(ChoixRationDaims&amp;DV47,Règles_daims[Ration]&amp;Règles_daims[Aliment],0))="s2",IF(DV47=Spécificité2Daims,1)),
INDEX(Règles_daims[Specificite],MATCH(ChoixRationDaims&amp;DV47,Règles_daims[Ration]&amp;Règles_daims[Aliment],0))="c"),
INDEX(Règles_daims[Valeur 3-6],MATCH(ChoixRationDaims&amp;DV47,Règles_daims[Ration]&amp;Règles_daims[Aliment],0)),0),0)*SUM(TotalDaims3_6)*NbreJoursNourrirBisonsDaims)</f>
        <v>0</v>
      </c>
      <c r="EC47" s="441">
        <f t="array" ref="EC47">IF(ChoixRationComplèteDaims=OUI,0,IFERROR(IF(OR(AND(INDEX(Règles_daims[Specificite],MATCH(ChoixRationDaims&amp;DV47,Règles_daims[Ration]&amp;Règles_daims[Aliment],0))="s1",IF(DV47=Spécificité1Daims,1)),
AND(INDEX(Règles_daims[Specificite],MATCH(ChoixRationDaims&amp;DV47,Règles_daims[Ration]&amp;Règles_daims[Aliment],0))="s2",IF(DV47=Spécificité2Daims,1)),
INDEX(Règles_daims[Specificite],MATCH(ChoixRationDaims&amp;DV47,Règles_daims[Ration]&amp;Règles_daims[Aliment],0))="c"),
INDEX(Règles_daims[Valeur 0-3],MATCH(ChoixRationDaims&amp;DV47,Règles_daims[Ration]&amp;Règles_daims[Aliment],0)),0),0)*SUM(TotalDaims0_3)*NbreJoursNourrirBisonsDaims)</f>
        <v>0</v>
      </c>
      <c r="ED47" s="441">
        <f t="shared" si="9"/>
        <v>0</v>
      </c>
      <c r="EG47" s="373"/>
      <c r="EH47" s="280"/>
      <c r="EI47" s="280"/>
      <c r="EJ47" s="280"/>
      <c r="EK47" s="280"/>
      <c r="EL47" s="423"/>
      <c r="EN47" s="376"/>
      <c r="EO47" s="305"/>
      <c r="EP47" s="305"/>
      <c r="EQ47" s="305"/>
      <c r="ER47" s="305"/>
      <c r="ES47" s="424"/>
      <c r="EU47" s="373" t="s">
        <v>875</v>
      </c>
      <c r="EV47" s="280" t="s">
        <v>905</v>
      </c>
      <c r="EW47" s="280" t="s">
        <v>886</v>
      </c>
      <c r="EX47" s="280">
        <v>0.2</v>
      </c>
      <c r="EY47" s="280">
        <v>0.15</v>
      </c>
      <c r="EZ47" s="280">
        <v>0.1</v>
      </c>
      <c r="FA47" s="423">
        <v>0.05</v>
      </c>
      <c r="FC47" s="282"/>
      <c r="FD47" s="373"/>
      <c r="FE47" s="280"/>
      <c r="FF47" s="280"/>
      <c r="FG47" s="280"/>
      <c r="FH47" s="280"/>
      <c r="FI47" s="280"/>
      <c r="FJ47" s="363"/>
      <c r="FK47" s="298"/>
      <c r="FL47" s="298"/>
      <c r="FM47" s="282"/>
      <c r="FN47" s="373"/>
      <c r="FO47" s="280"/>
      <c r="FP47" s="280"/>
      <c r="FQ47" s="280"/>
      <c r="FR47" s="280"/>
      <c r="FS47" s="280"/>
      <c r="FT47" s="363"/>
      <c r="FU47" s="298"/>
      <c r="FV47" s="298"/>
      <c r="FW47" s="443" t="s">
        <v>904</v>
      </c>
      <c r="FX47" s="450">
        <f t="array" ref="FX47">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47" s="450">
        <f t="array" ref="FY47">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47" s="450">
        <f t="array" ref="FZ47">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47" s="450">
        <f t="array" ref="GA47">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47" s="451">
        <f>SUM(AlimentsGavageOies[[#This Row],[Valeur 6 et plus]:[Valeur 0-1]])</f>
        <v>0</v>
      </c>
      <c r="GC47" s="316"/>
      <c r="GE47" s="280" t="s">
        <v>132</v>
      </c>
      <c r="GF47" s="283"/>
      <c r="GG47" s="280" t="s">
        <v>296</v>
      </c>
      <c r="GH47" s="283" t="s">
        <v>955</v>
      </c>
      <c r="GI47" s="283" t="s">
        <v>955</v>
      </c>
      <c r="GJ47" s="283" t="s">
        <v>955</v>
      </c>
      <c r="GK47" s="283" t="s">
        <v>955</v>
      </c>
      <c r="GL47" s="283" t="s">
        <v>955</v>
      </c>
      <c r="GM47" s="283" t="s">
        <v>955</v>
      </c>
      <c r="GN47" s="283" t="s">
        <v>955</v>
      </c>
      <c r="GO47" s="283" t="s">
        <v>955</v>
      </c>
      <c r="GP47" s="283" t="s">
        <v>955</v>
      </c>
      <c r="GQ47" s="283" t="s">
        <v>955</v>
      </c>
      <c r="GR47" s="283" t="s">
        <v>955</v>
      </c>
      <c r="GS47" s="283" t="s">
        <v>955</v>
      </c>
      <c r="GT47" s="283" t="s">
        <v>955</v>
      </c>
      <c r="GU47" s="283" t="s">
        <v>955</v>
      </c>
      <c r="GV47" s="283" t="s">
        <v>955</v>
      </c>
      <c r="GY47" s="444" t="str">
        <f t="shared" si="11"/>
        <v>semences d'orge (GP)</v>
      </c>
      <c r="GZ47" s="444"/>
      <c r="HA47" s="342"/>
      <c r="HB47" s="342" t="e">
        <f>IF(COUNTIF(TypeArticleDansEntrepôt,GY47)=0,0,SUMIF(TypeArticleDansEntrepôt,GY47,QtéArticleDansEntrepôt)*VLOOKUP(GY47,#REF!,2,FALSE))</f>
        <v>#REF!</v>
      </c>
      <c r="HN47" s="342" t="e">
        <f>IF(#REF!="","",(VLOOKUP(#REF!,BDD!$HN$5:$HU$38,2,FALSE))*#REF!)</f>
        <v>#REF!</v>
      </c>
      <c r="HO47" s="342" t="e">
        <f>IF(#REF!="","",IF(OR(#REF!=Moutarde,#REF!=Phacélie),0,IF(#REF!=Luzerne,10*#REF!*VLOOKUP(#REF!,BDD!$HN$5:$HU$38,3,FALSE),IF(#REF!=Miscanthus,10.5*#REF!*VLOOKUP(#REF!,BDD!$HN$5:$HU$38,3,FALSE),INDEX(#REF!:#REF!,MATCH(#REF!,#REF!:#REF!,0),MATCH(#REF!,#REF!:#REF!,0))*#REF!*VLOOKUP(#REF!,BDD!$HN$5:$HU$38,3,FALSE)))))</f>
        <v>#REF!</v>
      </c>
      <c r="HP47" s="342" t="e">
        <f>IF(#REF!="","",IF(OR(#REF!=Moutarde,#REF!=Phacélie),0,IF(#REF!=Luzerne,10*#REF!*VLOOKUP(#REF!,BDD!$HN$5:$HU$38,4,FALSE),IF(#REF!=Miscanthus,10.5*#REF!*VLOOKUP(#REF!,BDD!$HN$5:$HU$38,4,FALSE),INDEX(#REF!:#REF!,MATCH(#REF!,#REF!:#REF!,0),MATCH(#REF!,#REF!:#REF!,0))*#REF!*VLOOKUP(#REF!,BDD!$HN$5:$HU$38,4,FALSE)))))</f>
        <v>#REF!</v>
      </c>
      <c r="HQ47" s="342" t="e">
        <f>IF(#REF!="","",IF(OR(#REF!=Moutarde,#REF!=Phacélie),0,IF(#REF!=Luzerne,10*#REF!*VLOOKUP(#REF!,BDD!$HN$5:$HU$38,5,FALSE),IF(#REF!=Miscanthus,10.5*#REF!*VLOOKUP(#REF!,BDD!$HN$5:$HU$38,5,FALSE),INDEX(#REF!:#REF!,MATCH(#REF!,#REF!:#REF!,0),MATCH(#REF!,#REF!:#REF!,0))*#REF!*VLOOKUP(#REF!,BDD!$HN$5:$HU$38,5,FALSE)))))</f>
        <v>#REF!</v>
      </c>
      <c r="HR47" s="342" t="e">
        <f>IF(#REF!="","",IF(OR(#REF!=Moutarde,#REF!=Phacélie),0,IF(#REF!=Luzerne,10*#REF!*VLOOKUP(#REF!,BDD!$HN$5:$HU$38,6,FALSE),IF(#REF!=Miscanthus,10.5*#REF!*VLOOKUP(#REF!,BDD!$HN$5:$HU$38,6,FALSE),INDEX(#REF!:#REF!,MATCH(#REF!,#REF!:#REF!,0),MATCH(#REF!,#REF!:#REF!,0))*#REF!*VLOOKUP(#REF!,BDD!$HN$5:$HU$38,6,FALSE)))))</f>
        <v>#REF!</v>
      </c>
      <c r="HS47" s="342" t="e">
        <f>IF(#REF!="","",IF(OR(#REF!=Moutarde,#REF!=Phacélie),0,IF(#REF!=Luzerne,10*#REF!*VLOOKUP(#REF!,BDD!$HN$5:$HU$38,7,FALSE),IF(#REF!=Miscanthus,10.5*#REF!*VLOOKUP(#REF!,BDD!$HN$5:$HU$38,7,FALSE),INDEX(#REF!:#REF!,MATCH(#REF!,#REF!:#REF!,0),MATCH(#REF!,#REF!:#REF!,0))*#REF!*VLOOKUP(#REF!,BDD!$HN$5:$HU$38,7,FALSE)))))</f>
        <v>#REF!</v>
      </c>
      <c r="HT47" s="342" t="e">
        <f>IF(#REF!="","",IF(OR(#REF!=Moutarde,#REF!=Phacélie),0,IF(#REF!=Luzerne,10*#REF!*VLOOKUP(#REF!,BDD!$HN$5:$HU$38,8,FALSE),IF(#REF!=Miscanthus,10.5*#REF!*VLOOKUP(#REF!,BDD!$HN$5:$HU$38,8,FALSE),INDEX(#REF!:#REF!,MATCH(#REF!,#REF!:#REF!,0),MATCH(#REF!,#REF!:#REF!,0))*#REF!*VLOOKUP(#REF!,BDD!$HN$5:$HU$38,8,FALSE)))))</f>
        <v>#REF!</v>
      </c>
      <c r="HU47" s="342" t="e">
        <f>IF(#REF!="","",IF(OR(#REF!=Moutarde,#REF!=Phacélie),0,1.6*#REF!))</f>
        <v>#REF!</v>
      </c>
      <c r="HV47" s="342" t="e">
        <f>IF(#REF!="","",IF(OR(#REF!=Moutarde,#REF!=Phacélie),0,1.6*#REF!))</f>
        <v>#REF!</v>
      </c>
      <c r="HW47" s="342" t="e">
        <f>IF(#REF!="","",IF(OR(#REF!=Moutarde,#REF!=Phacélie),0,1.6*#REF!))</f>
        <v>#REF!</v>
      </c>
      <c r="HX47" s="342" t="e">
        <f>IF(#REF!="","",(VLOOKUP(#REF!,BDD!$HN$5:$HU$38,2,FALSE))*#REF!)</f>
        <v>#REF!</v>
      </c>
      <c r="HY47" s="342" t="e">
        <f>IF(#REF!="","",IF(OR(#REF!=Moutarde,#REF!=Phacélie),0,IF(#REF!=Luzerne,10*#REF!*VLOOKUP(#REF!,BDD!$HN$5:$HU$38,3,FALSE),IF(#REF!=Miscanthus,10.5*#REF!*VLOOKUP(#REF!,BDD!$HN$5:$HU$38,3,FALSE),INDEX(#REF!:#REF!,MATCH(#REF!,#REF!:#REF!,0),MATCH(#REF!,#REF!:#REF!,0))*#REF!*VLOOKUP(#REF!,BDD!$HN$5:$HU$38,3,FALSE)))))</f>
        <v>#REF!</v>
      </c>
      <c r="HZ47" s="342" t="e">
        <f>IF(#REF!="","",IF(OR(#REF!=Moutarde,#REF!=Phacélie),0,IF(#REF!=Luzerne,10*#REF!*VLOOKUP(#REF!,BDD!$HN$5:$HU$38,4,FALSE),IF(#REF!=Miscanthus,10.5*#REF!*VLOOKUP(#REF!,BDD!$HN$5:$HU$38,4,FALSE),INDEX(#REF!:#REF!,MATCH(#REF!,#REF!:#REF!,0),MATCH(#REF!,#REF!:#REF!,0))*#REF!*VLOOKUP(#REF!,BDD!$HN$5:$HU$38,4,FALSE)))))</f>
        <v>#REF!</v>
      </c>
      <c r="IA47" s="342" t="e">
        <f>IF(#REF!="","",IF(OR(#REF!=Moutarde,#REF!=Phacélie),0,IF(#REF!=Luzerne,10*#REF!*VLOOKUP(#REF!,BDD!$HN$5:$HU$38,5,FALSE),IF(#REF!=Miscanthus,10.5*#REF!*VLOOKUP(#REF!,BDD!$HN$5:$HU$38,5,FALSE),INDEX(#REF!:#REF!,MATCH(#REF!,#REF!:#REF!,0),MATCH(#REF!,#REF!:#REF!,0))*#REF!*VLOOKUP(#REF!,BDD!$HN$5:$HU$38,5,FALSE)))))</f>
        <v>#REF!</v>
      </c>
      <c r="IB47" s="342" t="e">
        <f>IF(#REF!="","",IF(OR(#REF!=Moutarde,#REF!=Phacélie),0,IF(#REF!=Luzerne,10*#REF!*VLOOKUP(#REF!,BDD!$HN$5:$HU$38,6,FALSE),IF(#REF!=Miscanthus,10.5*#REF!*VLOOKUP(#REF!,BDD!$HN$5:$HU$38,6,FALSE),INDEX(#REF!:#REF!,MATCH(#REF!,#REF!:#REF!,0),MATCH(#REF!,#REF!:#REF!,0))*#REF!*VLOOKUP(#REF!,BDD!$HN$5:$HU$38,6,FALSE)))))</f>
        <v>#REF!</v>
      </c>
      <c r="IC47" s="342" t="e">
        <f>IF(#REF!="","",IF(OR(#REF!=Moutarde,#REF!=Phacélie),0,IF(#REF!=Luzerne,10*#REF!*VLOOKUP(#REF!,BDD!$HN$5:$HU$38,7,FALSE),IF(#REF!=Miscanthus,10.5*#REF!*VLOOKUP(#REF!,BDD!$HN$5:$HU$38,7,FALSE),INDEX(#REF!:#REF!,MATCH(#REF!,#REF!:#REF!,0),MATCH(#REF!,#REF!:#REF!,0))*#REF!*VLOOKUP(#REF!,BDD!$HN$5:$HU$38,7,FALSE)))))</f>
        <v>#REF!</v>
      </c>
      <c r="ID47" s="342" t="e">
        <f>IF(#REF!="","",IF(OR(#REF!=Moutarde,#REF!=Phacélie),0,IF(#REF!=Luzerne,10*#REF!*VLOOKUP(#REF!,BDD!$HN$5:$HU$38,8,FALSE),IF(#REF!=Miscanthus,10.5*#REF!*VLOOKUP(#REF!,BDD!$HN$5:$HU$38,8,FALSE),INDEX(#REF!:#REF!,MATCH(#REF!,#REF!:#REF!,0),MATCH(#REF!,#REF!:#REF!,0))*#REF!*VLOOKUP(#REF!,BDD!$HN$5:$HU$38,8,FALSE)))))</f>
        <v>#REF!</v>
      </c>
      <c r="IE47" s="342" t="e">
        <f>IF(#REF!="","",IF(OR(#REF!=Moutarde,#REF!=Phacélie),0,1.6*#REF!))</f>
        <v>#REF!</v>
      </c>
      <c r="IF47" s="342" t="e">
        <f>IF(#REF!="","",IF(OR(#REF!=Moutarde,#REF!=Phacélie),0,1.6*#REF!))</f>
        <v>#REF!</v>
      </c>
      <c r="IG47" s="342" t="e">
        <f>IF(#REF!="","",IF(OR(#REF!=Moutarde,#REF!=Phacélie),0,1.6*#REF!))</f>
        <v>#REF!</v>
      </c>
    </row>
    <row r="48" spans="1:241" ht="12.75" customHeight="1" x14ac:dyDescent="0.2">
      <c r="A48" s="369"/>
      <c r="B48" s="280"/>
      <c r="C48" s="280"/>
      <c r="D48" s="423"/>
      <c r="F48" s="280"/>
      <c r="G48" s="280"/>
      <c r="H48" s="280"/>
      <c r="I48" s="280"/>
      <c r="N48" s="277"/>
      <c r="O48" s="280" t="s">
        <v>401</v>
      </c>
      <c r="P48" s="280"/>
      <c r="Q48" s="280"/>
      <c r="R48" s="280"/>
      <c r="S48" s="280"/>
      <c r="T48" s="280"/>
      <c r="U48" s="280"/>
      <c r="V48" s="280"/>
      <c r="W48" s="280"/>
      <c r="X48" s="280"/>
      <c r="Y48" s="280"/>
      <c r="Z48" s="280"/>
      <c r="AA48" s="280"/>
      <c r="AB48" s="280"/>
      <c r="AC48" s="280"/>
      <c r="AD48" s="280"/>
      <c r="AE48" s="280"/>
      <c r="AF48" s="280"/>
      <c r="AG48" s="280"/>
      <c r="AH48" s="280"/>
      <c r="AI48" s="280"/>
      <c r="AJ48" s="280"/>
      <c r="AK48" s="280"/>
      <c r="AL48" s="280"/>
      <c r="AM48" s="280"/>
      <c r="AN48" s="280"/>
      <c r="AO48" s="280"/>
      <c r="AP48" s="280"/>
      <c r="AQ48" s="280"/>
      <c r="AR48" s="280"/>
      <c r="AS48" s="280"/>
      <c r="AT48" s="280"/>
      <c r="AU48" s="280"/>
      <c r="AV48" s="280"/>
      <c r="AW48" s="280"/>
      <c r="AX48" s="280"/>
      <c r="AY48" s="280"/>
      <c r="BC48" s="280" t="s">
        <v>794</v>
      </c>
      <c r="BD48" s="299">
        <v>285</v>
      </c>
      <c r="BF48" s="284" t="s">
        <v>794</v>
      </c>
      <c r="BG48" s="299">
        <v>342</v>
      </c>
      <c r="BL48" s="312"/>
      <c r="BM48" s="350" t="s">
        <v>265</v>
      </c>
      <c r="BN48" s="350">
        <f t="array" ref="BN48">IF(Ration_hivernale_complète_bisons[somme]&gt;0,0,IFERROR(IF(OR(AND(INDEX(Règles_bison[Specificite],MATCH(ChoixRationBisons&amp;$BM48,Règles_bison[Ration]&amp;Règles_bison[Aliment],0))="s1",IF($BM48=ChoixSpécificité1Bisons,1)),
INDEX(Règles_bison[Specificite],MATCH(ChoixRationBisons&amp;$BM48,Règles_bison[Ration]&amp;Règles_bison[Aliment],0))="c"),
INDEX(Règles_bison[Valeur 36 et plus],MATCH(ChoixRationBisons&amp;$BM48,Règles_bison[Ration]&amp;Règles_bison[Aliment],0)),0),0)*TotalBisonsMalesAdultes*NbreJoursNourrirBisonsDaims)</f>
        <v>0</v>
      </c>
      <c r="BO48" s="350">
        <f t="array" ref="BO48">IF(Ration_hivernale_complète_bisons[somme]&gt;0,0,IFERROR(IF(OR(AND(INDEX(Règles_bison[Specificite],MATCH(ChoixRationBisons&amp;$BM48,Règles_bison[Ration]&amp;Règles_bison[Aliment],0))="s1",IF($BM48=ChoixSpécificité1Bisons,1)),
INDEX(Règles_bison[Specificite],MATCH(ChoixRationBisons&amp;$BM48,Règles_bison[Ration]&amp;Règles_bison[Aliment],0))="c"),
INDEX(Règles_bison[Valeur 24-36],MATCH(ChoixRationBisons&amp;$BM48,Règles_bison[Ration]&amp;Règles_bison[Aliment],0)),0),0)*TotalBisonsMales_24_36_mois*NbreJoursNourrirBisonsDaims)</f>
        <v>0</v>
      </c>
      <c r="BP48" s="350">
        <f t="array" ref="BP48">IF(Ration_hivernale_complète_bisons[somme]&gt;0,0,IFERROR(IF(OR(AND(INDEX(Règles_bison[Specificite],MATCH(ChoixRationBisons&amp;$BM48,Règles_bison[Ration]&amp;Règles_bison[Aliment],0))="s1",IF($BM48=ChoixSpécificité1Bisons,1)),
INDEX(Règles_bison[Specificite],MATCH(ChoixRationBisons&amp;$BM48,Règles_bison[Ration]&amp;Règles_bison[Aliment],0))="c"),
INDEX(Règles_bison[Valeur 18-24],MATCH(ChoixRationBisons&amp;$BM48,Règles_bison[Ration]&amp;Règles_bison[Aliment],0)),0),0)*TotalBisonsMales_18_24_mois*NbreJoursNourrirBisonsDaims)</f>
        <v>0</v>
      </c>
      <c r="BQ48" s="350">
        <f t="array" ref="BQ48">IF(Ration_hivernale_complète_bisons[somme]&gt;0,0,IFERROR(IF(OR(AND(INDEX(Règles_bison[Specificite],MATCH(ChoixRationBisons&amp;$BM48,Règles_bison[Ration]&amp;Règles_bison[Aliment],0))="s1",IF($BM48=ChoixSpécificité1Bisons,1)),
INDEX(Règles_bison[Specificite],MATCH(ChoixRationBisons&amp;$BM48,Règles_bison[Ration]&amp;Règles_bison[Aliment],0))="c"),
INDEX(Règles_bison[Valeur 12-18],MATCH(ChoixRationBisons&amp;$BM48,Règles_bison[Ration]&amp;Règles_bison[Aliment],0)),0),0)*TotalBisonsMales_12_18_mois*NbreJoursNourrirBisonsDaims)</f>
        <v>0</v>
      </c>
      <c r="BR48" s="350">
        <f t="array" ref="BR48">IF(Ration_hivernale_complète_bisons[somme]&gt;0,0,IFERROR(IF(OR(AND(INDEX(Règles_bison[Specificite],MATCH(ChoixRationBisons&amp;$BM48,Règles_bison[Ration]&amp;Règles_bison[Aliment],0))="s1",IF($BM48=ChoixSpécificité1Bisons,1)),
INDEX(Règles_bison[Specificite],MATCH(ChoixRationBisons&amp;$BM48,Règles_bison[Ration]&amp;Règles_bison[Aliment],0))="c"),
INDEX(Règles_bison[Valeur 6-12],MATCH(ChoixRationBisons&amp;$BM48,Règles_bison[Ration]&amp;Règles_bison[Aliment],0)),0),0)*TotalBisonsMales_6_12_mois*NbreJoursNourrirBisonsDaims)</f>
        <v>0</v>
      </c>
      <c r="BS48" s="350">
        <f t="array" ref="BS48">IF(Ration_hivernale_complète_bisons[somme]&gt;0,0,IFERROR(IF(OR(AND(INDEX(Règles_bison[Specificite],MATCH(ChoixRationBisons&amp;$BM48,Règles_bison[Ration]&amp;Règles_bison[Aliment],0))="s1",IF($BM48=ChoixSpécificité1Bisons,1)),
INDEX(Règles_bison[Specificite],MATCH(ChoixRationBisons&amp;$BM48,Règles_bison[Ration]&amp;Règles_bison[Aliment],0))="c"),
INDEX(Règles_bison[Valeur 3-6],MATCH(ChoixRationBisons&amp;$BM48,Règles_bison[Ration]&amp;Règles_bison[Aliment],0)),0),0)*TotalBisonsMales_3_6_mois*NbreJoursNourrirBisonsDaims)</f>
        <v>0</v>
      </c>
      <c r="BT48" s="350">
        <f t="array" ref="BT48">IF(Ration_hivernale_complète_bisons[somme]&gt;0,0,IFERROR(IF(OR(AND(INDEX(Règles_bison[Specificite],MATCH(ChoixRationBisons&amp;$BM48,Règles_bison[Ration]&amp;Règles_bison[Aliment],0))="s1",IF($BM48=ChoixSpécificité1Bisons,1)),
INDEX(Règles_bison[Specificite],MATCH(ChoixRationBisons&amp;$BM48,Règles_bison[Ration]&amp;Règles_bison[Aliment],0))="c"),
INDEX(Règles_bison[Valeur 0-3],MATCH(ChoixRationBisons&amp;$BM48,Règles_bison[Ration]&amp;Règles_bison[Aliment],0)),0),0)*TotalBisonsMales_0_3_mois*NbreJoursNourrirBisonsDaims)</f>
        <v>0</v>
      </c>
      <c r="BU48" s="350">
        <f t="shared" si="10"/>
        <v>0</v>
      </c>
      <c r="BX48" s="358" t="s">
        <v>866</v>
      </c>
      <c r="BY48" s="319" t="s">
        <v>884</v>
      </c>
      <c r="BZ48" s="359" t="s">
        <v>885</v>
      </c>
      <c r="CA48" s="319" t="s">
        <v>914</v>
      </c>
      <c r="CB48" s="319" t="s">
        <v>891</v>
      </c>
      <c r="CC48" s="319" t="s">
        <v>890</v>
      </c>
      <c r="CD48" s="372" t="s">
        <v>889</v>
      </c>
      <c r="CE48" s="295"/>
      <c r="CF48" s="295"/>
      <c r="CG48" s="295"/>
      <c r="CH48" s="295"/>
      <c r="CJ48" s="338" t="s">
        <v>1154</v>
      </c>
      <c r="CK48" s="229"/>
      <c r="CL48" s="229"/>
      <c r="CM48" s="229"/>
      <c r="CN48" s="229"/>
      <c r="CO48" s="229"/>
      <c r="CP48" s="229"/>
      <c r="CS48" s="373" t="s">
        <v>926</v>
      </c>
      <c r="CT48" s="280" t="s">
        <v>518</v>
      </c>
      <c r="CU48" s="280" t="s">
        <v>886</v>
      </c>
      <c r="CV48" s="280">
        <v>1.2</v>
      </c>
      <c r="CW48" s="280">
        <v>1.2</v>
      </c>
      <c r="CX48" s="423">
        <v>0.4</v>
      </c>
      <c r="CZ48" s="373"/>
      <c r="DA48" s="280"/>
      <c r="DB48" s="280"/>
      <c r="DC48" s="280"/>
      <c r="DD48" s="280"/>
      <c r="DE48" s="423"/>
      <c r="DF48" s="277"/>
      <c r="DG48" s="420" t="s">
        <v>490</v>
      </c>
      <c r="DH48" s="433">
        <f t="array" ref="DH4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48" s="433">
        <f t="array" ref="DI4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48" s="433">
        <f t="array" ref="DJ4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48" s="434">
        <f>SUM(AlimentsRationPintadesMâles[[#This Row],[Valeur 9 et plus]:[Valeur 0-1]])</f>
        <v>0</v>
      </c>
      <c r="DL48" s="316"/>
      <c r="DM48" s="316"/>
      <c r="DV48" s="350" t="s">
        <v>267</v>
      </c>
      <c r="DW48" s="351">
        <f t="array" ref="DW48">IF(ChoixRationComplèteDaims=OUI,0,IFERROR(IF(OR(AND(INDEX(Règles_daims[Specificite],MATCH(ChoixRationDaims&amp;DV48,Règles_daims[Ration]&amp;Règles_daims[Aliment],0))="s1",IF(DV48=Spécificité1Daims,1)),
AND(INDEX(Règles_daims[Specificite],MATCH(ChoixRationDaims&amp;DV48,Règles_daims[Ration]&amp;Règles_daims[Aliment],0))="s2",IF(DV48=Spécificité2Daims,1)),
INDEX(Règles_daims[Specificite],MATCH(ChoixRationDaims&amp;DV48,Règles_daims[Ration]&amp;Règles_daims[Aliment],0))="c"),
INDEX(Règles_daims[Valeur 36 et plus],MATCH(ChoixRationDaims&amp;DV48,Règles_daims[Ration]&amp;Règles_daims[Aliment],0)),0),0)*SUM(TotalDaimsAdultes)*NbreJoursNourrirBisonsDaims)</f>
        <v>0</v>
      </c>
      <c r="DX48" s="351">
        <f t="array" ref="DX48">IF(ChoixRationComplèteDaims=OUI,0,IFERROR(IF(OR(AND(INDEX(Règles_daims[Specificite],MATCH(ChoixRationDaims&amp;DV48,Règles_daims[Ration]&amp;Règles_daims[Aliment],0))="s1",IF(DV48=Spécificité1Daims,1)),
AND(INDEX(Règles_daims[Specificite],MATCH(ChoixRationDaims&amp;DV48,Règles_daims[Ration]&amp;Règles_daims[Aliment],0))="s2",IF(DV48=Spécificité2Daims,1)),
INDEX(Règles_daims[Specificite],MATCH(ChoixRationDaims&amp;DV48,Règles_daims[Ration]&amp;Règles_daims[Aliment],0))="c"),
INDEX(Règles_daims[Valeur 24-36],MATCH(ChoixRationDaims&amp;DV48,Règles_daims[Ration]&amp;Règles_daims[Aliment],0)),0),0)*SUM(TotalDaims24_36)*NbreJoursNourrirBisonsDaims)</f>
        <v>0</v>
      </c>
      <c r="DY48" s="351">
        <f t="array" ref="DY48">IF(ChoixRationComplèteDaims=OUI,0,IFERROR(IF(OR(AND(INDEX(Règles_daims[Specificite],MATCH(ChoixRationDaims&amp;DV48,Règles_daims[Ration]&amp;Règles_daims[Aliment],0))="s1",IF(DV48=Spécificité1Daims,1)),
AND(INDEX(Règles_daims[Specificite],MATCH(ChoixRationDaims&amp;DV48,Règles_daims[Ration]&amp;Règles_daims[Aliment],0))="s2",IF(DV48=Spécificité2Daims,1)),
INDEX(Règles_daims[Specificite],MATCH(ChoixRationDaims&amp;DV48,Règles_daims[Ration]&amp;Règles_daims[Aliment],0))="c"),
INDEX(Règles_daims[Valeur 18-24],MATCH(ChoixRationDaims&amp;DV48,Règles_daims[Ration]&amp;Règles_daims[Aliment],0)),0),0)*SUM(TotalDaims18_24)*NbreJoursNourrirBisonsDaims)</f>
        <v>0</v>
      </c>
      <c r="DZ48" s="441">
        <f t="array" ref="DZ48">IF(ChoixRationComplèteDaims=OUI,0,IFERROR(IF(OR(AND(INDEX(Règles_daims[Specificite],MATCH(ChoixRationDaims&amp;DV48,Règles_daims[Ration]&amp;Règles_daims[Aliment],0))="s1",IF(DV48=Spécificité1Daims,1)),
AND(INDEX(Règles_daims[Specificite],MATCH(ChoixRationDaims&amp;DV48,Règles_daims[Ration]&amp;Règles_daims[Aliment],0))="s2",IF(DV48=Spécificité2Daims,1)),
INDEX(Règles_daims[Specificite],MATCH(ChoixRationDaims&amp;DV48,Règles_daims[Ration]&amp;Règles_daims[Aliment],0))="c"),
INDEX(Règles_daims[Valeur 12-18],MATCH(ChoixRationDaims&amp;DV48,Règles_daims[Ration]&amp;Règles_daims[Aliment],0)),0),0)*SUM(TotalDaims12_18)*NbreJoursNourrirBisonsDaims)</f>
        <v>0</v>
      </c>
      <c r="EA48" s="441">
        <f t="array" ref="EA48">IF(ChoixRationComplèteDaims=OUI,0,IFERROR(IF(OR(AND(INDEX(Règles_daims[Specificite],MATCH(ChoixRationDaims&amp;DV48,Règles_daims[Ration]&amp;Règles_daims[Aliment],0))="s1",IF(DV48=Spécificité1Daims,1)),
AND(INDEX(Règles_daims[Specificite],MATCH(ChoixRationDaims&amp;DV48,Règles_daims[Ration]&amp;Règles_daims[Aliment],0))="s2",IF(DV48=Spécificité2Daims,1)),
INDEX(Règles_daims[Specificite],MATCH(ChoixRationDaims&amp;DV48,Règles_daims[Ration]&amp;Règles_daims[Aliment],0))="c"),
INDEX(Règles_daims[Valeur 6-12],MATCH(ChoixRationDaims&amp;DV48,Règles_daims[Ration]&amp;Règles_daims[Aliment],0)),0),0)*SUM(TotalDaims6_12)*NbreJoursNourrirBisonsDaims)</f>
        <v>0</v>
      </c>
      <c r="EB48" s="441">
        <f t="array" ref="EB48">IF(ChoixRationComplèteDaims=OUI,0,IFERROR(IF(OR(AND(INDEX(Règles_daims[Specificite],MATCH(ChoixRationDaims&amp;DV48,Règles_daims[Ration]&amp;Règles_daims[Aliment],0))="s1",IF(DV48=Spécificité1Daims,1)),
AND(INDEX(Règles_daims[Specificite],MATCH(ChoixRationDaims&amp;DV48,Règles_daims[Ration]&amp;Règles_daims[Aliment],0))="s2",IF(DV48=Spécificité2Daims,1)),
INDEX(Règles_daims[Specificite],MATCH(ChoixRationDaims&amp;DV48,Règles_daims[Ration]&amp;Règles_daims[Aliment],0))="c"),
INDEX(Règles_daims[Valeur 3-6],MATCH(ChoixRationDaims&amp;DV48,Règles_daims[Ration]&amp;Règles_daims[Aliment],0)),0),0)*SUM(TotalDaims3_6)*NbreJoursNourrirBisonsDaims)</f>
        <v>0</v>
      </c>
      <c r="EC48" s="441">
        <f t="array" ref="EC48">IF(ChoixRationComplèteDaims=OUI,0,IFERROR(IF(OR(AND(INDEX(Règles_daims[Specificite],MATCH(ChoixRationDaims&amp;DV48,Règles_daims[Ration]&amp;Règles_daims[Aliment],0))="s1",IF(DV48=Spécificité1Daims,1)),
AND(INDEX(Règles_daims[Specificite],MATCH(ChoixRationDaims&amp;DV48,Règles_daims[Ration]&amp;Règles_daims[Aliment],0))="s2",IF(DV48=Spécificité2Daims,1)),
INDEX(Règles_daims[Specificite],MATCH(ChoixRationDaims&amp;DV48,Règles_daims[Ration]&amp;Règles_daims[Aliment],0))="c"),
INDEX(Règles_daims[Valeur 0-3],MATCH(ChoixRationDaims&amp;DV48,Règles_daims[Ration]&amp;Règles_daims[Aliment],0)),0),0)*SUM(TotalDaims0_3)*NbreJoursNourrirBisonsDaims)</f>
        <v>0</v>
      </c>
      <c r="ED48" s="441">
        <f t="shared" si="9"/>
        <v>0</v>
      </c>
      <c r="EG48" s="376"/>
      <c r="EH48" s="305"/>
      <c r="EI48" s="305"/>
      <c r="EJ48" s="305"/>
      <c r="EK48" s="305"/>
      <c r="EL48" s="424"/>
      <c r="ER48" s="276"/>
      <c r="ES48" s="276"/>
      <c r="EU48" s="373" t="s">
        <v>875</v>
      </c>
      <c r="EV48" s="280" t="s">
        <v>489</v>
      </c>
      <c r="EW48" s="280" t="s">
        <v>886</v>
      </c>
      <c r="EX48" s="280">
        <v>6</v>
      </c>
      <c r="EY48" s="280">
        <v>4.5</v>
      </c>
      <c r="EZ48" s="280">
        <v>3</v>
      </c>
      <c r="FA48" s="423">
        <v>1.5</v>
      </c>
      <c r="FB48" s="298"/>
      <c r="FC48" s="282"/>
      <c r="FD48" s="373"/>
      <c r="FE48" s="280"/>
      <c r="FF48" s="280"/>
      <c r="FG48" s="280"/>
      <c r="FH48" s="280"/>
      <c r="FI48" s="280"/>
      <c r="FJ48" s="363"/>
      <c r="FK48" s="298"/>
      <c r="FL48" s="298"/>
      <c r="FM48" s="282"/>
      <c r="FN48" s="376"/>
      <c r="FO48" s="305"/>
      <c r="FP48" s="305"/>
      <c r="FQ48" s="305"/>
      <c r="FR48" s="305"/>
      <c r="FS48" s="305"/>
      <c r="FT48" s="365"/>
      <c r="FU48" s="298"/>
      <c r="FV48" s="298"/>
      <c r="FW48" s="443" t="s">
        <v>500</v>
      </c>
      <c r="FX48" s="450">
        <f t="array" ref="FX48">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48" s="450">
        <f t="array" ref="FY48">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48" s="450">
        <f t="array" ref="FZ48">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48" s="450">
        <f t="array" ref="GA48">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48" s="451">
        <f>SUM(AlimentsGavageOies[[#This Row],[Valeur 6 et plus]:[Valeur 0-1]])</f>
        <v>0</v>
      </c>
      <c r="GC48" s="316"/>
      <c r="GE48" s="280" t="s">
        <v>133</v>
      </c>
      <c r="GF48" s="283"/>
      <c r="GG48" s="283" t="s">
        <v>955</v>
      </c>
      <c r="GH48" s="283" t="s">
        <v>955</v>
      </c>
      <c r="GI48" s="283" t="s">
        <v>955</v>
      </c>
      <c r="GJ48" s="283" t="s">
        <v>955</v>
      </c>
      <c r="GK48" s="283" t="s">
        <v>955</v>
      </c>
      <c r="GL48" s="283" t="s">
        <v>955</v>
      </c>
      <c r="GM48" s="283" t="s">
        <v>955</v>
      </c>
      <c r="GN48" s="283" t="s">
        <v>955</v>
      </c>
      <c r="GO48" s="283" t="s">
        <v>955</v>
      </c>
      <c r="GP48" s="283" t="s">
        <v>955</v>
      </c>
      <c r="GQ48" s="283" t="s">
        <v>955</v>
      </c>
      <c r="GR48" s="283" t="s">
        <v>955</v>
      </c>
      <c r="GS48" s="283" t="s">
        <v>955</v>
      </c>
      <c r="GT48" s="283" t="s">
        <v>955</v>
      </c>
      <c r="GU48" s="283" t="s">
        <v>955</v>
      </c>
      <c r="GV48" s="283" t="s">
        <v>955</v>
      </c>
      <c r="GY48" s="444" t="str">
        <f t="shared" si="11"/>
        <v>semences d'orge (P)</v>
      </c>
      <c r="GZ48" s="444"/>
      <c r="HA48" s="342"/>
      <c r="HB48" s="342" t="e">
        <f>IF(COUNTIF(TypeArticleDansEntrepôt,GY48)=0,0,SUMIF(TypeArticleDansEntrepôt,GY48,QtéArticleDansEntrepôt)*VLOOKUP(GY48,#REF!,2,FALSE))</f>
        <v>#REF!</v>
      </c>
      <c r="HN48" s="342" t="e">
        <f>IF(#REF!="","",(VLOOKUP(#REF!,BDD!$HN$5:$HU$38,2,FALSE))*#REF!)</f>
        <v>#REF!</v>
      </c>
      <c r="HO48" s="342" t="e">
        <f>IF(#REF!="","",IF(OR(#REF!=Moutarde,#REF!=Phacélie),0,IF(#REF!=Luzerne,10*#REF!*VLOOKUP(#REF!,BDD!$HN$5:$HU$38,3,FALSE),IF(#REF!=Miscanthus,10.5*#REF!*VLOOKUP(#REF!,BDD!$HN$5:$HU$38,3,FALSE),INDEX(#REF!:#REF!,MATCH(#REF!,#REF!:#REF!,0),MATCH(#REF!,#REF!:#REF!,0))*#REF!*VLOOKUP(#REF!,BDD!$HN$5:$HU$38,3,FALSE)))))</f>
        <v>#REF!</v>
      </c>
      <c r="HP48" s="342" t="e">
        <f>IF(#REF!="","",IF(OR(#REF!=Moutarde,#REF!=Phacélie),0,IF(#REF!=Luzerne,10*#REF!*VLOOKUP(#REF!,BDD!$HN$5:$HU$38,4,FALSE),IF(#REF!=Miscanthus,10.5*#REF!*VLOOKUP(#REF!,BDD!$HN$5:$HU$38,4,FALSE),INDEX(#REF!:#REF!,MATCH(#REF!,#REF!:#REF!,0),MATCH(#REF!,#REF!:#REF!,0))*#REF!*VLOOKUP(#REF!,BDD!$HN$5:$HU$38,4,FALSE)))))</f>
        <v>#REF!</v>
      </c>
      <c r="HQ48" s="342" t="e">
        <f>IF(#REF!="","",IF(OR(#REF!=Moutarde,#REF!=Phacélie),0,IF(#REF!=Luzerne,10*#REF!*VLOOKUP(#REF!,BDD!$HN$5:$HU$38,5,FALSE),IF(#REF!=Miscanthus,10.5*#REF!*VLOOKUP(#REF!,BDD!$HN$5:$HU$38,5,FALSE),INDEX(#REF!:#REF!,MATCH(#REF!,#REF!:#REF!,0),MATCH(#REF!,#REF!:#REF!,0))*#REF!*VLOOKUP(#REF!,BDD!$HN$5:$HU$38,5,FALSE)))))</f>
        <v>#REF!</v>
      </c>
      <c r="HR48" s="342" t="e">
        <f>IF(#REF!="","",IF(OR(#REF!=Moutarde,#REF!=Phacélie),0,IF(#REF!=Luzerne,10*#REF!*VLOOKUP(#REF!,BDD!$HN$5:$HU$38,6,FALSE),IF(#REF!=Miscanthus,10.5*#REF!*VLOOKUP(#REF!,BDD!$HN$5:$HU$38,6,FALSE),INDEX(#REF!:#REF!,MATCH(#REF!,#REF!:#REF!,0),MATCH(#REF!,#REF!:#REF!,0))*#REF!*VLOOKUP(#REF!,BDD!$HN$5:$HU$38,6,FALSE)))))</f>
        <v>#REF!</v>
      </c>
      <c r="HS48" s="342" t="e">
        <f>IF(#REF!="","",IF(OR(#REF!=Moutarde,#REF!=Phacélie),0,IF(#REF!=Luzerne,10*#REF!*VLOOKUP(#REF!,BDD!$HN$5:$HU$38,7,FALSE),IF(#REF!=Miscanthus,10.5*#REF!*VLOOKUP(#REF!,BDD!$HN$5:$HU$38,7,FALSE),INDEX(#REF!:#REF!,MATCH(#REF!,#REF!:#REF!,0),MATCH(#REF!,#REF!:#REF!,0))*#REF!*VLOOKUP(#REF!,BDD!$HN$5:$HU$38,7,FALSE)))))</f>
        <v>#REF!</v>
      </c>
      <c r="HT48" s="342" t="e">
        <f>IF(#REF!="","",IF(OR(#REF!=Moutarde,#REF!=Phacélie),0,IF(#REF!=Luzerne,10*#REF!*VLOOKUP(#REF!,BDD!$HN$5:$HU$38,8,FALSE),IF(#REF!=Miscanthus,10.5*#REF!*VLOOKUP(#REF!,BDD!$HN$5:$HU$38,8,FALSE),INDEX(#REF!:#REF!,MATCH(#REF!,#REF!:#REF!,0),MATCH(#REF!,#REF!:#REF!,0))*#REF!*VLOOKUP(#REF!,BDD!$HN$5:$HU$38,8,FALSE)))))</f>
        <v>#REF!</v>
      </c>
      <c r="HU48" s="342" t="e">
        <f>IF(#REF!="","",IF(OR(#REF!=Moutarde,#REF!=Phacélie),0,1.6*#REF!))</f>
        <v>#REF!</v>
      </c>
      <c r="HV48" s="342" t="e">
        <f>IF(#REF!="","",IF(OR(#REF!=Moutarde,#REF!=Phacélie),0,1.6*#REF!))</f>
        <v>#REF!</v>
      </c>
      <c r="HW48" s="342" t="e">
        <f>IF(#REF!="","",IF(OR(#REF!=Moutarde,#REF!=Phacélie),0,1.6*#REF!))</f>
        <v>#REF!</v>
      </c>
      <c r="HX48" s="342" t="e">
        <f>IF(#REF!="","",(VLOOKUP(#REF!,BDD!$HN$5:$HU$38,2,FALSE))*#REF!)</f>
        <v>#REF!</v>
      </c>
      <c r="HY48" s="342" t="e">
        <f>IF(#REF!="","",IF(OR(#REF!=Moutarde,#REF!=Phacélie),0,IF(#REF!=Luzerne,10*#REF!*VLOOKUP(#REF!,BDD!$HN$5:$HU$38,3,FALSE),IF(#REF!=Miscanthus,10.5*#REF!*VLOOKUP(#REF!,BDD!$HN$5:$HU$38,3,FALSE),INDEX(#REF!:#REF!,MATCH(#REF!,#REF!:#REF!,0),MATCH(#REF!,#REF!:#REF!,0))*#REF!*VLOOKUP(#REF!,BDD!$HN$5:$HU$38,3,FALSE)))))</f>
        <v>#REF!</v>
      </c>
      <c r="HZ48" s="342" t="e">
        <f>IF(#REF!="","",IF(OR(#REF!=Moutarde,#REF!=Phacélie),0,IF(#REF!=Luzerne,10*#REF!*VLOOKUP(#REF!,BDD!$HN$5:$HU$38,4,FALSE),IF(#REF!=Miscanthus,10.5*#REF!*VLOOKUP(#REF!,BDD!$HN$5:$HU$38,4,FALSE),INDEX(#REF!:#REF!,MATCH(#REF!,#REF!:#REF!,0),MATCH(#REF!,#REF!:#REF!,0))*#REF!*VLOOKUP(#REF!,BDD!$HN$5:$HU$38,4,FALSE)))))</f>
        <v>#REF!</v>
      </c>
      <c r="IA48" s="342" t="e">
        <f>IF(#REF!="","",IF(OR(#REF!=Moutarde,#REF!=Phacélie),0,IF(#REF!=Luzerne,10*#REF!*VLOOKUP(#REF!,BDD!$HN$5:$HU$38,5,FALSE),IF(#REF!=Miscanthus,10.5*#REF!*VLOOKUP(#REF!,BDD!$HN$5:$HU$38,5,FALSE),INDEX(#REF!:#REF!,MATCH(#REF!,#REF!:#REF!,0),MATCH(#REF!,#REF!:#REF!,0))*#REF!*VLOOKUP(#REF!,BDD!$HN$5:$HU$38,5,FALSE)))))</f>
        <v>#REF!</v>
      </c>
      <c r="IB48" s="342" t="e">
        <f>IF(#REF!="","",IF(OR(#REF!=Moutarde,#REF!=Phacélie),0,IF(#REF!=Luzerne,10*#REF!*VLOOKUP(#REF!,BDD!$HN$5:$HU$38,6,FALSE),IF(#REF!=Miscanthus,10.5*#REF!*VLOOKUP(#REF!,BDD!$HN$5:$HU$38,6,FALSE),INDEX(#REF!:#REF!,MATCH(#REF!,#REF!:#REF!,0),MATCH(#REF!,#REF!:#REF!,0))*#REF!*VLOOKUP(#REF!,BDD!$HN$5:$HU$38,6,FALSE)))))</f>
        <v>#REF!</v>
      </c>
      <c r="IC48" s="342" t="e">
        <f>IF(#REF!="","",IF(OR(#REF!=Moutarde,#REF!=Phacélie),0,IF(#REF!=Luzerne,10*#REF!*VLOOKUP(#REF!,BDD!$HN$5:$HU$38,7,FALSE),IF(#REF!=Miscanthus,10.5*#REF!*VLOOKUP(#REF!,BDD!$HN$5:$HU$38,7,FALSE),INDEX(#REF!:#REF!,MATCH(#REF!,#REF!:#REF!,0),MATCH(#REF!,#REF!:#REF!,0))*#REF!*VLOOKUP(#REF!,BDD!$HN$5:$HU$38,7,FALSE)))))</f>
        <v>#REF!</v>
      </c>
      <c r="ID48" s="342" t="e">
        <f>IF(#REF!="","",IF(OR(#REF!=Moutarde,#REF!=Phacélie),0,IF(#REF!=Luzerne,10*#REF!*VLOOKUP(#REF!,BDD!$HN$5:$HU$38,8,FALSE),IF(#REF!=Miscanthus,10.5*#REF!*VLOOKUP(#REF!,BDD!$HN$5:$HU$38,8,FALSE),INDEX(#REF!:#REF!,MATCH(#REF!,#REF!:#REF!,0),MATCH(#REF!,#REF!:#REF!,0))*#REF!*VLOOKUP(#REF!,BDD!$HN$5:$HU$38,8,FALSE)))))</f>
        <v>#REF!</v>
      </c>
      <c r="IE48" s="342" t="e">
        <f>IF(#REF!="","",IF(OR(#REF!=Moutarde,#REF!=Phacélie),0,1.6*#REF!))</f>
        <v>#REF!</v>
      </c>
      <c r="IF48" s="342" t="e">
        <f>IF(#REF!="","",IF(OR(#REF!=Moutarde,#REF!=Phacélie),0,1.6*#REF!))</f>
        <v>#REF!</v>
      </c>
      <c r="IG48" s="342" t="e">
        <f>IF(#REF!="","",IF(OR(#REF!=Moutarde,#REF!=Phacélie),0,1.6*#REF!))</f>
        <v>#REF!</v>
      </c>
    </row>
    <row r="49" spans="1:241" ht="12.75" customHeight="1" x14ac:dyDescent="0.2">
      <c r="A49" s="369"/>
      <c r="B49" s="280"/>
      <c r="C49" s="280"/>
      <c r="D49" s="423"/>
      <c r="F49" s="280"/>
      <c r="G49" s="280"/>
      <c r="H49" s="280"/>
      <c r="I49" s="280"/>
      <c r="N49" s="277"/>
      <c r="O49" s="280" t="s">
        <v>283</v>
      </c>
      <c r="P49" s="280"/>
      <c r="Q49" s="280"/>
      <c r="R49" s="280"/>
      <c r="S49" s="280"/>
      <c r="T49" s="280"/>
      <c r="U49" s="280"/>
      <c r="V49" s="280"/>
      <c r="W49" s="280"/>
      <c r="X49" s="280"/>
      <c r="Y49" s="280"/>
      <c r="Z49" s="280"/>
      <c r="AA49" s="280"/>
      <c r="AB49" s="280"/>
      <c r="AC49" s="280"/>
      <c r="AD49" s="280"/>
      <c r="AE49" s="280"/>
      <c r="AF49" s="280"/>
      <c r="AG49" s="280"/>
      <c r="AH49" s="280"/>
      <c r="AI49" s="280"/>
      <c r="AJ49" s="280"/>
      <c r="AK49" s="280"/>
      <c r="AL49" s="280"/>
      <c r="AM49" s="280"/>
      <c r="AN49" s="280"/>
      <c r="AO49" s="280"/>
      <c r="AP49" s="280"/>
      <c r="AQ49" s="280"/>
      <c r="AR49" s="280"/>
      <c r="AS49" s="280"/>
      <c r="AT49" s="280"/>
      <c r="AU49" s="280"/>
      <c r="AV49" s="280"/>
      <c r="AW49" s="280"/>
      <c r="AX49" s="280"/>
      <c r="AY49" s="280"/>
      <c r="BC49" s="284" t="s">
        <v>795</v>
      </c>
      <c r="BD49" s="299">
        <v>295</v>
      </c>
      <c r="BF49" s="284" t="s">
        <v>795</v>
      </c>
      <c r="BG49" s="299">
        <v>354</v>
      </c>
      <c r="BL49" s="312"/>
      <c r="BM49" s="350" t="s">
        <v>233</v>
      </c>
      <c r="BN49" s="350">
        <f t="array" ref="BN49">IF(Ration_hivernale_complète_bisons[somme]&gt;0,0,IFERROR(IF(OR(AND(INDEX(Règles_bison[Specificite],MATCH(ChoixRationBisons&amp;$BM49,Règles_bison[Ration]&amp;Règles_bison[Aliment],0))="s1",IF($BM49=ChoixSpécificité1Bisons,1)),
INDEX(Règles_bison[Specificite],MATCH(ChoixRationBisons&amp;$BM49,Règles_bison[Ration]&amp;Règles_bison[Aliment],0))="c"),
INDEX(Règles_bison[Valeur 36 et plus],MATCH(ChoixRationBisons&amp;$BM49,Règles_bison[Ration]&amp;Règles_bison[Aliment],0)),0),0)*TotalBisonsMalesAdultes*NbreJoursNourrirBisonsDaims)</f>
        <v>0</v>
      </c>
      <c r="BO49" s="350">
        <f t="array" ref="BO49">IF(Ration_hivernale_complète_bisons[somme]&gt;0,0,IFERROR(IF(OR(AND(INDEX(Règles_bison[Specificite],MATCH(ChoixRationBisons&amp;$BM49,Règles_bison[Ration]&amp;Règles_bison[Aliment],0))="s1",IF($BM49=ChoixSpécificité1Bisons,1)),
INDEX(Règles_bison[Specificite],MATCH(ChoixRationBisons&amp;$BM49,Règles_bison[Ration]&amp;Règles_bison[Aliment],0))="c"),
INDEX(Règles_bison[Valeur 24-36],MATCH(ChoixRationBisons&amp;$BM49,Règles_bison[Ration]&amp;Règles_bison[Aliment],0)),0),0)*TotalBisonsMales_24_36_mois*NbreJoursNourrirBisonsDaims)</f>
        <v>0</v>
      </c>
      <c r="BP49" s="350">
        <f t="array" ref="BP49">IF(Ration_hivernale_complète_bisons[somme]&gt;0,0,IFERROR(IF(OR(AND(INDEX(Règles_bison[Specificite],MATCH(ChoixRationBisons&amp;$BM49,Règles_bison[Ration]&amp;Règles_bison[Aliment],0))="s1",IF($BM49=ChoixSpécificité1Bisons,1)),
INDEX(Règles_bison[Specificite],MATCH(ChoixRationBisons&amp;$BM49,Règles_bison[Ration]&amp;Règles_bison[Aliment],0))="c"),
INDEX(Règles_bison[Valeur 18-24],MATCH(ChoixRationBisons&amp;$BM49,Règles_bison[Ration]&amp;Règles_bison[Aliment],0)),0),0)*TotalBisonsMales_18_24_mois*NbreJoursNourrirBisonsDaims)</f>
        <v>0</v>
      </c>
      <c r="BQ49" s="350">
        <f t="array" ref="BQ49">IF(Ration_hivernale_complète_bisons[somme]&gt;0,0,IFERROR(IF(OR(AND(INDEX(Règles_bison[Specificite],MATCH(ChoixRationBisons&amp;$BM49,Règles_bison[Ration]&amp;Règles_bison[Aliment],0))="s1",IF($BM49=ChoixSpécificité1Bisons,1)),
INDEX(Règles_bison[Specificite],MATCH(ChoixRationBisons&amp;$BM49,Règles_bison[Ration]&amp;Règles_bison[Aliment],0))="c"),
INDEX(Règles_bison[Valeur 12-18],MATCH(ChoixRationBisons&amp;$BM49,Règles_bison[Ration]&amp;Règles_bison[Aliment],0)),0),0)*TotalBisonsMales_12_18_mois*NbreJoursNourrirBisonsDaims)</f>
        <v>0</v>
      </c>
      <c r="BR49" s="350">
        <f t="array" ref="BR49">IF(Ration_hivernale_complète_bisons[somme]&gt;0,0,IFERROR(IF(OR(AND(INDEX(Règles_bison[Specificite],MATCH(ChoixRationBisons&amp;$BM49,Règles_bison[Ration]&amp;Règles_bison[Aliment],0))="s1",IF($BM49=ChoixSpécificité1Bisons,1)),
INDEX(Règles_bison[Specificite],MATCH(ChoixRationBisons&amp;$BM49,Règles_bison[Ration]&amp;Règles_bison[Aliment],0))="c"),
INDEX(Règles_bison[Valeur 6-12],MATCH(ChoixRationBisons&amp;$BM49,Règles_bison[Ration]&amp;Règles_bison[Aliment],0)),0),0)*TotalBisonsMales_6_12_mois*NbreJoursNourrirBisonsDaims)</f>
        <v>0</v>
      </c>
      <c r="BS49" s="350">
        <f t="array" ref="BS49">IF(Ration_hivernale_complète_bisons[somme]&gt;0,0,IFERROR(IF(OR(AND(INDEX(Règles_bison[Specificite],MATCH(ChoixRationBisons&amp;$BM49,Règles_bison[Ration]&amp;Règles_bison[Aliment],0))="s1",IF($BM49=ChoixSpécificité1Bisons,1)),
INDEX(Règles_bison[Specificite],MATCH(ChoixRationBisons&amp;$BM49,Règles_bison[Ration]&amp;Règles_bison[Aliment],0))="c"),
INDEX(Règles_bison[Valeur 3-6],MATCH(ChoixRationBisons&amp;$BM49,Règles_bison[Ration]&amp;Règles_bison[Aliment],0)),0),0)*TotalBisonsMales_3_6_mois*NbreJoursNourrirBisonsDaims)</f>
        <v>0</v>
      </c>
      <c r="BT49" s="350">
        <f t="array" ref="BT49">IF(Ration_hivernale_complète_bisons[somme]&gt;0,0,IFERROR(IF(OR(AND(INDEX(Règles_bison[Specificite],MATCH(ChoixRationBisons&amp;$BM49,Règles_bison[Ration]&amp;Règles_bison[Aliment],0))="s1",IF($BM49=ChoixSpécificité1Bisons,1)),
INDEX(Règles_bison[Specificite],MATCH(ChoixRationBisons&amp;$BM49,Règles_bison[Ration]&amp;Règles_bison[Aliment],0))="c"),
INDEX(Règles_bison[Valeur 0-3],MATCH(ChoixRationBisons&amp;$BM49,Règles_bison[Ration]&amp;Règles_bison[Aliment],0)),0),0)*TotalBisonsMales_0_3_mois*NbreJoursNourrirBisonsDaims)</f>
        <v>0</v>
      </c>
      <c r="BU49" s="350">
        <f t="shared" si="10"/>
        <v>0</v>
      </c>
      <c r="BX49" s="373" t="s">
        <v>547</v>
      </c>
      <c r="BY49" s="280" t="s">
        <v>508</v>
      </c>
      <c r="BZ49" s="280" t="s">
        <v>911</v>
      </c>
      <c r="CA49" s="280">
        <v>21</v>
      </c>
      <c r="CB49" s="280">
        <v>16</v>
      </c>
      <c r="CC49" s="280">
        <v>11</v>
      </c>
      <c r="CD49" s="410">
        <v>3</v>
      </c>
      <c r="CE49" s="304"/>
      <c r="CF49" s="304"/>
      <c r="CG49" s="304"/>
      <c r="CH49" s="304"/>
      <c r="CJ49" s="425" t="s">
        <v>910</v>
      </c>
      <c r="CK49" s="395" t="s">
        <v>914</v>
      </c>
      <c r="CL49" s="395" t="s">
        <v>891</v>
      </c>
      <c r="CM49" s="395" t="s">
        <v>890</v>
      </c>
      <c r="CN49" s="395" t="s">
        <v>917</v>
      </c>
      <c r="CO49" s="395" t="s">
        <v>918</v>
      </c>
      <c r="CP49" s="396" t="s">
        <v>921</v>
      </c>
      <c r="CS49" s="373"/>
      <c r="CT49" s="280"/>
      <c r="CU49" s="280"/>
      <c r="CV49" s="280"/>
      <c r="CW49" s="280"/>
      <c r="CX49" s="423"/>
      <c r="CZ49" s="373"/>
      <c r="DA49" s="280"/>
      <c r="DB49" s="280"/>
      <c r="DC49" s="280"/>
      <c r="DD49" s="280"/>
      <c r="DE49" s="423"/>
      <c r="DF49" s="277"/>
      <c r="DG49" s="420" t="s">
        <v>392</v>
      </c>
      <c r="DH49" s="433">
        <f t="array" ref="DH4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49" s="433">
        <f t="array" ref="DI4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49" s="433">
        <f t="array" ref="DJ4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49" s="434">
        <f>SUM(AlimentsRationPintadesMâles[[#This Row],[Valeur 9 et plus]:[Valeur 0-1]])</f>
        <v>0</v>
      </c>
      <c r="DL49" s="316"/>
      <c r="DM49" s="316"/>
      <c r="DO49" s="290"/>
      <c r="DV49" s="350" t="s">
        <v>269</v>
      </c>
      <c r="DW49" s="351">
        <f t="array" ref="DW49">IF(ChoixRationComplèteDaims=OUI,0,IFERROR(IF(OR(AND(INDEX(Règles_daims[Specificite],MATCH(ChoixRationDaims&amp;DV49,Règles_daims[Ration]&amp;Règles_daims[Aliment],0))="s1",IF(DV49=Spécificité1Daims,1)),
AND(INDEX(Règles_daims[Specificite],MATCH(ChoixRationDaims&amp;DV49,Règles_daims[Ration]&amp;Règles_daims[Aliment],0))="s2",IF(DV49=Spécificité2Daims,1)),
INDEX(Règles_daims[Specificite],MATCH(ChoixRationDaims&amp;DV49,Règles_daims[Ration]&amp;Règles_daims[Aliment],0))="c"),
INDEX(Règles_daims[Valeur 36 et plus],MATCH(ChoixRationDaims&amp;DV49,Règles_daims[Ration]&amp;Règles_daims[Aliment],0)),0),0)*SUM(TotalDaimsAdultes)*NbreJoursNourrirBisonsDaims)</f>
        <v>0</v>
      </c>
      <c r="DX49" s="351">
        <f t="array" ref="DX49">IF(ChoixRationComplèteDaims=OUI,0,IFERROR(IF(OR(AND(INDEX(Règles_daims[Specificite],MATCH(ChoixRationDaims&amp;DV49,Règles_daims[Ration]&amp;Règles_daims[Aliment],0))="s1",IF(DV49=Spécificité1Daims,1)),
AND(INDEX(Règles_daims[Specificite],MATCH(ChoixRationDaims&amp;DV49,Règles_daims[Ration]&amp;Règles_daims[Aliment],0))="s2",IF(DV49=Spécificité2Daims,1)),
INDEX(Règles_daims[Specificite],MATCH(ChoixRationDaims&amp;DV49,Règles_daims[Ration]&amp;Règles_daims[Aliment],0))="c"),
INDEX(Règles_daims[Valeur 24-36],MATCH(ChoixRationDaims&amp;DV49,Règles_daims[Ration]&amp;Règles_daims[Aliment],0)),0),0)*SUM(TotalDaims24_36)*NbreJoursNourrirBisonsDaims)</f>
        <v>0</v>
      </c>
      <c r="DY49" s="351">
        <f t="array" ref="DY49">IF(ChoixRationComplèteDaims=OUI,0,IFERROR(IF(OR(AND(INDEX(Règles_daims[Specificite],MATCH(ChoixRationDaims&amp;DV49,Règles_daims[Ration]&amp;Règles_daims[Aliment],0))="s1",IF(DV49=Spécificité1Daims,1)),
AND(INDEX(Règles_daims[Specificite],MATCH(ChoixRationDaims&amp;DV49,Règles_daims[Ration]&amp;Règles_daims[Aliment],0))="s2",IF(DV49=Spécificité2Daims,1)),
INDEX(Règles_daims[Specificite],MATCH(ChoixRationDaims&amp;DV49,Règles_daims[Ration]&amp;Règles_daims[Aliment],0))="c"),
INDEX(Règles_daims[Valeur 18-24],MATCH(ChoixRationDaims&amp;DV49,Règles_daims[Ration]&amp;Règles_daims[Aliment],0)),0),0)*SUM(TotalDaims18_24)*NbreJoursNourrirBisonsDaims)</f>
        <v>0</v>
      </c>
      <c r="DZ49" s="441">
        <f t="array" ref="DZ49">IF(ChoixRationComplèteDaims=OUI,0,IFERROR(IF(OR(AND(INDEX(Règles_daims[Specificite],MATCH(ChoixRationDaims&amp;DV49,Règles_daims[Ration]&amp;Règles_daims[Aliment],0))="s1",IF(DV49=Spécificité1Daims,1)),
AND(INDEX(Règles_daims[Specificite],MATCH(ChoixRationDaims&amp;DV49,Règles_daims[Ration]&amp;Règles_daims[Aliment],0))="s2",IF(DV49=Spécificité2Daims,1)),
INDEX(Règles_daims[Specificite],MATCH(ChoixRationDaims&amp;DV49,Règles_daims[Ration]&amp;Règles_daims[Aliment],0))="c"),
INDEX(Règles_daims[Valeur 12-18],MATCH(ChoixRationDaims&amp;DV49,Règles_daims[Ration]&amp;Règles_daims[Aliment],0)),0),0)*SUM(TotalDaims12_18)*NbreJoursNourrirBisonsDaims)</f>
        <v>0</v>
      </c>
      <c r="EA49" s="441">
        <f t="array" ref="EA49">IF(ChoixRationComplèteDaims=OUI,0,IFERROR(IF(OR(AND(INDEX(Règles_daims[Specificite],MATCH(ChoixRationDaims&amp;DV49,Règles_daims[Ration]&amp;Règles_daims[Aliment],0))="s1",IF(DV49=Spécificité1Daims,1)),
AND(INDEX(Règles_daims[Specificite],MATCH(ChoixRationDaims&amp;DV49,Règles_daims[Ration]&amp;Règles_daims[Aliment],0))="s2",IF(DV49=Spécificité2Daims,1)),
INDEX(Règles_daims[Specificite],MATCH(ChoixRationDaims&amp;DV49,Règles_daims[Ration]&amp;Règles_daims[Aliment],0))="c"),
INDEX(Règles_daims[Valeur 6-12],MATCH(ChoixRationDaims&amp;DV49,Règles_daims[Ration]&amp;Règles_daims[Aliment],0)),0),0)*SUM(TotalDaims6_12)*NbreJoursNourrirBisonsDaims)</f>
        <v>0</v>
      </c>
      <c r="EB49" s="441">
        <f t="array" ref="EB49">IF(ChoixRationComplèteDaims=OUI,0,IFERROR(IF(OR(AND(INDEX(Règles_daims[Specificite],MATCH(ChoixRationDaims&amp;DV49,Règles_daims[Ration]&amp;Règles_daims[Aliment],0))="s1",IF(DV49=Spécificité1Daims,1)),
AND(INDEX(Règles_daims[Specificite],MATCH(ChoixRationDaims&amp;DV49,Règles_daims[Ration]&amp;Règles_daims[Aliment],0))="s2",IF(DV49=Spécificité2Daims,1)),
INDEX(Règles_daims[Specificite],MATCH(ChoixRationDaims&amp;DV49,Règles_daims[Ration]&amp;Règles_daims[Aliment],0))="c"),
INDEX(Règles_daims[Valeur 3-6],MATCH(ChoixRationDaims&amp;DV49,Règles_daims[Ration]&amp;Règles_daims[Aliment],0)),0),0)*SUM(TotalDaims3_6)*NbreJoursNourrirBisonsDaims)</f>
        <v>0</v>
      </c>
      <c r="EC49" s="441">
        <f t="array" ref="EC49">IF(ChoixRationComplèteDaims=OUI,0,IFERROR(IF(OR(AND(INDEX(Règles_daims[Specificite],MATCH(ChoixRationDaims&amp;DV49,Règles_daims[Ration]&amp;Règles_daims[Aliment],0))="s1",IF(DV49=Spécificité1Daims,1)),
AND(INDEX(Règles_daims[Specificite],MATCH(ChoixRationDaims&amp;DV49,Règles_daims[Ration]&amp;Règles_daims[Aliment],0))="s2",IF(DV49=Spécificité2Daims,1)),
INDEX(Règles_daims[Specificite],MATCH(ChoixRationDaims&amp;DV49,Règles_daims[Ration]&amp;Règles_daims[Aliment],0))="c"),
INDEX(Règles_daims[Valeur 0-3],MATCH(ChoixRationDaims&amp;DV49,Règles_daims[Ration]&amp;Règles_daims[Aliment],0)),0),0)*SUM(TotalDaims0_3)*NbreJoursNourrirBisonsDaims)</f>
        <v>0</v>
      </c>
      <c r="ED49" s="441">
        <f t="shared" si="9"/>
        <v>0</v>
      </c>
      <c r="EK49" s="276"/>
      <c r="EL49" s="276"/>
      <c r="ER49" s="276"/>
      <c r="ES49" s="276"/>
      <c r="EU49" s="373" t="s">
        <v>875</v>
      </c>
      <c r="EV49" s="280" t="s">
        <v>168</v>
      </c>
      <c r="EW49" s="280" t="s">
        <v>886</v>
      </c>
      <c r="EX49" s="280">
        <v>4</v>
      </c>
      <c r="EY49" s="280">
        <v>3</v>
      </c>
      <c r="EZ49" s="280">
        <v>2</v>
      </c>
      <c r="FA49" s="423">
        <v>1</v>
      </c>
      <c r="FB49" s="298"/>
      <c r="FC49" s="282"/>
      <c r="FD49" s="376"/>
      <c r="FE49" s="305"/>
      <c r="FF49" s="305"/>
      <c r="FG49" s="305"/>
      <c r="FH49" s="305"/>
      <c r="FI49" s="305"/>
      <c r="FJ49" s="365"/>
      <c r="FK49" s="298"/>
      <c r="FL49" s="298"/>
      <c r="FM49" s="282"/>
      <c r="FS49" s="276"/>
      <c r="FT49" s="298"/>
      <c r="FU49" s="298"/>
      <c r="FV49" s="298"/>
      <c r="FW49" s="443" t="s">
        <v>499</v>
      </c>
      <c r="FX49" s="450">
        <f t="array" ref="FX49">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49" s="450">
        <f t="array" ref="FY49">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49" s="450">
        <f t="array" ref="FZ49">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49" s="450">
        <f t="array" ref="GA49">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49" s="451">
        <f>SUM(AlimentsGavageOies[[#This Row],[Valeur 6 et plus]:[Valeur 0-1]])</f>
        <v>0</v>
      </c>
      <c r="GC49" s="316"/>
      <c r="GE49" s="280" t="s">
        <v>134</v>
      </c>
      <c r="GF49" s="283"/>
      <c r="GG49" s="283" t="s">
        <v>955</v>
      </c>
      <c r="GH49" s="283" t="s">
        <v>955</v>
      </c>
      <c r="GI49" s="283" t="s">
        <v>955</v>
      </c>
      <c r="GJ49" s="283" t="s">
        <v>955</v>
      </c>
      <c r="GK49" s="283" t="s">
        <v>955</v>
      </c>
      <c r="GL49" s="283" t="s">
        <v>955</v>
      </c>
      <c r="GM49" s="283" t="s">
        <v>955</v>
      </c>
      <c r="GN49" s="283" t="s">
        <v>955</v>
      </c>
      <c r="GO49" s="283" t="s">
        <v>955</v>
      </c>
      <c r="GP49" s="283" t="s">
        <v>955</v>
      </c>
      <c r="GQ49" s="283" t="s">
        <v>955</v>
      </c>
      <c r="GR49" s="283" t="s">
        <v>955</v>
      </c>
      <c r="GS49" s="283" t="s">
        <v>955</v>
      </c>
      <c r="GT49" s="283" t="s">
        <v>955</v>
      </c>
      <c r="GU49" s="283" t="s">
        <v>955</v>
      </c>
      <c r="GV49" s="283" t="s">
        <v>955</v>
      </c>
      <c r="GY49" s="444" t="str">
        <f t="shared" si="11"/>
        <v>semences de betterave</v>
      </c>
      <c r="GZ49" s="444"/>
      <c r="HA49" s="342"/>
      <c r="HB49" s="342" t="e">
        <f>IF(COUNTIF(TypeArticleDansEntrepôt,GY49)=0,0,SUMIF(TypeArticleDansEntrepôt,GY49,QtéArticleDansEntrepôt)*VLOOKUP(GY49,#REF!,2,FALSE))</f>
        <v>#REF!</v>
      </c>
      <c r="HN49" s="342" t="e">
        <f>IF(#REF!="","",(VLOOKUP(#REF!,BDD!$HN$5:$HU$38,2,FALSE))*#REF!)</f>
        <v>#REF!</v>
      </c>
      <c r="HO49" s="342" t="e">
        <f>IF(#REF!="","",IF(OR(#REF!=Moutarde,#REF!=Phacélie),0,IF(#REF!=Luzerne,10*#REF!*VLOOKUP(#REF!,BDD!$HN$5:$HU$38,3,FALSE),IF(#REF!=Miscanthus,10.5*#REF!*VLOOKUP(#REF!,BDD!$HN$5:$HU$38,3,FALSE),INDEX(#REF!:#REF!,MATCH(#REF!,#REF!:#REF!,0),MATCH(#REF!,#REF!:#REF!,0))*#REF!*VLOOKUP(#REF!,BDD!$HN$5:$HU$38,3,FALSE)))))</f>
        <v>#REF!</v>
      </c>
      <c r="HP49" s="342" t="e">
        <f>IF(#REF!="","",IF(OR(#REF!=Moutarde,#REF!=Phacélie),0,IF(#REF!=Luzerne,10*#REF!*VLOOKUP(#REF!,BDD!$HN$5:$HU$38,4,FALSE),IF(#REF!=Miscanthus,10.5*#REF!*VLOOKUP(#REF!,BDD!$HN$5:$HU$38,4,FALSE),INDEX(#REF!:#REF!,MATCH(#REF!,#REF!:#REF!,0),MATCH(#REF!,#REF!:#REF!,0))*#REF!*VLOOKUP(#REF!,BDD!$HN$5:$HU$38,4,FALSE)))))</f>
        <v>#REF!</v>
      </c>
      <c r="HQ49" s="342" t="e">
        <f>IF(#REF!="","",IF(OR(#REF!=Moutarde,#REF!=Phacélie),0,IF(#REF!=Luzerne,10*#REF!*VLOOKUP(#REF!,BDD!$HN$5:$HU$38,5,FALSE),IF(#REF!=Miscanthus,10.5*#REF!*VLOOKUP(#REF!,BDD!$HN$5:$HU$38,5,FALSE),INDEX(#REF!:#REF!,MATCH(#REF!,#REF!:#REF!,0),MATCH(#REF!,#REF!:#REF!,0))*#REF!*VLOOKUP(#REF!,BDD!$HN$5:$HU$38,5,FALSE)))))</f>
        <v>#REF!</v>
      </c>
      <c r="HR49" s="342" t="e">
        <f>IF(#REF!="","",IF(OR(#REF!=Moutarde,#REF!=Phacélie),0,IF(#REF!=Luzerne,10*#REF!*VLOOKUP(#REF!,BDD!$HN$5:$HU$38,6,FALSE),IF(#REF!=Miscanthus,10.5*#REF!*VLOOKUP(#REF!,BDD!$HN$5:$HU$38,6,FALSE),INDEX(#REF!:#REF!,MATCH(#REF!,#REF!:#REF!,0),MATCH(#REF!,#REF!:#REF!,0))*#REF!*VLOOKUP(#REF!,BDD!$HN$5:$HU$38,6,FALSE)))))</f>
        <v>#REF!</v>
      </c>
      <c r="HS49" s="342" t="e">
        <f>IF(#REF!="","",IF(OR(#REF!=Moutarde,#REF!=Phacélie),0,IF(#REF!=Luzerne,10*#REF!*VLOOKUP(#REF!,BDD!$HN$5:$HU$38,7,FALSE),IF(#REF!=Miscanthus,10.5*#REF!*VLOOKUP(#REF!,BDD!$HN$5:$HU$38,7,FALSE),INDEX(#REF!:#REF!,MATCH(#REF!,#REF!:#REF!,0),MATCH(#REF!,#REF!:#REF!,0))*#REF!*VLOOKUP(#REF!,BDD!$HN$5:$HU$38,7,FALSE)))))</f>
        <v>#REF!</v>
      </c>
      <c r="HT49" s="342" t="e">
        <f>IF(#REF!="","",IF(OR(#REF!=Moutarde,#REF!=Phacélie),0,IF(#REF!=Luzerne,10*#REF!*VLOOKUP(#REF!,BDD!$HN$5:$HU$38,8,FALSE),IF(#REF!=Miscanthus,10.5*#REF!*VLOOKUP(#REF!,BDD!$HN$5:$HU$38,8,FALSE),INDEX(#REF!:#REF!,MATCH(#REF!,#REF!:#REF!,0),MATCH(#REF!,#REF!:#REF!,0))*#REF!*VLOOKUP(#REF!,BDD!$HN$5:$HU$38,8,FALSE)))))</f>
        <v>#REF!</v>
      </c>
      <c r="HU49" s="342" t="e">
        <f>IF(#REF!="","",IF(OR(#REF!=Moutarde,#REF!=Phacélie),0,1.6*#REF!))</f>
        <v>#REF!</v>
      </c>
      <c r="HV49" s="342" t="e">
        <f>IF(#REF!="","",IF(OR(#REF!=Moutarde,#REF!=Phacélie),0,1.6*#REF!))</f>
        <v>#REF!</v>
      </c>
      <c r="HW49" s="342" t="e">
        <f>IF(#REF!="","",IF(OR(#REF!=Moutarde,#REF!=Phacélie),0,1.6*#REF!))</f>
        <v>#REF!</v>
      </c>
      <c r="HX49" s="342" t="e">
        <f>IF(#REF!="","",(VLOOKUP(#REF!,BDD!$HN$5:$HU$38,2,FALSE))*#REF!)</f>
        <v>#REF!</v>
      </c>
      <c r="HY49" s="342" t="e">
        <f>IF(#REF!="","",IF(OR(#REF!=Moutarde,#REF!=Phacélie),0,IF(#REF!=Luzerne,10*#REF!*VLOOKUP(#REF!,BDD!$HN$5:$HU$38,3,FALSE),IF(#REF!=Miscanthus,10.5*#REF!*VLOOKUP(#REF!,BDD!$HN$5:$HU$38,3,FALSE),INDEX(#REF!:#REF!,MATCH(#REF!,#REF!:#REF!,0),MATCH(#REF!,#REF!:#REF!,0))*#REF!*VLOOKUP(#REF!,BDD!$HN$5:$HU$38,3,FALSE)))))</f>
        <v>#REF!</v>
      </c>
      <c r="HZ49" s="342" t="e">
        <f>IF(#REF!="","",IF(OR(#REF!=Moutarde,#REF!=Phacélie),0,IF(#REF!=Luzerne,10*#REF!*VLOOKUP(#REF!,BDD!$HN$5:$HU$38,4,FALSE),IF(#REF!=Miscanthus,10.5*#REF!*VLOOKUP(#REF!,BDD!$HN$5:$HU$38,4,FALSE),INDEX(#REF!:#REF!,MATCH(#REF!,#REF!:#REF!,0),MATCH(#REF!,#REF!:#REF!,0))*#REF!*VLOOKUP(#REF!,BDD!$HN$5:$HU$38,4,FALSE)))))</f>
        <v>#REF!</v>
      </c>
      <c r="IA49" s="342" t="e">
        <f>IF(#REF!="","",IF(OR(#REF!=Moutarde,#REF!=Phacélie),0,IF(#REF!=Luzerne,10*#REF!*VLOOKUP(#REF!,BDD!$HN$5:$HU$38,5,FALSE),IF(#REF!=Miscanthus,10.5*#REF!*VLOOKUP(#REF!,BDD!$HN$5:$HU$38,5,FALSE),INDEX(#REF!:#REF!,MATCH(#REF!,#REF!:#REF!,0),MATCH(#REF!,#REF!:#REF!,0))*#REF!*VLOOKUP(#REF!,BDD!$HN$5:$HU$38,5,FALSE)))))</f>
        <v>#REF!</v>
      </c>
      <c r="IB49" s="342" t="e">
        <f>IF(#REF!="","",IF(OR(#REF!=Moutarde,#REF!=Phacélie),0,IF(#REF!=Luzerne,10*#REF!*VLOOKUP(#REF!,BDD!$HN$5:$HU$38,6,FALSE),IF(#REF!=Miscanthus,10.5*#REF!*VLOOKUP(#REF!,BDD!$HN$5:$HU$38,6,FALSE),INDEX(#REF!:#REF!,MATCH(#REF!,#REF!:#REF!,0),MATCH(#REF!,#REF!:#REF!,0))*#REF!*VLOOKUP(#REF!,BDD!$HN$5:$HU$38,6,FALSE)))))</f>
        <v>#REF!</v>
      </c>
      <c r="IC49" s="342" t="e">
        <f>IF(#REF!="","",IF(OR(#REF!=Moutarde,#REF!=Phacélie),0,IF(#REF!=Luzerne,10*#REF!*VLOOKUP(#REF!,BDD!$HN$5:$HU$38,7,FALSE),IF(#REF!=Miscanthus,10.5*#REF!*VLOOKUP(#REF!,BDD!$HN$5:$HU$38,7,FALSE),INDEX(#REF!:#REF!,MATCH(#REF!,#REF!:#REF!,0),MATCH(#REF!,#REF!:#REF!,0))*#REF!*VLOOKUP(#REF!,BDD!$HN$5:$HU$38,7,FALSE)))))</f>
        <v>#REF!</v>
      </c>
      <c r="ID49" s="342" t="e">
        <f>IF(#REF!="","",IF(OR(#REF!=Moutarde,#REF!=Phacélie),0,IF(#REF!=Luzerne,10*#REF!*VLOOKUP(#REF!,BDD!$HN$5:$HU$38,8,FALSE),IF(#REF!=Miscanthus,10.5*#REF!*VLOOKUP(#REF!,BDD!$HN$5:$HU$38,8,FALSE),INDEX(#REF!:#REF!,MATCH(#REF!,#REF!:#REF!,0),MATCH(#REF!,#REF!:#REF!,0))*#REF!*VLOOKUP(#REF!,BDD!$HN$5:$HU$38,8,FALSE)))))</f>
        <v>#REF!</v>
      </c>
      <c r="IE49" s="342" t="e">
        <f>IF(#REF!="","",IF(OR(#REF!=Moutarde,#REF!=Phacélie),0,1.6*#REF!))</f>
        <v>#REF!</v>
      </c>
      <c r="IF49" s="342" t="e">
        <f>IF(#REF!="","",IF(OR(#REF!=Moutarde,#REF!=Phacélie),0,1.6*#REF!))</f>
        <v>#REF!</v>
      </c>
      <c r="IG49" s="342" t="e">
        <f>IF(#REF!="","",IF(OR(#REF!=Moutarde,#REF!=Phacélie),0,1.6*#REF!))</f>
        <v>#REF!</v>
      </c>
    </row>
    <row r="50" spans="1:241" ht="12.75" customHeight="1" x14ac:dyDescent="0.2">
      <c r="A50" s="369"/>
      <c r="B50" s="280"/>
      <c r="C50" s="280"/>
      <c r="D50" s="423"/>
      <c r="F50" s="280"/>
      <c r="G50" s="280"/>
      <c r="H50" s="280"/>
      <c r="I50" s="280"/>
      <c r="N50" s="277"/>
      <c r="O50" s="280" t="s">
        <v>402</v>
      </c>
      <c r="P50" s="280"/>
      <c r="Q50" s="280"/>
      <c r="R50" s="280"/>
      <c r="S50" s="280"/>
      <c r="T50" s="280"/>
      <c r="U50" s="280"/>
      <c r="V50" s="280"/>
      <c r="W50" s="280"/>
      <c r="X50" s="280"/>
      <c r="Y50" s="280"/>
      <c r="Z50" s="280"/>
      <c r="AA50" s="280"/>
      <c r="AB50" s="280"/>
      <c r="AC50" s="280"/>
      <c r="AD50" s="280"/>
      <c r="AE50" s="280"/>
      <c r="AF50" s="280"/>
      <c r="AG50" s="280"/>
      <c r="AH50" s="280"/>
      <c r="AI50" s="280"/>
      <c r="AJ50" s="280"/>
      <c r="AK50" s="280"/>
      <c r="AL50" s="280"/>
      <c r="AM50" s="280"/>
      <c r="AN50" s="280"/>
      <c r="AO50" s="280"/>
      <c r="AP50" s="280"/>
      <c r="AQ50" s="280"/>
      <c r="AR50" s="280"/>
      <c r="AS50" s="280"/>
      <c r="AT50" s="280"/>
      <c r="AU50" s="280"/>
      <c r="AV50" s="280"/>
      <c r="AW50" s="280"/>
      <c r="AX50" s="280"/>
      <c r="AY50" s="280"/>
      <c r="BC50" s="284" t="s">
        <v>796</v>
      </c>
      <c r="BD50" s="299">
        <v>305</v>
      </c>
      <c r="BF50" s="284" t="s">
        <v>796</v>
      </c>
      <c r="BG50" s="299">
        <v>366</v>
      </c>
      <c r="BL50" s="312"/>
      <c r="BM50" s="350" t="s">
        <v>168</v>
      </c>
      <c r="BN50" s="350">
        <f t="array" ref="BN50">IF(Ration_hivernale_complète_bisons[somme]&gt;0,0,IFERROR(IF(OR(AND(INDEX(Règles_bison[Specificite],MATCH(ChoixRationBisons&amp;$BM50,Règles_bison[Ration]&amp;Règles_bison[Aliment],0))="s1",IF($BM50=ChoixSpécificité1Bisons,1)),
INDEX(Règles_bison[Specificite],MATCH(ChoixRationBisons&amp;$BM50,Règles_bison[Ration]&amp;Règles_bison[Aliment],0))="c"),
INDEX(Règles_bison[Valeur 36 et plus],MATCH(ChoixRationBisons&amp;$BM50,Règles_bison[Ration]&amp;Règles_bison[Aliment],0)),0),0)*TotalBisonsMalesAdultes*NbreJoursNourrirBisonsDaims)</f>
        <v>0</v>
      </c>
      <c r="BO50" s="350">
        <f t="array" ref="BO50">IF(Ration_hivernale_complète_bisons[somme]&gt;0,0,IFERROR(IF(OR(AND(INDEX(Règles_bison[Specificite],MATCH(ChoixRationBisons&amp;$BM50,Règles_bison[Ration]&amp;Règles_bison[Aliment],0))="s1",IF($BM50=ChoixSpécificité1Bisons,1)),
INDEX(Règles_bison[Specificite],MATCH(ChoixRationBisons&amp;$BM50,Règles_bison[Ration]&amp;Règles_bison[Aliment],0))="c"),
INDEX(Règles_bison[Valeur 24-36],MATCH(ChoixRationBisons&amp;$BM50,Règles_bison[Ration]&amp;Règles_bison[Aliment],0)),0),0)*TotalBisonsMales_24_36_mois*NbreJoursNourrirBisonsDaims)</f>
        <v>0</v>
      </c>
      <c r="BP50" s="350">
        <f t="array" ref="BP50">IF(Ration_hivernale_complète_bisons[somme]&gt;0,0,IFERROR(IF(OR(AND(INDEX(Règles_bison[Specificite],MATCH(ChoixRationBisons&amp;$BM50,Règles_bison[Ration]&amp;Règles_bison[Aliment],0))="s1",IF($BM50=ChoixSpécificité1Bisons,1)),
INDEX(Règles_bison[Specificite],MATCH(ChoixRationBisons&amp;$BM50,Règles_bison[Ration]&amp;Règles_bison[Aliment],0))="c"),
INDEX(Règles_bison[Valeur 18-24],MATCH(ChoixRationBisons&amp;$BM50,Règles_bison[Ration]&amp;Règles_bison[Aliment],0)),0),0)*TotalBisonsMales_18_24_mois*NbreJoursNourrirBisonsDaims)</f>
        <v>0</v>
      </c>
      <c r="BQ50" s="350">
        <f t="array" ref="BQ50">IF(Ration_hivernale_complète_bisons[somme]&gt;0,0,IFERROR(IF(OR(AND(INDEX(Règles_bison[Specificite],MATCH(ChoixRationBisons&amp;$BM50,Règles_bison[Ration]&amp;Règles_bison[Aliment],0))="s1",IF($BM50=ChoixSpécificité1Bisons,1)),
INDEX(Règles_bison[Specificite],MATCH(ChoixRationBisons&amp;$BM50,Règles_bison[Ration]&amp;Règles_bison[Aliment],0))="c"),
INDEX(Règles_bison[Valeur 12-18],MATCH(ChoixRationBisons&amp;$BM50,Règles_bison[Ration]&amp;Règles_bison[Aliment],0)),0),0)*TotalBisonsMales_12_18_mois*NbreJoursNourrirBisonsDaims)</f>
        <v>0</v>
      </c>
      <c r="BR50" s="350">
        <f t="array" ref="BR50">IF(Ration_hivernale_complète_bisons[somme]&gt;0,0,IFERROR(IF(OR(AND(INDEX(Règles_bison[Specificite],MATCH(ChoixRationBisons&amp;$BM50,Règles_bison[Ration]&amp;Règles_bison[Aliment],0))="s1",IF($BM50=ChoixSpécificité1Bisons,1)),
INDEX(Règles_bison[Specificite],MATCH(ChoixRationBisons&amp;$BM50,Règles_bison[Ration]&amp;Règles_bison[Aliment],0))="c"),
INDEX(Règles_bison[Valeur 6-12],MATCH(ChoixRationBisons&amp;$BM50,Règles_bison[Ration]&amp;Règles_bison[Aliment],0)),0),0)*TotalBisonsMales_6_12_mois*NbreJoursNourrirBisonsDaims)</f>
        <v>0</v>
      </c>
      <c r="BS50" s="350">
        <f t="array" ref="BS50">IF(Ration_hivernale_complète_bisons[somme]&gt;0,0,IFERROR(IF(OR(AND(INDEX(Règles_bison[Specificite],MATCH(ChoixRationBisons&amp;$BM50,Règles_bison[Ration]&amp;Règles_bison[Aliment],0))="s1",IF($BM50=ChoixSpécificité1Bisons,1)),
INDEX(Règles_bison[Specificite],MATCH(ChoixRationBisons&amp;$BM50,Règles_bison[Ration]&amp;Règles_bison[Aliment],0))="c"),
INDEX(Règles_bison[Valeur 3-6],MATCH(ChoixRationBisons&amp;$BM50,Règles_bison[Ration]&amp;Règles_bison[Aliment],0)),0),0)*TotalBisonsMales_3_6_mois*NbreJoursNourrirBisonsDaims)</f>
        <v>0</v>
      </c>
      <c r="BT50" s="350">
        <f t="array" ref="BT50">IF(Ration_hivernale_complète_bisons[somme]&gt;0,0,IFERROR(IF(OR(AND(INDEX(Règles_bison[Specificite],MATCH(ChoixRationBisons&amp;$BM50,Règles_bison[Ration]&amp;Règles_bison[Aliment],0))="s1",IF($BM50=ChoixSpécificité1Bisons,1)),
INDEX(Règles_bison[Specificite],MATCH(ChoixRationBisons&amp;$BM50,Règles_bison[Ration]&amp;Règles_bison[Aliment],0))="c"),
INDEX(Règles_bison[Valeur 0-3],MATCH(ChoixRationBisons&amp;$BM50,Règles_bison[Ration]&amp;Règles_bison[Aliment],0)),0),0)*TotalBisonsMales_0_3_mois*NbreJoursNourrirBisonsDaims)</f>
        <v>0</v>
      </c>
      <c r="BU50" s="350">
        <f t="shared" si="10"/>
        <v>0</v>
      </c>
      <c r="BX50" s="373" t="s">
        <v>547</v>
      </c>
      <c r="BY50" s="280" t="s">
        <v>269</v>
      </c>
      <c r="BZ50" s="280" t="s">
        <v>886</v>
      </c>
      <c r="CA50" s="280">
        <v>16</v>
      </c>
      <c r="CB50" s="280">
        <v>12</v>
      </c>
      <c r="CC50" s="280">
        <v>8</v>
      </c>
      <c r="CD50" s="410">
        <v>0</v>
      </c>
      <c r="CE50" s="304"/>
      <c r="CF50" s="304"/>
      <c r="CG50" s="304"/>
      <c r="CH50" s="304"/>
      <c r="CJ50" s="420" t="s">
        <v>490</v>
      </c>
      <c r="CK50" s="384">
        <f t="array" ref="CK5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50" s="384">
        <f t="array" ref="CL5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50" s="384">
        <f t="array" ref="CM5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50" s="384">
        <f t="array" ref="CN5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50" s="384">
        <f t="array" ref="CO5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50" s="426">
        <f>SUM(AlimentsRationPorcinsMâles[[#This Row],[Valeur 12 et plus]:[Valeur 0-1]])</f>
        <v>0</v>
      </c>
      <c r="CS50" s="373"/>
      <c r="CT50" s="280"/>
      <c r="CU50" s="280"/>
      <c r="CV50" s="280"/>
      <c r="CW50" s="280"/>
      <c r="CX50" s="423"/>
      <c r="CZ50" s="373"/>
      <c r="DA50" s="280"/>
      <c r="DB50" s="280"/>
      <c r="DC50" s="280"/>
      <c r="DD50" s="280"/>
      <c r="DE50" s="423"/>
      <c r="DF50" s="277"/>
      <c r="DG50" s="420" t="s">
        <v>220</v>
      </c>
      <c r="DH50" s="433">
        <f t="array" ref="DH5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50" s="433">
        <f t="array" ref="DI5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50" s="433">
        <f t="array" ref="DJ5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50" s="434">
        <f>SUM(AlimentsRationPintadesMâles[[#This Row],[Valeur 9 et plus]:[Valeur 0-1]])</f>
        <v>0</v>
      </c>
      <c r="DL50" s="316"/>
      <c r="DM50" s="316"/>
      <c r="DN50" s="291" t="s">
        <v>788</v>
      </c>
      <c r="DV50" s="350" t="s">
        <v>268</v>
      </c>
      <c r="DW50" s="351">
        <f t="array" ref="DW50">IF(ChoixRationComplèteDaims=OUI,0,IFERROR(IF(OR(AND(INDEX(Règles_daims[Specificite],MATCH(ChoixRationDaims&amp;DV50,Règles_daims[Ration]&amp;Règles_daims[Aliment],0))="s1",IF(DV50=Spécificité1Daims,1)),
AND(INDEX(Règles_daims[Specificite],MATCH(ChoixRationDaims&amp;DV50,Règles_daims[Ration]&amp;Règles_daims[Aliment],0))="s2",IF(DV50=Spécificité2Daims,1)),
INDEX(Règles_daims[Specificite],MATCH(ChoixRationDaims&amp;DV50,Règles_daims[Ration]&amp;Règles_daims[Aliment],0))="c"),
INDEX(Règles_daims[Valeur 36 et plus],MATCH(ChoixRationDaims&amp;DV50,Règles_daims[Ration]&amp;Règles_daims[Aliment],0)),0),0)*SUM(TotalDaimsAdultes)*NbreJoursNourrirBisonsDaims)</f>
        <v>0</v>
      </c>
      <c r="DX50" s="351">
        <f t="array" ref="DX50">IF(ChoixRationComplèteDaims=OUI,0,IFERROR(IF(OR(AND(INDEX(Règles_daims[Specificite],MATCH(ChoixRationDaims&amp;DV50,Règles_daims[Ration]&amp;Règles_daims[Aliment],0))="s1",IF(DV50=Spécificité1Daims,1)),
AND(INDEX(Règles_daims[Specificite],MATCH(ChoixRationDaims&amp;DV50,Règles_daims[Ration]&amp;Règles_daims[Aliment],0))="s2",IF(DV50=Spécificité2Daims,1)),
INDEX(Règles_daims[Specificite],MATCH(ChoixRationDaims&amp;DV50,Règles_daims[Ration]&amp;Règles_daims[Aliment],0))="c"),
INDEX(Règles_daims[Valeur 24-36],MATCH(ChoixRationDaims&amp;DV50,Règles_daims[Ration]&amp;Règles_daims[Aliment],0)),0),0)*SUM(TotalDaims24_36)*NbreJoursNourrirBisonsDaims)</f>
        <v>0</v>
      </c>
      <c r="DY50" s="351">
        <f t="array" ref="DY50">IF(ChoixRationComplèteDaims=OUI,0,IFERROR(IF(OR(AND(INDEX(Règles_daims[Specificite],MATCH(ChoixRationDaims&amp;DV50,Règles_daims[Ration]&amp;Règles_daims[Aliment],0))="s1",IF(DV50=Spécificité1Daims,1)),
AND(INDEX(Règles_daims[Specificite],MATCH(ChoixRationDaims&amp;DV50,Règles_daims[Ration]&amp;Règles_daims[Aliment],0))="s2",IF(DV50=Spécificité2Daims,1)),
INDEX(Règles_daims[Specificite],MATCH(ChoixRationDaims&amp;DV50,Règles_daims[Ration]&amp;Règles_daims[Aliment],0))="c"),
INDEX(Règles_daims[Valeur 18-24],MATCH(ChoixRationDaims&amp;DV50,Règles_daims[Ration]&amp;Règles_daims[Aliment],0)),0),0)*SUM(TotalDaims18_24)*NbreJoursNourrirBisonsDaims)</f>
        <v>0</v>
      </c>
      <c r="DZ50" s="441">
        <f t="array" ref="DZ50">IF(ChoixRationComplèteDaims=OUI,0,IFERROR(IF(OR(AND(INDEX(Règles_daims[Specificite],MATCH(ChoixRationDaims&amp;DV50,Règles_daims[Ration]&amp;Règles_daims[Aliment],0))="s1",IF(DV50=Spécificité1Daims,1)),
AND(INDEX(Règles_daims[Specificite],MATCH(ChoixRationDaims&amp;DV50,Règles_daims[Ration]&amp;Règles_daims[Aliment],0))="s2",IF(DV50=Spécificité2Daims,1)),
INDEX(Règles_daims[Specificite],MATCH(ChoixRationDaims&amp;DV50,Règles_daims[Ration]&amp;Règles_daims[Aliment],0))="c"),
INDEX(Règles_daims[Valeur 12-18],MATCH(ChoixRationDaims&amp;DV50,Règles_daims[Ration]&amp;Règles_daims[Aliment],0)),0),0)*SUM(TotalDaims12_18)*NbreJoursNourrirBisonsDaims)</f>
        <v>0</v>
      </c>
      <c r="EA50" s="441">
        <f t="array" ref="EA50">IF(ChoixRationComplèteDaims=OUI,0,IFERROR(IF(OR(AND(INDEX(Règles_daims[Specificite],MATCH(ChoixRationDaims&amp;DV50,Règles_daims[Ration]&amp;Règles_daims[Aliment],0))="s1",IF(DV50=Spécificité1Daims,1)),
AND(INDEX(Règles_daims[Specificite],MATCH(ChoixRationDaims&amp;DV50,Règles_daims[Ration]&amp;Règles_daims[Aliment],0))="s2",IF(DV50=Spécificité2Daims,1)),
INDEX(Règles_daims[Specificite],MATCH(ChoixRationDaims&amp;DV50,Règles_daims[Ration]&amp;Règles_daims[Aliment],0))="c"),
INDEX(Règles_daims[Valeur 6-12],MATCH(ChoixRationDaims&amp;DV50,Règles_daims[Ration]&amp;Règles_daims[Aliment],0)),0),0)*SUM(TotalDaims6_12)*NbreJoursNourrirBisonsDaims)</f>
        <v>0</v>
      </c>
      <c r="EB50" s="441">
        <f t="array" ref="EB50">IF(ChoixRationComplèteDaims=OUI,0,IFERROR(IF(OR(AND(INDEX(Règles_daims[Specificite],MATCH(ChoixRationDaims&amp;DV50,Règles_daims[Ration]&amp;Règles_daims[Aliment],0))="s1",IF(DV50=Spécificité1Daims,1)),
AND(INDEX(Règles_daims[Specificite],MATCH(ChoixRationDaims&amp;DV50,Règles_daims[Ration]&amp;Règles_daims[Aliment],0))="s2",IF(DV50=Spécificité2Daims,1)),
INDEX(Règles_daims[Specificite],MATCH(ChoixRationDaims&amp;DV50,Règles_daims[Ration]&amp;Règles_daims[Aliment],0))="c"),
INDEX(Règles_daims[Valeur 3-6],MATCH(ChoixRationDaims&amp;DV50,Règles_daims[Ration]&amp;Règles_daims[Aliment],0)),0),0)*SUM(TotalDaims3_6)*NbreJoursNourrirBisonsDaims)</f>
        <v>0</v>
      </c>
      <c r="EC50" s="441">
        <f t="array" ref="EC50">IF(ChoixRationComplèteDaims=OUI,0,IFERROR(IF(OR(AND(INDEX(Règles_daims[Specificite],MATCH(ChoixRationDaims&amp;DV50,Règles_daims[Ration]&amp;Règles_daims[Aliment],0))="s1",IF(DV50=Spécificité1Daims,1)),
AND(INDEX(Règles_daims[Specificite],MATCH(ChoixRationDaims&amp;DV50,Règles_daims[Ration]&amp;Règles_daims[Aliment],0))="s2",IF(DV50=Spécificité2Daims,1)),
INDEX(Règles_daims[Specificite],MATCH(ChoixRationDaims&amp;DV50,Règles_daims[Ration]&amp;Règles_daims[Aliment],0))="c"),
INDEX(Règles_daims[Valeur 0-3],MATCH(ChoixRationDaims&amp;DV50,Règles_daims[Ration]&amp;Règles_daims[Aliment],0)),0),0)*SUM(TotalDaims0_3)*NbreJoursNourrirBisonsDaims)</f>
        <v>0</v>
      </c>
      <c r="ED50" s="441">
        <f t="shared" si="9"/>
        <v>0</v>
      </c>
      <c r="EK50" s="276"/>
      <c r="EL50" s="276"/>
      <c r="EN50" s="229" t="s">
        <v>1161</v>
      </c>
      <c r="EO50" s="229"/>
      <c r="EP50" s="229"/>
      <c r="EQ50" s="229"/>
      <c r="ER50" s="229"/>
      <c r="ES50" s="276"/>
      <c r="ET50" s="282"/>
      <c r="EU50" s="373" t="s">
        <v>875</v>
      </c>
      <c r="EV50" s="280" t="s">
        <v>510</v>
      </c>
      <c r="EW50" s="280" t="s">
        <v>886</v>
      </c>
      <c r="EX50" s="280">
        <v>12</v>
      </c>
      <c r="EY50" s="280">
        <v>9</v>
      </c>
      <c r="EZ50" s="280">
        <v>6</v>
      </c>
      <c r="FA50" s="423">
        <v>3</v>
      </c>
      <c r="FB50" s="298"/>
      <c r="FC50" s="282"/>
      <c r="FI50" s="276"/>
      <c r="FJ50" s="298"/>
      <c r="FK50" s="298"/>
      <c r="FL50" s="298"/>
      <c r="FM50" s="282"/>
      <c r="FS50" s="276"/>
      <c r="FT50" s="298"/>
      <c r="FU50" s="298"/>
      <c r="FV50" s="298"/>
      <c r="FW50" s="443" t="s">
        <v>1166</v>
      </c>
      <c r="FX50" s="450">
        <f t="array" ref="FX50">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50" s="450">
        <f t="array" ref="FY50">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50" s="450">
        <f t="array" ref="FZ50">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50" s="450">
        <f t="array" ref="GA50">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50" s="451">
        <f>SUM(AlimentsGavageOies[[#This Row],[Valeur 6 et plus]:[Valeur 0-1]])</f>
        <v>0</v>
      </c>
      <c r="GC50" s="316"/>
      <c r="GE50" s="280" t="s">
        <v>135</v>
      </c>
      <c r="GF50" s="283"/>
      <c r="GG50" s="283" t="s">
        <v>955</v>
      </c>
      <c r="GH50" s="283" t="s">
        <v>955</v>
      </c>
      <c r="GI50" s="283" t="s">
        <v>955</v>
      </c>
      <c r="GJ50" s="283" t="s">
        <v>955</v>
      </c>
      <c r="GK50" s="283" t="s">
        <v>955</v>
      </c>
      <c r="GL50" s="283" t="s">
        <v>955</v>
      </c>
      <c r="GM50" s="283" t="s">
        <v>955</v>
      </c>
      <c r="GN50" s="283" t="s">
        <v>955</v>
      </c>
      <c r="GO50" s="283" t="s">
        <v>955</v>
      </c>
      <c r="GP50" s="283" t="s">
        <v>955</v>
      </c>
      <c r="GQ50" s="283" t="s">
        <v>955</v>
      </c>
      <c r="GR50" s="283" t="s">
        <v>955</v>
      </c>
      <c r="GS50" s="283" t="s">
        <v>955</v>
      </c>
      <c r="GT50" s="283" t="s">
        <v>955</v>
      </c>
      <c r="GU50" s="283" t="s">
        <v>955</v>
      </c>
      <c r="GV50" s="283" t="s">
        <v>955</v>
      </c>
      <c r="GY50" s="444" t="str">
        <f t="shared" si="11"/>
        <v>semences de blé (G)</v>
      </c>
      <c r="GZ50" s="444"/>
      <c r="HA50" s="342"/>
      <c r="HB50" s="342" t="e">
        <f>IF(COUNTIF(TypeArticleDansEntrepôt,GY50)=0,0,SUMIF(TypeArticleDansEntrepôt,GY50,QtéArticleDansEntrepôt)*VLOOKUP(GY50,#REF!,2,FALSE))</f>
        <v>#REF!</v>
      </c>
      <c r="HN50" s="342" t="e">
        <f>IF(#REF!="","",(VLOOKUP(#REF!,BDD!$HN$5:$HU$38,2,FALSE))*#REF!)</f>
        <v>#REF!</v>
      </c>
      <c r="HO50" s="342" t="e">
        <f>IF(#REF!="","",IF(OR(#REF!=Moutarde,#REF!=Phacélie),0,IF(#REF!=Luzerne,10*#REF!*VLOOKUP(#REF!,BDD!$HN$5:$HU$38,3,FALSE),IF(#REF!=Miscanthus,10.5*#REF!*VLOOKUP(#REF!,BDD!$HN$5:$HU$38,3,FALSE),INDEX(#REF!:#REF!,MATCH(#REF!,#REF!:#REF!,0),MATCH(#REF!,#REF!:#REF!,0))*#REF!*VLOOKUP(#REF!,BDD!$HN$5:$HU$38,3,FALSE)))))</f>
        <v>#REF!</v>
      </c>
      <c r="HP50" s="342" t="e">
        <f>IF(#REF!="","",IF(OR(#REF!=Moutarde,#REF!=Phacélie),0,IF(#REF!=Luzerne,10*#REF!*VLOOKUP(#REF!,BDD!$HN$5:$HU$38,4,FALSE),IF(#REF!=Miscanthus,10.5*#REF!*VLOOKUP(#REF!,BDD!$HN$5:$HU$38,4,FALSE),INDEX(#REF!:#REF!,MATCH(#REF!,#REF!:#REF!,0),MATCH(#REF!,#REF!:#REF!,0))*#REF!*VLOOKUP(#REF!,BDD!$HN$5:$HU$38,4,FALSE)))))</f>
        <v>#REF!</v>
      </c>
      <c r="HQ50" s="342" t="e">
        <f>IF(#REF!="","",IF(OR(#REF!=Moutarde,#REF!=Phacélie),0,IF(#REF!=Luzerne,10*#REF!*VLOOKUP(#REF!,BDD!$HN$5:$HU$38,5,FALSE),IF(#REF!=Miscanthus,10.5*#REF!*VLOOKUP(#REF!,BDD!$HN$5:$HU$38,5,FALSE),INDEX(#REF!:#REF!,MATCH(#REF!,#REF!:#REF!,0),MATCH(#REF!,#REF!:#REF!,0))*#REF!*VLOOKUP(#REF!,BDD!$HN$5:$HU$38,5,FALSE)))))</f>
        <v>#REF!</v>
      </c>
      <c r="HR50" s="342" t="e">
        <f>IF(#REF!="","",IF(OR(#REF!=Moutarde,#REF!=Phacélie),0,IF(#REF!=Luzerne,10*#REF!*VLOOKUP(#REF!,BDD!$HN$5:$HU$38,6,FALSE),IF(#REF!=Miscanthus,10.5*#REF!*VLOOKUP(#REF!,BDD!$HN$5:$HU$38,6,FALSE),INDEX(#REF!:#REF!,MATCH(#REF!,#REF!:#REF!,0),MATCH(#REF!,#REF!:#REF!,0))*#REF!*VLOOKUP(#REF!,BDD!$HN$5:$HU$38,6,FALSE)))))</f>
        <v>#REF!</v>
      </c>
      <c r="HS50" s="342" t="e">
        <f>IF(#REF!="","",IF(OR(#REF!=Moutarde,#REF!=Phacélie),0,IF(#REF!=Luzerne,10*#REF!*VLOOKUP(#REF!,BDD!$HN$5:$HU$38,7,FALSE),IF(#REF!=Miscanthus,10.5*#REF!*VLOOKUP(#REF!,BDD!$HN$5:$HU$38,7,FALSE),INDEX(#REF!:#REF!,MATCH(#REF!,#REF!:#REF!,0),MATCH(#REF!,#REF!:#REF!,0))*#REF!*VLOOKUP(#REF!,BDD!$HN$5:$HU$38,7,FALSE)))))</f>
        <v>#REF!</v>
      </c>
      <c r="HT50" s="342" t="e">
        <f>IF(#REF!="","",IF(OR(#REF!=Moutarde,#REF!=Phacélie),0,IF(#REF!=Luzerne,10*#REF!*VLOOKUP(#REF!,BDD!$HN$5:$HU$38,8,FALSE),IF(#REF!=Miscanthus,10.5*#REF!*VLOOKUP(#REF!,BDD!$HN$5:$HU$38,8,FALSE),INDEX(#REF!:#REF!,MATCH(#REF!,#REF!:#REF!,0),MATCH(#REF!,#REF!:#REF!,0))*#REF!*VLOOKUP(#REF!,BDD!$HN$5:$HU$38,8,FALSE)))))</f>
        <v>#REF!</v>
      </c>
      <c r="HU50" s="342" t="e">
        <f>IF(#REF!="","",IF(OR(#REF!=Moutarde,#REF!=Phacélie),0,1.6*#REF!))</f>
        <v>#REF!</v>
      </c>
      <c r="HV50" s="342" t="e">
        <f>IF(#REF!="","",IF(OR(#REF!=Moutarde,#REF!=Phacélie),0,1.6*#REF!))</f>
        <v>#REF!</v>
      </c>
      <c r="HW50" s="342" t="e">
        <f>IF(#REF!="","",IF(OR(#REF!=Moutarde,#REF!=Phacélie),0,1.6*#REF!))</f>
        <v>#REF!</v>
      </c>
      <c r="HX50" s="342" t="e">
        <f>IF(#REF!="","",(VLOOKUP(#REF!,BDD!$HN$5:$HU$38,2,FALSE))*#REF!)</f>
        <v>#REF!</v>
      </c>
      <c r="HY50" s="342" t="e">
        <f>IF(#REF!="","",IF(OR(#REF!=Moutarde,#REF!=Phacélie),0,IF(#REF!=Luzerne,10*#REF!*VLOOKUP(#REF!,BDD!$HN$5:$HU$38,3,FALSE),IF(#REF!=Miscanthus,10.5*#REF!*VLOOKUP(#REF!,BDD!$HN$5:$HU$38,3,FALSE),INDEX(#REF!:#REF!,MATCH(#REF!,#REF!:#REF!,0),MATCH(#REF!,#REF!:#REF!,0))*#REF!*VLOOKUP(#REF!,BDD!$HN$5:$HU$38,3,FALSE)))))</f>
        <v>#REF!</v>
      </c>
      <c r="HZ50" s="342" t="e">
        <f>IF(#REF!="","",IF(OR(#REF!=Moutarde,#REF!=Phacélie),0,IF(#REF!=Luzerne,10*#REF!*VLOOKUP(#REF!,BDD!$HN$5:$HU$38,4,FALSE),IF(#REF!=Miscanthus,10.5*#REF!*VLOOKUP(#REF!,BDD!$HN$5:$HU$38,4,FALSE),INDEX(#REF!:#REF!,MATCH(#REF!,#REF!:#REF!,0),MATCH(#REF!,#REF!:#REF!,0))*#REF!*VLOOKUP(#REF!,BDD!$HN$5:$HU$38,4,FALSE)))))</f>
        <v>#REF!</v>
      </c>
      <c r="IA50" s="342" t="e">
        <f>IF(#REF!="","",IF(OR(#REF!=Moutarde,#REF!=Phacélie),0,IF(#REF!=Luzerne,10*#REF!*VLOOKUP(#REF!,BDD!$HN$5:$HU$38,5,FALSE),IF(#REF!=Miscanthus,10.5*#REF!*VLOOKUP(#REF!,BDD!$HN$5:$HU$38,5,FALSE),INDEX(#REF!:#REF!,MATCH(#REF!,#REF!:#REF!,0),MATCH(#REF!,#REF!:#REF!,0))*#REF!*VLOOKUP(#REF!,BDD!$HN$5:$HU$38,5,FALSE)))))</f>
        <v>#REF!</v>
      </c>
      <c r="IB50" s="342" t="e">
        <f>IF(#REF!="","",IF(OR(#REF!=Moutarde,#REF!=Phacélie),0,IF(#REF!=Luzerne,10*#REF!*VLOOKUP(#REF!,BDD!$HN$5:$HU$38,6,FALSE),IF(#REF!=Miscanthus,10.5*#REF!*VLOOKUP(#REF!,BDD!$HN$5:$HU$38,6,FALSE),INDEX(#REF!:#REF!,MATCH(#REF!,#REF!:#REF!,0),MATCH(#REF!,#REF!:#REF!,0))*#REF!*VLOOKUP(#REF!,BDD!$HN$5:$HU$38,6,FALSE)))))</f>
        <v>#REF!</v>
      </c>
      <c r="IC50" s="342" t="e">
        <f>IF(#REF!="","",IF(OR(#REF!=Moutarde,#REF!=Phacélie),0,IF(#REF!=Luzerne,10*#REF!*VLOOKUP(#REF!,BDD!$HN$5:$HU$38,7,FALSE),IF(#REF!=Miscanthus,10.5*#REF!*VLOOKUP(#REF!,BDD!$HN$5:$HU$38,7,FALSE),INDEX(#REF!:#REF!,MATCH(#REF!,#REF!:#REF!,0),MATCH(#REF!,#REF!:#REF!,0))*#REF!*VLOOKUP(#REF!,BDD!$HN$5:$HU$38,7,FALSE)))))</f>
        <v>#REF!</v>
      </c>
      <c r="ID50" s="342" t="e">
        <f>IF(#REF!="","",IF(OR(#REF!=Moutarde,#REF!=Phacélie),0,IF(#REF!=Luzerne,10*#REF!*VLOOKUP(#REF!,BDD!$HN$5:$HU$38,8,FALSE),IF(#REF!=Miscanthus,10.5*#REF!*VLOOKUP(#REF!,BDD!$HN$5:$HU$38,8,FALSE),INDEX(#REF!:#REF!,MATCH(#REF!,#REF!:#REF!,0),MATCH(#REF!,#REF!:#REF!,0))*#REF!*VLOOKUP(#REF!,BDD!$HN$5:$HU$38,8,FALSE)))))</f>
        <v>#REF!</v>
      </c>
      <c r="IE50" s="342" t="e">
        <f>IF(#REF!="","",IF(OR(#REF!=Moutarde,#REF!=Phacélie),0,1.6*#REF!))</f>
        <v>#REF!</v>
      </c>
      <c r="IF50" s="342" t="e">
        <f>IF(#REF!="","",IF(OR(#REF!=Moutarde,#REF!=Phacélie),0,1.6*#REF!))</f>
        <v>#REF!</v>
      </c>
      <c r="IG50" s="342" t="e">
        <f>IF(#REF!="","",IF(OR(#REF!=Moutarde,#REF!=Phacélie),0,1.6*#REF!))</f>
        <v>#REF!</v>
      </c>
    </row>
    <row r="51" spans="1:241" ht="12.75" customHeight="1" x14ac:dyDescent="0.2">
      <c r="A51" s="370"/>
      <c r="B51" s="305"/>
      <c r="C51" s="305"/>
      <c r="D51" s="424"/>
      <c r="E51" s="283" t="s">
        <v>383</v>
      </c>
      <c r="F51" s="280"/>
      <c r="G51" s="280"/>
      <c r="H51" s="280"/>
      <c r="I51" s="280"/>
      <c r="N51" s="277"/>
      <c r="O51" s="280" t="s">
        <v>403</v>
      </c>
      <c r="P51" s="280"/>
      <c r="Q51" s="280"/>
      <c r="R51" s="280"/>
      <c r="S51" s="280"/>
      <c r="T51" s="280"/>
      <c r="U51" s="280"/>
      <c r="V51" s="280"/>
      <c r="W51" s="280"/>
      <c r="X51" s="280"/>
      <c r="Y51" s="280"/>
      <c r="Z51" s="280"/>
      <c r="AA51" s="280"/>
      <c r="AB51" s="280"/>
      <c r="AC51" s="280"/>
      <c r="AD51" s="280"/>
      <c r="AE51" s="280"/>
      <c r="AF51" s="280"/>
      <c r="AG51" s="280"/>
      <c r="AH51" s="280"/>
      <c r="AI51" s="280"/>
      <c r="AJ51" s="280"/>
      <c r="AK51" s="280"/>
      <c r="AL51" s="280"/>
      <c r="AM51" s="280"/>
      <c r="AN51" s="280"/>
      <c r="AO51" s="280"/>
      <c r="AP51" s="280"/>
      <c r="AQ51" s="280"/>
      <c r="AR51" s="280"/>
      <c r="AS51" s="280"/>
      <c r="AT51" s="280"/>
      <c r="AU51" s="280"/>
      <c r="AV51" s="280"/>
      <c r="AW51" s="280"/>
      <c r="AX51" s="280"/>
      <c r="AY51" s="280"/>
      <c r="BC51" s="284" t="s">
        <v>797</v>
      </c>
      <c r="BD51" s="299">
        <v>320</v>
      </c>
      <c r="BF51" s="284" t="s">
        <v>797</v>
      </c>
      <c r="BG51" s="299">
        <v>384</v>
      </c>
      <c r="BL51" s="312"/>
      <c r="BM51" s="350" t="s">
        <v>266</v>
      </c>
      <c r="BN51" s="350">
        <f t="array" ref="BN51">IF(Ration_hivernale_complète_bisons[somme]&gt;0,0,IFERROR(IF(OR(AND(INDEX(Règles_bison[Specificite],MATCH(ChoixRationBisons&amp;$BM51,Règles_bison[Ration]&amp;Règles_bison[Aliment],0))="s1",IF($BM51=ChoixSpécificité1Bisons,1)),
INDEX(Règles_bison[Specificite],MATCH(ChoixRationBisons&amp;$BM51,Règles_bison[Ration]&amp;Règles_bison[Aliment],0))="c"),
INDEX(Règles_bison[Valeur 36 et plus],MATCH(ChoixRationBisons&amp;$BM51,Règles_bison[Ration]&amp;Règles_bison[Aliment],0)),0),0)*TotalBisonsMalesAdultes*NbreJoursNourrirBisonsDaims)</f>
        <v>0</v>
      </c>
      <c r="BO51" s="350">
        <f t="array" ref="BO51">IF(Ration_hivernale_complète_bisons[somme]&gt;0,0,IFERROR(IF(OR(AND(INDEX(Règles_bison[Specificite],MATCH(ChoixRationBisons&amp;$BM51,Règles_bison[Ration]&amp;Règles_bison[Aliment],0))="s1",IF($BM51=ChoixSpécificité1Bisons,1)),
INDEX(Règles_bison[Specificite],MATCH(ChoixRationBisons&amp;$BM51,Règles_bison[Ration]&amp;Règles_bison[Aliment],0))="c"),
INDEX(Règles_bison[Valeur 24-36],MATCH(ChoixRationBisons&amp;$BM51,Règles_bison[Ration]&amp;Règles_bison[Aliment],0)),0),0)*TotalBisonsMales_24_36_mois*NbreJoursNourrirBisonsDaims)</f>
        <v>0</v>
      </c>
      <c r="BP51" s="350">
        <f t="array" ref="BP51">IF(Ration_hivernale_complète_bisons[somme]&gt;0,0,IFERROR(IF(OR(AND(INDEX(Règles_bison[Specificite],MATCH(ChoixRationBisons&amp;$BM51,Règles_bison[Ration]&amp;Règles_bison[Aliment],0))="s1",IF($BM51=ChoixSpécificité1Bisons,1)),
INDEX(Règles_bison[Specificite],MATCH(ChoixRationBisons&amp;$BM51,Règles_bison[Ration]&amp;Règles_bison[Aliment],0))="c"),
INDEX(Règles_bison[Valeur 18-24],MATCH(ChoixRationBisons&amp;$BM51,Règles_bison[Ration]&amp;Règles_bison[Aliment],0)),0),0)*TotalBisonsMales_18_24_mois*NbreJoursNourrirBisonsDaims)</f>
        <v>0</v>
      </c>
      <c r="BQ51" s="350">
        <f t="array" ref="BQ51">IF(Ration_hivernale_complète_bisons[somme]&gt;0,0,IFERROR(IF(OR(AND(INDEX(Règles_bison[Specificite],MATCH(ChoixRationBisons&amp;$BM51,Règles_bison[Ration]&amp;Règles_bison[Aliment],0))="s1",IF($BM51=ChoixSpécificité1Bisons,1)),
INDEX(Règles_bison[Specificite],MATCH(ChoixRationBisons&amp;$BM51,Règles_bison[Ration]&amp;Règles_bison[Aliment],0))="c"),
INDEX(Règles_bison[Valeur 12-18],MATCH(ChoixRationBisons&amp;$BM51,Règles_bison[Ration]&amp;Règles_bison[Aliment],0)),0),0)*TotalBisonsMales_12_18_mois*NbreJoursNourrirBisonsDaims)</f>
        <v>0</v>
      </c>
      <c r="BR51" s="350">
        <f t="array" ref="BR51">IF(Ration_hivernale_complète_bisons[somme]&gt;0,0,IFERROR(IF(OR(AND(INDEX(Règles_bison[Specificite],MATCH(ChoixRationBisons&amp;$BM51,Règles_bison[Ration]&amp;Règles_bison[Aliment],0))="s1",IF($BM51=ChoixSpécificité1Bisons,1)),
INDEX(Règles_bison[Specificite],MATCH(ChoixRationBisons&amp;$BM51,Règles_bison[Ration]&amp;Règles_bison[Aliment],0))="c"),
INDEX(Règles_bison[Valeur 6-12],MATCH(ChoixRationBisons&amp;$BM51,Règles_bison[Ration]&amp;Règles_bison[Aliment],0)),0),0)*TotalBisonsMales_6_12_mois*NbreJoursNourrirBisonsDaims)</f>
        <v>0</v>
      </c>
      <c r="BS51" s="350">
        <f t="array" ref="BS51">IF(Ration_hivernale_complète_bisons[somme]&gt;0,0,IFERROR(IF(OR(AND(INDEX(Règles_bison[Specificite],MATCH(ChoixRationBisons&amp;$BM51,Règles_bison[Ration]&amp;Règles_bison[Aliment],0))="s1",IF($BM51=ChoixSpécificité1Bisons,1)),
INDEX(Règles_bison[Specificite],MATCH(ChoixRationBisons&amp;$BM51,Règles_bison[Ration]&amp;Règles_bison[Aliment],0))="c"),
INDEX(Règles_bison[Valeur 3-6],MATCH(ChoixRationBisons&amp;$BM51,Règles_bison[Ration]&amp;Règles_bison[Aliment],0)),0),0)*TotalBisonsMales_3_6_mois*NbreJoursNourrirBisonsDaims)</f>
        <v>0</v>
      </c>
      <c r="BT51" s="350">
        <f t="array" ref="BT51">IF(Ration_hivernale_complète_bisons[somme]&gt;0,0,IFERROR(IF(OR(AND(INDEX(Règles_bison[Specificite],MATCH(ChoixRationBisons&amp;$BM51,Règles_bison[Ration]&amp;Règles_bison[Aliment],0))="s1",IF($BM51=ChoixSpécificité1Bisons,1)),
INDEX(Règles_bison[Specificite],MATCH(ChoixRationBisons&amp;$BM51,Règles_bison[Ration]&amp;Règles_bison[Aliment],0))="c"),
INDEX(Règles_bison[Valeur 0-3],MATCH(ChoixRationBisons&amp;$BM51,Règles_bison[Ration]&amp;Règles_bison[Aliment],0)),0),0)*TotalBisonsMales_0_3_mois*NbreJoursNourrirBisonsDaims)</f>
        <v>0</v>
      </c>
      <c r="BU51" s="350">
        <f t="shared" si="10"/>
        <v>0</v>
      </c>
      <c r="BX51" s="373" t="s">
        <v>547</v>
      </c>
      <c r="BY51" s="280" t="s">
        <v>168</v>
      </c>
      <c r="BZ51" s="280" t="s">
        <v>886</v>
      </c>
      <c r="CA51" s="280">
        <v>1.2</v>
      </c>
      <c r="CB51" s="280">
        <v>1.2</v>
      </c>
      <c r="CC51" s="280">
        <v>0.8</v>
      </c>
      <c r="CD51" s="410">
        <v>2.8</v>
      </c>
      <c r="CE51" s="304"/>
      <c r="CF51" s="304"/>
      <c r="CG51" s="304"/>
      <c r="CH51" s="304"/>
      <c r="CJ51" s="420" t="s">
        <v>392</v>
      </c>
      <c r="CK51" s="384">
        <f t="array" ref="CK5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51" s="384">
        <f t="array" ref="CL5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51" s="384">
        <f t="array" ref="CM5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51" s="384">
        <f t="array" ref="CN5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51" s="384">
        <f t="array" ref="CO5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51" s="426">
        <f>SUM(AlimentsRationPorcinsMâles[[#This Row],[Valeur 12 et plus]:[Valeur 0-1]])</f>
        <v>0</v>
      </c>
      <c r="CS51" s="373"/>
      <c r="CT51" s="280"/>
      <c r="CU51" s="280"/>
      <c r="CV51" s="280"/>
      <c r="CW51" s="280"/>
      <c r="CX51" s="423"/>
      <c r="CZ51" s="373"/>
      <c r="DA51" s="280"/>
      <c r="DB51" s="280"/>
      <c r="DC51" s="280"/>
      <c r="DD51" s="280"/>
      <c r="DE51" s="423"/>
      <c r="DF51" s="277"/>
      <c r="DG51" s="420" t="s">
        <v>515</v>
      </c>
      <c r="DH51" s="433">
        <f t="array" ref="DH5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51" s="433">
        <f t="array" ref="DI5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51" s="433">
        <f t="array" ref="DJ5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51" s="434">
        <f>SUM(AlimentsRationPintadesMâles[[#This Row],[Valeur 9 et plus]:[Valeur 0-1]])</f>
        <v>0</v>
      </c>
      <c r="DL51" s="316"/>
      <c r="DM51" s="316"/>
      <c r="DN51" s="283" t="s">
        <v>789</v>
      </c>
      <c r="DQ51" s="291" t="s">
        <v>803</v>
      </c>
      <c r="DR51" s="290"/>
      <c r="DV51" s="350" t="s">
        <v>905</v>
      </c>
      <c r="DW51" s="351">
        <f t="array" ref="DW51">IF(ChoixRationComplèteDaims=OUI,0,IFERROR(IF(OR(AND(INDEX(Règles_daims[Specificite],MATCH(ChoixRationDaims&amp;DV51,Règles_daims[Ration]&amp;Règles_daims[Aliment],0))="s1",IF(DV51=Spécificité1Daims,1)),
AND(INDEX(Règles_daims[Specificite],MATCH(ChoixRationDaims&amp;DV51,Règles_daims[Ration]&amp;Règles_daims[Aliment],0))="s2",IF(DV51=Spécificité2Daims,1)),
INDEX(Règles_daims[Specificite],MATCH(ChoixRationDaims&amp;DV51,Règles_daims[Ration]&amp;Règles_daims[Aliment],0))="c"),
INDEX(Règles_daims[Valeur 36 et plus],MATCH(ChoixRationDaims&amp;DV51,Règles_daims[Ration]&amp;Règles_daims[Aliment],0)),0),0)*SUM(TotalDaimsAdultes)*NbreJoursNourrirBisonsDaims)</f>
        <v>0</v>
      </c>
      <c r="DX51" s="351">
        <f t="array" ref="DX51">IF(ChoixRationComplèteDaims=OUI,0,IFERROR(IF(OR(AND(INDEX(Règles_daims[Specificite],MATCH(ChoixRationDaims&amp;DV51,Règles_daims[Ration]&amp;Règles_daims[Aliment],0))="s1",IF(DV51=Spécificité1Daims,1)),
AND(INDEX(Règles_daims[Specificite],MATCH(ChoixRationDaims&amp;DV51,Règles_daims[Ration]&amp;Règles_daims[Aliment],0))="s2",IF(DV51=Spécificité2Daims,1)),
INDEX(Règles_daims[Specificite],MATCH(ChoixRationDaims&amp;DV51,Règles_daims[Ration]&amp;Règles_daims[Aliment],0))="c"),
INDEX(Règles_daims[Valeur 24-36],MATCH(ChoixRationDaims&amp;DV51,Règles_daims[Ration]&amp;Règles_daims[Aliment],0)),0),0)*SUM(TotalDaims24_36)*NbreJoursNourrirBisonsDaims)</f>
        <v>0</v>
      </c>
      <c r="DY51" s="351">
        <f t="array" ref="DY51">IF(ChoixRationComplèteDaims=OUI,0,IFERROR(IF(OR(AND(INDEX(Règles_daims[Specificite],MATCH(ChoixRationDaims&amp;DV51,Règles_daims[Ration]&amp;Règles_daims[Aliment],0))="s1",IF(DV51=Spécificité1Daims,1)),
AND(INDEX(Règles_daims[Specificite],MATCH(ChoixRationDaims&amp;DV51,Règles_daims[Ration]&amp;Règles_daims[Aliment],0))="s2",IF(DV51=Spécificité2Daims,1)),
INDEX(Règles_daims[Specificite],MATCH(ChoixRationDaims&amp;DV51,Règles_daims[Ration]&amp;Règles_daims[Aliment],0))="c"),
INDEX(Règles_daims[Valeur 18-24],MATCH(ChoixRationDaims&amp;DV51,Règles_daims[Ration]&amp;Règles_daims[Aliment],0)),0),0)*SUM(TotalDaims18_24)*NbreJoursNourrirBisonsDaims)</f>
        <v>0</v>
      </c>
      <c r="DZ51" s="441">
        <f t="array" ref="DZ51">IF(ChoixRationComplèteDaims=OUI,0,IFERROR(IF(OR(AND(INDEX(Règles_daims[Specificite],MATCH(ChoixRationDaims&amp;DV51,Règles_daims[Ration]&amp;Règles_daims[Aliment],0))="s1",IF(DV51=Spécificité1Daims,1)),
AND(INDEX(Règles_daims[Specificite],MATCH(ChoixRationDaims&amp;DV51,Règles_daims[Ration]&amp;Règles_daims[Aliment],0))="s2",IF(DV51=Spécificité2Daims,1)),
INDEX(Règles_daims[Specificite],MATCH(ChoixRationDaims&amp;DV51,Règles_daims[Ration]&amp;Règles_daims[Aliment],0))="c"),
INDEX(Règles_daims[Valeur 12-18],MATCH(ChoixRationDaims&amp;DV51,Règles_daims[Ration]&amp;Règles_daims[Aliment],0)),0),0)*SUM(TotalDaims12_18)*NbreJoursNourrirBisonsDaims)</f>
        <v>0</v>
      </c>
      <c r="EA51" s="441">
        <f t="array" ref="EA51">IF(ChoixRationComplèteDaims=OUI,0,IFERROR(IF(OR(AND(INDEX(Règles_daims[Specificite],MATCH(ChoixRationDaims&amp;DV51,Règles_daims[Ration]&amp;Règles_daims[Aliment],0))="s1",IF(DV51=Spécificité1Daims,1)),
AND(INDEX(Règles_daims[Specificite],MATCH(ChoixRationDaims&amp;DV51,Règles_daims[Ration]&amp;Règles_daims[Aliment],0))="s2",IF(DV51=Spécificité2Daims,1)),
INDEX(Règles_daims[Specificite],MATCH(ChoixRationDaims&amp;DV51,Règles_daims[Ration]&amp;Règles_daims[Aliment],0))="c"),
INDEX(Règles_daims[Valeur 6-12],MATCH(ChoixRationDaims&amp;DV51,Règles_daims[Ration]&amp;Règles_daims[Aliment],0)),0),0)*SUM(TotalDaims6_12)*NbreJoursNourrirBisonsDaims)</f>
        <v>0</v>
      </c>
      <c r="EB51" s="441">
        <f t="array" ref="EB51">IF(ChoixRationComplèteDaims=OUI,0,IFERROR(IF(OR(AND(INDEX(Règles_daims[Specificite],MATCH(ChoixRationDaims&amp;DV51,Règles_daims[Ration]&amp;Règles_daims[Aliment],0))="s1",IF(DV51=Spécificité1Daims,1)),
AND(INDEX(Règles_daims[Specificite],MATCH(ChoixRationDaims&amp;DV51,Règles_daims[Ration]&amp;Règles_daims[Aliment],0))="s2",IF(DV51=Spécificité2Daims,1)),
INDEX(Règles_daims[Specificite],MATCH(ChoixRationDaims&amp;DV51,Règles_daims[Ration]&amp;Règles_daims[Aliment],0))="c"),
INDEX(Règles_daims[Valeur 3-6],MATCH(ChoixRationDaims&amp;DV51,Règles_daims[Ration]&amp;Règles_daims[Aliment],0)),0),0)*SUM(TotalDaims3_6)*NbreJoursNourrirBisonsDaims)</f>
        <v>0</v>
      </c>
      <c r="EC51" s="441">
        <f t="array" ref="EC51">IF(ChoixRationComplèteDaims=OUI,0,IFERROR(IF(OR(AND(INDEX(Règles_daims[Specificite],MATCH(ChoixRationDaims&amp;DV51,Règles_daims[Ration]&amp;Règles_daims[Aliment],0))="s1",IF(DV51=Spécificité1Daims,1)),
AND(INDEX(Règles_daims[Specificite],MATCH(ChoixRationDaims&amp;DV51,Règles_daims[Ration]&amp;Règles_daims[Aliment],0))="s2",IF(DV51=Spécificité2Daims,1)),
INDEX(Règles_daims[Specificite],MATCH(ChoixRationDaims&amp;DV51,Règles_daims[Ration]&amp;Règles_daims[Aliment],0))="c"),
INDEX(Règles_daims[Valeur 0-3],MATCH(ChoixRationDaims&amp;DV51,Règles_daims[Ration]&amp;Règles_daims[Aliment],0)),0),0)*SUM(TotalDaims0_3)*NbreJoursNourrirBisonsDaims)</f>
        <v>0</v>
      </c>
      <c r="ED51" s="441">
        <f t="shared" si="9"/>
        <v>0</v>
      </c>
      <c r="EG51" s="229" t="s">
        <v>1157</v>
      </c>
      <c r="EH51" s="229"/>
      <c r="EI51" s="229"/>
      <c r="EJ51" s="229"/>
      <c r="EK51" s="229"/>
      <c r="EL51" s="276"/>
      <c r="EN51" s="394" t="s">
        <v>910</v>
      </c>
      <c r="EO51" s="395" t="s">
        <v>929</v>
      </c>
      <c r="EP51" s="395" t="s">
        <v>890</v>
      </c>
      <c r="EQ51" s="395" t="s">
        <v>889</v>
      </c>
      <c r="ER51" s="396" t="s">
        <v>903</v>
      </c>
      <c r="ES51" s="276"/>
      <c r="ET51" s="282"/>
      <c r="EU51" s="373" t="s">
        <v>875</v>
      </c>
      <c r="EV51" s="280" t="s">
        <v>518</v>
      </c>
      <c r="EW51" s="280" t="s">
        <v>886</v>
      </c>
      <c r="EX51" s="280">
        <v>150</v>
      </c>
      <c r="EY51" s="280">
        <v>100</v>
      </c>
      <c r="EZ51" s="280">
        <v>70</v>
      </c>
      <c r="FA51" s="423">
        <v>30</v>
      </c>
      <c r="FB51" s="298"/>
      <c r="FC51" s="282"/>
      <c r="FI51" s="276"/>
      <c r="FJ51" s="298"/>
      <c r="FK51" s="298"/>
      <c r="FL51" s="298"/>
      <c r="FM51" s="282"/>
      <c r="FN51" s="335" t="s">
        <v>1161</v>
      </c>
      <c r="FO51" s="335"/>
      <c r="FP51" s="335"/>
      <c r="FQ51" s="335"/>
      <c r="FR51" s="335"/>
      <c r="FS51" s="335"/>
      <c r="FT51" s="298"/>
      <c r="FU51" s="298"/>
      <c r="FV51" s="298"/>
      <c r="FW51" s="443" t="s">
        <v>1167</v>
      </c>
      <c r="FX51" s="450">
        <f t="array" ref="FX51">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51" s="450">
        <f t="array" ref="FY51">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51" s="450">
        <f t="array" ref="FZ51">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51" s="450">
        <f t="array" ref="GA51">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51" s="451">
        <f>SUM(AlimentsGavageOies[[#This Row],[Valeur 6 et plus]:[Valeur 0-1]])</f>
        <v>0</v>
      </c>
      <c r="GC51" s="316"/>
      <c r="GE51" s="280" t="s">
        <v>242</v>
      </c>
      <c r="GF51" s="283"/>
      <c r="GG51" s="283" t="s">
        <v>955</v>
      </c>
      <c r="GH51" s="283" t="s">
        <v>955</v>
      </c>
      <c r="GI51" s="283" t="s">
        <v>955</v>
      </c>
      <c r="GJ51" s="283" t="s">
        <v>955</v>
      </c>
      <c r="GK51" s="283" t="s">
        <v>955</v>
      </c>
      <c r="GL51" s="283" t="s">
        <v>955</v>
      </c>
      <c r="GM51" s="283" t="s">
        <v>955</v>
      </c>
      <c r="GN51" s="283" t="s">
        <v>955</v>
      </c>
      <c r="GO51" s="283" t="s">
        <v>955</v>
      </c>
      <c r="GP51" s="283" t="s">
        <v>955</v>
      </c>
      <c r="GQ51" s="283" t="s">
        <v>955</v>
      </c>
      <c r="GR51" s="283" t="s">
        <v>955</v>
      </c>
      <c r="GS51" s="283" t="s">
        <v>955</v>
      </c>
      <c r="GT51" s="283" t="s">
        <v>955</v>
      </c>
      <c r="GU51" s="283" t="s">
        <v>955</v>
      </c>
      <c r="GV51" s="283" t="s">
        <v>955</v>
      </c>
      <c r="GY51" s="444" t="str">
        <f t="shared" si="11"/>
        <v>semences de blé (GP)</v>
      </c>
      <c r="GZ51" s="444"/>
      <c r="HA51" s="342"/>
      <c r="HB51" s="342" t="e">
        <f>IF(COUNTIF(TypeArticleDansEntrepôt,GY51)=0,0,SUMIF(TypeArticleDansEntrepôt,GY51,QtéArticleDansEntrepôt)*VLOOKUP(GY51,#REF!,2,FALSE))</f>
        <v>#REF!</v>
      </c>
      <c r="HN51" s="342" t="e">
        <f>IF(#REF!="","",(VLOOKUP(#REF!,BDD!$HN$5:$HU$38,2,FALSE))*#REF!)</f>
        <v>#REF!</v>
      </c>
      <c r="HO51" s="342" t="e">
        <f>IF(#REF!="","",IF(OR(#REF!=Moutarde,#REF!=Phacélie),0,IF(#REF!=Luzerne,10*#REF!*VLOOKUP(#REF!,BDD!$HN$5:$HU$38,3,FALSE),IF(#REF!=Miscanthus,10.5*#REF!*VLOOKUP(#REF!,BDD!$HN$5:$HU$38,3,FALSE),INDEX(#REF!:#REF!,MATCH(#REF!,#REF!:#REF!,0),MATCH(#REF!,#REF!:#REF!,0))*#REF!*VLOOKUP(#REF!,BDD!$HN$5:$HU$38,3,FALSE)))))</f>
        <v>#REF!</v>
      </c>
      <c r="HP51" s="342" t="e">
        <f>IF(#REF!="","",IF(OR(#REF!=Moutarde,#REF!=Phacélie),0,IF(#REF!=Luzerne,10*#REF!*VLOOKUP(#REF!,BDD!$HN$5:$HU$38,4,FALSE),IF(#REF!=Miscanthus,10.5*#REF!*VLOOKUP(#REF!,BDD!$HN$5:$HU$38,4,FALSE),INDEX(#REF!:#REF!,MATCH(#REF!,#REF!:#REF!,0),MATCH(#REF!,#REF!:#REF!,0))*#REF!*VLOOKUP(#REF!,BDD!$HN$5:$HU$38,4,FALSE)))))</f>
        <v>#REF!</v>
      </c>
      <c r="HQ51" s="342" t="e">
        <f>IF(#REF!="","",IF(OR(#REF!=Moutarde,#REF!=Phacélie),0,IF(#REF!=Luzerne,10*#REF!*VLOOKUP(#REF!,BDD!$HN$5:$HU$38,5,FALSE),IF(#REF!=Miscanthus,10.5*#REF!*VLOOKUP(#REF!,BDD!$HN$5:$HU$38,5,FALSE),INDEX(#REF!:#REF!,MATCH(#REF!,#REF!:#REF!,0),MATCH(#REF!,#REF!:#REF!,0))*#REF!*VLOOKUP(#REF!,BDD!$HN$5:$HU$38,5,FALSE)))))</f>
        <v>#REF!</v>
      </c>
      <c r="HR51" s="342" t="e">
        <f>IF(#REF!="","",IF(OR(#REF!=Moutarde,#REF!=Phacélie),0,IF(#REF!=Luzerne,10*#REF!*VLOOKUP(#REF!,BDD!$HN$5:$HU$38,6,FALSE),IF(#REF!=Miscanthus,10.5*#REF!*VLOOKUP(#REF!,BDD!$HN$5:$HU$38,6,FALSE),INDEX(#REF!:#REF!,MATCH(#REF!,#REF!:#REF!,0),MATCH(#REF!,#REF!:#REF!,0))*#REF!*VLOOKUP(#REF!,BDD!$HN$5:$HU$38,6,FALSE)))))</f>
        <v>#REF!</v>
      </c>
      <c r="HS51" s="342" t="e">
        <f>IF(#REF!="","",IF(OR(#REF!=Moutarde,#REF!=Phacélie),0,IF(#REF!=Luzerne,10*#REF!*VLOOKUP(#REF!,BDD!$HN$5:$HU$38,7,FALSE),IF(#REF!=Miscanthus,10.5*#REF!*VLOOKUP(#REF!,BDD!$HN$5:$HU$38,7,FALSE),INDEX(#REF!:#REF!,MATCH(#REF!,#REF!:#REF!,0),MATCH(#REF!,#REF!:#REF!,0))*#REF!*VLOOKUP(#REF!,BDD!$HN$5:$HU$38,7,FALSE)))))</f>
        <v>#REF!</v>
      </c>
      <c r="HT51" s="342" t="e">
        <f>IF(#REF!="","",IF(OR(#REF!=Moutarde,#REF!=Phacélie),0,IF(#REF!=Luzerne,10*#REF!*VLOOKUP(#REF!,BDD!$HN$5:$HU$38,8,FALSE),IF(#REF!=Miscanthus,10.5*#REF!*VLOOKUP(#REF!,BDD!$HN$5:$HU$38,8,FALSE),INDEX(#REF!:#REF!,MATCH(#REF!,#REF!:#REF!,0),MATCH(#REF!,#REF!:#REF!,0))*#REF!*VLOOKUP(#REF!,BDD!$HN$5:$HU$38,8,FALSE)))))</f>
        <v>#REF!</v>
      </c>
      <c r="HU51" s="342" t="e">
        <f>IF(#REF!="","",IF(OR(#REF!=Moutarde,#REF!=Phacélie),0,1.6*#REF!))</f>
        <v>#REF!</v>
      </c>
      <c r="HV51" s="342" t="e">
        <f>IF(#REF!="","",IF(OR(#REF!=Moutarde,#REF!=Phacélie),0,1.6*#REF!))</f>
        <v>#REF!</v>
      </c>
      <c r="HW51" s="342" t="e">
        <f>IF(#REF!="","",IF(OR(#REF!=Moutarde,#REF!=Phacélie),0,1.6*#REF!))</f>
        <v>#REF!</v>
      </c>
      <c r="HX51" s="342" t="e">
        <f>IF(#REF!="","",(VLOOKUP(#REF!,BDD!$HN$5:$HU$38,2,FALSE))*#REF!)</f>
        <v>#REF!</v>
      </c>
      <c r="HY51" s="342" t="e">
        <f>IF(#REF!="","",IF(OR(#REF!=Moutarde,#REF!=Phacélie),0,IF(#REF!=Luzerne,10*#REF!*VLOOKUP(#REF!,BDD!$HN$5:$HU$38,3,FALSE),IF(#REF!=Miscanthus,10.5*#REF!*VLOOKUP(#REF!,BDD!$HN$5:$HU$38,3,FALSE),INDEX(#REF!:#REF!,MATCH(#REF!,#REF!:#REF!,0),MATCH(#REF!,#REF!:#REF!,0))*#REF!*VLOOKUP(#REF!,BDD!$HN$5:$HU$38,3,FALSE)))))</f>
        <v>#REF!</v>
      </c>
      <c r="HZ51" s="342" t="e">
        <f>IF(#REF!="","",IF(OR(#REF!=Moutarde,#REF!=Phacélie),0,IF(#REF!=Luzerne,10*#REF!*VLOOKUP(#REF!,BDD!$HN$5:$HU$38,4,FALSE),IF(#REF!=Miscanthus,10.5*#REF!*VLOOKUP(#REF!,BDD!$HN$5:$HU$38,4,FALSE),INDEX(#REF!:#REF!,MATCH(#REF!,#REF!:#REF!,0),MATCH(#REF!,#REF!:#REF!,0))*#REF!*VLOOKUP(#REF!,BDD!$HN$5:$HU$38,4,FALSE)))))</f>
        <v>#REF!</v>
      </c>
      <c r="IA51" s="342" t="e">
        <f>IF(#REF!="","",IF(OR(#REF!=Moutarde,#REF!=Phacélie),0,IF(#REF!=Luzerne,10*#REF!*VLOOKUP(#REF!,BDD!$HN$5:$HU$38,5,FALSE),IF(#REF!=Miscanthus,10.5*#REF!*VLOOKUP(#REF!,BDD!$HN$5:$HU$38,5,FALSE),INDEX(#REF!:#REF!,MATCH(#REF!,#REF!:#REF!,0),MATCH(#REF!,#REF!:#REF!,0))*#REF!*VLOOKUP(#REF!,BDD!$HN$5:$HU$38,5,FALSE)))))</f>
        <v>#REF!</v>
      </c>
      <c r="IB51" s="342" t="e">
        <f>IF(#REF!="","",IF(OR(#REF!=Moutarde,#REF!=Phacélie),0,IF(#REF!=Luzerne,10*#REF!*VLOOKUP(#REF!,BDD!$HN$5:$HU$38,6,FALSE),IF(#REF!=Miscanthus,10.5*#REF!*VLOOKUP(#REF!,BDD!$HN$5:$HU$38,6,FALSE),INDEX(#REF!:#REF!,MATCH(#REF!,#REF!:#REF!,0),MATCH(#REF!,#REF!:#REF!,0))*#REF!*VLOOKUP(#REF!,BDD!$HN$5:$HU$38,6,FALSE)))))</f>
        <v>#REF!</v>
      </c>
      <c r="IC51" s="342" t="e">
        <f>IF(#REF!="","",IF(OR(#REF!=Moutarde,#REF!=Phacélie),0,IF(#REF!=Luzerne,10*#REF!*VLOOKUP(#REF!,BDD!$HN$5:$HU$38,7,FALSE),IF(#REF!=Miscanthus,10.5*#REF!*VLOOKUP(#REF!,BDD!$HN$5:$HU$38,7,FALSE),INDEX(#REF!:#REF!,MATCH(#REF!,#REF!:#REF!,0),MATCH(#REF!,#REF!:#REF!,0))*#REF!*VLOOKUP(#REF!,BDD!$HN$5:$HU$38,7,FALSE)))))</f>
        <v>#REF!</v>
      </c>
      <c r="ID51" s="342" t="e">
        <f>IF(#REF!="","",IF(OR(#REF!=Moutarde,#REF!=Phacélie),0,IF(#REF!=Luzerne,10*#REF!*VLOOKUP(#REF!,BDD!$HN$5:$HU$38,8,FALSE),IF(#REF!=Miscanthus,10.5*#REF!*VLOOKUP(#REF!,BDD!$HN$5:$HU$38,8,FALSE),INDEX(#REF!:#REF!,MATCH(#REF!,#REF!:#REF!,0),MATCH(#REF!,#REF!:#REF!,0))*#REF!*VLOOKUP(#REF!,BDD!$HN$5:$HU$38,8,FALSE)))))</f>
        <v>#REF!</v>
      </c>
      <c r="IE51" s="342" t="e">
        <f>IF(#REF!="","",IF(OR(#REF!=Moutarde,#REF!=Phacélie),0,1.6*#REF!))</f>
        <v>#REF!</v>
      </c>
      <c r="IF51" s="342" t="e">
        <f>IF(#REF!="","",IF(OR(#REF!=Moutarde,#REF!=Phacélie),0,1.6*#REF!))</f>
        <v>#REF!</v>
      </c>
      <c r="IG51" s="342" t="e">
        <f>IF(#REF!="","",IF(OR(#REF!=Moutarde,#REF!=Phacélie),0,1.6*#REF!))</f>
        <v>#REF!</v>
      </c>
    </row>
    <row r="52" spans="1:241" ht="12.75" customHeight="1" x14ac:dyDescent="0.2">
      <c r="A52" s="278"/>
      <c r="B52" s="278"/>
      <c r="C52" s="278"/>
      <c r="D52" s="278"/>
      <c r="F52" s="280"/>
      <c r="G52" s="280"/>
      <c r="H52" s="280"/>
      <c r="I52" s="280"/>
      <c r="N52" s="277"/>
      <c r="O52" s="280" t="s">
        <v>404</v>
      </c>
      <c r="P52" s="280"/>
      <c r="Q52" s="280"/>
      <c r="R52" s="280"/>
      <c r="S52" s="280"/>
      <c r="T52" s="280"/>
      <c r="U52" s="280"/>
      <c r="V52" s="280"/>
      <c r="W52" s="280"/>
      <c r="X52" s="280"/>
      <c r="Y52" s="280"/>
      <c r="Z52" s="280"/>
      <c r="AA52" s="280"/>
      <c r="AB52" s="280"/>
      <c r="AC52" s="280"/>
      <c r="AD52" s="280"/>
      <c r="AE52" s="280"/>
      <c r="AF52" s="280"/>
      <c r="AG52" s="280"/>
      <c r="AH52" s="280"/>
      <c r="AI52" s="280"/>
      <c r="AJ52" s="280"/>
      <c r="AK52" s="280"/>
      <c r="AL52" s="280"/>
      <c r="AM52" s="280"/>
      <c r="AN52" s="280"/>
      <c r="AO52" s="280"/>
      <c r="AP52" s="280"/>
      <c r="AQ52" s="280"/>
      <c r="AR52" s="280"/>
      <c r="AS52" s="280"/>
      <c r="AT52" s="280"/>
      <c r="AU52" s="280"/>
      <c r="AV52" s="280"/>
      <c r="AW52" s="280"/>
      <c r="AX52" s="280"/>
      <c r="AY52" s="280"/>
      <c r="BC52" s="284" t="s">
        <v>798</v>
      </c>
      <c r="BD52" s="299">
        <v>340</v>
      </c>
      <c r="BF52" s="284" t="s">
        <v>798</v>
      </c>
      <c r="BG52" s="299">
        <v>408</v>
      </c>
      <c r="BL52" s="312"/>
      <c r="BM52" s="350" t="s">
        <v>267</v>
      </c>
      <c r="BN52" s="350">
        <f t="array" ref="BN52">IF(Ration_hivernale_complète_bisons[somme]&gt;0,0,IFERROR(IF(OR(AND(INDEX(Règles_bison[Specificite],MATCH(ChoixRationBisons&amp;$BM52,Règles_bison[Ration]&amp;Règles_bison[Aliment],0))="s1",IF($BM52=ChoixSpécificité1Bisons,1)),
INDEX(Règles_bison[Specificite],MATCH(ChoixRationBisons&amp;$BM52,Règles_bison[Ration]&amp;Règles_bison[Aliment],0))="c"),
INDEX(Règles_bison[Valeur 36 et plus],MATCH(ChoixRationBisons&amp;$BM52,Règles_bison[Ration]&amp;Règles_bison[Aliment],0)),0),0)*TotalBisonsMalesAdultes*NbreJoursNourrirBisonsDaims)</f>
        <v>0</v>
      </c>
      <c r="BO52" s="350">
        <f t="array" ref="BO52">IF(Ration_hivernale_complète_bisons[somme]&gt;0,0,IFERROR(IF(OR(AND(INDEX(Règles_bison[Specificite],MATCH(ChoixRationBisons&amp;$BM52,Règles_bison[Ration]&amp;Règles_bison[Aliment],0))="s1",IF($BM52=ChoixSpécificité1Bisons,1)),
INDEX(Règles_bison[Specificite],MATCH(ChoixRationBisons&amp;$BM52,Règles_bison[Ration]&amp;Règles_bison[Aliment],0))="c"),
INDEX(Règles_bison[Valeur 24-36],MATCH(ChoixRationBisons&amp;$BM52,Règles_bison[Ration]&amp;Règles_bison[Aliment],0)),0),0)*TotalBisonsMales_24_36_mois*NbreJoursNourrirBisonsDaims)</f>
        <v>0</v>
      </c>
      <c r="BP52" s="350">
        <f t="array" ref="BP52">IF(Ration_hivernale_complète_bisons[somme]&gt;0,0,IFERROR(IF(OR(AND(INDEX(Règles_bison[Specificite],MATCH(ChoixRationBisons&amp;$BM52,Règles_bison[Ration]&amp;Règles_bison[Aliment],0))="s1",IF($BM52=ChoixSpécificité1Bisons,1)),
INDEX(Règles_bison[Specificite],MATCH(ChoixRationBisons&amp;$BM52,Règles_bison[Ration]&amp;Règles_bison[Aliment],0))="c"),
INDEX(Règles_bison[Valeur 18-24],MATCH(ChoixRationBisons&amp;$BM52,Règles_bison[Ration]&amp;Règles_bison[Aliment],0)),0),0)*TotalBisonsMales_18_24_mois*NbreJoursNourrirBisonsDaims)</f>
        <v>0</v>
      </c>
      <c r="BQ52" s="350">
        <f t="array" ref="BQ52">IF(Ration_hivernale_complète_bisons[somme]&gt;0,0,IFERROR(IF(OR(AND(INDEX(Règles_bison[Specificite],MATCH(ChoixRationBisons&amp;$BM52,Règles_bison[Ration]&amp;Règles_bison[Aliment],0))="s1",IF($BM52=ChoixSpécificité1Bisons,1)),
INDEX(Règles_bison[Specificite],MATCH(ChoixRationBisons&amp;$BM52,Règles_bison[Ration]&amp;Règles_bison[Aliment],0))="c"),
INDEX(Règles_bison[Valeur 12-18],MATCH(ChoixRationBisons&amp;$BM52,Règles_bison[Ration]&amp;Règles_bison[Aliment],0)),0),0)*TotalBisonsMales_12_18_mois*NbreJoursNourrirBisonsDaims)</f>
        <v>0</v>
      </c>
      <c r="BR52" s="350">
        <f t="array" ref="BR52">IF(Ration_hivernale_complète_bisons[somme]&gt;0,0,IFERROR(IF(OR(AND(INDEX(Règles_bison[Specificite],MATCH(ChoixRationBisons&amp;$BM52,Règles_bison[Ration]&amp;Règles_bison[Aliment],0))="s1",IF($BM52=ChoixSpécificité1Bisons,1)),
INDEX(Règles_bison[Specificite],MATCH(ChoixRationBisons&amp;$BM52,Règles_bison[Ration]&amp;Règles_bison[Aliment],0))="c"),
INDEX(Règles_bison[Valeur 6-12],MATCH(ChoixRationBisons&amp;$BM52,Règles_bison[Ration]&amp;Règles_bison[Aliment],0)),0),0)*TotalBisonsMales_6_12_mois*NbreJoursNourrirBisonsDaims)</f>
        <v>0</v>
      </c>
      <c r="BS52" s="350">
        <f t="array" ref="BS52">IF(Ration_hivernale_complète_bisons[somme]&gt;0,0,IFERROR(IF(OR(AND(INDEX(Règles_bison[Specificite],MATCH(ChoixRationBisons&amp;$BM52,Règles_bison[Ration]&amp;Règles_bison[Aliment],0))="s1",IF($BM52=ChoixSpécificité1Bisons,1)),
INDEX(Règles_bison[Specificite],MATCH(ChoixRationBisons&amp;$BM52,Règles_bison[Ration]&amp;Règles_bison[Aliment],0))="c"),
INDEX(Règles_bison[Valeur 3-6],MATCH(ChoixRationBisons&amp;$BM52,Règles_bison[Ration]&amp;Règles_bison[Aliment],0)),0),0)*TotalBisonsMales_3_6_mois*NbreJoursNourrirBisonsDaims)</f>
        <v>0</v>
      </c>
      <c r="BT52" s="350">
        <f t="array" ref="BT52">IF(Ration_hivernale_complète_bisons[somme]&gt;0,0,IFERROR(IF(OR(AND(INDEX(Règles_bison[Specificite],MATCH(ChoixRationBisons&amp;$BM52,Règles_bison[Ration]&amp;Règles_bison[Aliment],0))="s1",IF($BM52=ChoixSpécificité1Bisons,1)),
INDEX(Règles_bison[Specificite],MATCH(ChoixRationBisons&amp;$BM52,Règles_bison[Ration]&amp;Règles_bison[Aliment],0))="c"),
INDEX(Règles_bison[Valeur 0-3],MATCH(ChoixRationBisons&amp;$BM52,Règles_bison[Ration]&amp;Règles_bison[Aliment],0)),0),0)*TotalBisonsMales_0_3_mois*NbreJoursNourrirBisonsDaims)</f>
        <v>0</v>
      </c>
      <c r="BU52" s="350">
        <f t="shared" si="10"/>
        <v>0</v>
      </c>
      <c r="BX52" s="373" t="s">
        <v>547</v>
      </c>
      <c r="BY52" s="280" t="s">
        <v>489</v>
      </c>
      <c r="BZ52" s="280" t="s">
        <v>886</v>
      </c>
      <c r="CA52" s="280">
        <v>1.6</v>
      </c>
      <c r="CB52" s="280">
        <v>1.4</v>
      </c>
      <c r="CC52" s="280">
        <v>1.2</v>
      </c>
      <c r="CD52" s="410">
        <v>1</v>
      </c>
      <c r="CE52" s="304"/>
      <c r="CF52" s="304"/>
      <c r="CG52" s="304"/>
      <c r="CH52" s="304"/>
      <c r="CJ52" s="420" t="s">
        <v>220</v>
      </c>
      <c r="CK52" s="384">
        <f t="array" ref="CK5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52" s="384">
        <f t="array" ref="CL5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52" s="384">
        <f t="array" ref="CM5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52" s="384">
        <f t="array" ref="CN5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52" s="384">
        <f t="array" ref="CO5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52" s="426">
        <f>SUM(AlimentsRationPorcinsMâles[[#This Row],[Valeur 12 et plus]:[Valeur 0-1]])</f>
        <v>0</v>
      </c>
      <c r="CS52" s="373"/>
      <c r="CT52" s="280"/>
      <c r="CU52" s="280"/>
      <c r="CV52" s="280"/>
      <c r="CW52" s="280"/>
      <c r="CX52" s="423"/>
      <c r="CZ52" s="376"/>
      <c r="DA52" s="305"/>
      <c r="DB52" s="305"/>
      <c r="DC52" s="305"/>
      <c r="DD52" s="305"/>
      <c r="DE52" s="424"/>
      <c r="DF52" s="277"/>
      <c r="DG52" s="420" t="s">
        <v>904</v>
      </c>
      <c r="DH52" s="433">
        <f t="array" ref="DH5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52" s="433">
        <f t="array" ref="DI5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52" s="433">
        <f t="array" ref="DJ5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52" s="434">
        <f>SUM(AlimentsRationPintadesMâles[[#This Row],[Valeur 9 et plus]:[Valeur 0-1]])</f>
        <v>0</v>
      </c>
      <c r="DL52" s="316"/>
      <c r="DM52" s="316"/>
      <c r="DN52" s="283" t="s">
        <v>790</v>
      </c>
      <c r="DO52" s="283" t="s">
        <v>791</v>
      </c>
      <c r="DQ52" s="283" t="s">
        <v>790</v>
      </c>
      <c r="DR52" s="283" t="s">
        <v>791</v>
      </c>
      <c r="DV52" s="350" t="s">
        <v>489</v>
      </c>
      <c r="DW52" s="351">
        <f t="array" ref="DW52">IF(ChoixRationComplèteDaims=OUI,0,IFERROR(IF(OR(AND(INDEX(Règles_daims[Specificite],MATCH(ChoixRationDaims&amp;DV52,Règles_daims[Ration]&amp;Règles_daims[Aliment],0))="s1",IF(DV52=Spécificité1Daims,1)),
AND(INDEX(Règles_daims[Specificite],MATCH(ChoixRationDaims&amp;DV52,Règles_daims[Ration]&amp;Règles_daims[Aliment],0))="s2",IF(DV52=Spécificité2Daims,1)),
INDEX(Règles_daims[Specificite],MATCH(ChoixRationDaims&amp;DV52,Règles_daims[Ration]&amp;Règles_daims[Aliment],0))="c"),
INDEX(Règles_daims[Valeur 36 et plus],MATCH(ChoixRationDaims&amp;DV52,Règles_daims[Ration]&amp;Règles_daims[Aliment],0)),0),0)*SUM(TotalDaimsAdultes)*NbreJoursNourrirBisonsDaims)</f>
        <v>0</v>
      </c>
      <c r="DX52" s="351">
        <f t="array" ref="DX52">IF(ChoixRationComplèteDaims=OUI,0,IFERROR(IF(OR(AND(INDEX(Règles_daims[Specificite],MATCH(ChoixRationDaims&amp;DV52,Règles_daims[Ration]&amp;Règles_daims[Aliment],0))="s1",IF(DV52=Spécificité1Daims,1)),
AND(INDEX(Règles_daims[Specificite],MATCH(ChoixRationDaims&amp;DV52,Règles_daims[Ration]&amp;Règles_daims[Aliment],0))="s2",IF(DV52=Spécificité2Daims,1)),
INDEX(Règles_daims[Specificite],MATCH(ChoixRationDaims&amp;DV52,Règles_daims[Ration]&amp;Règles_daims[Aliment],0))="c"),
INDEX(Règles_daims[Valeur 24-36],MATCH(ChoixRationDaims&amp;DV52,Règles_daims[Ration]&amp;Règles_daims[Aliment],0)),0),0)*SUM(TotalDaims24_36)*NbreJoursNourrirBisonsDaims)</f>
        <v>0</v>
      </c>
      <c r="DY52" s="351">
        <f t="array" ref="DY52">IF(ChoixRationComplèteDaims=OUI,0,IFERROR(IF(OR(AND(INDEX(Règles_daims[Specificite],MATCH(ChoixRationDaims&amp;DV52,Règles_daims[Ration]&amp;Règles_daims[Aliment],0))="s1",IF(DV52=Spécificité1Daims,1)),
AND(INDEX(Règles_daims[Specificite],MATCH(ChoixRationDaims&amp;DV52,Règles_daims[Ration]&amp;Règles_daims[Aliment],0))="s2",IF(DV52=Spécificité2Daims,1)),
INDEX(Règles_daims[Specificite],MATCH(ChoixRationDaims&amp;DV52,Règles_daims[Ration]&amp;Règles_daims[Aliment],0))="c"),
INDEX(Règles_daims[Valeur 18-24],MATCH(ChoixRationDaims&amp;DV52,Règles_daims[Ration]&amp;Règles_daims[Aliment],0)),0),0)*SUM(TotalDaims18_24)*NbreJoursNourrirBisonsDaims)</f>
        <v>0</v>
      </c>
      <c r="DZ52" s="441">
        <f t="array" ref="DZ52">IF(ChoixRationComplèteDaims=OUI,0,IFERROR(IF(OR(AND(INDEX(Règles_daims[Specificite],MATCH(ChoixRationDaims&amp;DV52,Règles_daims[Ration]&amp;Règles_daims[Aliment],0))="s1",IF(DV52=Spécificité1Daims,1)),
AND(INDEX(Règles_daims[Specificite],MATCH(ChoixRationDaims&amp;DV52,Règles_daims[Ration]&amp;Règles_daims[Aliment],0))="s2",IF(DV52=Spécificité2Daims,1)),
INDEX(Règles_daims[Specificite],MATCH(ChoixRationDaims&amp;DV52,Règles_daims[Ration]&amp;Règles_daims[Aliment],0))="c"),
INDEX(Règles_daims[Valeur 12-18],MATCH(ChoixRationDaims&amp;DV52,Règles_daims[Ration]&amp;Règles_daims[Aliment],0)),0),0)*SUM(TotalDaims12_18)*NbreJoursNourrirBisonsDaims)</f>
        <v>0</v>
      </c>
      <c r="EA52" s="441">
        <f t="array" ref="EA52">IF(ChoixRationComplèteDaims=OUI,0,IFERROR(IF(OR(AND(INDEX(Règles_daims[Specificite],MATCH(ChoixRationDaims&amp;DV52,Règles_daims[Ration]&amp;Règles_daims[Aliment],0))="s1",IF(DV52=Spécificité1Daims,1)),
AND(INDEX(Règles_daims[Specificite],MATCH(ChoixRationDaims&amp;DV52,Règles_daims[Ration]&amp;Règles_daims[Aliment],0))="s2",IF(DV52=Spécificité2Daims,1)),
INDEX(Règles_daims[Specificite],MATCH(ChoixRationDaims&amp;DV52,Règles_daims[Ration]&amp;Règles_daims[Aliment],0))="c"),
INDEX(Règles_daims[Valeur 6-12],MATCH(ChoixRationDaims&amp;DV52,Règles_daims[Ration]&amp;Règles_daims[Aliment],0)),0),0)*SUM(TotalDaims6_12)*NbreJoursNourrirBisonsDaims)</f>
        <v>0</v>
      </c>
      <c r="EB52" s="441">
        <f t="array" ref="EB52">IF(ChoixRationComplèteDaims=OUI,0,IFERROR(IF(OR(AND(INDEX(Règles_daims[Specificite],MATCH(ChoixRationDaims&amp;DV52,Règles_daims[Ration]&amp;Règles_daims[Aliment],0))="s1",IF(DV52=Spécificité1Daims,1)),
AND(INDEX(Règles_daims[Specificite],MATCH(ChoixRationDaims&amp;DV52,Règles_daims[Ration]&amp;Règles_daims[Aliment],0))="s2",IF(DV52=Spécificité2Daims,1)),
INDEX(Règles_daims[Specificite],MATCH(ChoixRationDaims&amp;DV52,Règles_daims[Ration]&amp;Règles_daims[Aliment],0))="c"),
INDEX(Règles_daims[Valeur 3-6],MATCH(ChoixRationDaims&amp;DV52,Règles_daims[Ration]&amp;Règles_daims[Aliment],0)),0),0)*SUM(TotalDaims3_6)*NbreJoursNourrirBisonsDaims)</f>
        <v>0</v>
      </c>
      <c r="EC52" s="441">
        <f t="array" ref="EC52">IF(ChoixRationComplèteDaims=OUI,0,IFERROR(IF(OR(AND(INDEX(Règles_daims[Specificite],MATCH(ChoixRationDaims&amp;DV52,Règles_daims[Ration]&amp;Règles_daims[Aliment],0))="s1",IF(DV52=Spécificité1Daims,1)),
AND(INDEX(Règles_daims[Specificite],MATCH(ChoixRationDaims&amp;DV52,Règles_daims[Ration]&amp;Règles_daims[Aliment],0))="s2",IF(DV52=Spécificité2Daims,1)),
INDEX(Règles_daims[Specificite],MATCH(ChoixRationDaims&amp;DV52,Règles_daims[Ration]&amp;Règles_daims[Aliment],0))="c"),
INDEX(Règles_daims[Valeur 0-3],MATCH(ChoixRationDaims&amp;DV52,Règles_daims[Ration]&amp;Règles_daims[Aliment],0)),0),0)*SUM(TotalDaims0_3)*NbreJoursNourrirBisonsDaims)</f>
        <v>0</v>
      </c>
      <c r="ED52" s="441">
        <f t="shared" si="9"/>
        <v>0</v>
      </c>
      <c r="EG52" s="394" t="s">
        <v>910</v>
      </c>
      <c r="EH52" s="395" t="s">
        <v>929</v>
      </c>
      <c r="EI52" s="395" t="s">
        <v>890</v>
      </c>
      <c r="EJ52" s="395" t="s">
        <v>889</v>
      </c>
      <c r="EK52" s="396" t="s">
        <v>903</v>
      </c>
      <c r="EL52" s="276"/>
      <c r="EN52" s="420" t="s">
        <v>490</v>
      </c>
      <c r="EO52" s="433">
        <f t="array" ref="EO52">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52" s="433">
        <f t="array" ref="EP52">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52" s="433">
        <f t="array" ref="EQ52">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52" s="434">
        <f>SUM(Ration_canards_Mâles[[#This Row],[Valeur 6 et plus]:[Valeur 0-3]])</f>
        <v>0</v>
      </c>
      <c r="ES52" s="316"/>
      <c r="ET52" s="282"/>
      <c r="EU52" s="373"/>
      <c r="EV52" s="280"/>
      <c r="EW52" s="280"/>
      <c r="EX52" s="280"/>
      <c r="EY52" s="280"/>
      <c r="EZ52" s="280"/>
      <c r="FA52" s="363"/>
      <c r="FB52" s="298"/>
      <c r="FC52" s="282"/>
      <c r="FD52" s="335" t="s">
        <v>1157</v>
      </c>
      <c r="FE52" s="335"/>
      <c r="FF52" s="335"/>
      <c r="FG52" s="335"/>
      <c r="FH52" s="335"/>
      <c r="FI52" s="335"/>
      <c r="FJ52" s="298"/>
      <c r="FK52" s="298"/>
      <c r="FL52" s="298"/>
      <c r="FN52" s="455" t="s">
        <v>910</v>
      </c>
      <c r="FO52" s="455" t="s">
        <v>895</v>
      </c>
      <c r="FP52" s="455" t="s">
        <v>894</v>
      </c>
      <c r="FQ52" s="455" t="s">
        <v>938</v>
      </c>
      <c r="FR52" s="459" t="s">
        <v>937</v>
      </c>
      <c r="FS52" s="455" t="s">
        <v>903</v>
      </c>
      <c r="FT52" s="298"/>
      <c r="FU52" s="298"/>
      <c r="FV52" s="298"/>
      <c r="FW52" s="443" t="s">
        <v>1165</v>
      </c>
      <c r="FX52" s="450">
        <f t="array" ref="FX52">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52" s="450">
        <f t="array" ref="FY52">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52" s="450">
        <f t="array" ref="FZ52">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52" s="450">
        <f t="array" ref="GA52">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52" s="451">
        <f>SUM(AlimentsGavageOies[[#This Row],[Valeur 6 et plus]:[Valeur 0-1]])</f>
        <v>0</v>
      </c>
      <c r="GC52" s="316"/>
      <c r="GE52" s="280" t="s">
        <v>72</v>
      </c>
      <c r="GF52" s="283"/>
      <c r="GG52" s="283" t="s">
        <v>955</v>
      </c>
      <c r="GH52" s="283" t="s">
        <v>955</v>
      </c>
      <c r="GI52" s="283" t="s">
        <v>955</v>
      </c>
      <c r="GJ52" s="283" t="s">
        <v>955</v>
      </c>
      <c r="GK52" s="283" t="s">
        <v>955</v>
      </c>
      <c r="GL52" s="283" t="s">
        <v>955</v>
      </c>
      <c r="GM52" s="283" t="s">
        <v>955</v>
      </c>
      <c r="GN52" s="283" t="s">
        <v>955</v>
      </c>
      <c r="GO52" s="283" t="s">
        <v>955</v>
      </c>
      <c r="GP52" s="283" t="s">
        <v>955</v>
      </c>
      <c r="GQ52" s="283" t="s">
        <v>955</v>
      </c>
      <c r="GR52" s="283" t="s">
        <v>955</v>
      </c>
      <c r="GS52" s="283" t="s">
        <v>955</v>
      </c>
      <c r="GT52" s="283" t="s">
        <v>955</v>
      </c>
      <c r="GU52" s="283" t="s">
        <v>955</v>
      </c>
      <c r="GV52" s="283" t="s">
        <v>955</v>
      </c>
      <c r="GY52" s="444" t="str">
        <f t="shared" si="11"/>
        <v>semences de blé (P)</v>
      </c>
      <c r="GZ52" s="444"/>
      <c r="HA52" s="342"/>
      <c r="HB52" s="342" t="e">
        <f>IF(COUNTIF(TypeArticleDansEntrepôt,GY52)=0,0,SUMIF(TypeArticleDansEntrepôt,GY52,QtéArticleDansEntrepôt)*VLOOKUP(GY52,#REF!,2,FALSE))</f>
        <v>#REF!</v>
      </c>
      <c r="HN52" s="342" t="e">
        <f>IF(#REF!="","",(VLOOKUP(#REF!,BDD!$HN$5:$HU$38,2,FALSE))*#REF!)</f>
        <v>#REF!</v>
      </c>
      <c r="HO52" s="342" t="e">
        <f>IF(#REF!="","",IF(OR(#REF!=Moutarde,#REF!=Phacélie),0,IF(#REF!=Luzerne,10*#REF!*VLOOKUP(#REF!,BDD!$HN$5:$HU$38,3,FALSE),IF(#REF!=Miscanthus,10.5*#REF!*VLOOKUP(#REF!,BDD!$HN$5:$HU$38,3,FALSE),INDEX(#REF!:#REF!,MATCH(#REF!,#REF!:#REF!,0),MATCH(#REF!,#REF!:#REF!,0))*#REF!*VLOOKUP(#REF!,BDD!$HN$5:$HU$38,3,FALSE)))))</f>
        <v>#REF!</v>
      </c>
      <c r="HP52" s="342" t="e">
        <f>IF(#REF!="","",IF(OR(#REF!=Moutarde,#REF!=Phacélie),0,IF(#REF!=Luzerne,10*#REF!*VLOOKUP(#REF!,BDD!$HN$5:$HU$38,4,FALSE),IF(#REF!=Miscanthus,10.5*#REF!*VLOOKUP(#REF!,BDD!$HN$5:$HU$38,4,FALSE),INDEX(#REF!:#REF!,MATCH(#REF!,#REF!:#REF!,0),MATCH(#REF!,#REF!:#REF!,0))*#REF!*VLOOKUP(#REF!,BDD!$HN$5:$HU$38,4,FALSE)))))</f>
        <v>#REF!</v>
      </c>
      <c r="HQ52" s="342" t="e">
        <f>IF(#REF!="","",IF(OR(#REF!=Moutarde,#REF!=Phacélie),0,IF(#REF!=Luzerne,10*#REF!*VLOOKUP(#REF!,BDD!$HN$5:$HU$38,5,FALSE),IF(#REF!=Miscanthus,10.5*#REF!*VLOOKUP(#REF!,BDD!$HN$5:$HU$38,5,FALSE),INDEX(#REF!:#REF!,MATCH(#REF!,#REF!:#REF!,0),MATCH(#REF!,#REF!:#REF!,0))*#REF!*VLOOKUP(#REF!,BDD!$HN$5:$HU$38,5,FALSE)))))</f>
        <v>#REF!</v>
      </c>
      <c r="HR52" s="342" t="e">
        <f>IF(#REF!="","",IF(OR(#REF!=Moutarde,#REF!=Phacélie),0,IF(#REF!=Luzerne,10*#REF!*VLOOKUP(#REF!,BDD!$HN$5:$HU$38,6,FALSE),IF(#REF!=Miscanthus,10.5*#REF!*VLOOKUP(#REF!,BDD!$HN$5:$HU$38,6,FALSE),INDEX(#REF!:#REF!,MATCH(#REF!,#REF!:#REF!,0),MATCH(#REF!,#REF!:#REF!,0))*#REF!*VLOOKUP(#REF!,BDD!$HN$5:$HU$38,6,FALSE)))))</f>
        <v>#REF!</v>
      </c>
      <c r="HS52" s="342" t="e">
        <f>IF(#REF!="","",IF(OR(#REF!=Moutarde,#REF!=Phacélie),0,IF(#REF!=Luzerne,10*#REF!*VLOOKUP(#REF!,BDD!$HN$5:$HU$38,7,FALSE),IF(#REF!=Miscanthus,10.5*#REF!*VLOOKUP(#REF!,BDD!$HN$5:$HU$38,7,FALSE),INDEX(#REF!:#REF!,MATCH(#REF!,#REF!:#REF!,0),MATCH(#REF!,#REF!:#REF!,0))*#REF!*VLOOKUP(#REF!,BDD!$HN$5:$HU$38,7,FALSE)))))</f>
        <v>#REF!</v>
      </c>
      <c r="HT52" s="342" t="e">
        <f>IF(#REF!="","",IF(OR(#REF!=Moutarde,#REF!=Phacélie),0,IF(#REF!=Luzerne,10*#REF!*VLOOKUP(#REF!,BDD!$HN$5:$HU$38,8,FALSE),IF(#REF!=Miscanthus,10.5*#REF!*VLOOKUP(#REF!,BDD!$HN$5:$HU$38,8,FALSE),INDEX(#REF!:#REF!,MATCH(#REF!,#REF!:#REF!,0),MATCH(#REF!,#REF!:#REF!,0))*#REF!*VLOOKUP(#REF!,BDD!$HN$5:$HU$38,8,FALSE)))))</f>
        <v>#REF!</v>
      </c>
      <c r="HU52" s="342" t="e">
        <f>IF(#REF!="","",IF(OR(#REF!=Moutarde,#REF!=Phacélie),0,1.6*#REF!))</f>
        <v>#REF!</v>
      </c>
      <c r="HV52" s="342" t="e">
        <f>IF(#REF!="","",IF(OR(#REF!=Moutarde,#REF!=Phacélie),0,1.6*#REF!))</f>
        <v>#REF!</v>
      </c>
      <c r="HW52" s="342" t="e">
        <f>IF(#REF!="","",IF(OR(#REF!=Moutarde,#REF!=Phacélie),0,1.6*#REF!))</f>
        <v>#REF!</v>
      </c>
      <c r="HX52" s="342" t="e">
        <f>IF(#REF!="","",(VLOOKUP(#REF!,BDD!$HN$5:$HU$38,2,FALSE))*#REF!)</f>
        <v>#REF!</v>
      </c>
      <c r="HY52" s="342" t="e">
        <f>IF(#REF!="","",IF(OR(#REF!=Moutarde,#REF!=Phacélie),0,IF(#REF!=Luzerne,10*#REF!*VLOOKUP(#REF!,BDD!$HN$5:$HU$38,3,FALSE),IF(#REF!=Miscanthus,10.5*#REF!*VLOOKUP(#REF!,BDD!$HN$5:$HU$38,3,FALSE),INDEX(#REF!:#REF!,MATCH(#REF!,#REF!:#REF!,0),MATCH(#REF!,#REF!:#REF!,0))*#REF!*VLOOKUP(#REF!,BDD!$HN$5:$HU$38,3,FALSE)))))</f>
        <v>#REF!</v>
      </c>
      <c r="HZ52" s="342" t="e">
        <f>IF(#REF!="","",IF(OR(#REF!=Moutarde,#REF!=Phacélie),0,IF(#REF!=Luzerne,10*#REF!*VLOOKUP(#REF!,BDD!$HN$5:$HU$38,4,FALSE),IF(#REF!=Miscanthus,10.5*#REF!*VLOOKUP(#REF!,BDD!$HN$5:$HU$38,4,FALSE),INDEX(#REF!:#REF!,MATCH(#REF!,#REF!:#REF!,0),MATCH(#REF!,#REF!:#REF!,0))*#REF!*VLOOKUP(#REF!,BDD!$HN$5:$HU$38,4,FALSE)))))</f>
        <v>#REF!</v>
      </c>
      <c r="IA52" s="342" t="e">
        <f>IF(#REF!="","",IF(OR(#REF!=Moutarde,#REF!=Phacélie),0,IF(#REF!=Luzerne,10*#REF!*VLOOKUP(#REF!,BDD!$HN$5:$HU$38,5,FALSE),IF(#REF!=Miscanthus,10.5*#REF!*VLOOKUP(#REF!,BDD!$HN$5:$HU$38,5,FALSE),INDEX(#REF!:#REF!,MATCH(#REF!,#REF!:#REF!,0),MATCH(#REF!,#REF!:#REF!,0))*#REF!*VLOOKUP(#REF!,BDD!$HN$5:$HU$38,5,FALSE)))))</f>
        <v>#REF!</v>
      </c>
      <c r="IB52" s="342" t="e">
        <f>IF(#REF!="","",IF(OR(#REF!=Moutarde,#REF!=Phacélie),0,IF(#REF!=Luzerne,10*#REF!*VLOOKUP(#REF!,BDD!$HN$5:$HU$38,6,FALSE),IF(#REF!=Miscanthus,10.5*#REF!*VLOOKUP(#REF!,BDD!$HN$5:$HU$38,6,FALSE),INDEX(#REF!:#REF!,MATCH(#REF!,#REF!:#REF!,0),MATCH(#REF!,#REF!:#REF!,0))*#REF!*VLOOKUP(#REF!,BDD!$HN$5:$HU$38,6,FALSE)))))</f>
        <v>#REF!</v>
      </c>
      <c r="IC52" s="342" t="e">
        <f>IF(#REF!="","",IF(OR(#REF!=Moutarde,#REF!=Phacélie),0,IF(#REF!=Luzerne,10*#REF!*VLOOKUP(#REF!,BDD!$HN$5:$HU$38,7,FALSE),IF(#REF!=Miscanthus,10.5*#REF!*VLOOKUP(#REF!,BDD!$HN$5:$HU$38,7,FALSE),INDEX(#REF!:#REF!,MATCH(#REF!,#REF!:#REF!,0),MATCH(#REF!,#REF!:#REF!,0))*#REF!*VLOOKUP(#REF!,BDD!$HN$5:$HU$38,7,FALSE)))))</f>
        <v>#REF!</v>
      </c>
      <c r="ID52" s="342" t="e">
        <f>IF(#REF!="","",IF(OR(#REF!=Moutarde,#REF!=Phacélie),0,IF(#REF!=Luzerne,10*#REF!*VLOOKUP(#REF!,BDD!$HN$5:$HU$38,8,FALSE),IF(#REF!=Miscanthus,10.5*#REF!*VLOOKUP(#REF!,BDD!$HN$5:$HU$38,8,FALSE),INDEX(#REF!:#REF!,MATCH(#REF!,#REF!:#REF!,0),MATCH(#REF!,#REF!:#REF!,0))*#REF!*VLOOKUP(#REF!,BDD!$HN$5:$HU$38,8,FALSE)))))</f>
        <v>#REF!</v>
      </c>
      <c r="IE52" s="342" t="e">
        <f>IF(#REF!="","",IF(OR(#REF!=Moutarde,#REF!=Phacélie),0,1.6*#REF!))</f>
        <v>#REF!</v>
      </c>
      <c r="IF52" s="342" t="e">
        <f>IF(#REF!="","",IF(OR(#REF!=Moutarde,#REF!=Phacélie),0,1.6*#REF!))</f>
        <v>#REF!</v>
      </c>
      <c r="IG52" s="342" t="e">
        <f>IF(#REF!="","",IF(OR(#REF!=Moutarde,#REF!=Phacélie),0,1.6*#REF!))</f>
        <v>#REF!</v>
      </c>
    </row>
    <row r="53" spans="1:241" ht="12.75" customHeight="1" x14ac:dyDescent="0.2">
      <c r="A53" s="278"/>
      <c r="N53" s="277"/>
      <c r="O53" s="280" t="s">
        <v>405</v>
      </c>
      <c r="P53" s="280"/>
      <c r="Q53" s="280"/>
      <c r="R53" s="280"/>
      <c r="S53" s="280"/>
      <c r="T53" s="280"/>
      <c r="U53" s="280"/>
      <c r="V53" s="280"/>
      <c r="W53" s="280"/>
      <c r="X53" s="280"/>
      <c r="Y53" s="280"/>
      <c r="Z53" s="280"/>
      <c r="AA53" s="280"/>
      <c r="AB53" s="280"/>
      <c r="AC53" s="280"/>
      <c r="AD53" s="280"/>
      <c r="AE53" s="280"/>
      <c r="AF53" s="280"/>
      <c r="AG53" s="280"/>
      <c r="AH53" s="280"/>
      <c r="AI53" s="280"/>
      <c r="AJ53" s="280"/>
      <c r="AK53" s="280"/>
      <c r="AL53" s="280"/>
      <c r="AM53" s="280"/>
      <c r="AN53" s="280"/>
      <c r="AO53" s="280"/>
      <c r="AP53" s="280"/>
      <c r="AQ53" s="280"/>
      <c r="AR53" s="280"/>
      <c r="AS53" s="280"/>
      <c r="AT53" s="280"/>
      <c r="AU53" s="280"/>
      <c r="AV53" s="280"/>
      <c r="AW53" s="280"/>
      <c r="AX53" s="280"/>
      <c r="AY53" s="280"/>
      <c r="BC53" s="284" t="s">
        <v>799</v>
      </c>
      <c r="BD53" s="299">
        <v>360</v>
      </c>
      <c r="BF53" s="284" t="s">
        <v>799</v>
      </c>
      <c r="BG53" s="299">
        <v>432</v>
      </c>
      <c r="BL53" s="312"/>
      <c r="BM53" s="350" t="s">
        <v>269</v>
      </c>
      <c r="BN53" s="350">
        <f t="array" ref="BN53">IF(Ration_hivernale_complète_bisons[somme]&gt;0,0,IFERROR(IF(OR(AND(INDEX(Règles_bison[Specificite],MATCH(ChoixRationBisons&amp;$BM53,Règles_bison[Ration]&amp;Règles_bison[Aliment],0))="s1",IF($BM53=ChoixSpécificité1Bisons,1)),
INDEX(Règles_bison[Specificite],MATCH(ChoixRationBisons&amp;$BM53,Règles_bison[Ration]&amp;Règles_bison[Aliment],0))="c"),
INDEX(Règles_bison[Valeur 36 et plus],MATCH(ChoixRationBisons&amp;$BM53,Règles_bison[Ration]&amp;Règles_bison[Aliment],0)),0),0)*TotalBisonsMalesAdultes*NbreJoursNourrirBisonsDaims)</f>
        <v>0</v>
      </c>
      <c r="BO53" s="350">
        <f t="array" ref="BO53">IF(Ration_hivernale_complète_bisons[somme]&gt;0,0,IFERROR(IF(OR(AND(INDEX(Règles_bison[Specificite],MATCH(ChoixRationBisons&amp;$BM53,Règles_bison[Ration]&amp;Règles_bison[Aliment],0))="s1",IF($BM53=ChoixSpécificité1Bisons,1)),
INDEX(Règles_bison[Specificite],MATCH(ChoixRationBisons&amp;$BM53,Règles_bison[Ration]&amp;Règles_bison[Aliment],0))="c"),
INDEX(Règles_bison[Valeur 24-36],MATCH(ChoixRationBisons&amp;$BM53,Règles_bison[Ration]&amp;Règles_bison[Aliment],0)),0),0)*TotalBisonsMales_24_36_mois*NbreJoursNourrirBisonsDaims)</f>
        <v>0</v>
      </c>
      <c r="BP53" s="350">
        <f t="array" ref="BP53">IF(Ration_hivernale_complète_bisons[somme]&gt;0,0,IFERROR(IF(OR(AND(INDEX(Règles_bison[Specificite],MATCH(ChoixRationBisons&amp;$BM53,Règles_bison[Ration]&amp;Règles_bison[Aliment],0))="s1",IF($BM53=ChoixSpécificité1Bisons,1)),
INDEX(Règles_bison[Specificite],MATCH(ChoixRationBisons&amp;$BM53,Règles_bison[Ration]&amp;Règles_bison[Aliment],0))="c"),
INDEX(Règles_bison[Valeur 18-24],MATCH(ChoixRationBisons&amp;$BM53,Règles_bison[Ration]&amp;Règles_bison[Aliment],0)),0),0)*TotalBisonsMales_18_24_mois*NbreJoursNourrirBisonsDaims)</f>
        <v>0</v>
      </c>
      <c r="BQ53" s="350">
        <f t="array" ref="BQ53">IF(Ration_hivernale_complète_bisons[somme]&gt;0,0,IFERROR(IF(OR(AND(INDEX(Règles_bison[Specificite],MATCH(ChoixRationBisons&amp;$BM53,Règles_bison[Ration]&amp;Règles_bison[Aliment],0))="s1",IF($BM53=ChoixSpécificité1Bisons,1)),
INDEX(Règles_bison[Specificite],MATCH(ChoixRationBisons&amp;$BM53,Règles_bison[Ration]&amp;Règles_bison[Aliment],0))="c"),
INDEX(Règles_bison[Valeur 12-18],MATCH(ChoixRationBisons&amp;$BM53,Règles_bison[Ration]&amp;Règles_bison[Aliment],0)),0),0)*TotalBisonsMales_12_18_mois*NbreJoursNourrirBisonsDaims)</f>
        <v>0</v>
      </c>
      <c r="BR53" s="350">
        <f t="array" ref="BR53">IF(Ration_hivernale_complète_bisons[somme]&gt;0,0,IFERROR(IF(OR(AND(INDEX(Règles_bison[Specificite],MATCH(ChoixRationBisons&amp;$BM53,Règles_bison[Ration]&amp;Règles_bison[Aliment],0))="s1",IF($BM53=ChoixSpécificité1Bisons,1)),
INDEX(Règles_bison[Specificite],MATCH(ChoixRationBisons&amp;$BM53,Règles_bison[Ration]&amp;Règles_bison[Aliment],0))="c"),
INDEX(Règles_bison[Valeur 6-12],MATCH(ChoixRationBisons&amp;$BM53,Règles_bison[Ration]&amp;Règles_bison[Aliment],0)),0),0)*TotalBisonsMales_6_12_mois*NbreJoursNourrirBisonsDaims)</f>
        <v>0</v>
      </c>
      <c r="BS53" s="350">
        <f t="array" ref="BS53">IF(Ration_hivernale_complète_bisons[somme]&gt;0,0,IFERROR(IF(OR(AND(INDEX(Règles_bison[Specificite],MATCH(ChoixRationBisons&amp;$BM53,Règles_bison[Ration]&amp;Règles_bison[Aliment],0))="s1",IF($BM53=ChoixSpécificité1Bisons,1)),
INDEX(Règles_bison[Specificite],MATCH(ChoixRationBisons&amp;$BM53,Règles_bison[Ration]&amp;Règles_bison[Aliment],0))="c"),
INDEX(Règles_bison[Valeur 3-6],MATCH(ChoixRationBisons&amp;$BM53,Règles_bison[Ration]&amp;Règles_bison[Aliment],0)),0),0)*TotalBisonsMales_3_6_mois*NbreJoursNourrirBisonsDaims)</f>
        <v>0</v>
      </c>
      <c r="BT53" s="350">
        <f t="array" ref="BT53">IF(Ration_hivernale_complète_bisons[somme]&gt;0,0,IFERROR(IF(OR(AND(INDEX(Règles_bison[Specificite],MATCH(ChoixRationBisons&amp;$BM53,Règles_bison[Ration]&amp;Règles_bison[Aliment],0))="s1",IF($BM53=ChoixSpécificité1Bisons,1)),
INDEX(Règles_bison[Specificite],MATCH(ChoixRationBisons&amp;$BM53,Règles_bison[Ration]&amp;Règles_bison[Aliment],0))="c"),
INDEX(Règles_bison[Valeur 0-3],MATCH(ChoixRationBisons&amp;$BM53,Règles_bison[Ration]&amp;Règles_bison[Aliment],0)),0),0)*TotalBisonsMales_0_3_mois*NbreJoursNourrirBisonsDaims)</f>
        <v>0</v>
      </c>
      <c r="BU53" s="350">
        <f t="shared" si="10"/>
        <v>0</v>
      </c>
      <c r="BX53" s="373" t="s">
        <v>547</v>
      </c>
      <c r="BY53" s="280" t="s">
        <v>220</v>
      </c>
      <c r="BZ53" s="280" t="s">
        <v>887</v>
      </c>
      <c r="CA53" s="280">
        <v>1.6</v>
      </c>
      <c r="CB53" s="280">
        <v>1.4</v>
      </c>
      <c r="CC53" s="280">
        <v>1.2</v>
      </c>
      <c r="CD53" s="410">
        <v>1</v>
      </c>
      <c r="CE53" s="304"/>
      <c r="CF53" s="304"/>
      <c r="CG53" s="304"/>
      <c r="CH53" s="304"/>
      <c r="CJ53" s="420" t="s">
        <v>515</v>
      </c>
      <c r="CK53" s="384">
        <f t="array" ref="CK5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53" s="384">
        <f t="array" ref="CL5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53" s="384">
        <f t="array" ref="CM5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53" s="384">
        <f t="array" ref="CN5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53" s="384">
        <f t="array" ref="CO5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53" s="426">
        <f>SUM(AlimentsRationPorcinsMâles[[#This Row],[Valeur 12 et plus]:[Valeur 0-1]])</f>
        <v>0</v>
      </c>
      <c r="CS53" s="376"/>
      <c r="CT53" s="305"/>
      <c r="CU53" s="305"/>
      <c r="CV53" s="305"/>
      <c r="CW53" s="305"/>
      <c r="CX53" s="424"/>
      <c r="DF53" s="277"/>
      <c r="DG53" s="420" t="s">
        <v>500</v>
      </c>
      <c r="DH53" s="433">
        <f t="array" ref="DH5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53" s="433">
        <f t="array" ref="DI5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53" s="433">
        <f t="array" ref="DJ5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53" s="434">
        <f>SUM(AlimentsRationPintadesMâles[[#This Row],[Valeur 9 et plus]:[Valeur 0-1]])</f>
        <v>0</v>
      </c>
      <c r="DL53" s="316"/>
      <c r="DM53" s="316"/>
      <c r="DN53" s="280" t="s">
        <v>792</v>
      </c>
      <c r="DO53" s="280">
        <v>850</v>
      </c>
      <c r="DQ53" s="280" t="s">
        <v>792</v>
      </c>
      <c r="DR53" s="280">
        <v>1020</v>
      </c>
      <c r="DV53" s="350" t="s">
        <v>510</v>
      </c>
      <c r="DW53" s="351">
        <f t="array" ref="DW53">IF(ChoixRationComplèteDaims=OUI,0,IFERROR(IF(OR(AND(INDEX(Règles_daims[Specificite],MATCH(ChoixRationDaims&amp;DV53,Règles_daims[Ration]&amp;Règles_daims[Aliment],0))="s1",IF(DV53=Spécificité1Daims,1)),
AND(INDEX(Règles_daims[Specificite],MATCH(ChoixRationDaims&amp;DV53,Règles_daims[Ration]&amp;Règles_daims[Aliment],0))="s2",IF(DV53=Spécificité2Daims,1)),
INDEX(Règles_daims[Specificite],MATCH(ChoixRationDaims&amp;DV53,Règles_daims[Ration]&amp;Règles_daims[Aliment],0))="c"),
INDEX(Règles_daims[Valeur 36 et plus],MATCH(ChoixRationDaims&amp;DV53,Règles_daims[Ration]&amp;Règles_daims[Aliment],0)),0),0)*SUM(TotalDaimsAdultes)*NbreJoursNourrirBisonsDaims)</f>
        <v>0</v>
      </c>
      <c r="DX53" s="351">
        <f t="array" ref="DX53">IF(ChoixRationComplèteDaims=OUI,0,IFERROR(IF(OR(AND(INDEX(Règles_daims[Specificite],MATCH(ChoixRationDaims&amp;DV53,Règles_daims[Ration]&amp;Règles_daims[Aliment],0))="s1",IF(DV53=Spécificité1Daims,1)),
AND(INDEX(Règles_daims[Specificite],MATCH(ChoixRationDaims&amp;DV53,Règles_daims[Ration]&amp;Règles_daims[Aliment],0))="s2",IF(DV53=Spécificité2Daims,1)),
INDEX(Règles_daims[Specificite],MATCH(ChoixRationDaims&amp;DV53,Règles_daims[Ration]&amp;Règles_daims[Aliment],0))="c"),
INDEX(Règles_daims[Valeur 24-36],MATCH(ChoixRationDaims&amp;DV53,Règles_daims[Ration]&amp;Règles_daims[Aliment],0)),0),0)*SUM(TotalDaims24_36)*NbreJoursNourrirBisonsDaims)</f>
        <v>0</v>
      </c>
      <c r="DY53" s="351">
        <f t="array" ref="DY53">IF(ChoixRationComplèteDaims=OUI,0,IFERROR(IF(OR(AND(INDEX(Règles_daims[Specificite],MATCH(ChoixRationDaims&amp;DV53,Règles_daims[Ration]&amp;Règles_daims[Aliment],0))="s1",IF(DV53=Spécificité1Daims,1)),
AND(INDEX(Règles_daims[Specificite],MATCH(ChoixRationDaims&amp;DV53,Règles_daims[Ration]&amp;Règles_daims[Aliment],0))="s2",IF(DV53=Spécificité2Daims,1)),
INDEX(Règles_daims[Specificite],MATCH(ChoixRationDaims&amp;DV53,Règles_daims[Ration]&amp;Règles_daims[Aliment],0))="c"),
INDEX(Règles_daims[Valeur 18-24],MATCH(ChoixRationDaims&amp;DV53,Règles_daims[Ration]&amp;Règles_daims[Aliment],0)),0),0)*SUM(TotalDaims18_24)*NbreJoursNourrirBisonsDaims)</f>
        <v>0</v>
      </c>
      <c r="DZ53" s="441">
        <f t="array" ref="DZ53">IF(ChoixRationComplèteDaims=OUI,0,IFERROR(IF(OR(AND(INDEX(Règles_daims[Specificite],MATCH(ChoixRationDaims&amp;DV53,Règles_daims[Ration]&amp;Règles_daims[Aliment],0))="s1",IF(DV53=Spécificité1Daims,1)),
AND(INDEX(Règles_daims[Specificite],MATCH(ChoixRationDaims&amp;DV53,Règles_daims[Ration]&amp;Règles_daims[Aliment],0))="s2",IF(DV53=Spécificité2Daims,1)),
INDEX(Règles_daims[Specificite],MATCH(ChoixRationDaims&amp;DV53,Règles_daims[Ration]&amp;Règles_daims[Aliment],0))="c"),
INDEX(Règles_daims[Valeur 12-18],MATCH(ChoixRationDaims&amp;DV53,Règles_daims[Ration]&amp;Règles_daims[Aliment],0)),0),0)*SUM(TotalDaims12_18)*NbreJoursNourrirBisonsDaims)</f>
        <v>0</v>
      </c>
      <c r="EA53" s="441">
        <f t="array" ref="EA53">IF(ChoixRationComplèteDaims=OUI,0,IFERROR(IF(OR(AND(INDEX(Règles_daims[Specificite],MATCH(ChoixRationDaims&amp;DV53,Règles_daims[Ration]&amp;Règles_daims[Aliment],0))="s1",IF(DV53=Spécificité1Daims,1)),
AND(INDEX(Règles_daims[Specificite],MATCH(ChoixRationDaims&amp;DV53,Règles_daims[Ration]&amp;Règles_daims[Aliment],0))="s2",IF(DV53=Spécificité2Daims,1)),
INDEX(Règles_daims[Specificite],MATCH(ChoixRationDaims&amp;DV53,Règles_daims[Ration]&amp;Règles_daims[Aliment],0))="c"),
INDEX(Règles_daims[Valeur 6-12],MATCH(ChoixRationDaims&amp;DV53,Règles_daims[Ration]&amp;Règles_daims[Aliment],0)),0),0)*SUM(TotalDaims6_12)*NbreJoursNourrirBisonsDaims)</f>
        <v>0</v>
      </c>
      <c r="EB53" s="441">
        <f t="array" ref="EB53">IF(ChoixRationComplèteDaims=OUI,0,IFERROR(IF(OR(AND(INDEX(Règles_daims[Specificite],MATCH(ChoixRationDaims&amp;DV53,Règles_daims[Ration]&amp;Règles_daims[Aliment],0))="s1",IF(DV53=Spécificité1Daims,1)),
AND(INDEX(Règles_daims[Specificite],MATCH(ChoixRationDaims&amp;DV53,Règles_daims[Ration]&amp;Règles_daims[Aliment],0))="s2",IF(DV53=Spécificité2Daims,1)),
INDEX(Règles_daims[Specificite],MATCH(ChoixRationDaims&amp;DV53,Règles_daims[Ration]&amp;Règles_daims[Aliment],0))="c"),
INDEX(Règles_daims[Valeur 3-6],MATCH(ChoixRationDaims&amp;DV53,Règles_daims[Ration]&amp;Règles_daims[Aliment],0)),0),0)*SUM(TotalDaims3_6)*NbreJoursNourrirBisonsDaims)</f>
        <v>0</v>
      </c>
      <c r="EC53" s="441">
        <f t="array" ref="EC53">IF(ChoixRationComplèteDaims=OUI,0,IFERROR(IF(OR(AND(INDEX(Règles_daims[Specificite],MATCH(ChoixRationDaims&amp;DV53,Règles_daims[Ration]&amp;Règles_daims[Aliment],0))="s1",IF(DV53=Spécificité1Daims,1)),
AND(INDEX(Règles_daims[Specificite],MATCH(ChoixRationDaims&amp;DV53,Règles_daims[Ration]&amp;Règles_daims[Aliment],0))="s2",IF(DV53=Spécificité2Daims,1)),
INDEX(Règles_daims[Specificite],MATCH(ChoixRationDaims&amp;DV53,Règles_daims[Ration]&amp;Règles_daims[Aliment],0))="c"),
INDEX(Règles_daims[Valeur 0-3],MATCH(ChoixRationDaims&amp;DV53,Règles_daims[Ration]&amp;Règles_daims[Aliment],0)),0),0)*SUM(TotalDaims0_3)*NbreJoursNourrirBisonsDaims)</f>
        <v>0</v>
      </c>
      <c r="ED53" s="441">
        <f t="shared" si="9"/>
        <v>0</v>
      </c>
      <c r="EG53" s="420" t="s">
        <v>490</v>
      </c>
      <c r="EH53" s="433">
        <f t="array" ref="EH5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53" s="433">
        <f t="array" ref="EI5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53" s="433">
        <f t="array" ref="EJ5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53" s="434">
        <f>SUM(AlimentsRationOiesMâles[[#This Row],[Valeur 6 et plus]:[Valeur 0-3]])</f>
        <v>0</v>
      </c>
      <c r="EL53" s="316"/>
      <c r="EN53" s="420" t="s">
        <v>392</v>
      </c>
      <c r="EO53" s="433">
        <f t="array" ref="EO53">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53" s="433">
        <f t="array" ref="EP53">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53" s="433">
        <f t="array" ref="EQ53">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53" s="434">
        <f>SUM(Ration_canards_Mâles[[#This Row],[Valeur 6 et plus]:[Valeur 0-3]])</f>
        <v>0</v>
      </c>
      <c r="ES53" s="316"/>
      <c r="ET53" s="282"/>
      <c r="EU53" s="373"/>
      <c r="EV53" s="280"/>
      <c r="EW53" s="280"/>
      <c r="EX53" s="280"/>
      <c r="EY53" s="280"/>
      <c r="EZ53" s="280"/>
      <c r="FA53" s="363"/>
      <c r="FB53" s="298"/>
      <c r="FD53" s="455" t="s">
        <v>910</v>
      </c>
      <c r="FE53" s="455" t="s">
        <v>895</v>
      </c>
      <c r="FF53" s="455" t="s">
        <v>894</v>
      </c>
      <c r="FG53" s="455" t="s">
        <v>938</v>
      </c>
      <c r="FH53" s="459" t="s">
        <v>937</v>
      </c>
      <c r="FI53" s="455" t="s">
        <v>903</v>
      </c>
      <c r="FJ53" s="298"/>
      <c r="FK53" s="298"/>
      <c r="FL53" s="298"/>
      <c r="FN53" s="457" t="s">
        <v>490</v>
      </c>
      <c r="FO53" s="458">
        <f t="array" ref="FO53">IF(OR(ChoixRationComplèteEtéPoneys=OUI,ChoixRationComplèteEtéPoneys="",AND(ChoixPoneysPréHiver=OUI,ChoixPoneysPréEté=OUI)),0,IFERROR(IF(OR(AND(INDEX(Règles_poneys[Specificite],MATCH(RationEtéPoneys&amp;$FN53,Règles_poneys[Ration]&amp;Règles_poneys[Aliment],0))="s1",IF($FN53=Spécificité1Poneys,1)),
AND(INDEX(Règles_poneys[Specificite],MATCH(RationEtéPoneys&amp;$FN53,Règles_poneys[Ration]&amp;Règles_poneys[Aliment],0))="s2",IF($FN53=Spécificité2Poneys,1)),
INDEX(Règles_poneys[Specificite],MATCH(RationEtéPoneys&amp;$FN53,Règles_poneys[Ration]&amp;Règles_poneys[Aliment],0))="c"),
INDEX(Règles_poneys[Valeur 36 et plus],MATCH(RationEtéPoneys&amp;$FN53,Règles_poneys[Ration]&amp;Règles_poneys[Aliment],0)),0),0)*TotalEtalonPoney*NbreJoursNourrirPoneys)</f>
        <v>0</v>
      </c>
      <c r="FP53" s="458">
        <f t="array" ref="FP53">IF(OR(ChoixRationComplèteEtéPoneys=OUI,ChoixRationComplèteEtéPoneys="",AND(ChoixPoneysPréHiver=OUI,ChoixPoneysPréEté=OUI)),0,IFERROR(IF(OR(AND(INDEX(Règles_poneys[Specificite],MATCH(RationEtéPoneys&amp;$FN53,Règles_poneys[Ration]&amp;Règles_poneys[Aliment],0))="s1",IF($FN53=Spécificité1Poneys,1)),
AND(INDEX(Règles_poneys[Specificite],MATCH(RationEtéPoneys&amp;$FN53,Règles_poneys[Ration]&amp;Règles_poneys[Aliment],0))="s2",IF($FN53=Spécificité2Poneys,1)),
INDEX(Règles_poneys[Specificite],MATCH(RationEtéPoneys&amp;$FN53,Règles_poneys[Ration]&amp;Règles_poneys[Aliment],0))="c"),
INDEX(Règles_poneys[Valeur 36 et plus],MATCH(RationEtéPoneys&amp;$FN53,Règles_poneys[Ration]&amp;Règles_poneys[Aliment],0)),0),0)*TotalJeuneEtalonPoney_24_36_mois*NbreJoursNourrirPoneys)</f>
        <v>0</v>
      </c>
      <c r="FQ53" s="458">
        <f t="array" ref="FQ53">IF(OR(ChoixRationComplèteEtéPoneys=OUI,ChoixRationComplèteEtéPoneys="",AND(ChoixPoneysPréHiver=OUI,ChoixPoneysPréEté=OUI)),0,IFERROR(IF(OR(AND(INDEX(Règles_poneys[Specificite],MATCH(RationEtéPoneys&amp;$FN53,Règles_poneys[Ration]&amp;Règles_poneys[Aliment],0))="s1",IF($FN53=Spécificité1Poneys,1)),
AND(INDEX(Règles_poneys[Specificite],MATCH(RationEtéPoneys&amp;$FN53,Règles_poneys[Ration]&amp;Règles_poneys[Aliment],0))="s2",IF($FN53=Spécificité2Poneys,1)),
INDEX(Règles_poneys[Specificite],MATCH(RationEtéPoneys&amp;$FN53,Règles_poneys[Ration]&amp;Règles_poneys[Aliment],0))="c"),
INDEX(Règles_poneys[Valeur 36 et plus],MATCH(RationEtéPoneys&amp;$FN53,Règles_poneys[Ration]&amp;Règles_poneys[Aliment],0)),0),0)*TotalJeuneEtalonPoney_12_24_mois*NbreJoursNourrirPoneys)</f>
        <v>0</v>
      </c>
      <c r="FR53" s="458">
        <f t="array" ref="FR53">IF(OR(ChoixRationComplèteEtéPoneys=OUI,ChoixRationComplèteEtéPoneys="",AND(ChoixPoneysPréHiver=OUI,ChoixPoneysPréEté=OUI)),0,IFERROR(IF(OR(AND(INDEX(Règles_poneys[Specificite],MATCH(RationEtéPoneys&amp;$FN53,Règles_poneys[Ration]&amp;Règles_poneys[Aliment],0))="s1",IF($FN53=Spécificité1Poneys,1)),
AND(INDEX(Règles_poneys[Specificite],MATCH(RationEtéPoneys&amp;$FN53,Règles_poneys[Ration]&amp;Règles_poneys[Aliment],0))="s2",IF($FN53=Spécificité2Poneys,1)),
INDEX(Règles_poneys[Specificite],MATCH(RationEtéPoneys&amp;$FN53,Règles_poneys[Ration]&amp;Règles_poneys[Aliment],0))="c"),
INDEX(Règles_poneys[Valeur 36 et plus],MATCH(RationEtéPoneys&amp;$FN53,Règles_poneys[Ration]&amp;Règles_poneys[Aliment],0)),0),0)*TotalPoulainPoney_0_12_mois*NbreJoursNourrirPoneys)</f>
        <v>0</v>
      </c>
      <c r="FS53" s="460">
        <f t="shared" ref="FS53:FS91" si="14">SUM($FO53:$FQ53)</f>
        <v>0</v>
      </c>
      <c r="FU53" s="298"/>
      <c r="FV53" s="298"/>
      <c r="FW53" s="443" t="s">
        <v>513</v>
      </c>
      <c r="FX53" s="450">
        <f t="array" ref="FX53">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53" s="450">
        <f t="array" ref="FY53">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53" s="450">
        <f t="array" ref="FZ53">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53" s="450">
        <f t="array" ref="GA53">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53" s="451">
        <f>SUM(AlimentsGavageOies[[#This Row],[Valeur 6 et plus]:[Valeur 0-1]])</f>
        <v>0</v>
      </c>
      <c r="GC53" s="316"/>
      <c r="GE53" s="280" t="s">
        <v>73</v>
      </c>
      <c r="GF53" s="283"/>
      <c r="GG53" s="283" t="s">
        <v>955</v>
      </c>
      <c r="GH53" s="283" t="s">
        <v>955</v>
      </c>
      <c r="GI53" s="283" t="s">
        <v>955</v>
      </c>
      <c r="GJ53" s="283" t="s">
        <v>955</v>
      </c>
      <c r="GK53" s="283" t="s">
        <v>955</v>
      </c>
      <c r="GL53" s="283" t="s">
        <v>955</v>
      </c>
      <c r="GM53" s="283" t="s">
        <v>955</v>
      </c>
      <c r="GN53" s="283" t="s">
        <v>955</v>
      </c>
      <c r="GO53" s="283" t="s">
        <v>955</v>
      </c>
      <c r="GP53" s="283" t="s">
        <v>955</v>
      </c>
      <c r="GQ53" s="283" t="s">
        <v>955</v>
      </c>
      <c r="GR53" s="283" t="s">
        <v>955</v>
      </c>
      <c r="GS53" s="283" t="s">
        <v>955</v>
      </c>
      <c r="GT53" s="283" t="s">
        <v>955</v>
      </c>
      <c r="GU53" s="283" t="s">
        <v>955</v>
      </c>
      <c r="GV53" s="283" t="s">
        <v>955</v>
      </c>
      <c r="GY53" s="444" t="str">
        <f t="shared" si="11"/>
        <v>semences de chanvre (G)</v>
      </c>
      <c r="GZ53" s="444"/>
      <c r="HA53" s="342"/>
      <c r="HB53" s="342" t="e">
        <f>IF(COUNTIF(TypeArticleDansEntrepôt,GY53)=0,0,SUMIF(TypeArticleDansEntrepôt,GY53,QtéArticleDansEntrepôt)*VLOOKUP(GY53,#REF!,2,FALSE))</f>
        <v>#REF!</v>
      </c>
      <c r="HN53" s="342" t="e">
        <f>IF(#REF!="","",(VLOOKUP(#REF!,BDD!$HN$5:$HU$38,2,FALSE))*#REF!)</f>
        <v>#REF!</v>
      </c>
      <c r="HO53" s="342" t="e">
        <f>IF(#REF!="","",IF(OR(#REF!=Moutarde,#REF!=Phacélie),0,IF(#REF!=Luzerne,10*#REF!*VLOOKUP(#REF!,BDD!$HN$5:$HU$38,3,FALSE),IF(#REF!=Miscanthus,10.5*#REF!*VLOOKUP(#REF!,BDD!$HN$5:$HU$38,3,FALSE),INDEX(#REF!:#REF!,MATCH(#REF!,#REF!:#REF!,0),MATCH(#REF!,#REF!:#REF!,0))*#REF!*VLOOKUP(#REF!,BDD!$HN$5:$HU$38,3,FALSE)))))</f>
        <v>#REF!</v>
      </c>
      <c r="HP53" s="342" t="e">
        <f>IF(#REF!="","",IF(OR(#REF!=Moutarde,#REF!=Phacélie),0,IF(#REF!=Luzerne,10*#REF!*VLOOKUP(#REF!,BDD!$HN$5:$HU$38,4,FALSE),IF(#REF!=Miscanthus,10.5*#REF!*VLOOKUP(#REF!,BDD!$HN$5:$HU$38,4,FALSE),INDEX(#REF!:#REF!,MATCH(#REF!,#REF!:#REF!,0),MATCH(#REF!,#REF!:#REF!,0))*#REF!*VLOOKUP(#REF!,BDD!$HN$5:$HU$38,4,FALSE)))))</f>
        <v>#REF!</v>
      </c>
      <c r="HQ53" s="342" t="e">
        <f>IF(#REF!="","",IF(OR(#REF!=Moutarde,#REF!=Phacélie),0,IF(#REF!=Luzerne,10*#REF!*VLOOKUP(#REF!,BDD!$HN$5:$HU$38,5,FALSE),IF(#REF!=Miscanthus,10.5*#REF!*VLOOKUP(#REF!,BDD!$HN$5:$HU$38,5,FALSE),INDEX(#REF!:#REF!,MATCH(#REF!,#REF!:#REF!,0),MATCH(#REF!,#REF!:#REF!,0))*#REF!*VLOOKUP(#REF!,BDD!$HN$5:$HU$38,5,FALSE)))))</f>
        <v>#REF!</v>
      </c>
      <c r="HR53" s="342" t="e">
        <f>IF(#REF!="","",IF(OR(#REF!=Moutarde,#REF!=Phacélie),0,IF(#REF!=Luzerne,10*#REF!*VLOOKUP(#REF!,BDD!$HN$5:$HU$38,6,FALSE),IF(#REF!=Miscanthus,10.5*#REF!*VLOOKUP(#REF!,BDD!$HN$5:$HU$38,6,FALSE),INDEX(#REF!:#REF!,MATCH(#REF!,#REF!:#REF!,0),MATCH(#REF!,#REF!:#REF!,0))*#REF!*VLOOKUP(#REF!,BDD!$HN$5:$HU$38,6,FALSE)))))</f>
        <v>#REF!</v>
      </c>
      <c r="HS53" s="342" t="e">
        <f>IF(#REF!="","",IF(OR(#REF!=Moutarde,#REF!=Phacélie),0,IF(#REF!=Luzerne,10*#REF!*VLOOKUP(#REF!,BDD!$HN$5:$HU$38,7,FALSE),IF(#REF!=Miscanthus,10.5*#REF!*VLOOKUP(#REF!,BDD!$HN$5:$HU$38,7,FALSE),INDEX(#REF!:#REF!,MATCH(#REF!,#REF!:#REF!,0),MATCH(#REF!,#REF!:#REF!,0))*#REF!*VLOOKUP(#REF!,BDD!$HN$5:$HU$38,7,FALSE)))))</f>
        <v>#REF!</v>
      </c>
      <c r="HT53" s="342" t="e">
        <f>IF(#REF!="","",IF(OR(#REF!=Moutarde,#REF!=Phacélie),0,IF(#REF!=Luzerne,10*#REF!*VLOOKUP(#REF!,BDD!$HN$5:$HU$38,8,FALSE),IF(#REF!=Miscanthus,10.5*#REF!*VLOOKUP(#REF!,BDD!$HN$5:$HU$38,8,FALSE),INDEX(#REF!:#REF!,MATCH(#REF!,#REF!:#REF!,0),MATCH(#REF!,#REF!:#REF!,0))*#REF!*VLOOKUP(#REF!,BDD!$HN$5:$HU$38,8,FALSE)))))</f>
        <v>#REF!</v>
      </c>
      <c r="HU53" s="342" t="e">
        <f>IF(#REF!="","",IF(OR(#REF!=Moutarde,#REF!=Phacélie),0,1.6*#REF!))</f>
        <v>#REF!</v>
      </c>
      <c r="HV53" s="342" t="e">
        <f>IF(#REF!="","",IF(OR(#REF!=Moutarde,#REF!=Phacélie),0,1.6*#REF!))</f>
        <v>#REF!</v>
      </c>
      <c r="HW53" s="342" t="e">
        <f>IF(#REF!="","",IF(OR(#REF!=Moutarde,#REF!=Phacélie),0,1.6*#REF!))</f>
        <v>#REF!</v>
      </c>
      <c r="HX53" s="342" t="e">
        <f>IF(#REF!="","",(VLOOKUP(#REF!,BDD!$HN$5:$HU$38,2,FALSE))*#REF!)</f>
        <v>#REF!</v>
      </c>
      <c r="HY53" s="342" t="e">
        <f>IF(#REF!="","",IF(OR(#REF!=Moutarde,#REF!=Phacélie),0,IF(#REF!=Luzerne,10*#REF!*VLOOKUP(#REF!,BDD!$HN$5:$HU$38,3,FALSE),IF(#REF!=Miscanthus,10.5*#REF!*VLOOKUP(#REF!,BDD!$HN$5:$HU$38,3,FALSE),INDEX(#REF!:#REF!,MATCH(#REF!,#REF!:#REF!,0),MATCH(#REF!,#REF!:#REF!,0))*#REF!*VLOOKUP(#REF!,BDD!$HN$5:$HU$38,3,FALSE)))))</f>
        <v>#REF!</v>
      </c>
      <c r="HZ53" s="342" t="e">
        <f>IF(#REF!="","",IF(OR(#REF!=Moutarde,#REF!=Phacélie),0,IF(#REF!=Luzerne,10*#REF!*VLOOKUP(#REF!,BDD!$HN$5:$HU$38,4,FALSE),IF(#REF!=Miscanthus,10.5*#REF!*VLOOKUP(#REF!,BDD!$HN$5:$HU$38,4,FALSE),INDEX(#REF!:#REF!,MATCH(#REF!,#REF!:#REF!,0),MATCH(#REF!,#REF!:#REF!,0))*#REF!*VLOOKUP(#REF!,BDD!$HN$5:$HU$38,4,FALSE)))))</f>
        <v>#REF!</v>
      </c>
      <c r="IA53" s="342" t="e">
        <f>IF(#REF!="","",IF(OR(#REF!=Moutarde,#REF!=Phacélie),0,IF(#REF!=Luzerne,10*#REF!*VLOOKUP(#REF!,BDD!$HN$5:$HU$38,5,FALSE),IF(#REF!=Miscanthus,10.5*#REF!*VLOOKUP(#REF!,BDD!$HN$5:$HU$38,5,FALSE),INDEX(#REF!:#REF!,MATCH(#REF!,#REF!:#REF!,0),MATCH(#REF!,#REF!:#REF!,0))*#REF!*VLOOKUP(#REF!,BDD!$HN$5:$HU$38,5,FALSE)))))</f>
        <v>#REF!</v>
      </c>
      <c r="IB53" s="342" t="e">
        <f>IF(#REF!="","",IF(OR(#REF!=Moutarde,#REF!=Phacélie),0,IF(#REF!=Luzerne,10*#REF!*VLOOKUP(#REF!,BDD!$HN$5:$HU$38,6,FALSE),IF(#REF!=Miscanthus,10.5*#REF!*VLOOKUP(#REF!,BDD!$HN$5:$HU$38,6,FALSE),INDEX(#REF!:#REF!,MATCH(#REF!,#REF!:#REF!,0),MATCH(#REF!,#REF!:#REF!,0))*#REF!*VLOOKUP(#REF!,BDD!$HN$5:$HU$38,6,FALSE)))))</f>
        <v>#REF!</v>
      </c>
      <c r="IC53" s="342" t="e">
        <f>IF(#REF!="","",IF(OR(#REF!=Moutarde,#REF!=Phacélie),0,IF(#REF!=Luzerne,10*#REF!*VLOOKUP(#REF!,BDD!$HN$5:$HU$38,7,FALSE),IF(#REF!=Miscanthus,10.5*#REF!*VLOOKUP(#REF!,BDD!$HN$5:$HU$38,7,FALSE),INDEX(#REF!:#REF!,MATCH(#REF!,#REF!:#REF!,0),MATCH(#REF!,#REF!:#REF!,0))*#REF!*VLOOKUP(#REF!,BDD!$HN$5:$HU$38,7,FALSE)))))</f>
        <v>#REF!</v>
      </c>
      <c r="ID53" s="342" t="e">
        <f>IF(#REF!="","",IF(OR(#REF!=Moutarde,#REF!=Phacélie),0,IF(#REF!=Luzerne,10*#REF!*VLOOKUP(#REF!,BDD!$HN$5:$HU$38,8,FALSE),IF(#REF!=Miscanthus,10.5*#REF!*VLOOKUP(#REF!,BDD!$HN$5:$HU$38,8,FALSE),INDEX(#REF!:#REF!,MATCH(#REF!,#REF!:#REF!,0),MATCH(#REF!,#REF!:#REF!,0))*#REF!*VLOOKUP(#REF!,BDD!$HN$5:$HU$38,8,FALSE)))))</f>
        <v>#REF!</v>
      </c>
      <c r="IE53" s="342" t="e">
        <f>IF(#REF!="","",IF(OR(#REF!=Moutarde,#REF!=Phacélie),0,1.6*#REF!))</f>
        <v>#REF!</v>
      </c>
      <c r="IF53" s="342" t="e">
        <f>IF(#REF!="","",IF(OR(#REF!=Moutarde,#REF!=Phacélie),0,1.6*#REF!))</f>
        <v>#REF!</v>
      </c>
      <c r="IG53" s="342" t="e">
        <f>IF(#REF!="","",IF(OR(#REF!=Moutarde,#REF!=Phacélie),0,1.6*#REF!))</f>
        <v>#REF!</v>
      </c>
    </row>
    <row r="54" spans="1:241" ht="12.75" customHeight="1" x14ac:dyDescent="0.2">
      <c r="A54" s="358"/>
      <c r="B54" s="371"/>
      <c r="C54" s="372"/>
      <c r="F54" s="284"/>
      <c r="G54" s="285"/>
      <c r="H54" s="280"/>
      <c r="I54" s="280"/>
      <c r="N54" s="277"/>
      <c r="O54" s="280" t="s">
        <v>109</v>
      </c>
      <c r="P54" s="280"/>
      <c r="Q54" s="280"/>
      <c r="R54" s="280"/>
      <c r="S54" s="280"/>
      <c r="T54" s="280"/>
      <c r="U54" s="280"/>
      <c r="V54" s="280"/>
      <c r="W54" s="280"/>
      <c r="X54" s="280"/>
      <c r="Y54" s="280"/>
      <c r="Z54" s="280"/>
      <c r="AA54" s="280"/>
      <c r="AB54" s="280"/>
      <c r="AC54" s="280"/>
      <c r="AD54" s="280"/>
      <c r="AE54" s="280"/>
      <c r="AF54" s="280"/>
      <c r="AG54" s="280"/>
      <c r="AH54" s="280"/>
      <c r="AI54" s="280"/>
      <c r="AJ54" s="280"/>
      <c r="AK54" s="280"/>
      <c r="AL54" s="280"/>
      <c r="AM54" s="280"/>
      <c r="AN54" s="280"/>
      <c r="AO54" s="280"/>
      <c r="AP54" s="280"/>
      <c r="AQ54" s="280"/>
      <c r="AR54" s="280"/>
      <c r="AS54" s="280"/>
      <c r="AT54" s="280"/>
      <c r="AU54" s="280"/>
      <c r="AV54" s="280"/>
      <c r="AW54" s="280"/>
      <c r="AX54" s="280"/>
      <c r="AY54" s="280"/>
      <c r="BC54" s="284" t="s">
        <v>800</v>
      </c>
      <c r="BD54" s="299">
        <v>380</v>
      </c>
      <c r="BF54" s="284" t="s">
        <v>800</v>
      </c>
      <c r="BG54" s="299">
        <v>456</v>
      </c>
      <c r="BL54" s="312"/>
      <c r="BM54" s="350" t="s">
        <v>268</v>
      </c>
      <c r="BN54" s="350">
        <f t="array" ref="BN54">IF(Ration_hivernale_complète_bisons[somme]&gt;0,0,IFERROR(IF(OR(AND(INDEX(Règles_bison[Specificite],MATCH(ChoixRationBisons&amp;$BM54,Règles_bison[Ration]&amp;Règles_bison[Aliment],0))="s1",IF($BM54=ChoixSpécificité1Bisons,1)),
INDEX(Règles_bison[Specificite],MATCH(ChoixRationBisons&amp;$BM54,Règles_bison[Ration]&amp;Règles_bison[Aliment],0))="c"),
INDEX(Règles_bison[Valeur 36 et plus],MATCH(ChoixRationBisons&amp;$BM54,Règles_bison[Ration]&amp;Règles_bison[Aliment],0)),0),0)*TotalBisonsMalesAdultes*NbreJoursNourrirBisonsDaims)</f>
        <v>0</v>
      </c>
      <c r="BO54" s="350">
        <f t="array" ref="BO54">IF(Ration_hivernale_complète_bisons[somme]&gt;0,0,IFERROR(IF(OR(AND(INDEX(Règles_bison[Specificite],MATCH(ChoixRationBisons&amp;$BM54,Règles_bison[Ration]&amp;Règles_bison[Aliment],0))="s1",IF($BM54=ChoixSpécificité1Bisons,1)),
INDEX(Règles_bison[Specificite],MATCH(ChoixRationBisons&amp;$BM54,Règles_bison[Ration]&amp;Règles_bison[Aliment],0))="c"),
INDEX(Règles_bison[Valeur 24-36],MATCH(ChoixRationBisons&amp;$BM54,Règles_bison[Ration]&amp;Règles_bison[Aliment],0)),0),0)*TotalBisonsMales_24_36_mois*NbreJoursNourrirBisonsDaims)</f>
        <v>0</v>
      </c>
      <c r="BP54" s="350">
        <f t="array" ref="BP54">IF(Ration_hivernale_complète_bisons[somme]&gt;0,0,IFERROR(IF(OR(AND(INDEX(Règles_bison[Specificite],MATCH(ChoixRationBisons&amp;$BM54,Règles_bison[Ration]&amp;Règles_bison[Aliment],0))="s1",IF($BM54=ChoixSpécificité1Bisons,1)),
INDEX(Règles_bison[Specificite],MATCH(ChoixRationBisons&amp;$BM54,Règles_bison[Ration]&amp;Règles_bison[Aliment],0))="c"),
INDEX(Règles_bison[Valeur 18-24],MATCH(ChoixRationBisons&amp;$BM54,Règles_bison[Ration]&amp;Règles_bison[Aliment],0)),0),0)*TotalBisonsMales_18_24_mois*NbreJoursNourrirBisonsDaims)</f>
        <v>0</v>
      </c>
      <c r="BQ54" s="350">
        <f t="array" ref="BQ54">IF(Ration_hivernale_complète_bisons[somme]&gt;0,0,IFERROR(IF(OR(AND(INDEX(Règles_bison[Specificite],MATCH(ChoixRationBisons&amp;$BM54,Règles_bison[Ration]&amp;Règles_bison[Aliment],0))="s1",IF($BM54=ChoixSpécificité1Bisons,1)),
INDEX(Règles_bison[Specificite],MATCH(ChoixRationBisons&amp;$BM54,Règles_bison[Ration]&amp;Règles_bison[Aliment],0))="c"),
INDEX(Règles_bison[Valeur 12-18],MATCH(ChoixRationBisons&amp;$BM54,Règles_bison[Ration]&amp;Règles_bison[Aliment],0)),0),0)*TotalBisonsMales_12_18_mois*NbreJoursNourrirBisonsDaims)</f>
        <v>0</v>
      </c>
      <c r="BR54" s="350">
        <f t="array" ref="BR54">IF(Ration_hivernale_complète_bisons[somme]&gt;0,0,IFERROR(IF(OR(AND(INDEX(Règles_bison[Specificite],MATCH(ChoixRationBisons&amp;$BM54,Règles_bison[Ration]&amp;Règles_bison[Aliment],0))="s1",IF($BM54=ChoixSpécificité1Bisons,1)),
INDEX(Règles_bison[Specificite],MATCH(ChoixRationBisons&amp;$BM54,Règles_bison[Ration]&amp;Règles_bison[Aliment],0))="c"),
INDEX(Règles_bison[Valeur 6-12],MATCH(ChoixRationBisons&amp;$BM54,Règles_bison[Ration]&amp;Règles_bison[Aliment],0)),0),0)*TotalBisonsMales_6_12_mois*NbreJoursNourrirBisonsDaims)</f>
        <v>0</v>
      </c>
      <c r="BS54" s="350">
        <f t="array" ref="BS54">IF(Ration_hivernale_complète_bisons[somme]&gt;0,0,IFERROR(IF(OR(AND(INDEX(Règles_bison[Specificite],MATCH(ChoixRationBisons&amp;$BM54,Règles_bison[Ration]&amp;Règles_bison[Aliment],0))="s1",IF($BM54=ChoixSpécificité1Bisons,1)),
INDEX(Règles_bison[Specificite],MATCH(ChoixRationBisons&amp;$BM54,Règles_bison[Ration]&amp;Règles_bison[Aliment],0))="c"),
INDEX(Règles_bison[Valeur 3-6],MATCH(ChoixRationBisons&amp;$BM54,Règles_bison[Ration]&amp;Règles_bison[Aliment],0)),0),0)*TotalBisonsMales_3_6_mois*NbreJoursNourrirBisonsDaims)</f>
        <v>0</v>
      </c>
      <c r="BT54" s="350">
        <f t="array" ref="BT54">IF(Ration_hivernale_complète_bisons[somme]&gt;0,0,IFERROR(IF(OR(AND(INDEX(Règles_bison[Specificite],MATCH(ChoixRationBisons&amp;$BM54,Règles_bison[Ration]&amp;Règles_bison[Aliment],0))="s1",IF($BM54=ChoixSpécificité1Bisons,1)),
INDEX(Règles_bison[Specificite],MATCH(ChoixRationBisons&amp;$BM54,Règles_bison[Ration]&amp;Règles_bison[Aliment],0))="c"),
INDEX(Règles_bison[Valeur 0-3],MATCH(ChoixRationBisons&amp;$BM54,Règles_bison[Ration]&amp;Règles_bison[Aliment],0)),0),0)*TotalBisonsMales_0_3_mois*NbreJoursNourrirBisonsDaims)</f>
        <v>0</v>
      </c>
      <c r="BU54" s="350">
        <f t="shared" si="10"/>
        <v>0</v>
      </c>
      <c r="BX54" s="373" t="s">
        <v>547</v>
      </c>
      <c r="BY54" s="280" t="s">
        <v>70</v>
      </c>
      <c r="BZ54" s="280" t="s">
        <v>887</v>
      </c>
      <c r="CA54" s="280">
        <v>1.6</v>
      </c>
      <c r="CB54" s="280">
        <v>1.4</v>
      </c>
      <c r="CC54" s="280">
        <v>1.2</v>
      </c>
      <c r="CD54" s="410">
        <v>1</v>
      </c>
      <c r="CE54" s="304"/>
      <c r="CF54" s="304"/>
      <c r="CG54" s="304"/>
      <c r="CH54" s="304"/>
      <c r="CJ54" s="420" t="s">
        <v>904</v>
      </c>
      <c r="CK54" s="384">
        <f t="array" ref="CK5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54" s="384">
        <f t="array" ref="CL5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54" s="384">
        <f t="array" ref="CM5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54" s="384">
        <f t="array" ref="CN5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54" s="384">
        <f t="array" ref="CO5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54" s="426">
        <f>SUM(AlimentsRationPorcinsMâles[[#This Row],[Valeur 12 et plus]:[Valeur 0-1]])</f>
        <v>0</v>
      </c>
      <c r="CS54" s="277"/>
      <c r="CT54" s="277"/>
      <c r="CU54" s="277"/>
      <c r="CV54" s="277"/>
      <c r="DF54" s="277"/>
      <c r="DG54" s="420" t="s">
        <v>499</v>
      </c>
      <c r="DH54" s="433">
        <f t="array" ref="DH5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54" s="433">
        <f t="array" ref="DI5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54" s="433">
        <f t="array" ref="DJ5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54" s="434">
        <f>SUM(AlimentsRationPintadesMâles[[#This Row],[Valeur 9 et plus]:[Valeur 0-1]])</f>
        <v>0</v>
      </c>
      <c r="DL54" s="316"/>
      <c r="DM54" s="316"/>
      <c r="DN54" s="280" t="s">
        <v>793</v>
      </c>
      <c r="DO54" s="280">
        <v>860</v>
      </c>
      <c r="DQ54" s="280" t="s">
        <v>793</v>
      </c>
      <c r="DR54" s="280">
        <v>1032</v>
      </c>
      <c r="DV54" s="350" t="s">
        <v>232</v>
      </c>
      <c r="DW54" s="351">
        <f t="array" ref="DW54">IF(ChoixRationComplèteDaims=OUI,0,IFERROR(IF(OR(AND(INDEX(Règles_daims[Specificite],MATCH(ChoixRationDaims&amp;DV54,Règles_daims[Ration]&amp;Règles_daims[Aliment],0))="s1",IF(DV54=Spécificité1Daims,1)),
AND(INDEX(Règles_daims[Specificite],MATCH(ChoixRationDaims&amp;DV54,Règles_daims[Ration]&amp;Règles_daims[Aliment],0))="s2",IF(DV54=Spécificité2Daims,1)),
INDEX(Règles_daims[Specificite],MATCH(ChoixRationDaims&amp;DV54,Règles_daims[Ration]&amp;Règles_daims[Aliment],0))="c"),
INDEX(Règles_daims[Valeur 36 et plus],MATCH(ChoixRationDaims&amp;DV54,Règles_daims[Ration]&amp;Règles_daims[Aliment],0)),0),0)*SUM(TotalDaimsAdultes)*NbreJoursNourrirBisonsDaims)</f>
        <v>0</v>
      </c>
      <c r="DX54" s="351">
        <f t="array" ref="DX54">IF(ChoixRationComplèteDaims=OUI,0,IFERROR(IF(OR(AND(INDEX(Règles_daims[Specificite],MATCH(ChoixRationDaims&amp;DV54,Règles_daims[Ration]&amp;Règles_daims[Aliment],0))="s1",IF(DV54=Spécificité1Daims,1)),
AND(INDEX(Règles_daims[Specificite],MATCH(ChoixRationDaims&amp;DV54,Règles_daims[Ration]&amp;Règles_daims[Aliment],0))="s2",IF(DV54=Spécificité2Daims,1)),
INDEX(Règles_daims[Specificite],MATCH(ChoixRationDaims&amp;DV54,Règles_daims[Ration]&amp;Règles_daims[Aliment],0))="c"),
INDEX(Règles_daims[Valeur 24-36],MATCH(ChoixRationDaims&amp;DV54,Règles_daims[Ration]&amp;Règles_daims[Aliment],0)),0),0)*SUM(TotalDaims24_36)*NbreJoursNourrirBisonsDaims)</f>
        <v>0</v>
      </c>
      <c r="DY54" s="351">
        <f t="array" ref="DY54">IF(ChoixRationComplèteDaims=OUI,0,IFERROR(IF(OR(AND(INDEX(Règles_daims[Specificite],MATCH(ChoixRationDaims&amp;DV54,Règles_daims[Ration]&amp;Règles_daims[Aliment],0))="s1",IF(DV54=Spécificité1Daims,1)),
AND(INDEX(Règles_daims[Specificite],MATCH(ChoixRationDaims&amp;DV54,Règles_daims[Ration]&amp;Règles_daims[Aliment],0))="s2",IF(DV54=Spécificité2Daims,1)),
INDEX(Règles_daims[Specificite],MATCH(ChoixRationDaims&amp;DV54,Règles_daims[Ration]&amp;Règles_daims[Aliment],0))="c"),
INDEX(Règles_daims[Valeur 18-24],MATCH(ChoixRationDaims&amp;DV54,Règles_daims[Ration]&amp;Règles_daims[Aliment],0)),0),0)*SUM(TotalDaims18_24)*NbreJoursNourrirBisonsDaims)</f>
        <v>0</v>
      </c>
      <c r="DZ54" s="441">
        <f t="array" ref="DZ54">IF(ChoixRationComplèteDaims=OUI,0,IFERROR(IF(OR(AND(INDEX(Règles_daims[Specificite],MATCH(ChoixRationDaims&amp;DV54,Règles_daims[Ration]&amp;Règles_daims[Aliment],0))="s1",IF(DV54=Spécificité1Daims,1)),
AND(INDEX(Règles_daims[Specificite],MATCH(ChoixRationDaims&amp;DV54,Règles_daims[Ration]&amp;Règles_daims[Aliment],0))="s2",IF(DV54=Spécificité2Daims,1)),
INDEX(Règles_daims[Specificite],MATCH(ChoixRationDaims&amp;DV54,Règles_daims[Ration]&amp;Règles_daims[Aliment],0))="c"),
INDEX(Règles_daims[Valeur 12-18],MATCH(ChoixRationDaims&amp;DV54,Règles_daims[Ration]&amp;Règles_daims[Aliment],0)),0),0)*SUM(TotalDaims12_18)*NbreJoursNourrirBisonsDaims)</f>
        <v>0</v>
      </c>
      <c r="EA54" s="441">
        <f t="array" ref="EA54">IF(ChoixRationComplèteDaims=OUI,0,IFERROR(IF(OR(AND(INDEX(Règles_daims[Specificite],MATCH(ChoixRationDaims&amp;DV54,Règles_daims[Ration]&amp;Règles_daims[Aliment],0))="s1",IF(DV54=Spécificité1Daims,1)),
AND(INDEX(Règles_daims[Specificite],MATCH(ChoixRationDaims&amp;DV54,Règles_daims[Ration]&amp;Règles_daims[Aliment],0))="s2",IF(DV54=Spécificité2Daims,1)),
INDEX(Règles_daims[Specificite],MATCH(ChoixRationDaims&amp;DV54,Règles_daims[Ration]&amp;Règles_daims[Aliment],0))="c"),
INDEX(Règles_daims[Valeur 6-12],MATCH(ChoixRationDaims&amp;DV54,Règles_daims[Ration]&amp;Règles_daims[Aliment],0)),0),0)*SUM(TotalDaims6_12)*NbreJoursNourrirBisonsDaims)</f>
        <v>0</v>
      </c>
      <c r="EB54" s="441">
        <f t="array" ref="EB54">IF(ChoixRationComplèteDaims=OUI,0,IFERROR(IF(OR(AND(INDEX(Règles_daims[Specificite],MATCH(ChoixRationDaims&amp;DV54,Règles_daims[Ration]&amp;Règles_daims[Aliment],0))="s1",IF(DV54=Spécificité1Daims,1)),
AND(INDEX(Règles_daims[Specificite],MATCH(ChoixRationDaims&amp;DV54,Règles_daims[Ration]&amp;Règles_daims[Aliment],0))="s2",IF(DV54=Spécificité2Daims,1)),
INDEX(Règles_daims[Specificite],MATCH(ChoixRationDaims&amp;DV54,Règles_daims[Ration]&amp;Règles_daims[Aliment],0))="c"),
INDEX(Règles_daims[Valeur 3-6],MATCH(ChoixRationDaims&amp;DV54,Règles_daims[Ration]&amp;Règles_daims[Aliment],0)),0),0)*SUM(TotalDaims3_6)*NbreJoursNourrirBisonsDaims)</f>
        <v>0</v>
      </c>
      <c r="EC54" s="441">
        <f t="array" ref="EC54">IF(ChoixRationComplèteDaims=OUI,0,IFERROR(IF(OR(AND(INDEX(Règles_daims[Specificite],MATCH(ChoixRationDaims&amp;DV54,Règles_daims[Ration]&amp;Règles_daims[Aliment],0))="s1",IF(DV54=Spécificité1Daims,1)),
AND(INDEX(Règles_daims[Specificite],MATCH(ChoixRationDaims&amp;DV54,Règles_daims[Ration]&amp;Règles_daims[Aliment],0))="s2",IF(DV54=Spécificité2Daims,1)),
INDEX(Règles_daims[Specificite],MATCH(ChoixRationDaims&amp;DV54,Règles_daims[Ration]&amp;Règles_daims[Aliment],0))="c"),
INDEX(Règles_daims[Valeur 0-3],MATCH(ChoixRationDaims&amp;DV54,Règles_daims[Ration]&amp;Règles_daims[Aliment],0)),0),0)*SUM(TotalDaims0_3)*NbreJoursNourrirBisonsDaims)</f>
        <v>0</v>
      </c>
      <c r="ED54" s="441">
        <f t="shared" si="9"/>
        <v>0</v>
      </c>
      <c r="EG54" s="420" t="s">
        <v>392</v>
      </c>
      <c r="EH54" s="433">
        <f t="array" ref="EH5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54" s="433">
        <f t="array" ref="EI5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54" s="433">
        <f t="array" ref="EJ5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54" s="434">
        <f>SUM(AlimentsRationOiesMâles[[#This Row],[Valeur 6 et plus]:[Valeur 0-3]])</f>
        <v>0</v>
      </c>
      <c r="EL54" s="316"/>
      <c r="EN54" s="420" t="s">
        <v>220</v>
      </c>
      <c r="EO54" s="433">
        <f t="array" ref="EO54">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54" s="433">
        <f t="array" ref="EP54">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54" s="433">
        <f t="array" ref="EQ54">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54" s="434">
        <f>SUM(Ration_canards_Mâles[[#This Row],[Valeur 6 et plus]:[Valeur 0-3]])</f>
        <v>0</v>
      </c>
      <c r="ES54" s="316"/>
      <c r="ET54" s="282"/>
      <c r="EU54" s="373"/>
      <c r="EV54" s="280"/>
      <c r="EW54" s="280"/>
      <c r="EX54" s="280"/>
      <c r="EY54" s="280"/>
      <c r="EZ54" s="280"/>
      <c r="FA54" s="363"/>
      <c r="FB54" s="298"/>
      <c r="FD54" s="457" t="s">
        <v>490</v>
      </c>
      <c r="FE54" s="458">
        <f t="array" ref="FE54">IF(OR(ChoixRationComplèteEtéChevauxTrait=OUI,ChoixRationComplèteEtéChevauxTrait="",AND(ChoixChevauxTraitPréHiver=OUI,ChoixChevauxTraitPréEté=OUI)),0,IFERROR(IF(OR(AND(INDEX(Règles_chevaux_trait[Specificite],MATCH(RationEtéChevauxTrait&amp;$FD54,Règles_chevaux_trait[Ration]&amp;Règles_chevaux_trait[Aliment],0))="s1",IF($FD54=Spécificité1ChevauxTrait,1)),
AND(INDEX(Règles_chevaux_trait[Specificite],MATCH(RationEtéChevauxTrait&amp;$FD54,Règles_chevaux_trait[Ration]&amp;Règles_chevaux_trait[Aliment],0))="s2",IF($FD54=Spécificité2ChevauxTrait,1)),
INDEX(Règles_chevaux_trait[Specificite],MATCH(RationEtéChevauxTrait&amp;$FD54,Règles_chevaux_trait[Ration]&amp;Règles_chevaux_trait[Aliment],0))="c"),
INDEX(Règles_chevaux_trait[Valeur 36 et plus],MATCH(RationEtéChevauxTrait&amp;$FD54,Règles_chevaux_trait[Ration]&amp;Règles_chevaux_trait[Aliment],0)),0),0)*TotalEtalonTrait*NbreJoursNourrirChevauxTrait)</f>
        <v>0</v>
      </c>
      <c r="FF54" s="458">
        <f t="array" ref="FF54">IF(OR(ChoixRationComplèteEtéChevauxTrait=OUI,ChoixRationComplèteEtéChevauxTrait="",AND(ChoixChevauxTraitPréHiver=OUI,ChoixChevauxTraitPréEté=OUI)),0,IFERROR(IF(OR(AND(INDEX(Règles_chevaux_trait[Specificite],MATCH(RationEtéChevauxTrait&amp;$FD54,Règles_chevaux_trait[Ration]&amp;Règles_chevaux_trait[Aliment],0))="s1",IF($FD54=Spécificité1ChevauxTrait,1)),
AND(INDEX(Règles_chevaux_trait[Specificite],MATCH(RationEtéChevauxTrait&amp;$FD54,Règles_chevaux_trait[Ration]&amp;Règles_chevaux_trait[Aliment],0))="s2",IF($FD54=Spécificité2ChevauxTrait,1)),
INDEX(Règles_chevaux_trait[Specificite],MATCH(RationEtéChevauxTrait&amp;$FD54,Règles_chevaux_trait[Ration]&amp;Règles_chevaux_trait[Aliment],0))="c"),
INDEX(Règles_chevaux_trait[Valeur 24-36],MATCH(RationEtéChevauxTrait&amp;$FD54,Règles_chevaux_trait[Ration]&amp;Règles_chevaux_trait[Aliment],0)),0),0)*TotalJeuneEtalonTrait_24_36_mois*NbreJoursNourrirChevauxTrait)</f>
        <v>0</v>
      </c>
      <c r="FG54" s="458">
        <f t="array" ref="FG54">IF(OR(ChoixRationComplèteEtéChevauxTrait=OUI,ChoixRationComplèteEtéChevauxTrait="",AND(ChoixChevauxTraitPréHiver=OUI,ChoixChevauxTraitPréEté=OUI)),0,IFERROR(IF(OR(AND(INDEX(Règles_chevaux_trait[Specificite],MATCH(RationEtéChevauxTrait&amp;$FD54,Règles_chevaux_trait[Ration]&amp;Règles_chevaux_trait[Aliment],0))="s1",IF($FD54=Spécificité1ChevauxTrait,1)),
AND(INDEX(Règles_chevaux_trait[Specificite],MATCH(RationEtéChevauxTrait&amp;$FD54,Règles_chevaux_trait[Ration]&amp;Règles_chevaux_trait[Aliment],0))="s2",IF($FD54=Spécificité2ChevauxTrait,1)),
INDEX(Règles_chevaux_trait[Specificite],MATCH(RationEtéChevauxTrait&amp;$FD54,Règles_chevaux_trait[Ration]&amp;Règles_chevaux_trait[Aliment],0))="c"),
INDEX(Règles_chevaux_trait[Valeur 12-24],MATCH(RationEtéChevauxTrait&amp;$FD54,Règles_chevaux_trait[Ration]&amp;Règles_chevaux_trait[Aliment],0)),0),0)*TotalJeuneEtalonTrait_12_24_mois*NbreJoursNourrirChevauxTrait)</f>
        <v>0</v>
      </c>
      <c r="FH54" s="458">
        <f t="array" ref="FH54">IF(OR(ChoixRationComplèteEtéChevauxTrait=OUI,ChoixRationComplèteEtéChevauxTrait="",AND(ChoixChevauxTraitPréHiver=OUI,ChoixChevauxTraitPréEté=OUI)),0,IFERROR(IF(OR(AND(INDEX(Règles_chevaux_trait[Specificite],MATCH(RationEtéChevauxTrait&amp;$FD54,Règles_chevaux_trait[Ration]&amp;Règles_chevaux_trait[Aliment],0))="s1",IF($FD54=Spécificité1ChevauxTrait,1)),
AND(INDEX(Règles_chevaux_trait[Specificite],MATCH(RationEtéChevauxTrait&amp;$FD54,Règles_chevaux_trait[Ration]&amp;Règles_chevaux_trait[Aliment],0))="s2",IF($FD54=Spécificité2ChevauxTrait,1)),
INDEX(Règles_chevaux_trait[Specificite],MATCH(RationEtéChevauxTrait&amp;$FD54,Règles_chevaux_trait[Ration]&amp;Règles_chevaux_trait[Aliment],0))="c"),
INDEX(Règles_chevaux_trait[Valeur 0-12],MATCH(RationEtéChevauxTrait&amp;$FD54,Règles_chevaux_trait[Ration]&amp;Règles_chevaux_trait[Aliment],0)),0),0)*TotalPoulainTrait_0_12_mois*NbreJoursNourrirChevauxTrait)</f>
        <v>0</v>
      </c>
      <c r="FI54" s="460">
        <f t="shared" ref="FI54:FI92" si="15">SUM($FE54:$FH54)</f>
        <v>0</v>
      </c>
      <c r="FK54" s="298"/>
      <c r="FL54" s="298"/>
      <c r="FN54" s="457" t="s">
        <v>392</v>
      </c>
      <c r="FO54" s="458">
        <f t="array" ref="FO54">IF(OR(ChoixRationComplèteEtéPoneys=OUI,ChoixRationComplèteEtéPoneys="",AND(ChoixPoneysPréHiver=OUI,ChoixPoneysPréEté=OUI)),0,IFERROR(IF(OR(AND(INDEX(Règles_poneys[Specificite],MATCH(RationEtéPoneys&amp;$FN54,Règles_poneys[Ration]&amp;Règles_poneys[Aliment],0))="s1",IF($FN54=Spécificité1Poneys,1)),
AND(INDEX(Règles_poneys[Specificite],MATCH(RationEtéPoneys&amp;$FN54,Règles_poneys[Ration]&amp;Règles_poneys[Aliment],0))="s2",IF($FN54=Spécificité2Poneys,1)),
INDEX(Règles_poneys[Specificite],MATCH(RationEtéPoneys&amp;$FN54,Règles_poneys[Ration]&amp;Règles_poneys[Aliment],0))="c"),
INDEX(Règles_poneys[Valeur 36 et plus],MATCH(RationEtéPoneys&amp;$FN54,Règles_poneys[Ration]&amp;Règles_poneys[Aliment],0)),0),0)*TotalEtalonPoney*NbreJoursNourrirPoneys)</f>
        <v>0</v>
      </c>
      <c r="FP54" s="458">
        <f t="array" ref="FP54">IF(OR(ChoixRationComplèteEtéPoneys=OUI,ChoixRationComplèteEtéPoneys="",AND(ChoixPoneysPréHiver=OUI,ChoixPoneysPréEté=OUI)),0,IFERROR(IF(OR(AND(INDEX(Règles_poneys[Specificite],MATCH(RationEtéPoneys&amp;$FN54,Règles_poneys[Ration]&amp;Règles_poneys[Aliment],0))="s1",IF($FN54=Spécificité1Poneys,1)),
AND(INDEX(Règles_poneys[Specificite],MATCH(RationEtéPoneys&amp;$FN54,Règles_poneys[Ration]&amp;Règles_poneys[Aliment],0))="s2",IF($FN54=Spécificité2Poneys,1)),
INDEX(Règles_poneys[Specificite],MATCH(RationEtéPoneys&amp;$FN54,Règles_poneys[Ration]&amp;Règles_poneys[Aliment],0))="c"),
INDEX(Règles_poneys[Valeur 36 et plus],MATCH(RationEtéPoneys&amp;$FN54,Règles_poneys[Ration]&amp;Règles_poneys[Aliment],0)),0),0)*TotalJeuneEtalonPoney_24_36_mois*NbreJoursNourrirPoneys)</f>
        <v>0</v>
      </c>
      <c r="FQ54" s="458">
        <f t="array" ref="FQ54">IF(OR(ChoixRationComplèteEtéPoneys=OUI,ChoixRationComplèteEtéPoneys="",AND(ChoixPoneysPréHiver=OUI,ChoixPoneysPréEté=OUI)),0,IFERROR(IF(OR(AND(INDEX(Règles_poneys[Specificite],MATCH(RationEtéPoneys&amp;$FN54,Règles_poneys[Ration]&amp;Règles_poneys[Aliment],0))="s1",IF($FN54=Spécificité1Poneys,1)),
AND(INDEX(Règles_poneys[Specificite],MATCH(RationEtéPoneys&amp;$FN54,Règles_poneys[Ration]&amp;Règles_poneys[Aliment],0))="s2",IF($FN54=Spécificité2Poneys,1)),
INDEX(Règles_poneys[Specificite],MATCH(RationEtéPoneys&amp;$FN54,Règles_poneys[Ration]&amp;Règles_poneys[Aliment],0))="c"),
INDEX(Règles_poneys[Valeur 36 et plus],MATCH(RationEtéPoneys&amp;$FN54,Règles_poneys[Ration]&amp;Règles_poneys[Aliment],0)),0),0)*TotalJeuneEtalonPoney_12_24_mois*NbreJoursNourrirPoneys)</f>
        <v>0</v>
      </c>
      <c r="FR54" s="460">
        <f t="array" ref="FR54">IF(OR(ChoixRationComplèteEtéPoneys=OUI,ChoixRationComplèteEtéPoneys="",AND(ChoixPoneysPréHiver=OUI,ChoixPoneysPréEté=OUI)),0,IFERROR(IF(OR(AND(INDEX(Règles_poneys[Specificite],MATCH(RationEtéPoneys&amp;$FN54,Règles_poneys[Ration]&amp;Règles_poneys[Aliment],0))="s1",IF($FN54=Spécificité1Poneys,1)),
AND(INDEX(Règles_poneys[Specificite],MATCH(RationEtéPoneys&amp;$FN54,Règles_poneys[Ration]&amp;Règles_poneys[Aliment],0))="s2",IF($FN54=Spécificité2Poneys,1)),
INDEX(Règles_poneys[Specificite],MATCH(RationEtéPoneys&amp;$FN54,Règles_poneys[Ration]&amp;Règles_poneys[Aliment],0))="c"),
INDEX(Règles_poneys[Valeur 36 et plus],MATCH(RationEtéPoneys&amp;$FN54,Règles_poneys[Ration]&amp;Règles_poneys[Aliment],0)),0),0)*TotalPoulainPoney_0_12_mois*NbreJoursNourrirPoneys)</f>
        <v>0</v>
      </c>
      <c r="FS54" s="460">
        <f t="shared" si="14"/>
        <v>0</v>
      </c>
      <c r="FT54" s="298"/>
      <c r="FU54" s="298"/>
      <c r="FV54" s="298"/>
      <c r="FW54" s="443" t="s">
        <v>518</v>
      </c>
      <c r="FX54" s="450">
        <f t="array" ref="FX54">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54" s="450">
        <f t="array" ref="FY54">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54" s="450">
        <f t="array" ref="FZ54">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54" s="450">
        <f t="array" ref="GA54">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54" s="451">
        <f>SUM(AlimentsGavageOies[[#This Row],[Valeur 6 et plus]:[Valeur 0-1]])</f>
        <v>0</v>
      </c>
      <c r="GC54" s="316"/>
      <c r="GE54" s="280" t="s">
        <v>0</v>
      </c>
      <c r="GF54" s="283"/>
      <c r="GG54" s="283" t="s">
        <v>955</v>
      </c>
      <c r="GH54" s="283" t="s">
        <v>955</v>
      </c>
      <c r="GI54" s="283" t="s">
        <v>955</v>
      </c>
      <c r="GJ54" s="283" t="s">
        <v>955</v>
      </c>
      <c r="GK54" s="283" t="s">
        <v>955</v>
      </c>
      <c r="GL54" s="283" t="s">
        <v>955</v>
      </c>
      <c r="GM54" s="283" t="s">
        <v>955</v>
      </c>
      <c r="GN54" s="283" t="s">
        <v>955</v>
      </c>
      <c r="GO54" s="283" t="s">
        <v>955</v>
      </c>
      <c r="GP54" s="283" t="s">
        <v>955</v>
      </c>
      <c r="GQ54" s="283" t="s">
        <v>955</v>
      </c>
      <c r="GR54" s="283" t="s">
        <v>955</v>
      </c>
      <c r="GS54" s="283" t="s">
        <v>955</v>
      </c>
      <c r="GT54" s="283" t="s">
        <v>955</v>
      </c>
      <c r="GU54" s="283" t="s">
        <v>955</v>
      </c>
      <c r="GV54" s="283" t="s">
        <v>955</v>
      </c>
      <c r="GY54" s="444" t="str">
        <f t="shared" si="11"/>
        <v>semences de chanvre (GP)</v>
      </c>
      <c r="GZ54" s="444"/>
      <c r="HA54" s="342"/>
      <c r="HB54" s="342" t="e">
        <f>IF(COUNTIF(TypeArticleDansEntrepôt,GY54)=0,0,SUMIF(TypeArticleDansEntrepôt,GY54,QtéArticleDansEntrepôt)*VLOOKUP(GY54,#REF!,2,FALSE))</f>
        <v>#REF!</v>
      </c>
      <c r="HN54" s="342" t="e">
        <f>IF(#REF!="","",(VLOOKUP(#REF!,BDD!$HN$5:$HU$38,2,FALSE))*#REF!)</f>
        <v>#REF!</v>
      </c>
      <c r="HO54" s="342" t="e">
        <f>IF(#REF!="","",IF(OR(#REF!=Moutarde,#REF!=Phacélie),0,IF(#REF!=Luzerne,10*#REF!*VLOOKUP(#REF!,BDD!$HN$5:$HU$38,3,FALSE),IF(#REF!=Miscanthus,10.5*#REF!*VLOOKUP(#REF!,BDD!$HN$5:$HU$38,3,FALSE),INDEX(#REF!:#REF!,MATCH(#REF!,#REF!:#REF!,0),MATCH(#REF!,#REF!:#REF!,0))*#REF!*VLOOKUP(#REF!,BDD!$HN$5:$HU$38,3,FALSE)))))</f>
        <v>#REF!</v>
      </c>
      <c r="HP54" s="342" t="e">
        <f>IF(#REF!="","",IF(OR(#REF!=Moutarde,#REF!=Phacélie),0,IF(#REF!=Luzerne,10*#REF!*VLOOKUP(#REF!,BDD!$HN$5:$HU$38,4,FALSE),IF(#REF!=Miscanthus,10.5*#REF!*VLOOKUP(#REF!,BDD!$HN$5:$HU$38,4,FALSE),INDEX(#REF!:#REF!,MATCH(#REF!,#REF!:#REF!,0),MATCH(#REF!,#REF!:#REF!,0))*#REF!*VLOOKUP(#REF!,BDD!$HN$5:$HU$38,4,FALSE)))))</f>
        <v>#REF!</v>
      </c>
      <c r="HQ54" s="342" t="e">
        <f>IF(#REF!="","",IF(OR(#REF!=Moutarde,#REF!=Phacélie),0,IF(#REF!=Luzerne,10*#REF!*VLOOKUP(#REF!,BDD!$HN$5:$HU$38,5,FALSE),IF(#REF!=Miscanthus,10.5*#REF!*VLOOKUP(#REF!,BDD!$HN$5:$HU$38,5,FALSE),INDEX(#REF!:#REF!,MATCH(#REF!,#REF!:#REF!,0),MATCH(#REF!,#REF!:#REF!,0))*#REF!*VLOOKUP(#REF!,BDD!$HN$5:$HU$38,5,FALSE)))))</f>
        <v>#REF!</v>
      </c>
      <c r="HR54" s="342" t="e">
        <f>IF(#REF!="","",IF(OR(#REF!=Moutarde,#REF!=Phacélie),0,IF(#REF!=Luzerne,10*#REF!*VLOOKUP(#REF!,BDD!$HN$5:$HU$38,6,FALSE),IF(#REF!=Miscanthus,10.5*#REF!*VLOOKUP(#REF!,BDD!$HN$5:$HU$38,6,FALSE),INDEX(#REF!:#REF!,MATCH(#REF!,#REF!:#REF!,0),MATCH(#REF!,#REF!:#REF!,0))*#REF!*VLOOKUP(#REF!,BDD!$HN$5:$HU$38,6,FALSE)))))</f>
        <v>#REF!</v>
      </c>
      <c r="HS54" s="342" t="e">
        <f>IF(#REF!="","",IF(OR(#REF!=Moutarde,#REF!=Phacélie),0,IF(#REF!=Luzerne,10*#REF!*VLOOKUP(#REF!,BDD!$HN$5:$HU$38,7,FALSE),IF(#REF!=Miscanthus,10.5*#REF!*VLOOKUP(#REF!,BDD!$HN$5:$HU$38,7,FALSE),INDEX(#REF!:#REF!,MATCH(#REF!,#REF!:#REF!,0),MATCH(#REF!,#REF!:#REF!,0))*#REF!*VLOOKUP(#REF!,BDD!$HN$5:$HU$38,7,FALSE)))))</f>
        <v>#REF!</v>
      </c>
      <c r="HT54" s="342" t="e">
        <f>IF(#REF!="","",IF(OR(#REF!=Moutarde,#REF!=Phacélie),0,IF(#REF!=Luzerne,10*#REF!*VLOOKUP(#REF!,BDD!$HN$5:$HU$38,8,FALSE),IF(#REF!=Miscanthus,10.5*#REF!*VLOOKUP(#REF!,BDD!$HN$5:$HU$38,8,FALSE),INDEX(#REF!:#REF!,MATCH(#REF!,#REF!:#REF!,0),MATCH(#REF!,#REF!:#REF!,0))*#REF!*VLOOKUP(#REF!,BDD!$HN$5:$HU$38,8,FALSE)))))</f>
        <v>#REF!</v>
      </c>
      <c r="HU54" s="342" t="e">
        <f>IF(#REF!="","",IF(OR(#REF!=Moutarde,#REF!=Phacélie),0,1.6*#REF!))</f>
        <v>#REF!</v>
      </c>
      <c r="HV54" s="342" t="e">
        <f>IF(#REF!="","",IF(OR(#REF!=Moutarde,#REF!=Phacélie),0,1.6*#REF!))</f>
        <v>#REF!</v>
      </c>
      <c r="HW54" s="342" t="e">
        <f>IF(#REF!="","",IF(OR(#REF!=Moutarde,#REF!=Phacélie),0,1.6*#REF!))</f>
        <v>#REF!</v>
      </c>
      <c r="HX54" s="342" t="e">
        <f>IF(#REF!="","",(VLOOKUP(#REF!,BDD!$HN$5:$HU$38,2,FALSE))*#REF!)</f>
        <v>#REF!</v>
      </c>
      <c r="HY54" s="342" t="e">
        <f>IF(#REF!="","",IF(OR(#REF!=Moutarde,#REF!=Phacélie),0,IF(#REF!=Luzerne,10*#REF!*VLOOKUP(#REF!,BDD!$HN$5:$HU$38,3,FALSE),IF(#REF!=Miscanthus,10.5*#REF!*VLOOKUP(#REF!,BDD!$HN$5:$HU$38,3,FALSE),INDEX(#REF!:#REF!,MATCH(#REF!,#REF!:#REF!,0),MATCH(#REF!,#REF!:#REF!,0))*#REF!*VLOOKUP(#REF!,BDD!$HN$5:$HU$38,3,FALSE)))))</f>
        <v>#REF!</v>
      </c>
      <c r="HZ54" s="342" t="e">
        <f>IF(#REF!="","",IF(OR(#REF!=Moutarde,#REF!=Phacélie),0,IF(#REF!=Luzerne,10*#REF!*VLOOKUP(#REF!,BDD!$HN$5:$HU$38,4,FALSE),IF(#REF!=Miscanthus,10.5*#REF!*VLOOKUP(#REF!,BDD!$HN$5:$HU$38,4,FALSE),INDEX(#REF!:#REF!,MATCH(#REF!,#REF!:#REF!,0),MATCH(#REF!,#REF!:#REF!,0))*#REF!*VLOOKUP(#REF!,BDD!$HN$5:$HU$38,4,FALSE)))))</f>
        <v>#REF!</v>
      </c>
      <c r="IA54" s="342" t="e">
        <f>IF(#REF!="","",IF(OR(#REF!=Moutarde,#REF!=Phacélie),0,IF(#REF!=Luzerne,10*#REF!*VLOOKUP(#REF!,BDD!$HN$5:$HU$38,5,FALSE),IF(#REF!=Miscanthus,10.5*#REF!*VLOOKUP(#REF!,BDD!$HN$5:$HU$38,5,FALSE),INDEX(#REF!:#REF!,MATCH(#REF!,#REF!:#REF!,0),MATCH(#REF!,#REF!:#REF!,0))*#REF!*VLOOKUP(#REF!,BDD!$HN$5:$HU$38,5,FALSE)))))</f>
        <v>#REF!</v>
      </c>
      <c r="IB54" s="342" t="e">
        <f>IF(#REF!="","",IF(OR(#REF!=Moutarde,#REF!=Phacélie),0,IF(#REF!=Luzerne,10*#REF!*VLOOKUP(#REF!,BDD!$HN$5:$HU$38,6,FALSE),IF(#REF!=Miscanthus,10.5*#REF!*VLOOKUP(#REF!,BDD!$HN$5:$HU$38,6,FALSE),INDEX(#REF!:#REF!,MATCH(#REF!,#REF!:#REF!,0),MATCH(#REF!,#REF!:#REF!,0))*#REF!*VLOOKUP(#REF!,BDD!$HN$5:$HU$38,6,FALSE)))))</f>
        <v>#REF!</v>
      </c>
      <c r="IC54" s="342" t="e">
        <f>IF(#REF!="","",IF(OR(#REF!=Moutarde,#REF!=Phacélie),0,IF(#REF!=Luzerne,10*#REF!*VLOOKUP(#REF!,BDD!$HN$5:$HU$38,7,FALSE),IF(#REF!=Miscanthus,10.5*#REF!*VLOOKUP(#REF!,BDD!$HN$5:$HU$38,7,FALSE),INDEX(#REF!:#REF!,MATCH(#REF!,#REF!:#REF!,0),MATCH(#REF!,#REF!:#REF!,0))*#REF!*VLOOKUP(#REF!,BDD!$HN$5:$HU$38,7,FALSE)))))</f>
        <v>#REF!</v>
      </c>
      <c r="ID54" s="342" t="e">
        <f>IF(#REF!="","",IF(OR(#REF!=Moutarde,#REF!=Phacélie),0,IF(#REF!=Luzerne,10*#REF!*VLOOKUP(#REF!,BDD!$HN$5:$HU$38,8,FALSE),IF(#REF!=Miscanthus,10.5*#REF!*VLOOKUP(#REF!,BDD!$HN$5:$HU$38,8,FALSE),INDEX(#REF!:#REF!,MATCH(#REF!,#REF!:#REF!,0),MATCH(#REF!,#REF!:#REF!,0))*#REF!*VLOOKUP(#REF!,BDD!$HN$5:$HU$38,8,FALSE)))))</f>
        <v>#REF!</v>
      </c>
      <c r="IE54" s="342" t="e">
        <f>IF(#REF!="","",IF(OR(#REF!=Moutarde,#REF!=Phacélie),0,1.6*#REF!))</f>
        <v>#REF!</v>
      </c>
      <c r="IF54" s="342" t="e">
        <f>IF(#REF!="","",IF(OR(#REF!=Moutarde,#REF!=Phacélie),0,1.6*#REF!))</f>
        <v>#REF!</v>
      </c>
      <c r="IG54" s="342" t="e">
        <f>IF(#REF!="","",IF(OR(#REF!=Moutarde,#REF!=Phacélie),0,1.6*#REF!))</f>
        <v>#REF!</v>
      </c>
    </row>
    <row r="55" spans="1:241" ht="12.75" customHeight="1" x14ac:dyDescent="0.2">
      <c r="A55" s="373"/>
      <c r="B55" s="374"/>
      <c r="C55" s="375"/>
      <c r="F55" s="280"/>
      <c r="G55" s="280"/>
      <c r="H55" s="280"/>
      <c r="I55" s="280"/>
      <c r="N55" s="277"/>
      <c r="O55" s="280" t="s">
        <v>388</v>
      </c>
      <c r="P55" s="280"/>
      <c r="Q55" s="280"/>
      <c r="R55" s="280"/>
      <c r="S55" s="280"/>
      <c r="T55" s="280"/>
      <c r="U55" s="280"/>
      <c r="V55" s="280"/>
      <c r="W55" s="280"/>
      <c r="X55" s="280"/>
      <c r="Y55" s="280"/>
      <c r="Z55" s="280"/>
      <c r="AA55" s="280"/>
      <c r="AB55" s="280"/>
      <c r="AC55" s="280"/>
      <c r="AD55" s="280"/>
      <c r="AE55" s="280"/>
      <c r="AF55" s="280"/>
      <c r="AG55" s="280"/>
      <c r="AH55" s="280"/>
      <c r="AI55" s="280"/>
      <c r="AJ55" s="280"/>
      <c r="AK55" s="280"/>
      <c r="AL55" s="280"/>
      <c r="AM55" s="280"/>
      <c r="AN55" s="280"/>
      <c r="AO55" s="280"/>
      <c r="AP55" s="280"/>
      <c r="AQ55" s="280"/>
      <c r="AR55" s="280"/>
      <c r="AS55" s="280"/>
      <c r="AT55" s="280"/>
      <c r="AU55" s="280"/>
      <c r="AV55" s="280"/>
      <c r="AW55" s="280"/>
      <c r="AX55" s="280"/>
      <c r="AY55" s="280"/>
      <c r="BC55" s="284" t="s">
        <v>801</v>
      </c>
      <c r="BD55" s="299">
        <v>400</v>
      </c>
      <c r="BF55" s="284" t="s">
        <v>801</v>
      </c>
      <c r="BG55" s="299">
        <v>480</v>
      </c>
      <c r="BL55" s="312"/>
      <c r="BM55" s="350" t="s">
        <v>905</v>
      </c>
      <c r="BN55" s="350">
        <f t="array" ref="BN55">IF(Ration_hivernale_complète_bisons[somme]&gt;0,0,IFERROR(IF(OR(AND(INDEX(Règles_bison[Specificite],MATCH(ChoixRationBisons&amp;$BM55,Règles_bison[Ration]&amp;Règles_bison[Aliment],0))="s1",IF($BM55=ChoixSpécificité1Bisons,1)),
INDEX(Règles_bison[Specificite],MATCH(ChoixRationBisons&amp;$BM55,Règles_bison[Ration]&amp;Règles_bison[Aliment],0))="c"),
INDEX(Règles_bison[Valeur 36 et plus],MATCH(ChoixRationBisons&amp;$BM55,Règles_bison[Ration]&amp;Règles_bison[Aliment],0)),0),0)*TotalBisonsMalesAdultes*NbreJoursNourrirBisonsDaims)</f>
        <v>0</v>
      </c>
      <c r="BO55" s="350">
        <f t="array" ref="BO55">IF(Ration_hivernale_complète_bisons[somme]&gt;0,0,IFERROR(IF(OR(AND(INDEX(Règles_bison[Specificite],MATCH(ChoixRationBisons&amp;$BM55,Règles_bison[Ration]&amp;Règles_bison[Aliment],0))="s1",IF($BM55=ChoixSpécificité1Bisons,1)),
INDEX(Règles_bison[Specificite],MATCH(ChoixRationBisons&amp;$BM55,Règles_bison[Ration]&amp;Règles_bison[Aliment],0))="c"),
INDEX(Règles_bison[Valeur 24-36],MATCH(ChoixRationBisons&amp;$BM55,Règles_bison[Ration]&amp;Règles_bison[Aliment],0)),0),0)*TotalBisonsMales_24_36_mois*NbreJoursNourrirBisonsDaims)</f>
        <v>0</v>
      </c>
      <c r="BP55" s="350">
        <f t="array" ref="BP55">IF(Ration_hivernale_complète_bisons[somme]&gt;0,0,IFERROR(IF(OR(AND(INDEX(Règles_bison[Specificite],MATCH(ChoixRationBisons&amp;$BM55,Règles_bison[Ration]&amp;Règles_bison[Aliment],0))="s1",IF($BM55=ChoixSpécificité1Bisons,1)),
INDEX(Règles_bison[Specificite],MATCH(ChoixRationBisons&amp;$BM55,Règles_bison[Ration]&amp;Règles_bison[Aliment],0))="c"),
INDEX(Règles_bison[Valeur 18-24],MATCH(ChoixRationBisons&amp;$BM55,Règles_bison[Ration]&amp;Règles_bison[Aliment],0)),0),0)*TotalBisonsMales_18_24_mois*NbreJoursNourrirBisonsDaims)</f>
        <v>0</v>
      </c>
      <c r="BQ55" s="350">
        <f t="array" ref="BQ55">IF(Ration_hivernale_complète_bisons[somme]&gt;0,0,IFERROR(IF(OR(AND(INDEX(Règles_bison[Specificite],MATCH(ChoixRationBisons&amp;$BM55,Règles_bison[Ration]&amp;Règles_bison[Aliment],0))="s1",IF($BM55=ChoixSpécificité1Bisons,1)),
INDEX(Règles_bison[Specificite],MATCH(ChoixRationBisons&amp;$BM55,Règles_bison[Ration]&amp;Règles_bison[Aliment],0))="c"),
INDEX(Règles_bison[Valeur 12-18],MATCH(ChoixRationBisons&amp;$BM55,Règles_bison[Ration]&amp;Règles_bison[Aliment],0)),0),0)*TotalBisonsMales_12_18_mois*NbreJoursNourrirBisonsDaims)</f>
        <v>0</v>
      </c>
      <c r="BR55" s="350">
        <f t="array" ref="BR55">IF(Ration_hivernale_complète_bisons[somme]&gt;0,0,IFERROR(IF(OR(AND(INDEX(Règles_bison[Specificite],MATCH(ChoixRationBisons&amp;$BM55,Règles_bison[Ration]&amp;Règles_bison[Aliment],0))="s1",IF($BM55=ChoixSpécificité1Bisons,1)),
INDEX(Règles_bison[Specificite],MATCH(ChoixRationBisons&amp;$BM55,Règles_bison[Ration]&amp;Règles_bison[Aliment],0))="c"),
INDEX(Règles_bison[Valeur 6-12],MATCH(ChoixRationBisons&amp;$BM55,Règles_bison[Ration]&amp;Règles_bison[Aliment],0)),0),0)*TotalBisonsMales_6_12_mois*NbreJoursNourrirBisonsDaims)</f>
        <v>0</v>
      </c>
      <c r="BS55" s="350">
        <f t="array" ref="BS55">IF(Ration_hivernale_complète_bisons[somme]&gt;0,0,IFERROR(IF(OR(AND(INDEX(Règles_bison[Specificite],MATCH(ChoixRationBisons&amp;$BM55,Règles_bison[Ration]&amp;Règles_bison[Aliment],0))="s1",IF($BM55=ChoixSpécificité1Bisons,1)),
INDEX(Règles_bison[Specificite],MATCH(ChoixRationBisons&amp;$BM55,Règles_bison[Ration]&amp;Règles_bison[Aliment],0))="c"),
INDEX(Règles_bison[Valeur 3-6],MATCH(ChoixRationBisons&amp;$BM55,Règles_bison[Ration]&amp;Règles_bison[Aliment],0)),0),0)*TotalBisonsMales_3_6_mois*NbreJoursNourrirBisonsDaims)</f>
        <v>0</v>
      </c>
      <c r="BT55" s="350">
        <f t="array" ref="BT55">IF(Ration_hivernale_complète_bisons[somme]&gt;0,0,IFERROR(IF(OR(AND(INDEX(Règles_bison[Specificite],MATCH(ChoixRationBisons&amp;$BM55,Règles_bison[Ration]&amp;Règles_bison[Aliment],0))="s1",IF($BM55=ChoixSpécificité1Bisons,1)),
INDEX(Règles_bison[Specificite],MATCH(ChoixRationBisons&amp;$BM55,Règles_bison[Ration]&amp;Règles_bison[Aliment],0))="c"),
INDEX(Règles_bison[Valeur 0-3],MATCH(ChoixRationBisons&amp;$BM55,Règles_bison[Ration]&amp;Règles_bison[Aliment],0)),0),0)*TotalBisonsMales_0_3_mois*NbreJoursNourrirBisonsDaims)</f>
        <v>0</v>
      </c>
      <c r="BU55" s="350">
        <f t="shared" si="10"/>
        <v>0</v>
      </c>
      <c r="BX55" s="373" t="s">
        <v>547</v>
      </c>
      <c r="BY55" s="280" t="s">
        <v>905</v>
      </c>
      <c r="BZ55" s="280" t="s">
        <v>886</v>
      </c>
      <c r="CA55" s="280">
        <v>0.08</v>
      </c>
      <c r="CB55" s="280">
        <v>0.04</v>
      </c>
      <c r="CC55" s="280">
        <v>0.04</v>
      </c>
      <c r="CD55" s="410">
        <v>0.04</v>
      </c>
      <c r="CE55" s="304"/>
      <c r="CF55" s="304"/>
      <c r="CG55" s="304"/>
      <c r="CH55" s="304"/>
      <c r="CJ55" s="420" t="s">
        <v>500</v>
      </c>
      <c r="CK55" s="384">
        <f t="array" ref="CK5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55" s="384">
        <f t="array" ref="CL5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55" s="384">
        <f t="array" ref="CM5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55" s="384">
        <f t="array" ref="CN5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55" s="384">
        <f t="array" ref="CO5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55" s="426">
        <f>SUM(AlimentsRationPorcinsMâles[[#This Row],[Valeur 12 et plus]:[Valeur 0-1]])</f>
        <v>0</v>
      </c>
      <c r="CS55" s="229" t="s">
        <v>1154</v>
      </c>
      <c r="CT55" s="229"/>
      <c r="CU55" s="229"/>
      <c r="CV55" s="229"/>
      <c r="CW55" s="229"/>
      <c r="CZ55" s="229" t="s">
        <v>1157</v>
      </c>
      <c r="DA55" s="229"/>
      <c r="DB55" s="229"/>
      <c r="DC55" s="229"/>
      <c r="DD55" s="229"/>
      <c r="DF55" s="277"/>
      <c r="DG55" s="420" t="s">
        <v>1166</v>
      </c>
      <c r="DH55" s="433">
        <f t="array" ref="DH5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55" s="433">
        <f t="array" ref="DI5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55" s="433">
        <f t="array" ref="DJ5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55" s="434">
        <f>SUM(AlimentsRationPintadesMâles[[#This Row],[Valeur 9 et plus]:[Valeur 0-1]])</f>
        <v>0</v>
      </c>
      <c r="DL55" s="316"/>
      <c r="DM55" s="316"/>
      <c r="DN55" s="280" t="s">
        <v>794</v>
      </c>
      <c r="DO55" s="280">
        <v>870</v>
      </c>
      <c r="DQ55" s="280" t="s">
        <v>794</v>
      </c>
      <c r="DR55" s="280">
        <v>1044</v>
      </c>
      <c r="DV55" s="350" t="s">
        <v>59</v>
      </c>
      <c r="DW55" s="351">
        <f t="array" ref="DW55">IF(ChoixRationComplèteDaims=OUI,0,IFERROR(IF(OR(AND(INDEX(Règles_daims[Specificite],MATCH(ChoixRationDaims&amp;DV55,Règles_daims[Ration]&amp;Règles_daims[Aliment],0))="s1",IF(DV55=Spécificité1Daims,1)),
AND(INDEX(Règles_daims[Specificite],MATCH(ChoixRationDaims&amp;DV55,Règles_daims[Ration]&amp;Règles_daims[Aliment],0))="s2",IF(DV55=Spécificité2Daims,1)),
INDEX(Règles_daims[Specificite],MATCH(ChoixRationDaims&amp;DV55,Règles_daims[Ration]&amp;Règles_daims[Aliment],0))="c"),
INDEX(Règles_daims[Valeur 36 et plus],MATCH(ChoixRationDaims&amp;DV55,Règles_daims[Ration]&amp;Règles_daims[Aliment],0)),0),0)*SUM(TotalDaimsAdultes)*NbreJoursNourrirBisonsDaims)</f>
        <v>0</v>
      </c>
      <c r="DX55" s="351">
        <f t="array" ref="DX55">IF(ChoixRationComplèteDaims=OUI,0,IFERROR(IF(OR(AND(INDEX(Règles_daims[Specificite],MATCH(ChoixRationDaims&amp;DV55,Règles_daims[Ration]&amp;Règles_daims[Aliment],0))="s1",IF(DV55=Spécificité1Daims,1)),
AND(INDEX(Règles_daims[Specificite],MATCH(ChoixRationDaims&amp;DV55,Règles_daims[Ration]&amp;Règles_daims[Aliment],0))="s2",IF(DV55=Spécificité2Daims,1)),
INDEX(Règles_daims[Specificite],MATCH(ChoixRationDaims&amp;DV55,Règles_daims[Ration]&amp;Règles_daims[Aliment],0))="c"),
INDEX(Règles_daims[Valeur 24-36],MATCH(ChoixRationDaims&amp;DV55,Règles_daims[Ration]&amp;Règles_daims[Aliment],0)),0),0)*SUM(TotalDaims24_36)*NbreJoursNourrirBisonsDaims)</f>
        <v>0</v>
      </c>
      <c r="DY55" s="351">
        <f t="array" ref="DY55">IF(ChoixRationComplèteDaims=OUI,0,IFERROR(IF(OR(AND(INDEX(Règles_daims[Specificite],MATCH(ChoixRationDaims&amp;DV55,Règles_daims[Ration]&amp;Règles_daims[Aliment],0))="s1",IF(DV55=Spécificité1Daims,1)),
AND(INDEX(Règles_daims[Specificite],MATCH(ChoixRationDaims&amp;DV55,Règles_daims[Ration]&amp;Règles_daims[Aliment],0))="s2",IF(DV55=Spécificité2Daims,1)),
INDEX(Règles_daims[Specificite],MATCH(ChoixRationDaims&amp;DV55,Règles_daims[Ration]&amp;Règles_daims[Aliment],0))="c"),
INDEX(Règles_daims[Valeur 18-24],MATCH(ChoixRationDaims&amp;DV55,Règles_daims[Ration]&amp;Règles_daims[Aliment],0)),0),0)*SUM(TotalDaims18_24)*NbreJoursNourrirBisonsDaims)</f>
        <v>0</v>
      </c>
      <c r="DZ55" s="441">
        <f t="array" ref="DZ55">IF(ChoixRationComplèteDaims=OUI,0,IFERROR(IF(OR(AND(INDEX(Règles_daims[Specificite],MATCH(ChoixRationDaims&amp;DV55,Règles_daims[Ration]&amp;Règles_daims[Aliment],0))="s1",IF(DV55=Spécificité1Daims,1)),
AND(INDEX(Règles_daims[Specificite],MATCH(ChoixRationDaims&amp;DV55,Règles_daims[Ration]&amp;Règles_daims[Aliment],0))="s2",IF(DV55=Spécificité2Daims,1)),
INDEX(Règles_daims[Specificite],MATCH(ChoixRationDaims&amp;DV55,Règles_daims[Ration]&amp;Règles_daims[Aliment],0))="c"),
INDEX(Règles_daims[Valeur 12-18],MATCH(ChoixRationDaims&amp;DV55,Règles_daims[Ration]&amp;Règles_daims[Aliment],0)),0),0)*SUM(TotalDaims12_18)*NbreJoursNourrirBisonsDaims)</f>
        <v>0</v>
      </c>
      <c r="EA55" s="441">
        <f t="array" ref="EA55">IF(ChoixRationComplèteDaims=OUI,0,IFERROR(IF(OR(AND(INDEX(Règles_daims[Specificite],MATCH(ChoixRationDaims&amp;DV55,Règles_daims[Ration]&amp;Règles_daims[Aliment],0))="s1",IF(DV55=Spécificité1Daims,1)),
AND(INDEX(Règles_daims[Specificite],MATCH(ChoixRationDaims&amp;DV55,Règles_daims[Ration]&amp;Règles_daims[Aliment],0))="s2",IF(DV55=Spécificité2Daims,1)),
INDEX(Règles_daims[Specificite],MATCH(ChoixRationDaims&amp;DV55,Règles_daims[Ration]&amp;Règles_daims[Aliment],0))="c"),
INDEX(Règles_daims[Valeur 6-12],MATCH(ChoixRationDaims&amp;DV55,Règles_daims[Ration]&amp;Règles_daims[Aliment],0)),0),0)*SUM(TotalDaims6_12)*NbreJoursNourrirBisonsDaims)</f>
        <v>0</v>
      </c>
      <c r="EB55" s="441">
        <f t="array" ref="EB55">IF(ChoixRationComplèteDaims=OUI,0,IFERROR(IF(OR(AND(INDEX(Règles_daims[Specificite],MATCH(ChoixRationDaims&amp;DV55,Règles_daims[Ration]&amp;Règles_daims[Aliment],0))="s1",IF(DV55=Spécificité1Daims,1)),
AND(INDEX(Règles_daims[Specificite],MATCH(ChoixRationDaims&amp;DV55,Règles_daims[Ration]&amp;Règles_daims[Aliment],0))="s2",IF(DV55=Spécificité2Daims,1)),
INDEX(Règles_daims[Specificite],MATCH(ChoixRationDaims&amp;DV55,Règles_daims[Ration]&amp;Règles_daims[Aliment],0))="c"),
INDEX(Règles_daims[Valeur 3-6],MATCH(ChoixRationDaims&amp;DV55,Règles_daims[Ration]&amp;Règles_daims[Aliment],0)),0),0)*SUM(TotalDaims3_6)*NbreJoursNourrirBisonsDaims)</f>
        <v>0</v>
      </c>
      <c r="EC55" s="441">
        <f t="array" ref="EC55">IF(ChoixRationComplèteDaims=OUI,0,IFERROR(IF(OR(AND(INDEX(Règles_daims[Specificite],MATCH(ChoixRationDaims&amp;DV55,Règles_daims[Ration]&amp;Règles_daims[Aliment],0))="s1",IF(DV55=Spécificité1Daims,1)),
AND(INDEX(Règles_daims[Specificite],MATCH(ChoixRationDaims&amp;DV55,Règles_daims[Ration]&amp;Règles_daims[Aliment],0))="s2",IF(DV55=Spécificité2Daims,1)),
INDEX(Règles_daims[Specificite],MATCH(ChoixRationDaims&amp;DV55,Règles_daims[Ration]&amp;Règles_daims[Aliment],0))="c"),
INDEX(Règles_daims[Valeur 0-3],MATCH(ChoixRationDaims&amp;DV55,Règles_daims[Ration]&amp;Règles_daims[Aliment],0)),0),0)*SUM(TotalDaims0_3)*NbreJoursNourrirBisonsDaims)</f>
        <v>0</v>
      </c>
      <c r="ED55" s="441">
        <f t="shared" si="9"/>
        <v>0</v>
      </c>
      <c r="EG55" s="420" t="s">
        <v>220</v>
      </c>
      <c r="EH55" s="433">
        <f t="array" ref="EH5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55" s="433">
        <f t="array" ref="EI5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55" s="433">
        <f t="array" ref="EJ5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55" s="434">
        <f>SUM(AlimentsRationOiesMâles[[#This Row],[Valeur 6 et plus]:[Valeur 0-3]])</f>
        <v>0</v>
      </c>
      <c r="EL55" s="316"/>
      <c r="EN55" s="420" t="s">
        <v>515</v>
      </c>
      <c r="EO55" s="433">
        <f t="array" ref="EO55">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55" s="433">
        <f t="array" ref="EP55">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55" s="433">
        <f t="array" ref="EQ55">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55" s="434">
        <f>SUM(Ration_canards_Mâles[[#This Row],[Valeur 6 et plus]:[Valeur 0-3]])</f>
        <v>0</v>
      </c>
      <c r="ES55" s="316"/>
      <c r="ET55" s="282"/>
      <c r="EU55" s="376"/>
      <c r="EV55" s="305"/>
      <c r="EW55" s="305"/>
      <c r="EX55" s="305"/>
      <c r="EY55" s="305"/>
      <c r="EZ55" s="305"/>
      <c r="FA55" s="365"/>
      <c r="FB55" s="298"/>
      <c r="FD55" s="457" t="s">
        <v>392</v>
      </c>
      <c r="FE55" s="458">
        <f t="array" ref="FE55">IF(OR(ChoixRationComplèteEtéChevauxTrait=OUI,ChoixRationComplèteEtéChevauxTrait="",AND(ChoixChevauxTraitPréHiver=OUI,ChoixChevauxTraitPréEté=OUI)),0,IFERROR(IF(OR(AND(INDEX(Règles_chevaux_trait[Specificite],MATCH(RationEtéChevauxTrait&amp;$FD55,Règles_chevaux_trait[Ration]&amp;Règles_chevaux_trait[Aliment],0))="s1",IF($FD55=Spécificité1ChevauxTrait,1)),
AND(INDEX(Règles_chevaux_trait[Specificite],MATCH(RationEtéChevauxTrait&amp;$FD55,Règles_chevaux_trait[Ration]&amp;Règles_chevaux_trait[Aliment],0))="s2",IF($FD55=Spécificité2ChevauxTrait,1)),
INDEX(Règles_chevaux_trait[Specificite],MATCH(RationEtéChevauxTrait&amp;$FD55,Règles_chevaux_trait[Ration]&amp;Règles_chevaux_trait[Aliment],0))="c"),
INDEX(Règles_chevaux_trait[Valeur 36 et plus],MATCH(RationEtéChevauxTrait&amp;$FD55,Règles_chevaux_trait[Ration]&amp;Règles_chevaux_trait[Aliment],0)),0),0)*TotalEtalonTrait*NbreJoursNourrirChevauxTrait)</f>
        <v>0</v>
      </c>
      <c r="FF55" s="458">
        <f t="array" ref="FF55">IF(OR(ChoixRationComplèteEtéChevauxTrait=OUI,ChoixRationComplèteEtéChevauxTrait="",AND(ChoixChevauxTraitPréHiver=OUI,ChoixChevauxTraitPréEté=OUI)),0,IFERROR(IF(OR(AND(INDEX(Règles_chevaux_trait[Specificite],MATCH(RationEtéChevauxTrait&amp;$FD55,Règles_chevaux_trait[Ration]&amp;Règles_chevaux_trait[Aliment],0))="s1",IF($FD55=Spécificité1ChevauxTrait,1)),
AND(INDEX(Règles_chevaux_trait[Specificite],MATCH(RationEtéChevauxTrait&amp;$FD55,Règles_chevaux_trait[Ration]&amp;Règles_chevaux_trait[Aliment],0))="s2",IF($FD55=Spécificité2ChevauxTrait,1)),
INDEX(Règles_chevaux_trait[Specificite],MATCH(RationEtéChevauxTrait&amp;$FD55,Règles_chevaux_trait[Ration]&amp;Règles_chevaux_trait[Aliment],0))="c"),
INDEX(Règles_chevaux_trait[Valeur 24-36],MATCH(RationEtéChevauxTrait&amp;$FD55,Règles_chevaux_trait[Ration]&amp;Règles_chevaux_trait[Aliment],0)),0),0)*TotalJeuneEtalonTrait_24_36_mois*NbreJoursNourrirChevauxTrait)</f>
        <v>0</v>
      </c>
      <c r="FG55" s="458">
        <f t="array" ref="FG55">IF(OR(ChoixRationComplèteEtéChevauxTrait=OUI,ChoixRationComplèteEtéChevauxTrait="",AND(ChoixChevauxTraitPréHiver=OUI,ChoixChevauxTraitPréEté=OUI)),0,IFERROR(IF(OR(AND(INDEX(Règles_chevaux_trait[Specificite],MATCH(RationEtéChevauxTrait&amp;$FD55,Règles_chevaux_trait[Ration]&amp;Règles_chevaux_trait[Aliment],0))="s1",IF($FD55=Spécificité1ChevauxTrait,1)),
AND(INDEX(Règles_chevaux_trait[Specificite],MATCH(RationEtéChevauxTrait&amp;$FD55,Règles_chevaux_trait[Ration]&amp;Règles_chevaux_trait[Aliment],0))="s2",IF($FD55=Spécificité2ChevauxTrait,1)),
INDEX(Règles_chevaux_trait[Specificite],MATCH(RationEtéChevauxTrait&amp;$FD55,Règles_chevaux_trait[Ration]&amp;Règles_chevaux_trait[Aliment],0))="c"),
INDEX(Règles_chevaux_trait[Valeur 12-24],MATCH(RationEtéChevauxTrait&amp;$FD55,Règles_chevaux_trait[Ration]&amp;Règles_chevaux_trait[Aliment],0)),0),0)*TotalJeuneEtalonTrait_12_24_mois*NbreJoursNourrirChevauxTrait)</f>
        <v>0</v>
      </c>
      <c r="FH55" s="460">
        <f t="array" ref="FH55">IF(OR(ChoixRationComplèteEtéChevauxTrait=OUI,ChoixRationComplèteEtéChevauxTrait="",AND(ChoixChevauxTraitPréHiver=OUI,ChoixChevauxTraitPréEté=OUI)),0,IFERROR(IF(OR(AND(INDEX(Règles_chevaux_trait[Specificite],MATCH(RationEtéChevauxTrait&amp;$FD55,Règles_chevaux_trait[Ration]&amp;Règles_chevaux_trait[Aliment],0))="s1",IF($FD55=Spécificité1ChevauxTrait,1)),
AND(INDEX(Règles_chevaux_trait[Specificite],MATCH(RationEtéChevauxTrait&amp;$FD55,Règles_chevaux_trait[Ration]&amp;Règles_chevaux_trait[Aliment],0))="s2",IF($FD55=Spécificité2ChevauxTrait,1)),
INDEX(Règles_chevaux_trait[Specificite],MATCH(RationEtéChevauxTrait&amp;$FD55,Règles_chevaux_trait[Ration]&amp;Règles_chevaux_trait[Aliment],0))="c"),
INDEX(Règles_chevaux_trait[Valeur 0-12],MATCH(RationEtéChevauxTrait&amp;$FD55,Règles_chevaux_trait[Ration]&amp;Règles_chevaux_trait[Aliment],0)),0),0)*TotalPoulainTrait_0_12_mois*NbreJoursNourrirChevauxTrait)</f>
        <v>0</v>
      </c>
      <c r="FI55" s="460">
        <f t="shared" si="15"/>
        <v>0</v>
      </c>
      <c r="FJ55" s="298"/>
      <c r="FK55" s="298"/>
      <c r="FL55" s="298"/>
      <c r="FN55" s="457" t="s">
        <v>220</v>
      </c>
      <c r="FO55" s="458">
        <f t="array" ref="FO55">IF(OR(ChoixRationComplèteEtéPoneys=OUI,ChoixRationComplèteEtéPoneys="",AND(ChoixPoneysPréHiver=OUI,ChoixPoneysPréEté=OUI)),0,IFERROR(IF(OR(AND(INDEX(Règles_poneys[Specificite],MATCH(RationEtéPoneys&amp;$FN55,Règles_poneys[Ration]&amp;Règles_poneys[Aliment],0))="s1",IF($FN55=Spécificité1Poneys,1)),
AND(INDEX(Règles_poneys[Specificite],MATCH(RationEtéPoneys&amp;$FN55,Règles_poneys[Ration]&amp;Règles_poneys[Aliment],0))="s2",IF($FN55=Spécificité2Poneys,1)),
INDEX(Règles_poneys[Specificite],MATCH(RationEtéPoneys&amp;$FN55,Règles_poneys[Ration]&amp;Règles_poneys[Aliment],0))="c"),
INDEX(Règles_poneys[Valeur 36 et plus],MATCH(RationEtéPoneys&amp;$FN55,Règles_poneys[Ration]&amp;Règles_poneys[Aliment],0)),0),0)*TotalEtalonPoney*NbreJoursNourrirPoneys)</f>
        <v>0</v>
      </c>
      <c r="FP55" s="458">
        <f t="array" ref="FP55">IF(OR(ChoixRationComplèteEtéPoneys=OUI,ChoixRationComplèteEtéPoneys="",AND(ChoixPoneysPréHiver=OUI,ChoixPoneysPréEté=OUI)),0,IFERROR(IF(OR(AND(INDEX(Règles_poneys[Specificite],MATCH(RationEtéPoneys&amp;$FN55,Règles_poneys[Ration]&amp;Règles_poneys[Aliment],0))="s1",IF($FN55=Spécificité1Poneys,1)),
AND(INDEX(Règles_poneys[Specificite],MATCH(RationEtéPoneys&amp;$FN55,Règles_poneys[Ration]&amp;Règles_poneys[Aliment],0))="s2",IF($FN55=Spécificité2Poneys,1)),
INDEX(Règles_poneys[Specificite],MATCH(RationEtéPoneys&amp;$FN55,Règles_poneys[Ration]&amp;Règles_poneys[Aliment],0))="c"),
INDEX(Règles_poneys[Valeur 36 et plus],MATCH(RationEtéPoneys&amp;$FN55,Règles_poneys[Ration]&amp;Règles_poneys[Aliment],0)),0),0)*TotalJeuneEtalonPoney_24_36_mois*NbreJoursNourrirPoneys)</f>
        <v>0</v>
      </c>
      <c r="FQ55" s="458">
        <f t="array" ref="FQ55">IF(OR(ChoixRationComplèteEtéPoneys=OUI,ChoixRationComplèteEtéPoneys="",AND(ChoixPoneysPréHiver=OUI,ChoixPoneysPréEté=OUI)),0,IFERROR(IF(OR(AND(INDEX(Règles_poneys[Specificite],MATCH(RationEtéPoneys&amp;$FN55,Règles_poneys[Ration]&amp;Règles_poneys[Aliment],0))="s1",IF($FN55=Spécificité1Poneys,1)),
AND(INDEX(Règles_poneys[Specificite],MATCH(RationEtéPoneys&amp;$FN55,Règles_poneys[Ration]&amp;Règles_poneys[Aliment],0))="s2",IF($FN55=Spécificité2Poneys,1)),
INDEX(Règles_poneys[Specificite],MATCH(RationEtéPoneys&amp;$FN55,Règles_poneys[Ration]&amp;Règles_poneys[Aliment],0))="c"),
INDEX(Règles_poneys[Valeur 36 et plus],MATCH(RationEtéPoneys&amp;$FN55,Règles_poneys[Ration]&amp;Règles_poneys[Aliment],0)),0),0)*TotalJeuneEtalonPoney_12_24_mois*NbreJoursNourrirPoneys)</f>
        <v>0</v>
      </c>
      <c r="FR55" s="460">
        <f t="array" ref="FR55">IF(OR(ChoixRationComplèteEtéPoneys=OUI,ChoixRationComplèteEtéPoneys="",AND(ChoixPoneysPréHiver=OUI,ChoixPoneysPréEté=OUI)),0,IFERROR(IF(OR(AND(INDEX(Règles_poneys[Specificite],MATCH(RationEtéPoneys&amp;$FN55,Règles_poneys[Ration]&amp;Règles_poneys[Aliment],0))="s1",IF($FN55=Spécificité1Poneys,1)),
AND(INDEX(Règles_poneys[Specificite],MATCH(RationEtéPoneys&amp;$FN55,Règles_poneys[Ration]&amp;Règles_poneys[Aliment],0))="s2",IF($FN55=Spécificité2Poneys,1)),
INDEX(Règles_poneys[Specificite],MATCH(RationEtéPoneys&amp;$FN55,Règles_poneys[Ration]&amp;Règles_poneys[Aliment],0))="c"),
INDEX(Règles_poneys[Valeur 36 et plus],MATCH(RationEtéPoneys&amp;$FN55,Règles_poneys[Ration]&amp;Règles_poneys[Aliment],0)),0),0)*TotalPoulainPoney_0_12_mois*NbreJoursNourrirPoneys)</f>
        <v>0</v>
      </c>
      <c r="FS55" s="460">
        <f t="shared" si="14"/>
        <v>0</v>
      </c>
      <c r="FT55" s="298"/>
      <c r="FU55" s="298"/>
      <c r="FV55" s="298"/>
      <c r="FW55" s="443" t="s">
        <v>265</v>
      </c>
      <c r="FX55" s="450">
        <f t="array" ref="FX55">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55" s="450">
        <f t="array" ref="FY55">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55" s="450">
        <f t="array" ref="FZ55">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55" s="450">
        <f t="array" ref="GA55">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55" s="451">
        <f>SUM(AlimentsGavageOies[[#This Row],[Valeur 6 et plus]:[Valeur 0-1]])</f>
        <v>0</v>
      </c>
      <c r="GC55" s="316"/>
      <c r="GE55" s="280" t="s">
        <v>3</v>
      </c>
      <c r="GF55" s="283"/>
      <c r="GG55" s="283" t="s">
        <v>955</v>
      </c>
      <c r="GH55" s="283" t="s">
        <v>955</v>
      </c>
      <c r="GI55" s="283" t="s">
        <v>955</v>
      </c>
      <c r="GJ55" s="283" t="s">
        <v>955</v>
      </c>
      <c r="GK55" s="283" t="s">
        <v>955</v>
      </c>
      <c r="GL55" s="283" t="s">
        <v>955</v>
      </c>
      <c r="GM55" s="283" t="s">
        <v>955</v>
      </c>
      <c r="GN55" s="283" t="s">
        <v>955</v>
      </c>
      <c r="GO55" s="283" t="s">
        <v>955</v>
      </c>
      <c r="GP55" s="283" t="s">
        <v>955</v>
      </c>
      <c r="GQ55" s="283" t="s">
        <v>955</v>
      </c>
      <c r="GR55" s="283" t="s">
        <v>955</v>
      </c>
      <c r="GS55" s="283" t="s">
        <v>955</v>
      </c>
      <c r="GT55" s="283" t="s">
        <v>955</v>
      </c>
      <c r="GU55" s="283" t="s">
        <v>955</v>
      </c>
      <c r="GV55" s="283" t="s">
        <v>955</v>
      </c>
      <c r="GY55" s="444" t="str">
        <f t="shared" si="11"/>
        <v>semences de chanvre (P)</v>
      </c>
      <c r="GZ55" s="444"/>
      <c r="HA55" s="342"/>
      <c r="HB55" s="342" t="e">
        <f>IF(COUNTIF(TypeArticleDansEntrepôt,GY55)=0,0,SUMIF(TypeArticleDansEntrepôt,GY55,QtéArticleDansEntrepôt)*VLOOKUP(GY55,#REF!,2,FALSE))</f>
        <v>#REF!</v>
      </c>
      <c r="HN55" s="342" t="e">
        <f>IF(#REF!="","",(VLOOKUP(#REF!,BDD!$HN$5:$HU$38,2,FALSE))*#REF!)</f>
        <v>#REF!</v>
      </c>
      <c r="HO55" s="342" t="e">
        <f>IF(#REF!="","",IF(OR(#REF!=Moutarde,#REF!=Phacélie),0,IF(#REF!=Luzerne,10*#REF!*VLOOKUP(#REF!,BDD!$HN$5:$HU$38,3,FALSE),IF(#REF!=Miscanthus,10.5*#REF!*VLOOKUP(#REF!,BDD!$HN$5:$HU$38,3,FALSE),INDEX(#REF!:#REF!,MATCH(#REF!,#REF!:#REF!,0),MATCH(#REF!,#REF!:#REF!,0))*#REF!*VLOOKUP(#REF!,BDD!$HN$5:$HU$38,3,FALSE)))))</f>
        <v>#REF!</v>
      </c>
      <c r="HP55" s="342" t="e">
        <f>IF(#REF!="","",IF(OR(#REF!=Moutarde,#REF!=Phacélie),0,IF(#REF!=Luzerne,10*#REF!*VLOOKUP(#REF!,BDD!$HN$5:$HU$38,4,FALSE),IF(#REF!=Miscanthus,10.5*#REF!*VLOOKUP(#REF!,BDD!$HN$5:$HU$38,4,FALSE),INDEX(#REF!:#REF!,MATCH(#REF!,#REF!:#REF!,0),MATCH(#REF!,#REF!:#REF!,0))*#REF!*VLOOKUP(#REF!,BDD!$HN$5:$HU$38,4,FALSE)))))</f>
        <v>#REF!</v>
      </c>
      <c r="HQ55" s="342" t="e">
        <f>IF(#REF!="","",IF(OR(#REF!=Moutarde,#REF!=Phacélie),0,IF(#REF!=Luzerne,10*#REF!*VLOOKUP(#REF!,BDD!$HN$5:$HU$38,5,FALSE),IF(#REF!=Miscanthus,10.5*#REF!*VLOOKUP(#REF!,BDD!$HN$5:$HU$38,5,FALSE),INDEX(#REF!:#REF!,MATCH(#REF!,#REF!:#REF!,0),MATCH(#REF!,#REF!:#REF!,0))*#REF!*VLOOKUP(#REF!,BDD!$HN$5:$HU$38,5,FALSE)))))</f>
        <v>#REF!</v>
      </c>
      <c r="HR55" s="342" t="e">
        <f>IF(#REF!="","",IF(OR(#REF!=Moutarde,#REF!=Phacélie),0,IF(#REF!=Luzerne,10*#REF!*VLOOKUP(#REF!,BDD!$HN$5:$HU$38,6,FALSE),IF(#REF!=Miscanthus,10.5*#REF!*VLOOKUP(#REF!,BDD!$HN$5:$HU$38,6,FALSE),INDEX(#REF!:#REF!,MATCH(#REF!,#REF!:#REF!,0),MATCH(#REF!,#REF!:#REF!,0))*#REF!*VLOOKUP(#REF!,BDD!$HN$5:$HU$38,6,FALSE)))))</f>
        <v>#REF!</v>
      </c>
      <c r="HS55" s="342" t="e">
        <f>IF(#REF!="","",IF(OR(#REF!=Moutarde,#REF!=Phacélie),0,IF(#REF!=Luzerne,10*#REF!*VLOOKUP(#REF!,BDD!$HN$5:$HU$38,7,FALSE),IF(#REF!=Miscanthus,10.5*#REF!*VLOOKUP(#REF!,BDD!$HN$5:$HU$38,7,FALSE),INDEX(#REF!:#REF!,MATCH(#REF!,#REF!:#REF!,0),MATCH(#REF!,#REF!:#REF!,0))*#REF!*VLOOKUP(#REF!,BDD!$HN$5:$HU$38,7,FALSE)))))</f>
        <v>#REF!</v>
      </c>
      <c r="HT55" s="342" t="e">
        <f>IF(#REF!="","",IF(OR(#REF!=Moutarde,#REF!=Phacélie),0,IF(#REF!=Luzerne,10*#REF!*VLOOKUP(#REF!,BDD!$HN$5:$HU$38,8,FALSE),IF(#REF!=Miscanthus,10.5*#REF!*VLOOKUP(#REF!,BDD!$HN$5:$HU$38,8,FALSE),INDEX(#REF!:#REF!,MATCH(#REF!,#REF!:#REF!,0),MATCH(#REF!,#REF!:#REF!,0))*#REF!*VLOOKUP(#REF!,BDD!$HN$5:$HU$38,8,FALSE)))))</f>
        <v>#REF!</v>
      </c>
      <c r="HU55" s="342" t="e">
        <f>IF(#REF!="","",IF(OR(#REF!=Moutarde,#REF!=Phacélie),0,1.6*#REF!))</f>
        <v>#REF!</v>
      </c>
      <c r="HV55" s="342" t="e">
        <f>IF(#REF!="","",IF(OR(#REF!=Moutarde,#REF!=Phacélie),0,1.6*#REF!))</f>
        <v>#REF!</v>
      </c>
      <c r="HW55" s="342" t="e">
        <f>IF(#REF!="","",IF(OR(#REF!=Moutarde,#REF!=Phacélie),0,1.6*#REF!))</f>
        <v>#REF!</v>
      </c>
      <c r="HX55" s="342" t="e">
        <f>IF(#REF!="","",(VLOOKUP(#REF!,BDD!$HN$5:$HU$38,2,FALSE))*#REF!)</f>
        <v>#REF!</v>
      </c>
      <c r="HY55" s="342" t="e">
        <f>IF(#REF!="","",IF(OR(#REF!=Moutarde,#REF!=Phacélie),0,IF(#REF!=Luzerne,10*#REF!*VLOOKUP(#REF!,BDD!$HN$5:$HU$38,3,FALSE),IF(#REF!=Miscanthus,10.5*#REF!*VLOOKUP(#REF!,BDD!$HN$5:$HU$38,3,FALSE),INDEX(#REF!:#REF!,MATCH(#REF!,#REF!:#REF!,0),MATCH(#REF!,#REF!:#REF!,0))*#REF!*VLOOKUP(#REF!,BDD!$HN$5:$HU$38,3,FALSE)))))</f>
        <v>#REF!</v>
      </c>
      <c r="HZ55" s="342" t="e">
        <f>IF(#REF!="","",IF(OR(#REF!=Moutarde,#REF!=Phacélie),0,IF(#REF!=Luzerne,10*#REF!*VLOOKUP(#REF!,BDD!$HN$5:$HU$38,4,FALSE),IF(#REF!=Miscanthus,10.5*#REF!*VLOOKUP(#REF!,BDD!$HN$5:$HU$38,4,FALSE),INDEX(#REF!:#REF!,MATCH(#REF!,#REF!:#REF!,0),MATCH(#REF!,#REF!:#REF!,0))*#REF!*VLOOKUP(#REF!,BDD!$HN$5:$HU$38,4,FALSE)))))</f>
        <v>#REF!</v>
      </c>
      <c r="IA55" s="342" t="e">
        <f>IF(#REF!="","",IF(OR(#REF!=Moutarde,#REF!=Phacélie),0,IF(#REF!=Luzerne,10*#REF!*VLOOKUP(#REF!,BDD!$HN$5:$HU$38,5,FALSE),IF(#REF!=Miscanthus,10.5*#REF!*VLOOKUP(#REF!,BDD!$HN$5:$HU$38,5,FALSE),INDEX(#REF!:#REF!,MATCH(#REF!,#REF!:#REF!,0),MATCH(#REF!,#REF!:#REF!,0))*#REF!*VLOOKUP(#REF!,BDD!$HN$5:$HU$38,5,FALSE)))))</f>
        <v>#REF!</v>
      </c>
      <c r="IB55" s="342" t="e">
        <f>IF(#REF!="","",IF(OR(#REF!=Moutarde,#REF!=Phacélie),0,IF(#REF!=Luzerne,10*#REF!*VLOOKUP(#REF!,BDD!$HN$5:$HU$38,6,FALSE),IF(#REF!=Miscanthus,10.5*#REF!*VLOOKUP(#REF!,BDD!$HN$5:$HU$38,6,FALSE),INDEX(#REF!:#REF!,MATCH(#REF!,#REF!:#REF!,0),MATCH(#REF!,#REF!:#REF!,0))*#REF!*VLOOKUP(#REF!,BDD!$HN$5:$HU$38,6,FALSE)))))</f>
        <v>#REF!</v>
      </c>
      <c r="IC55" s="342" t="e">
        <f>IF(#REF!="","",IF(OR(#REF!=Moutarde,#REF!=Phacélie),0,IF(#REF!=Luzerne,10*#REF!*VLOOKUP(#REF!,BDD!$HN$5:$HU$38,7,FALSE),IF(#REF!=Miscanthus,10.5*#REF!*VLOOKUP(#REF!,BDD!$HN$5:$HU$38,7,FALSE),INDEX(#REF!:#REF!,MATCH(#REF!,#REF!:#REF!,0),MATCH(#REF!,#REF!:#REF!,0))*#REF!*VLOOKUP(#REF!,BDD!$HN$5:$HU$38,7,FALSE)))))</f>
        <v>#REF!</v>
      </c>
      <c r="ID55" s="342" t="e">
        <f>IF(#REF!="","",IF(OR(#REF!=Moutarde,#REF!=Phacélie),0,IF(#REF!=Luzerne,10*#REF!*VLOOKUP(#REF!,BDD!$HN$5:$HU$38,8,FALSE),IF(#REF!=Miscanthus,10.5*#REF!*VLOOKUP(#REF!,BDD!$HN$5:$HU$38,8,FALSE),INDEX(#REF!:#REF!,MATCH(#REF!,#REF!:#REF!,0),MATCH(#REF!,#REF!:#REF!,0))*#REF!*VLOOKUP(#REF!,BDD!$HN$5:$HU$38,8,FALSE)))))</f>
        <v>#REF!</v>
      </c>
      <c r="IE55" s="342" t="e">
        <f>IF(#REF!="","",IF(OR(#REF!=Moutarde,#REF!=Phacélie),0,1.6*#REF!))</f>
        <v>#REF!</v>
      </c>
      <c r="IF55" s="342" t="e">
        <f>IF(#REF!="","",IF(OR(#REF!=Moutarde,#REF!=Phacélie),0,1.6*#REF!))</f>
        <v>#REF!</v>
      </c>
      <c r="IG55" s="342" t="e">
        <f>IF(#REF!="","",IF(OR(#REF!=Moutarde,#REF!=Phacélie),0,1.6*#REF!))</f>
        <v>#REF!</v>
      </c>
    </row>
    <row r="56" spans="1:241" ht="12.75" customHeight="1" x14ac:dyDescent="0.2">
      <c r="A56" s="373"/>
      <c r="B56" s="374"/>
      <c r="C56" s="375"/>
      <c r="F56" s="280"/>
      <c r="G56" s="280"/>
      <c r="H56" s="280"/>
      <c r="I56" s="280"/>
      <c r="N56" s="277"/>
      <c r="O56" s="280" t="s">
        <v>139</v>
      </c>
      <c r="P56" s="280"/>
      <c r="Q56" s="280"/>
      <c r="R56" s="280"/>
      <c r="S56" s="280"/>
      <c r="T56" s="280"/>
      <c r="U56" s="280"/>
      <c r="V56" s="280"/>
      <c r="W56" s="280"/>
      <c r="X56" s="280"/>
      <c r="Y56" s="280"/>
      <c r="Z56" s="280"/>
      <c r="AA56" s="280"/>
      <c r="AB56" s="280"/>
      <c r="AC56" s="280"/>
      <c r="AD56" s="280"/>
      <c r="AE56" s="280"/>
      <c r="AF56" s="280"/>
      <c r="AG56" s="280"/>
      <c r="AH56" s="280"/>
      <c r="AI56" s="280"/>
      <c r="AJ56" s="280"/>
      <c r="AK56" s="280"/>
      <c r="AL56" s="280"/>
      <c r="AM56" s="280"/>
      <c r="AN56" s="280"/>
      <c r="AO56" s="280"/>
      <c r="AP56" s="280"/>
      <c r="AQ56" s="280"/>
      <c r="AR56" s="280"/>
      <c r="AS56" s="280"/>
      <c r="AT56" s="280"/>
      <c r="AU56" s="280"/>
      <c r="AV56" s="280"/>
      <c r="AW56" s="280"/>
      <c r="AX56" s="280"/>
      <c r="AY56" s="280"/>
      <c r="BC56" s="278"/>
      <c r="BD56" s="278"/>
      <c r="BE56" s="278"/>
      <c r="BF56" s="278"/>
      <c r="BL56" s="312"/>
      <c r="BM56" s="350" t="s">
        <v>489</v>
      </c>
      <c r="BN56" s="350">
        <f t="array" ref="BN56">IF(Ration_hivernale_complète_bisons[somme]&gt;0,0,IFERROR(IF(OR(AND(INDEX(Règles_bison[Specificite],MATCH(ChoixRationBisons&amp;$BM56,Règles_bison[Ration]&amp;Règles_bison[Aliment],0))="s1",IF($BM56=ChoixSpécificité1Bisons,1)),
INDEX(Règles_bison[Specificite],MATCH(ChoixRationBisons&amp;$BM56,Règles_bison[Ration]&amp;Règles_bison[Aliment],0))="c"),
INDEX(Règles_bison[Valeur 36 et plus],MATCH(ChoixRationBisons&amp;$BM56,Règles_bison[Ration]&amp;Règles_bison[Aliment],0)),0),0)*TotalBisonsMalesAdultes*NbreJoursNourrirBisonsDaims)</f>
        <v>0</v>
      </c>
      <c r="BO56" s="350">
        <f t="array" ref="BO56">IF(Ration_hivernale_complète_bisons[somme]&gt;0,0,IFERROR(IF(OR(AND(INDEX(Règles_bison[Specificite],MATCH(ChoixRationBisons&amp;$BM56,Règles_bison[Ration]&amp;Règles_bison[Aliment],0))="s1",IF($BM56=ChoixSpécificité1Bisons,1)),
INDEX(Règles_bison[Specificite],MATCH(ChoixRationBisons&amp;$BM56,Règles_bison[Ration]&amp;Règles_bison[Aliment],0))="c"),
INDEX(Règles_bison[Valeur 24-36],MATCH(ChoixRationBisons&amp;$BM56,Règles_bison[Ration]&amp;Règles_bison[Aliment],0)),0),0)*TotalBisonsMales_24_36_mois*NbreJoursNourrirBisonsDaims)</f>
        <v>0</v>
      </c>
      <c r="BP56" s="350">
        <f t="array" ref="BP56">IF(Ration_hivernale_complète_bisons[somme]&gt;0,0,IFERROR(IF(OR(AND(INDEX(Règles_bison[Specificite],MATCH(ChoixRationBisons&amp;$BM56,Règles_bison[Ration]&amp;Règles_bison[Aliment],0))="s1",IF($BM56=ChoixSpécificité1Bisons,1)),
INDEX(Règles_bison[Specificite],MATCH(ChoixRationBisons&amp;$BM56,Règles_bison[Ration]&amp;Règles_bison[Aliment],0))="c"),
INDEX(Règles_bison[Valeur 18-24],MATCH(ChoixRationBisons&amp;$BM56,Règles_bison[Ration]&amp;Règles_bison[Aliment],0)),0),0)*TotalBisonsMales_18_24_mois*NbreJoursNourrirBisonsDaims)</f>
        <v>0</v>
      </c>
      <c r="BQ56" s="350">
        <f t="array" ref="BQ56">IF(Ration_hivernale_complète_bisons[somme]&gt;0,0,IFERROR(IF(OR(AND(INDEX(Règles_bison[Specificite],MATCH(ChoixRationBisons&amp;$BM56,Règles_bison[Ration]&amp;Règles_bison[Aliment],0))="s1",IF($BM56=ChoixSpécificité1Bisons,1)),
INDEX(Règles_bison[Specificite],MATCH(ChoixRationBisons&amp;$BM56,Règles_bison[Ration]&amp;Règles_bison[Aliment],0))="c"),
INDEX(Règles_bison[Valeur 12-18],MATCH(ChoixRationBisons&amp;$BM56,Règles_bison[Ration]&amp;Règles_bison[Aliment],0)),0),0)*TotalBisonsMales_12_18_mois*NbreJoursNourrirBisonsDaims)</f>
        <v>0</v>
      </c>
      <c r="BR56" s="350">
        <f t="array" ref="BR56">IF(Ration_hivernale_complète_bisons[somme]&gt;0,0,IFERROR(IF(OR(AND(INDEX(Règles_bison[Specificite],MATCH(ChoixRationBisons&amp;$BM56,Règles_bison[Ration]&amp;Règles_bison[Aliment],0))="s1",IF($BM56=ChoixSpécificité1Bisons,1)),
INDEX(Règles_bison[Specificite],MATCH(ChoixRationBisons&amp;$BM56,Règles_bison[Ration]&amp;Règles_bison[Aliment],0))="c"),
INDEX(Règles_bison[Valeur 6-12],MATCH(ChoixRationBisons&amp;$BM56,Règles_bison[Ration]&amp;Règles_bison[Aliment],0)),0),0)*TotalBisonsMales_6_12_mois*NbreJoursNourrirBisonsDaims)</f>
        <v>0</v>
      </c>
      <c r="BS56" s="350">
        <f t="array" ref="BS56">IF(Ration_hivernale_complète_bisons[somme]&gt;0,0,IFERROR(IF(OR(AND(INDEX(Règles_bison[Specificite],MATCH(ChoixRationBisons&amp;$BM56,Règles_bison[Ration]&amp;Règles_bison[Aliment],0))="s1",IF($BM56=ChoixSpécificité1Bisons,1)),
INDEX(Règles_bison[Specificite],MATCH(ChoixRationBisons&amp;$BM56,Règles_bison[Ration]&amp;Règles_bison[Aliment],0))="c"),
INDEX(Règles_bison[Valeur 3-6],MATCH(ChoixRationBisons&amp;$BM56,Règles_bison[Ration]&amp;Règles_bison[Aliment],0)),0),0)*TotalBisonsMales_3_6_mois*NbreJoursNourrirBisonsDaims)</f>
        <v>0</v>
      </c>
      <c r="BT56" s="350">
        <f t="array" ref="BT56">IF(Ration_hivernale_complète_bisons[somme]&gt;0,0,IFERROR(IF(OR(AND(INDEX(Règles_bison[Specificite],MATCH(ChoixRationBisons&amp;$BM56,Règles_bison[Ration]&amp;Règles_bison[Aliment],0))="s1",IF($BM56=ChoixSpécificité1Bisons,1)),
INDEX(Règles_bison[Specificite],MATCH(ChoixRationBisons&amp;$BM56,Règles_bison[Ration]&amp;Règles_bison[Aliment],0))="c"),
INDEX(Règles_bison[Valeur 0-3],MATCH(ChoixRationBisons&amp;$BM56,Règles_bison[Ration]&amp;Règles_bison[Aliment],0)),0),0)*TotalBisonsMales_0_3_mois*NbreJoursNourrirBisonsDaims)</f>
        <v>0</v>
      </c>
      <c r="BU56" s="350">
        <f t="shared" si="10"/>
        <v>0</v>
      </c>
      <c r="BX56" s="373" t="s">
        <v>547</v>
      </c>
      <c r="BY56" s="280" t="s">
        <v>518</v>
      </c>
      <c r="BZ56" s="280" t="s">
        <v>886</v>
      </c>
      <c r="CA56" s="280">
        <v>20</v>
      </c>
      <c r="CB56" s="280">
        <v>12</v>
      </c>
      <c r="CC56" s="280">
        <v>8</v>
      </c>
      <c r="CD56" s="410">
        <v>4</v>
      </c>
      <c r="CE56" s="304"/>
      <c r="CF56" s="304"/>
      <c r="CG56" s="304"/>
      <c r="CH56" s="304"/>
      <c r="CJ56" s="420" t="s">
        <v>499</v>
      </c>
      <c r="CK56" s="384">
        <f t="array" ref="CK5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56" s="384">
        <f t="array" ref="CL5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56" s="384">
        <f t="array" ref="CM5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56" s="384">
        <f t="array" ref="CN5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56" s="384">
        <f t="array" ref="CO5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56" s="426">
        <f>SUM(AlimentsRationPorcinsMâles[[#This Row],[Valeur 12 et plus]:[Valeur 0-1]])</f>
        <v>0</v>
      </c>
      <c r="CS56" s="394" t="s">
        <v>910</v>
      </c>
      <c r="CT56" s="395" t="s">
        <v>924</v>
      </c>
      <c r="CU56" s="395" t="s">
        <v>917</v>
      </c>
      <c r="CV56" s="395" t="s">
        <v>918</v>
      </c>
      <c r="CW56" s="396" t="s">
        <v>903</v>
      </c>
      <c r="CZ56" s="394" t="s">
        <v>910</v>
      </c>
      <c r="DA56" s="395" t="s">
        <v>929</v>
      </c>
      <c r="DB56" s="395" t="s">
        <v>930</v>
      </c>
      <c r="DC56" s="395" t="s">
        <v>918</v>
      </c>
      <c r="DD56" s="396" t="s">
        <v>903</v>
      </c>
      <c r="DF56" s="277"/>
      <c r="DG56" s="420" t="s">
        <v>1167</v>
      </c>
      <c r="DH56" s="433">
        <f t="array" ref="DH5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56" s="433">
        <f t="array" ref="DI5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56" s="433">
        <f t="array" ref="DJ5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56" s="434">
        <f>SUM(AlimentsRationPintadesMâles[[#This Row],[Valeur 9 et plus]:[Valeur 0-1]])</f>
        <v>0</v>
      </c>
      <c r="DL56" s="316"/>
      <c r="DM56" s="316"/>
      <c r="DN56" s="280" t="s">
        <v>795</v>
      </c>
      <c r="DO56" s="280">
        <v>880</v>
      </c>
      <c r="DQ56" s="280" t="s">
        <v>795</v>
      </c>
      <c r="DR56" s="280">
        <v>1056</v>
      </c>
      <c r="DV56" s="350" t="s">
        <v>906</v>
      </c>
      <c r="DW56" s="351">
        <f t="array" ref="DW56">IF(ChoixRationComplèteDaims=OUI,0,IFERROR(IF(OR(AND(INDEX(Règles_daims[Specificite],MATCH(ChoixRationDaims&amp;DV56,Règles_daims[Ration]&amp;Règles_daims[Aliment],0))="s1",IF(DV56=Spécificité1Daims,1)),
AND(INDEX(Règles_daims[Specificite],MATCH(ChoixRationDaims&amp;DV56,Règles_daims[Ration]&amp;Règles_daims[Aliment],0))="s2",IF(DV56=Spécificité2Daims,1)),
INDEX(Règles_daims[Specificite],MATCH(ChoixRationDaims&amp;DV56,Règles_daims[Ration]&amp;Règles_daims[Aliment],0))="c"),
INDEX(Règles_daims[Valeur 36 et plus],MATCH(ChoixRationDaims&amp;DV56,Règles_daims[Ration]&amp;Règles_daims[Aliment],0)),0),0)*SUM(TotalDaimsAdultes)*NbreJoursNourrirBisonsDaims)</f>
        <v>0</v>
      </c>
      <c r="DX56" s="351">
        <f t="array" ref="DX56">IF(ChoixRationComplèteDaims=OUI,0,IFERROR(IF(OR(AND(INDEX(Règles_daims[Specificite],MATCH(ChoixRationDaims&amp;DV56,Règles_daims[Ration]&amp;Règles_daims[Aliment],0))="s1",IF(DV56=Spécificité1Daims,1)),
AND(INDEX(Règles_daims[Specificite],MATCH(ChoixRationDaims&amp;DV56,Règles_daims[Ration]&amp;Règles_daims[Aliment],0))="s2",IF(DV56=Spécificité2Daims,1)),
INDEX(Règles_daims[Specificite],MATCH(ChoixRationDaims&amp;DV56,Règles_daims[Ration]&amp;Règles_daims[Aliment],0))="c"),
INDEX(Règles_daims[Valeur 24-36],MATCH(ChoixRationDaims&amp;DV56,Règles_daims[Ration]&amp;Règles_daims[Aliment],0)),0),0)*SUM(TotalDaims24_36)*NbreJoursNourrirBisonsDaims)</f>
        <v>0</v>
      </c>
      <c r="DY56" s="351">
        <f t="array" ref="DY56">IF(ChoixRationComplèteDaims=OUI,0,IFERROR(IF(OR(AND(INDEX(Règles_daims[Specificite],MATCH(ChoixRationDaims&amp;DV56,Règles_daims[Ration]&amp;Règles_daims[Aliment],0))="s1",IF(DV56=Spécificité1Daims,1)),
AND(INDEX(Règles_daims[Specificite],MATCH(ChoixRationDaims&amp;DV56,Règles_daims[Ration]&amp;Règles_daims[Aliment],0))="s2",IF(DV56=Spécificité2Daims,1)),
INDEX(Règles_daims[Specificite],MATCH(ChoixRationDaims&amp;DV56,Règles_daims[Ration]&amp;Règles_daims[Aliment],0))="c"),
INDEX(Règles_daims[Valeur 18-24],MATCH(ChoixRationDaims&amp;DV56,Règles_daims[Ration]&amp;Règles_daims[Aliment],0)),0),0)*SUM(TotalDaims18_24)*NbreJoursNourrirBisonsDaims)</f>
        <v>0</v>
      </c>
      <c r="DZ56" s="441">
        <f t="array" ref="DZ56">IF(ChoixRationComplèteDaims=OUI,0,IFERROR(IF(OR(AND(INDEX(Règles_daims[Specificite],MATCH(ChoixRationDaims&amp;DV56,Règles_daims[Ration]&amp;Règles_daims[Aliment],0))="s1",IF(DV56=Spécificité1Daims,1)),
AND(INDEX(Règles_daims[Specificite],MATCH(ChoixRationDaims&amp;DV56,Règles_daims[Ration]&amp;Règles_daims[Aliment],0))="s2",IF(DV56=Spécificité2Daims,1)),
INDEX(Règles_daims[Specificite],MATCH(ChoixRationDaims&amp;DV56,Règles_daims[Ration]&amp;Règles_daims[Aliment],0))="c"),
INDEX(Règles_daims[Valeur 12-18],MATCH(ChoixRationDaims&amp;DV56,Règles_daims[Ration]&amp;Règles_daims[Aliment],0)),0),0)*SUM(TotalDaims12_18)*NbreJoursNourrirBisonsDaims)</f>
        <v>0</v>
      </c>
      <c r="EA56" s="441">
        <f t="array" ref="EA56">IF(ChoixRationComplèteDaims=OUI,0,IFERROR(IF(OR(AND(INDEX(Règles_daims[Specificite],MATCH(ChoixRationDaims&amp;DV56,Règles_daims[Ration]&amp;Règles_daims[Aliment],0))="s1",IF(DV56=Spécificité1Daims,1)),
AND(INDEX(Règles_daims[Specificite],MATCH(ChoixRationDaims&amp;DV56,Règles_daims[Ration]&amp;Règles_daims[Aliment],0))="s2",IF(DV56=Spécificité2Daims,1)),
INDEX(Règles_daims[Specificite],MATCH(ChoixRationDaims&amp;DV56,Règles_daims[Ration]&amp;Règles_daims[Aliment],0))="c"),
INDEX(Règles_daims[Valeur 6-12],MATCH(ChoixRationDaims&amp;DV56,Règles_daims[Ration]&amp;Règles_daims[Aliment],0)),0),0)*SUM(TotalDaims6_12)*NbreJoursNourrirBisonsDaims)</f>
        <v>0</v>
      </c>
      <c r="EB56" s="441">
        <f t="array" ref="EB56">IF(ChoixRationComplèteDaims=OUI,0,IFERROR(IF(OR(AND(INDEX(Règles_daims[Specificite],MATCH(ChoixRationDaims&amp;DV56,Règles_daims[Ration]&amp;Règles_daims[Aliment],0))="s1",IF(DV56=Spécificité1Daims,1)),
AND(INDEX(Règles_daims[Specificite],MATCH(ChoixRationDaims&amp;DV56,Règles_daims[Ration]&amp;Règles_daims[Aliment],0))="s2",IF(DV56=Spécificité2Daims,1)),
INDEX(Règles_daims[Specificite],MATCH(ChoixRationDaims&amp;DV56,Règles_daims[Ration]&amp;Règles_daims[Aliment],0))="c"),
INDEX(Règles_daims[Valeur 3-6],MATCH(ChoixRationDaims&amp;DV56,Règles_daims[Ration]&amp;Règles_daims[Aliment],0)),0),0)*SUM(TotalDaims3_6)*NbreJoursNourrirBisonsDaims)</f>
        <v>0</v>
      </c>
      <c r="EC56" s="441">
        <f t="array" ref="EC56">IF(ChoixRationComplèteDaims=OUI,0,IFERROR(IF(OR(AND(INDEX(Règles_daims[Specificite],MATCH(ChoixRationDaims&amp;DV56,Règles_daims[Ration]&amp;Règles_daims[Aliment],0))="s1",IF(DV56=Spécificité1Daims,1)),
AND(INDEX(Règles_daims[Specificite],MATCH(ChoixRationDaims&amp;DV56,Règles_daims[Ration]&amp;Règles_daims[Aliment],0))="s2",IF(DV56=Spécificité2Daims,1)),
INDEX(Règles_daims[Specificite],MATCH(ChoixRationDaims&amp;DV56,Règles_daims[Ration]&amp;Règles_daims[Aliment],0))="c"),
INDEX(Règles_daims[Valeur 0-3],MATCH(ChoixRationDaims&amp;DV56,Règles_daims[Ration]&amp;Règles_daims[Aliment],0)),0),0)*SUM(TotalDaims0_3)*NbreJoursNourrirBisonsDaims)</f>
        <v>0</v>
      </c>
      <c r="ED56" s="441">
        <f t="shared" si="9"/>
        <v>0</v>
      </c>
      <c r="EG56" s="420" t="s">
        <v>515</v>
      </c>
      <c r="EH56" s="433">
        <f t="array" ref="EH5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56" s="433">
        <f t="array" ref="EI5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56" s="433">
        <f t="array" ref="EJ5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56" s="434">
        <f>SUM(AlimentsRationOiesMâles[[#This Row],[Valeur 6 et plus]:[Valeur 0-3]])</f>
        <v>0</v>
      </c>
      <c r="EL56" s="316"/>
      <c r="EN56" s="420" t="s">
        <v>904</v>
      </c>
      <c r="EO56" s="433">
        <f t="array" ref="EO56">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56" s="433">
        <f t="array" ref="EP56">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56" s="433">
        <f t="array" ref="EQ56">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56" s="434">
        <f>SUM(Ration_canards_Mâles[[#This Row],[Valeur 6 et plus]:[Valeur 0-3]])</f>
        <v>0</v>
      </c>
      <c r="ES56" s="316"/>
      <c r="ET56" s="282"/>
      <c r="EZ56" s="276"/>
      <c r="FA56" s="298"/>
      <c r="FB56" s="298"/>
      <c r="FD56" s="457" t="s">
        <v>220</v>
      </c>
      <c r="FE56" s="458">
        <f t="array" ref="FE56">IF(OR(ChoixRationComplèteEtéChevauxTrait=OUI,ChoixRationComplèteEtéChevauxTrait="",AND(ChoixChevauxTraitPréHiver=OUI,ChoixChevauxTraitPréEté=OUI)),0,IFERROR(IF(OR(AND(INDEX(Règles_chevaux_trait[Specificite],MATCH(RationEtéChevauxTrait&amp;$FD56,Règles_chevaux_trait[Ration]&amp;Règles_chevaux_trait[Aliment],0))="s1",IF($FD56=Spécificité1ChevauxTrait,1)),
AND(INDEX(Règles_chevaux_trait[Specificite],MATCH(RationEtéChevauxTrait&amp;$FD56,Règles_chevaux_trait[Ration]&amp;Règles_chevaux_trait[Aliment],0))="s2",IF($FD56=Spécificité2ChevauxTrait,1)),
INDEX(Règles_chevaux_trait[Specificite],MATCH(RationEtéChevauxTrait&amp;$FD56,Règles_chevaux_trait[Ration]&amp;Règles_chevaux_trait[Aliment],0))="c"),
INDEX(Règles_chevaux_trait[Valeur 36 et plus],MATCH(RationEtéChevauxTrait&amp;$FD56,Règles_chevaux_trait[Ration]&amp;Règles_chevaux_trait[Aliment],0)),0),0)*TotalEtalonTrait*NbreJoursNourrirChevauxTrait)</f>
        <v>0</v>
      </c>
      <c r="FF56" s="458">
        <f t="array" ref="FF56">IF(OR(ChoixRationComplèteEtéChevauxTrait=OUI,ChoixRationComplèteEtéChevauxTrait="",AND(ChoixChevauxTraitPréHiver=OUI,ChoixChevauxTraitPréEté=OUI)),0,IFERROR(IF(OR(AND(INDEX(Règles_chevaux_trait[Specificite],MATCH(RationEtéChevauxTrait&amp;$FD56,Règles_chevaux_trait[Ration]&amp;Règles_chevaux_trait[Aliment],0))="s1",IF($FD56=Spécificité1ChevauxTrait,1)),
AND(INDEX(Règles_chevaux_trait[Specificite],MATCH(RationEtéChevauxTrait&amp;$FD56,Règles_chevaux_trait[Ration]&amp;Règles_chevaux_trait[Aliment],0))="s2",IF($FD56=Spécificité2ChevauxTrait,1)),
INDEX(Règles_chevaux_trait[Specificite],MATCH(RationEtéChevauxTrait&amp;$FD56,Règles_chevaux_trait[Ration]&amp;Règles_chevaux_trait[Aliment],0))="c"),
INDEX(Règles_chevaux_trait[Valeur 24-36],MATCH(RationEtéChevauxTrait&amp;$FD56,Règles_chevaux_trait[Ration]&amp;Règles_chevaux_trait[Aliment],0)),0),0)*TotalJeuneEtalonTrait_24_36_mois*NbreJoursNourrirChevauxTrait)</f>
        <v>0</v>
      </c>
      <c r="FG56" s="458">
        <f t="array" ref="FG56">IF(OR(ChoixRationComplèteEtéChevauxTrait=OUI,ChoixRationComplèteEtéChevauxTrait="",AND(ChoixChevauxTraitPréHiver=OUI,ChoixChevauxTraitPréEté=OUI)),0,IFERROR(IF(OR(AND(INDEX(Règles_chevaux_trait[Specificite],MATCH(RationEtéChevauxTrait&amp;$FD56,Règles_chevaux_trait[Ration]&amp;Règles_chevaux_trait[Aliment],0))="s1",IF($FD56=Spécificité1ChevauxTrait,1)),
AND(INDEX(Règles_chevaux_trait[Specificite],MATCH(RationEtéChevauxTrait&amp;$FD56,Règles_chevaux_trait[Ration]&amp;Règles_chevaux_trait[Aliment],0))="s2",IF($FD56=Spécificité2ChevauxTrait,1)),
INDEX(Règles_chevaux_trait[Specificite],MATCH(RationEtéChevauxTrait&amp;$FD56,Règles_chevaux_trait[Ration]&amp;Règles_chevaux_trait[Aliment],0))="c"),
INDEX(Règles_chevaux_trait[Valeur 12-24],MATCH(RationEtéChevauxTrait&amp;$FD56,Règles_chevaux_trait[Ration]&amp;Règles_chevaux_trait[Aliment],0)),0),0)*TotalJeuneEtalonTrait_12_24_mois*NbreJoursNourrirChevauxTrait)</f>
        <v>0</v>
      </c>
      <c r="FH56" s="460">
        <f t="array" ref="FH56">IF(OR(ChoixRationComplèteEtéChevauxTrait=OUI,ChoixRationComplèteEtéChevauxTrait="",AND(ChoixChevauxTraitPréHiver=OUI,ChoixChevauxTraitPréEté=OUI)),0,IFERROR(IF(OR(AND(INDEX(Règles_chevaux_trait[Specificite],MATCH(RationEtéChevauxTrait&amp;$FD56,Règles_chevaux_trait[Ration]&amp;Règles_chevaux_trait[Aliment],0))="s1",IF($FD56=Spécificité1ChevauxTrait,1)),
AND(INDEX(Règles_chevaux_trait[Specificite],MATCH(RationEtéChevauxTrait&amp;$FD56,Règles_chevaux_trait[Ration]&amp;Règles_chevaux_trait[Aliment],0))="s2",IF($FD56=Spécificité2ChevauxTrait,1)),
INDEX(Règles_chevaux_trait[Specificite],MATCH(RationEtéChevauxTrait&amp;$FD56,Règles_chevaux_trait[Ration]&amp;Règles_chevaux_trait[Aliment],0))="c"),
INDEX(Règles_chevaux_trait[Valeur 0-12],MATCH(RationEtéChevauxTrait&amp;$FD56,Règles_chevaux_trait[Ration]&amp;Règles_chevaux_trait[Aliment],0)),0),0)*TotalPoulainTrait_0_12_mois*NbreJoursNourrirChevauxTrait)</f>
        <v>0</v>
      </c>
      <c r="FI56" s="460">
        <f t="shared" si="15"/>
        <v>0</v>
      </c>
      <c r="FJ56" s="298"/>
      <c r="FK56" s="298"/>
      <c r="FL56" s="298"/>
      <c r="FN56" s="457" t="s">
        <v>515</v>
      </c>
      <c r="FO56" s="458">
        <f t="array" ref="FO56">IF(OR(ChoixRationComplèteEtéPoneys=OUI,ChoixRationComplèteEtéPoneys="",AND(ChoixPoneysPréHiver=OUI,ChoixPoneysPréEté=OUI)),0,IFERROR(IF(OR(AND(INDEX(Règles_poneys[Specificite],MATCH(RationEtéPoneys&amp;$FN56,Règles_poneys[Ration]&amp;Règles_poneys[Aliment],0))="s1",IF($FN56=Spécificité1Poneys,1)),
AND(INDEX(Règles_poneys[Specificite],MATCH(RationEtéPoneys&amp;$FN56,Règles_poneys[Ration]&amp;Règles_poneys[Aliment],0))="s2",IF($FN56=Spécificité2Poneys,1)),
INDEX(Règles_poneys[Specificite],MATCH(RationEtéPoneys&amp;$FN56,Règles_poneys[Ration]&amp;Règles_poneys[Aliment],0))="c"),
INDEX(Règles_poneys[Valeur 36 et plus],MATCH(RationEtéPoneys&amp;$FN56,Règles_poneys[Ration]&amp;Règles_poneys[Aliment],0)),0),0)*TotalEtalonPoney*NbreJoursNourrirPoneys)</f>
        <v>0</v>
      </c>
      <c r="FP56" s="458">
        <f t="array" ref="FP56">IF(OR(ChoixRationComplèteEtéPoneys=OUI,ChoixRationComplèteEtéPoneys="",AND(ChoixPoneysPréHiver=OUI,ChoixPoneysPréEté=OUI)),0,IFERROR(IF(OR(AND(INDEX(Règles_poneys[Specificite],MATCH(RationEtéPoneys&amp;$FN56,Règles_poneys[Ration]&amp;Règles_poneys[Aliment],0))="s1",IF($FN56=Spécificité1Poneys,1)),
AND(INDEX(Règles_poneys[Specificite],MATCH(RationEtéPoneys&amp;$FN56,Règles_poneys[Ration]&amp;Règles_poneys[Aliment],0))="s2",IF($FN56=Spécificité2Poneys,1)),
INDEX(Règles_poneys[Specificite],MATCH(RationEtéPoneys&amp;$FN56,Règles_poneys[Ration]&amp;Règles_poneys[Aliment],0))="c"),
INDEX(Règles_poneys[Valeur 36 et plus],MATCH(RationEtéPoneys&amp;$FN56,Règles_poneys[Ration]&amp;Règles_poneys[Aliment],0)),0),0)*TotalJeuneEtalonPoney_24_36_mois*NbreJoursNourrirPoneys)</f>
        <v>0</v>
      </c>
      <c r="FQ56" s="458">
        <f t="array" ref="FQ56">IF(OR(ChoixRationComplèteEtéPoneys=OUI,ChoixRationComplèteEtéPoneys="",AND(ChoixPoneysPréHiver=OUI,ChoixPoneysPréEté=OUI)),0,IFERROR(IF(OR(AND(INDEX(Règles_poneys[Specificite],MATCH(RationEtéPoneys&amp;$FN56,Règles_poneys[Ration]&amp;Règles_poneys[Aliment],0))="s1",IF($FN56=Spécificité1Poneys,1)),
AND(INDEX(Règles_poneys[Specificite],MATCH(RationEtéPoneys&amp;$FN56,Règles_poneys[Ration]&amp;Règles_poneys[Aliment],0))="s2",IF($FN56=Spécificité2Poneys,1)),
INDEX(Règles_poneys[Specificite],MATCH(RationEtéPoneys&amp;$FN56,Règles_poneys[Ration]&amp;Règles_poneys[Aliment],0))="c"),
INDEX(Règles_poneys[Valeur 36 et plus],MATCH(RationEtéPoneys&amp;$FN56,Règles_poneys[Ration]&amp;Règles_poneys[Aliment],0)),0),0)*TotalJeuneEtalonPoney_12_24_mois*NbreJoursNourrirPoneys)</f>
        <v>0</v>
      </c>
      <c r="FR56" s="460">
        <f t="array" ref="FR56">IF(OR(ChoixRationComplèteEtéPoneys=OUI,ChoixRationComplèteEtéPoneys="",AND(ChoixPoneysPréHiver=OUI,ChoixPoneysPréEté=OUI)),0,IFERROR(IF(OR(AND(INDEX(Règles_poneys[Specificite],MATCH(RationEtéPoneys&amp;$FN56,Règles_poneys[Ration]&amp;Règles_poneys[Aliment],0))="s1",IF($FN56=Spécificité1Poneys,1)),
AND(INDEX(Règles_poneys[Specificite],MATCH(RationEtéPoneys&amp;$FN56,Règles_poneys[Ration]&amp;Règles_poneys[Aliment],0))="s2",IF($FN56=Spécificité2Poneys,1)),
INDEX(Règles_poneys[Specificite],MATCH(RationEtéPoneys&amp;$FN56,Règles_poneys[Ration]&amp;Règles_poneys[Aliment],0))="c"),
INDEX(Règles_poneys[Valeur 36 et plus],MATCH(RationEtéPoneys&amp;$FN56,Règles_poneys[Ration]&amp;Règles_poneys[Aliment],0)),0),0)*TotalPoulainPoney_0_12_mois*NbreJoursNourrirPoneys)</f>
        <v>0</v>
      </c>
      <c r="FS56" s="460">
        <f t="shared" si="14"/>
        <v>0</v>
      </c>
      <c r="FT56" s="298"/>
      <c r="FU56" s="298"/>
      <c r="FV56" s="298"/>
      <c r="FW56" s="443" t="s">
        <v>233</v>
      </c>
      <c r="FX56" s="450">
        <f t="array" ref="FX56">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56" s="450">
        <f t="array" ref="FY56">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56" s="450">
        <f t="array" ref="FZ56">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56" s="450">
        <f t="array" ref="GA56">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56" s="451">
        <f>SUM(AlimentsGavageOies[[#This Row],[Valeur 6 et plus]:[Valeur 0-1]])</f>
        <v>0</v>
      </c>
      <c r="GC56" s="316"/>
      <c r="GE56" s="280" t="s">
        <v>4</v>
      </c>
      <c r="GF56" s="283"/>
      <c r="GG56" s="283" t="s">
        <v>955</v>
      </c>
      <c r="GH56" s="283" t="s">
        <v>955</v>
      </c>
      <c r="GI56" s="283" t="s">
        <v>955</v>
      </c>
      <c r="GJ56" s="283" t="s">
        <v>955</v>
      </c>
      <c r="GK56" s="283" t="s">
        <v>955</v>
      </c>
      <c r="GL56" s="283" t="s">
        <v>955</v>
      </c>
      <c r="GM56" s="283" t="s">
        <v>955</v>
      </c>
      <c r="GN56" s="283" t="s">
        <v>955</v>
      </c>
      <c r="GO56" s="283" t="s">
        <v>955</v>
      </c>
      <c r="GP56" s="283" t="s">
        <v>955</v>
      </c>
      <c r="GQ56" s="283" t="s">
        <v>955</v>
      </c>
      <c r="GR56" s="283" t="s">
        <v>955</v>
      </c>
      <c r="GS56" s="283" t="s">
        <v>955</v>
      </c>
      <c r="GT56" s="283" t="s">
        <v>955</v>
      </c>
      <c r="GU56" s="283" t="s">
        <v>955</v>
      </c>
      <c r="GV56" s="283" t="s">
        <v>955</v>
      </c>
      <c r="GY56" s="444" t="str">
        <f t="shared" si="11"/>
        <v>semences de colza</v>
      </c>
      <c r="GZ56" s="444"/>
      <c r="HA56" s="342"/>
      <c r="HB56" s="342" t="e">
        <f>IF(COUNTIF(TypeArticleDansEntrepôt,GY56)=0,0,SUMIF(TypeArticleDansEntrepôt,GY56,QtéArticleDansEntrepôt)*VLOOKUP(GY56,#REF!,2,FALSE))</f>
        <v>#REF!</v>
      </c>
      <c r="HN56" s="342" t="e">
        <f>IF(#REF!="","",(VLOOKUP(#REF!,BDD!$HN$5:$HU$38,2,FALSE))*#REF!)</f>
        <v>#REF!</v>
      </c>
      <c r="HO56" s="342" t="e">
        <f>IF(#REF!="","",IF(OR(#REF!=Moutarde,#REF!=Phacélie),0,IF(#REF!=Luzerne,10*#REF!*VLOOKUP(#REF!,BDD!$HN$5:$HU$38,3,FALSE),IF(#REF!=Miscanthus,10.5*#REF!*VLOOKUP(#REF!,BDD!$HN$5:$HU$38,3,FALSE),INDEX(#REF!:#REF!,MATCH(#REF!,#REF!:#REF!,0),MATCH(#REF!,#REF!:#REF!,0))*#REF!*VLOOKUP(#REF!,BDD!$HN$5:$HU$38,3,FALSE)))))</f>
        <v>#REF!</v>
      </c>
      <c r="HP56" s="342" t="e">
        <f>IF(#REF!="","",IF(OR(#REF!=Moutarde,#REF!=Phacélie),0,IF(#REF!=Luzerne,10*#REF!*VLOOKUP(#REF!,BDD!$HN$5:$HU$38,4,FALSE),IF(#REF!=Miscanthus,10.5*#REF!*VLOOKUP(#REF!,BDD!$HN$5:$HU$38,4,FALSE),INDEX(#REF!:#REF!,MATCH(#REF!,#REF!:#REF!,0),MATCH(#REF!,#REF!:#REF!,0))*#REF!*VLOOKUP(#REF!,BDD!$HN$5:$HU$38,4,FALSE)))))</f>
        <v>#REF!</v>
      </c>
      <c r="HQ56" s="342" t="e">
        <f>IF(#REF!="","",IF(OR(#REF!=Moutarde,#REF!=Phacélie),0,IF(#REF!=Luzerne,10*#REF!*VLOOKUP(#REF!,BDD!$HN$5:$HU$38,5,FALSE),IF(#REF!=Miscanthus,10.5*#REF!*VLOOKUP(#REF!,BDD!$HN$5:$HU$38,5,FALSE),INDEX(#REF!:#REF!,MATCH(#REF!,#REF!:#REF!,0),MATCH(#REF!,#REF!:#REF!,0))*#REF!*VLOOKUP(#REF!,BDD!$HN$5:$HU$38,5,FALSE)))))</f>
        <v>#REF!</v>
      </c>
      <c r="HR56" s="342" t="e">
        <f>IF(#REF!="","",IF(OR(#REF!=Moutarde,#REF!=Phacélie),0,IF(#REF!=Luzerne,10*#REF!*VLOOKUP(#REF!,BDD!$HN$5:$HU$38,6,FALSE),IF(#REF!=Miscanthus,10.5*#REF!*VLOOKUP(#REF!,BDD!$HN$5:$HU$38,6,FALSE),INDEX(#REF!:#REF!,MATCH(#REF!,#REF!:#REF!,0),MATCH(#REF!,#REF!:#REF!,0))*#REF!*VLOOKUP(#REF!,BDD!$HN$5:$HU$38,6,FALSE)))))</f>
        <v>#REF!</v>
      </c>
      <c r="HS56" s="342" t="e">
        <f>IF(#REF!="","",IF(OR(#REF!=Moutarde,#REF!=Phacélie),0,IF(#REF!=Luzerne,10*#REF!*VLOOKUP(#REF!,BDD!$HN$5:$HU$38,7,FALSE),IF(#REF!=Miscanthus,10.5*#REF!*VLOOKUP(#REF!,BDD!$HN$5:$HU$38,7,FALSE),INDEX(#REF!:#REF!,MATCH(#REF!,#REF!:#REF!,0),MATCH(#REF!,#REF!:#REF!,0))*#REF!*VLOOKUP(#REF!,BDD!$HN$5:$HU$38,7,FALSE)))))</f>
        <v>#REF!</v>
      </c>
      <c r="HT56" s="342" t="e">
        <f>IF(#REF!="","",IF(OR(#REF!=Moutarde,#REF!=Phacélie),0,IF(#REF!=Luzerne,10*#REF!*VLOOKUP(#REF!,BDD!$HN$5:$HU$38,8,FALSE),IF(#REF!=Miscanthus,10.5*#REF!*VLOOKUP(#REF!,BDD!$HN$5:$HU$38,8,FALSE),INDEX(#REF!:#REF!,MATCH(#REF!,#REF!:#REF!,0),MATCH(#REF!,#REF!:#REF!,0))*#REF!*VLOOKUP(#REF!,BDD!$HN$5:$HU$38,8,FALSE)))))</f>
        <v>#REF!</v>
      </c>
      <c r="HU56" s="342" t="e">
        <f>IF(#REF!="","",IF(OR(#REF!=Moutarde,#REF!=Phacélie),0,1.6*#REF!))</f>
        <v>#REF!</v>
      </c>
      <c r="HV56" s="342" t="e">
        <f>IF(#REF!="","",IF(OR(#REF!=Moutarde,#REF!=Phacélie),0,1.6*#REF!))</f>
        <v>#REF!</v>
      </c>
      <c r="HW56" s="342" t="e">
        <f>IF(#REF!="","",IF(OR(#REF!=Moutarde,#REF!=Phacélie),0,1.6*#REF!))</f>
        <v>#REF!</v>
      </c>
      <c r="HX56" s="342" t="e">
        <f>IF(#REF!="","",(VLOOKUP(#REF!,BDD!$HN$5:$HU$38,2,FALSE))*#REF!)</f>
        <v>#REF!</v>
      </c>
      <c r="HY56" s="342" t="e">
        <f>IF(#REF!="","",IF(OR(#REF!=Moutarde,#REF!=Phacélie),0,IF(#REF!=Luzerne,10*#REF!*VLOOKUP(#REF!,BDD!$HN$5:$HU$38,3,FALSE),IF(#REF!=Miscanthus,10.5*#REF!*VLOOKUP(#REF!,BDD!$HN$5:$HU$38,3,FALSE),INDEX(#REF!:#REF!,MATCH(#REF!,#REF!:#REF!,0),MATCH(#REF!,#REF!:#REF!,0))*#REF!*VLOOKUP(#REF!,BDD!$HN$5:$HU$38,3,FALSE)))))</f>
        <v>#REF!</v>
      </c>
      <c r="HZ56" s="342" t="e">
        <f>IF(#REF!="","",IF(OR(#REF!=Moutarde,#REF!=Phacélie),0,IF(#REF!=Luzerne,10*#REF!*VLOOKUP(#REF!,BDD!$HN$5:$HU$38,4,FALSE),IF(#REF!=Miscanthus,10.5*#REF!*VLOOKUP(#REF!,BDD!$HN$5:$HU$38,4,FALSE),INDEX(#REF!:#REF!,MATCH(#REF!,#REF!:#REF!,0),MATCH(#REF!,#REF!:#REF!,0))*#REF!*VLOOKUP(#REF!,BDD!$HN$5:$HU$38,4,FALSE)))))</f>
        <v>#REF!</v>
      </c>
      <c r="IA56" s="342" t="e">
        <f>IF(#REF!="","",IF(OR(#REF!=Moutarde,#REF!=Phacélie),0,IF(#REF!=Luzerne,10*#REF!*VLOOKUP(#REF!,BDD!$HN$5:$HU$38,5,FALSE),IF(#REF!=Miscanthus,10.5*#REF!*VLOOKUP(#REF!,BDD!$HN$5:$HU$38,5,FALSE),INDEX(#REF!:#REF!,MATCH(#REF!,#REF!:#REF!,0),MATCH(#REF!,#REF!:#REF!,0))*#REF!*VLOOKUP(#REF!,BDD!$HN$5:$HU$38,5,FALSE)))))</f>
        <v>#REF!</v>
      </c>
      <c r="IB56" s="342" t="e">
        <f>IF(#REF!="","",IF(OR(#REF!=Moutarde,#REF!=Phacélie),0,IF(#REF!=Luzerne,10*#REF!*VLOOKUP(#REF!,BDD!$HN$5:$HU$38,6,FALSE),IF(#REF!=Miscanthus,10.5*#REF!*VLOOKUP(#REF!,BDD!$HN$5:$HU$38,6,FALSE),INDEX(#REF!:#REF!,MATCH(#REF!,#REF!:#REF!,0),MATCH(#REF!,#REF!:#REF!,0))*#REF!*VLOOKUP(#REF!,BDD!$HN$5:$HU$38,6,FALSE)))))</f>
        <v>#REF!</v>
      </c>
      <c r="IC56" s="342" t="e">
        <f>IF(#REF!="","",IF(OR(#REF!=Moutarde,#REF!=Phacélie),0,IF(#REF!=Luzerne,10*#REF!*VLOOKUP(#REF!,BDD!$HN$5:$HU$38,7,FALSE),IF(#REF!=Miscanthus,10.5*#REF!*VLOOKUP(#REF!,BDD!$HN$5:$HU$38,7,FALSE),INDEX(#REF!:#REF!,MATCH(#REF!,#REF!:#REF!,0),MATCH(#REF!,#REF!:#REF!,0))*#REF!*VLOOKUP(#REF!,BDD!$HN$5:$HU$38,7,FALSE)))))</f>
        <v>#REF!</v>
      </c>
      <c r="ID56" s="342" t="e">
        <f>IF(#REF!="","",IF(OR(#REF!=Moutarde,#REF!=Phacélie),0,IF(#REF!=Luzerne,10*#REF!*VLOOKUP(#REF!,BDD!$HN$5:$HU$38,8,FALSE),IF(#REF!=Miscanthus,10.5*#REF!*VLOOKUP(#REF!,BDD!$HN$5:$HU$38,8,FALSE),INDEX(#REF!:#REF!,MATCH(#REF!,#REF!:#REF!,0),MATCH(#REF!,#REF!:#REF!,0))*#REF!*VLOOKUP(#REF!,BDD!$HN$5:$HU$38,8,FALSE)))))</f>
        <v>#REF!</v>
      </c>
      <c r="IE56" s="342" t="e">
        <f>IF(#REF!="","",IF(OR(#REF!=Moutarde,#REF!=Phacélie),0,1.6*#REF!))</f>
        <v>#REF!</v>
      </c>
      <c r="IF56" s="342" t="e">
        <f>IF(#REF!="","",IF(OR(#REF!=Moutarde,#REF!=Phacélie),0,1.6*#REF!))</f>
        <v>#REF!</v>
      </c>
      <c r="IG56" s="342" t="e">
        <f>IF(#REF!="","",IF(OR(#REF!=Moutarde,#REF!=Phacélie),0,1.6*#REF!))</f>
        <v>#REF!</v>
      </c>
    </row>
    <row r="57" spans="1:241" ht="12.75" customHeight="1" x14ac:dyDescent="0.2">
      <c r="A57" s="373"/>
      <c r="B57" s="374"/>
      <c r="C57" s="375"/>
      <c r="N57" s="277"/>
      <c r="O57" s="280" t="s">
        <v>140</v>
      </c>
      <c r="P57" s="280"/>
      <c r="Q57" s="280"/>
      <c r="R57" s="280"/>
      <c r="S57" s="280"/>
      <c r="T57" s="280"/>
      <c r="U57" s="280"/>
      <c r="V57" s="280"/>
      <c r="W57" s="280"/>
      <c r="X57" s="280"/>
      <c r="Y57" s="280"/>
      <c r="Z57" s="280"/>
      <c r="AA57" s="280"/>
      <c r="AB57" s="280"/>
      <c r="AC57" s="280"/>
      <c r="AD57" s="280"/>
      <c r="AE57" s="280"/>
      <c r="AF57" s="280"/>
      <c r="AG57" s="280"/>
      <c r="AH57" s="280"/>
      <c r="AI57" s="280"/>
      <c r="AJ57" s="280"/>
      <c r="AK57" s="280"/>
      <c r="AL57" s="280"/>
      <c r="AM57" s="280"/>
      <c r="AN57" s="280"/>
      <c r="AO57" s="280"/>
      <c r="AP57" s="280"/>
      <c r="AQ57" s="280"/>
      <c r="AR57" s="280"/>
      <c r="AS57" s="280"/>
      <c r="AT57" s="280"/>
      <c r="AU57" s="280"/>
      <c r="AV57" s="280"/>
      <c r="AW57" s="280"/>
      <c r="AX57" s="280"/>
      <c r="AY57" s="280"/>
      <c r="BB57" s="283" t="s">
        <v>916</v>
      </c>
      <c r="BC57" s="291"/>
      <c r="BD57" s="286"/>
      <c r="BE57" s="283"/>
      <c r="BF57" s="283"/>
      <c r="BG57" s="283"/>
      <c r="BH57" s="283"/>
      <c r="BI57" s="283"/>
      <c r="BJ57" s="283"/>
      <c r="BK57" s="287"/>
      <c r="BL57" s="312"/>
      <c r="BM57" s="350" t="s">
        <v>510</v>
      </c>
      <c r="BN57" s="350">
        <f t="array" ref="BN57">IF(Ration_hivernale_complète_bisons[somme]&gt;0,0,IFERROR(IF(OR(AND(INDEX(Règles_bison[Specificite],MATCH(ChoixRationBisons&amp;$BM57,Règles_bison[Ration]&amp;Règles_bison[Aliment],0))="s1",IF($BM57=ChoixSpécificité1Bisons,1)),
INDEX(Règles_bison[Specificite],MATCH(ChoixRationBisons&amp;$BM57,Règles_bison[Ration]&amp;Règles_bison[Aliment],0))="c"),
INDEX(Règles_bison[Valeur 36 et plus],MATCH(ChoixRationBisons&amp;$BM57,Règles_bison[Ration]&amp;Règles_bison[Aliment],0)),0),0)*TotalBisonsMalesAdultes*NbreJoursNourrirBisonsDaims)</f>
        <v>0</v>
      </c>
      <c r="BO57" s="350">
        <f t="array" ref="BO57">IF(Ration_hivernale_complète_bisons[somme]&gt;0,0,IFERROR(IF(OR(AND(INDEX(Règles_bison[Specificite],MATCH(ChoixRationBisons&amp;$BM57,Règles_bison[Ration]&amp;Règles_bison[Aliment],0))="s1",IF($BM57=ChoixSpécificité1Bisons,1)),
INDEX(Règles_bison[Specificite],MATCH(ChoixRationBisons&amp;$BM57,Règles_bison[Ration]&amp;Règles_bison[Aliment],0))="c"),
INDEX(Règles_bison[Valeur 24-36],MATCH(ChoixRationBisons&amp;$BM57,Règles_bison[Ration]&amp;Règles_bison[Aliment],0)),0),0)*TotalBisonsMales_24_36_mois*NbreJoursNourrirBisonsDaims)</f>
        <v>0</v>
      </c>
      <c r="BP57" s="350">
        <f t="array" ref="BP57">IF(Ration_hivernale_complète_bisons[somme]&gt;0,0,IFERROR(IF(OR(AND(INDEX(Règles_bison[Specificite],MATCH(ChoixRationBisons&amp;$BM57,Règles_bison[Ration]&amp;Règles_bison[Aliment],0))="s1",IF($BM57=ChoixSpécificité1Bisons,1)),
INDEX(Règles_bison[Specificite],MATCH(ChoixRationBisons&amp;$BM57,Règles_bison[Ration]&amp;Règles_bison[Aliment],0))="c"),
INDEX(Règles_bison[Valeur 18-24],MATCH(ChoixRationBisons&amp;$BM57,Règles_bison[Ration]&amp;Règles_bison[Aliment],0)),0),0)*TotalBisonsMales_18_24_mois*NbreJoursNourrirBisonsDaims)</f>
        <v>0</v>
      </c>
      <c r="BQ57" s="350">
        <f t="array" ref="BQ57">IF(Ration_hivernale_complète_bisons[somme]&gt;0,0,IFERROR(IF(OR(AND(INDEX(Règles_bison[Specificite],MATCH(ChoixRationBisons&amp;$BM57,Règles_bison[Ration]&amp;Règles_bison[Aliment],0))="s1",IF($BM57=ChoixSpécificité1Bisons,1)),
INDEX(Règles_bison[Specificite],MATCH(ChoixRationBisons&amp;$BM57,Règles_bison[Ration]&amp;Règles_bison[Aliment],0))="c"),
INDEX(Règles_bison[Valeur 12-18],MATCH(ChoixRationBisons&amp;$BM57,Règles_bison[Ration]&amp;Règles_bison[Aliment],0)),0),0)*TotalBisonsMales_12_18_mois*NbreJoursNourrirBisonsDaims)</f>
        <v>0</v>
      </c>
      <c r="BR57" s="350">
        <f t="array" ref="BR57">IF(Ration_hivernale_complète_bisons[somme]&gt;0,0,IFERROR(IF(OR(AND(INDEX(Règles_bison[Specificite],MATCH(ChoixRationBisons&amp;$BM57,Règles_bison[Ration]&amp;Règles_bison[Aliment],0))="s1",IF($BM57=ChoixSpécificité1Bisons,1)),
INDEX(Règles_bison[Specificite],MATCH(ChoixRationBisons&amp;$BM57,Règles_bison[Ration]&amp;Règles_bison[Aliment],0))="c"),
INDEX(Règles_bison[Valeur 6-12],MATCH(ChoixRationBisons&amp;$BM57,Règles_bison[Ration]&amp;Règles_bison[Aliment],0)),0),0)*TotalBisonsMales_6_12_mois*NbreJoursNourrirBisonsDaims)</f>
        <v>0</v>
      </c>
      <c r="BS57" s="350">
        <f t="array" ref="BS57">IF(Ration_hivernale_complète_bisons[somme]&gt;0,0,IFERROR(IF(OR(AND(INDEX(Règles_bison[Specificite],MATCH(ChoixRationBisons&amp;$BM57,Règles_bison[Ration]&amp;Règles_bison[Aliment],0))="s1",IF($BM57=ChoixSpécificité1Bisons,1)),
INDEX(Règles_bison[Specificite],MATCH(ChoixRationBisons&amp;$BM57,Règles_bison[Ration]&amp;Règles_bison[Aliment],0))="c"),
INDEX(Règles_bison[Valeur 3-6],MATCH(ChoixRationBisons&amp;$BM57,Règles_bison[Ration]&amp;Règles_bison[Aliment],0)),0),0)*TotalBisonsMales_3_6_mois*NbreJoursNourrirBisonsDaims)</f>
        <v>0</v>
      </c>
      <c r="BT57" s="350">
        <f t="array" ref="BT57">IF(Ration_hivernale_complète_bisons[somme]&gt;0,0,IFERROR(IF(OR(AND(INDEX(Règles_bison[Specificite],MATCH(ChoixRationBisons&amp;$BM57,Règles_bison[Ration]&amp;Règles_bison[Aliment],0))="s1",IF($BM57=ChoixSpécificité1Bisons,1)),
INDEX(Règles_bison[Specificite],MATCH(ChoixRationBisons&amp;$BM57,Règles_bison[Ration]&amp;Règles_bison[Aliment],0))="c"),
INDEX(Règles_bison[Valeur 0-3],MATCH(ChoixRationBisons&amp;$BM57,Règles_bison[Ration]&amp;Règles_bison[Aliment],0)),0),0)*TotalBisonsMales_0_3_mois*NbreJoursNourrirBisonsDaims)</f>
        <v>0</v>
      </c>
      <c r="BU57" s="350">
        <f t="shared" si="10"/>
        <v>0</v>
      </c>
      <c r="BX57" s="373" t="s">
        <v>548</v>
      </c>
      <c r="BY57" s="280" t="s">
        <v>508</v>
      </c>
      <c r="BZ57" s="280" t="s">
        <v>911</v>
      </c>
      <c r="CA57" s="280">
        <v>19</v>
      </c>
      <c r="CB57" s="280">
        <v>14</v>
      </c>
      <c r="CC57" s="280">
        <v>10</v>
      </c>
      <c r="CD57" s="410">
        <v>3</v>
      </c>
      <c r="CE57" s="304"/>
      <c r="CF57" s="304"/>
      <c r="CG57" s="304"/>
      <c r="CH57" s="304"/>
      <c r="CJ57" s="420" t="s">
        <v>1166</v>
      </c>
      <c r="CK57" s="384">
        <f t="array" ref="CK5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57" s="384">
        <f t="array" ref="CL5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57" s="384">
        <f t="array" ref="CM5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57" s="384">
        <f t="array" ref="CN5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57" s="384">
        <f t="array" ref="CO5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57" s="426">
        <f>SUM(AlimentsRationPorcinsMâles[[#This Row],[Valeur 12 et plus]:[Valeur 0-1]])</f>
        <v>0</v>
      </c>
      <c r="CS57" s="420" t="s">
        <v>490</v>
      </c>
      <c r="CT57" s="433">
        <f t="array" ref="CT57">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57" s="433">
        <f t="array" ref="CU57">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57" s="433">
        <f t="array" ref="CV57">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57" s="434">
        <f>SUM(AlimentsRationLapinsMâles[[#This Row],[Valeur 3 et plus]:[Valeur 0-1]])</f>
        <v>0</v>
      </c>
      <c r="CZ57" s="420" t="s">
        <v>490</v>
      </c>
      <c r="DA57" s="433">
        <f t="array" ref="DA5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57" s="433">
        <f t="array" ref="DB5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57" s="433">
        <f t="array" ref="DC5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57" s="434">
        <f>SUM(AlimentsRationVolaillesMâles[[#This Row],[Valeur 6 et plus]:[Valeur 0-1]])</f>
        <v>0</v>
      </c>
      <c r="DE57" s="316"/>
      <c r="DF57" s="277"/>
      <c r="DG57" s="420" t="s">
        <v>1165</v>
      </c>
      <c r="DH57" s="433">
        <f t="array" ref="DH5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57" s="433">
        <f t="array" ref="DI5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57" s="433">
        <f t="array" ref="DJ5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57" s="434">
        <f>SUM(AlimentsRationPintadesMâles[[#This Row],[Valeur 9 et plus]:[Valeur 0-1]])</f>
        <v>0</v>
      </c>
      <c r="DL57" s="316"/>
      <c r="DM57" s="316"/>
      <c r="DN57" s="280" t="s">
        <v>796</v>
      </c>
      <c r="DO57" s="280">
        <v>880</v>
      </c>
      <c r="DQ57" s="280" t="s">
        <v>796</v>
      </c>
      <c r="DR57" s="280">
        <v>1068</v>
      </c>
      <c r="DV57" s="350" t="s">
        <v>508</v>
      </c>
      <c r="DW57" s="351">
        <f t="array" ref="DW57">IF(ChoixRationComplèteDaims=OUI,0,IFERROR(IF(OR(AND(INDEX(Règles_daims[Specificite],MATCH(ChoixRationDaims&amp;DV57,Règles_daims[Ration]&amp;Règles_daims[Aliment],0))="s1",IF(DV57=Spécificité1Daims,1)),
AND(INDEX(Règles_daims[Specificite],MATCH(ChoixRationDaims&amp;DV57,Règles_daims[Ration]&amp;Règles_daims[Aliment],0))="s2",IF(DV57=Spécificité2Daims,1)),
INDEX(Règles_daims[Specificite],MATCH(ChoixRationDaims&amp;DV57,Règles_daims[Ration]&amp;Règles_daims[Aliment],0))="c"),
INDEX(Règles_daims[Valeur 36 et plus],MATCH(ChoixRationDaims&amp;DV57,Règles_daims[Ration]&amp;Règles_daims[Aliment],0)),0),0)*SUM(TotalDaimsAdultes)*NbreJoursNourrirBisonsDaims)</f>
        <v>0</v>
      </c>
      <c r="DX57" s="351">
        <f t="array" ref="DX57">IF(ChoixRationComplèteDaims=OUI,0,IFERROR(IF(OR(AND(INDEX(Règles_daims[Specificite],MATCH(ChoixRationDaims&amp;DV57,Règles_daims[Ration]&amp;Règles_daims[Aliment],0))="s1",IF(DV57=Spécificité1Daims,1)),
AND(INDEX(Règles_daims[Specificite],MATCH(ChoixRationDaims&amp;DV57,Règles_daims[Ration]&amp;Règles_daims[Aliment],0))="s2",IF(DV57=Spécificité2Daims,1)),
INDEX(Règles_daims[Specificite],MATCH(ChoixRationDaims&amp;DV57,Règles_daims[Ration]&amp;Règles_daims[Aliment],0))="c"),
INDEX(Règles_daims[Valeur 24-36],MATCH(ChoixRationDaims&amp;DV57,Règles_daims[Ration]&amp;Règles_daims[Aliment],0)),0),0)*SUM(TotalDaims24_36)*NbreJoursNourrirBisonsDaims)</f>
        <v>0</v>
      </c>
      <c r="DY57" s="351">
        <f t="array" ref="DY57">IF(ChoixRationComplèteDaims=OUI,0,IFERROR(IF(OR(AND(INDEX(Règles_daims[Specificite],MATCH(ChoixRationDaims&amp;DV57,Règles_daims[Ration]&amp;Règles_daims[Aliment],0))="s1",IF(DV57=Spécificité1Daims,1)),
AND(INDEX(Règles_daims[Specificite],MATCH(ChoixRationDaims&amp;DV57,Règles_daims[Ration]&amp;Règles_daims[Aliment],0))="s2",IF(DV57=Spécificité2Daims,1)),
INDEX(Règles_daims[Specificite],MATCH(ChoixRationDaims&amp;DV57,Règles_daims[Ration]&amp;Règles_daims[Aliment],0))="c"),
INDEX(Règles_daims[Valeur 18-24],MATCH(ChoixRationDaims&amp;DV57,Règles_daims[Ration]&amp;Règles_daims[Aliment],0)),0),0)*SUM(TotalDaims18_24)*NbreJoursNourrirBisonsDaims)</f>
        <v>0</v>
      </c>
      <c r="DZ57" s="441">
        <f t="array" ref="DZ57">IF(ChoixRationComplèteDaims=OUI,0,IFERROR(IF(OR(AND(INDEX(Règles_daims[Specificite],MATCH(ChoixRationDaims&amp;DV57,Règles_daims[Ration]&amp;Règles_daims[Aliment],0))="s1",IF(DV57=Spécificité1Daims,1)),
AND(INDEX(Règles_daims[Specificite],MATCH(ChoixRationDaims&amp;DV57,Règles_daims[Ration]&amp;Règles_daims[Aliment],0))="s2",IF(DV57=Spécificité2Daims,1)),
INDEX(Règles_daims[Specificite],MATCH(ChoixRationDaims&amp;DV57,Règles_daims[Ration]&amp;Règles_daims[Aliment],0))="c"),
INDEX(Règles_daims[Valeur 12-18],MATCH(ChoixRationDaims&amp;DV57,Règles_daims[Ration]&amp;Règles_daims[Aliment],0)),0),0)*SUM(TotalDaims12_18)*NbreJoursNourrirBisonsDaims)</f>
        <v>0</v>
      </c>
      <c r="EA57" s="441">
        <f t="array" ref="EA57">IF(ChoixRationComplèteDaims=OUI,0,IFERROR(IF(OR(AND(INDEX(Règles_daims[Specificite],MATCH(ChoixRationDaims&amp;DV57,Règles_daims[Ration]&amp;Règles_daims[Aliment],0))="s1",IF(DV57=Spécificité1Daims,1)),
AND(INDEX(Règles_daims[Specificite],MATCH(ChoixRationDaims&amp;DV57,Règles_daims[Ration]&amp;Règles_daims[Aliment],0))="s2",IF(DV57=Spécificité2Daims,1)),
INDEX(Règles_daims[Specificite],MATCH(ChoixRationDaims&amp;DV57,Règles_daims[Ration]&amp;Règles_daims[Aliment],0))="c"),
INDEX(Règles_daims[Valeur 6-12],MATCH(ChoixRationDaims&amp;DV57,Règles_daims[Ration]&amp;Règles_daims[Aliment],0)),0),0)*SUM(TotalDaims6_12)*NbreJoursNourrirBisonsDaims)</f>
        <v>0</v>
      </c>
      <c r="EB57" s="441">
        <f t="array" ref="EB57">IF(ChoixRationComplèteDaims=OUI,0,IFERROR(IF(OR(AND(INDEX(Règles_daims[Specificite],MATCH(ChoixRationDaims&amp;DV57,Règles_daims[Ration]&amp;Règles_daims[Aliment],0))="s1",IF(DV57=Spécificité1Daims,1)),
AND(INDEX(Règles_daims[Specificite],MATCH(ChoixRationDaims&amp;DV57,Règles_daims[Ration]&amp;Règles_daims[Aliment],0))="s2",IF(DV57=Spécificité2Daims,1)),
INDEX(Règles_daims[Specificite],MATCH(ChoixRationDaims&amp;DV57,Règles_daims[Ration]&amp;Règles_daims[Aliment],0))="c"),
INDEX(Règles_daims[Valeur 3-6],MATCH(ChoixRationDaims&amp;DV57,Règles_daims[Ration]&amp;Règles_daims[Aliment],0)),0),0)*SUM(TotalDaims3_6)*NbreJoursNourrirBisonsDaims)</f>
        <v>0</v>
      </c>
      <c r="EC57" s="441">
        <f t="array" ref="EC57">IF(ChoixRationComplèteDaims=OUI,0,IFERROR(IF(OR(AND(INDEX(Règles_daims[Specificite],MATCH(ChoixRationDaims&amp;DV57,Règles_daims[Ration]&amp;Règles_daims[Aliment],0))="s1",IF(DV57=Spécificité1Daims,1)),
AND(INDEX(Règles_daims[Specificite],MATCH(ChoixRationDaims&amp;DV57,Règles_daims[Ration]&amp;Règles_daims[Aliment],0))="s2",IF(DV57=Spécificité2Daims,1)),
INDEX(Règles_daims[Specificite],MATCH(ChoixRationDaims&amp;DV57,Règles_daims[Ration]&amp;Règles_daims[Aliment],0))="c"),
INDEX(Règles_daims[Valeur 0-3],MATCH(ChoixRationDaims&amp;DV57,Règles_daims[Ration]&amp;Règles_daims[Aliment],0)),0),0)*SUM(TotalDaims0_3)*NbreJoursNourrirBisonsDaims)</f>
        <v>0</v>
      </c>
      <c r="ED57" s="441">
        <f t="shared" si="9"/>
        <v>0</v>
      </c>
      <c r="EG57" s="420" t="s">
        <v>904</v>
      </c>
      <c r="EH57" s="433">
        <f t="array" ref="EH5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57" s="433">
        <f t="array" ref="EI5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57" s="433">
        <f t="array" ref="EJ5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57" s="434">
        <f>SUM(AlimentsRationOiesMâles[[#This Row],[Valeur 6 et plus]:[Valeur 0-3]])</f>
        <v>0</v>
      </c>
      <c r="EL57" s="316"/>
      <c r="EN57" s="420" t="s">
        <v>500</v>
      </c>
      <c r="EO57" s="433">
        <f t="array" ref="EO57">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57" s="433">
        <f t="array" ref="EP57">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57" s="433">
        <f t="array" ref="EQ57">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57" s="434">
        <f>SUM(Ration_canards_Mâles[[#This Row],[Valeur 6 et plus]:[Valeur 0-3]])</f>
        <v>0</v>
      </c>
      <c r="ES57" s="316"/>
      <c r="ET57" s="282"/>
      <c r="EZ57" s="276"/>
      <c r="FA57" s="298"/>
      <c r="FB57" s="298"/>
      <c r="FD57" s="457" t="s">
        <v>515</v>
      </c>
      <c r="FE57" s="458">
        <f t="array" ref="FE57">IF(OR(ChoixRationComplèteEtéChevauxTrait=OUI,ChoixRationComplèteEtéChevauxTrait="",AND(ChoixChevauxTraitPréHiver=OUI,ChoixChevauxTraitPréEté=OUI)),0,IFERROR(IF(OR(AND(INDEX(Règles_chevaux_trait[Specificite],MATCH(RationEtéChevauxTrait&amp;$FD57,Règles_chevaux_trait[Ration]&amp;Règles_chevaux_trait[Aliment],0))="s1",IF($FD57=Spécificité1ChevauxTrait,1)),
AND(INDEX(Règles_chevaux_trait[Specificite],MATCH(RationEtéChevauxTrait&amp;$FD57,Règles_chevaux_trait[Ration]&amp;Règles_chevaux_trait[Aliment],0))="s2",IF($FD57=Spécificité2ChevauxTrait,1)),
INDEX(Règles_chevaux_trait[Specificite],MATCH(RationEtéChevauxTrait&amp;$FD57,Règles_chevaux_trait[Ration]&amp;Règles_chevaux_trait[Aliment],0))="c"),
INDEX(Règles_chevaux_trait[Valeur 36 et plus],MATCH(RationEtéChevauxTrait&amp;$FD57,Règles_chevaux_trait[Ration]&amp;Règles_chevaux_trait[Aliment],0)),0),0)*TotalEtalonTrait*NbreJoursNourrirChevauxTrait)</f>
        <v>0</v>
      </c>
      <c r="FF57" s="458">
        <f t="array" ref="FF57">IF(OR(ChoixRationComplèteEtéChevauxTrait=OUI,ChoixRationComplèteEtéChevauxTrait="",AND(ChoixChevauxTraitPréHiver=OUI,ChoixChevauxTraitPréEté=OUI)),0,IFERROR(IF(OR(AND(INDEX(Règles_chevaux_trait[Specificite],MATCH(RationEtéChevauxTrait&amp;$FD57,Règles_chevaux_trait[Ration]&amp;Règles_chevaux_trait[Aliment],0))="s1",IF($FD57=Spécificité1ChevauxTrait,1)),
AND(INDEX(Règles_chevaux_trait[Specificite],MATCH(RationEtéChevauxTrait&amp;$FD57,Règles_chevaux_trait[Ration]&amp;Règles_chevaux_trait[Aliment],0))="s2",IF($FD57=Spécificité2ChevauxTrait,1)),
INDEX(Règles_chevaux_trait[Specificite],MATCH(RationEtéChevauxTrait&amp;$FD57,Règles_chevaux_trait[Ration]&amp;Règles_chevaux_trait[Aliment],0))="c"),
INDEX(Règles_chevaux_trait[Valeur 24-36],MATCH(RationEtéChevauxTrait&amp;$FD57,Règles_chevaux_trait[Ration]&amp;Règles_chevaux_trait[Aliment],0)),0),0)*TotalJeuneEtalonTrait_24_36_mois*NbreJoursNourrirChevauxTrait)</f>
        <v>0</v>
      </c>
      <c r="FG57" s="458">
        <f t="array" ref="FG57">IF(OR(ChoixRationComplèteEtéChevauxTrait=OUI,ChoixRationComplèteEtéChevauxTrait="",AND(ChoixChevauxTraitPréHiver=OUI,ChoixChevauxTraitPréEté=OUI)),0,IFERROR(IF(OR(AND(INDEX(Règles_chevaux_trait[Specificite],MATCH(RationEtéChevauxTrait&amp;$FD57,Règles_chevaux_trait[Ration]&amp;Règles_chevaux_trait[Aliment],0))="s1",IF($FD57=Spécificité1ChevauxTrait,1)),
AND(INDEX(Règles_chevaux_trait[Specificite],MATCH(RationEtéChevauxTrait&amp;$FD57,Règles_chevaux_trait[Ration]&amp;Règles_chevaux_trait[Aliment],0))="s2",IF($FD57=Spécificité2ChevauxTrait,1)),
INDEX(Règles_chevaux_trait[Specificite],MATCH(RationEtéChevauxTrait&amp;$FD57,Règles_chevaux_trait[Ration]&amp;Règles_chevaux_trait[Aliment],0))="c"),
INDEX(Règles_chevaux_trait[Valeur 12-24],MATCH(RationEtéChevauxTrait&amp;$FD57,Règles_chevaux_trait[Ration]&amp;Règles_chevaux_trait[Aliment],0)),0),0)*TotalJeuneEtalonTrait_12_24_mois*NbreJoursNourrirChevauxTrait)</f>
        <v>0</v>
      </c>
      <c r="FH57" s="460">
        <f t="array" ref="FH57">IF(OR(ChoixRationComplèteEtéChevauxTrait=OUI,ChoixRationComplèteEtéChevauxTrait="",AND(ChoixChevauxTraitPréHiver=OUI,ChoixChevauxTraitPréEté=OUI)),0,IFERROR(IF(OR(AND(INDEX(Règles_chevaux_trait[Specificite],MATCH(RationEtéChevauxTrait&amp;$FD57,Règles_chevaux_trait[Ration]&amp;Règles_chevaux_trait[Aliment],0))="s1",IF($FD57=Spécificité1ChevauxTrait,1)),
AND(INDEX(Règles_chevaux_trait[Specificite],MATCH(RationEtéChevauxTrait&amp;$FD57,Règles_chevaux_trait[Ration]&amp;Règles_chevaux_trait[Aliment],0))="s2",IF($FD57=Spécificité2ChevauxTrait,1)),
INDEX(Règles_chevaux_trait[Specificite],MATCH(RationEtéChevauxTrait&amp;$FD57,Règles_chevaux_trait[Ration]&amp;Règles_chevaux_trait[Aliment],0))="c"),
INDEX(Règles_chevaux_trait[Valeur 0-12],MATCH(RationEtéChevauxTrait&amp;$FD57,Règles_chevaux_trait[Ration]&amp;Règles_chevaux_trait[Aliment],0)),0),0)*TotalPoulainTrait_0_12_mois*NbreJoursNourrirChevauxTrait)</f>
        <v>0</v>
      </c>
      <c r="FI57" s="460">
        <f t="shared" si="15"/>
        <v>0</v>
      </c>
      <c r="FJ57" s="298"/>
      <c r="FK57" s="298"/>
      <c r="FL57" s="298"/>
      <c r="FN57" s="457" t="s">
        <v>904</v>
      </c>
      <c r="FO57" s="458">
        <f t="array" ref="FO57">IF(OR(ChoixRationComplèteEtéPoneys=OUI,ChoixRationComplèteEtéPoneys="",AND(ChoixPoneysPréHiver=OUI,ChoixPoneysPréEté=OUI)),0,IFERROR(IF(OR(AND(INDEX(Règles_poneys[Specificite],MATCH(RationEtéPoneys&amp;$FN57,Règles_poneys[Ration]&amp;Règles_poneys[Aliment],0))="s1",IF($FN57=Spécificité1Poneys,1)),
AND(INDEX(Règles_poneys[Specificite],MATCH(RationEtéPoneys&amp;$FN57,Règles_poneys[Ration]&amp;Règles_poneys[Aliment],0))="s2",IF($FN57=Spécificité2Poneys,1)),
INDEX(Règles_poneys[Specificite],MATCH(RationEtéPoneys&amp;$FN57,Règles_poneys[Ration]&amp;Règles_poneys[Aliment],0))="c"),
INDEX(Règles_poneys[Valeur 36 et plus],MATCH(RationEtéPoneys&amp;$FN57,Règles_poneys[Ration]&amp;Règles_poneys[Aliment],0)),0),0)*TotalEtalonPoney*NbreJoursNourrirPoneys)</f>
        <v>0</v>
      </c>
      <c r="FP57" s="458">
        <f t="array" ref="FP57">IF(OR(ChoixRationComplèteEtéPoneys=OUI,ChoixRationComplèteEtéPoneys="",AND(ChoixPoneysPréHiver=OUI,ChoixPoneysPréEté=OUI)),0,IFERROR(IF(OR(AND(INDEX(Règles_poneys[Specificite],MATCH(RationEtéPoneys&amp;$FN57,Règles_poneys[Ration]&amp;Règles_poneys[Aliment],0))="s1",IF($FN57=Spécificité1Poneys,1)),
AND(INDEX(Règles_poneys[Specificite],MATCH(RationEtéPoneys&amp;$FN57,Règles_poneys[Ration]&amp;Règles_poneys[Aliment],0))="s2",IF($FN57=Spécificité2Poneys,1)),
INDEX(Règles_poneys[Specificite],MATCH(RationEtéPoneys&amp;$FN57,Règles_poneys[Ration]&amp;Règles_poneys[Aliment],0))="c"),
INDEX(Règles_poneys[Valeur 36 et plus],MATCH(RationEtéPoneys&amp;$FN57,Règles_poneys[Ration]&amp;Règles_poneys[Aliment],0)),0),0)*TotalJeuneEtalonPoney_24_36_mois*NbreJoursNourrirPoneys)</f>
        <v>0</v>
      </c>
      <c r="FQ57" s="458">
        <f t="array" ref="FQ57">IF(OR(ChoixRationComplèteEtéPoneys=OUI,ChoixRationComplèteEtéPoneys="",AND(ChoixPoneysPréHiver=OUI,ChoixPoneysPréEté=OUI)),0,IFERROR(IF(OR(AND(INDEX(Règles_poneys[Specificite],MATCH(RationEtéPoneys&amp;$FN57,Règles_poneys[Ration]&amp;Règles_poneys[Aliment],0))="s1",IF($FN57=Spécificité1Poneys,1)),
AND(INDEX(Règles_poneys[Specificite],MATCH(RationEtéPoneys&amp;$FN57,Règles_poneys[Ration]&amp;Règles_poneys[Aliment],0))="s2",IF($FN57=Spécificité2Poneys,1)),
INDEX(Règles_poneys[Specificite],MATCH(RationEtéPoneys&amp;$FN57,Règles_poneys[Ration]&amp;Règles_poneys[Aliment],0))="c"),
INDEX(Règles_poneys[Valeur 36 et plus],MATCH(RationEtéPoneys&amp;$FN57,Règles_poneys[Ration]&amp;Règles_poneys[Aliment],0)),0),0)*TotalJeuneEtalonPoney_12_24_mois*NbreJoursNourrirPoneys)</f>
        <v>0</v>
      </c>
      <c r="FR57" s="460">
        <f t="array" ref="FR57">IF(OR(ChoixRationComplèteEtéPoneys=OUI,ChoixRationComplèteEtéPoneys="",AND(ChoixPoneysPréHiver=OUI,ChoixPoneysPréEté=OUI)),0,IFERROR(IF(OR(AND(INDEX(Règles_poneys[Specificite],MATCH(RationEtéPoneys&amp;$FN57,Règles_poneys[Ration]&amp;Règles_poneys[Aliment],0))="s1",IF($FN57=Spécificité1Poneys,1)),
AND(INDEX(Règles_poneys[Specificite],MATCH(RationEtéPoneys&amp;$FN57,Règles_poneys[Ration]&amp;Règles_poneys[Aliment],0))="s2",IF($FN57=Spécificité2Poneys,1)),
INDEX(Règles_poneys[Specificite],MATCH(RationEtéPoneys&amp;$FN57,Règles_poneys[Ration]&amp;Règles_poneys[Aliment],0))="c"),
INDEX(Règles_poneys[Valeur 36 et plus],MATCH(RationEtéPoneys&amp;$FN57,Règles_poneys[Ration]&amp;Règles_poneys[Aliment],0)),0),0)*TotalPoulainPoney_0_12_mois*NbreJoursNourrirPoneys)</f>
        <v>0</v>
      </c>
      <c r="FS57" s="460">
        <f t="shared" si="14"/>
        <v>0</v>
      </c>
      <c r="FT57" s="298"/>
      <c r="FU57" s="298"/>
      <c r="FV57" s="298"/>
      <c r="FW57" s="443" t="s">
        <v>168</v>
      </c>
      <c r="FX57" s="450">
        <f t="array" ref="FX57">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57" s="450">
        <f t="array" ref="FY57">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57" s="450">
        <f t="array" ref="FZ57">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57" s="450">
        <f t="array" ref="GA57">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57" s="451">
        <f>SUM(AlimentsGavageOies[[#This Row],[Valeur 6 et plus]:[Valeur 0-1]])</f>
        <v>0</v>
      </c>
      <c r="GC57" s="316"/>
      <c r="GE57" s="280" t="s">
        <v>11</v>
      </c>
      <c r="GF57" s="283"/>
      <c r="GG57" s="283" t="s">
        <v>955</v>
      </c>
      <c r="GH57" s="283" t="s">
        <v>955</v>
      </c>
      <c r="GI57" s="283" t="s">
        <v>955</v>
      </c>
      <c r="GJ57" s="283" t="s">
        <v>955</v>
      </c>
      <c r="GK57" s="283" t="s">
        <v>955</v>
      </c>
      <c r="GL57" s="283" t="s">
        <v>955</v>
      </c>
      <c r="GM57" s="283" t="s">
        <v>955</v>
      </c>
      <c r="GN57" s="283" t="s">
        <v>955</v>
      </c>
      <c r="GO57" s="283" t="s">
        <v>955</v>
      </c>
      <c r="GP57" s="283" t="s">
        <v>955</v>
      </c>
      <c r="GQ57" s="283" t="s">
        <v>955</v>
      </c>
      <c r="GR57" s="283" t="s">
        <v>955</v>
      </c>
      <c r="GS57" s="283" t="s">
        <v>955</v>
      </c>
      <c r="GT57" s="283" t="s">
        <v>955</v>
      </c>
      <c r="GU57" s="283" t="s">
        <v>955</v>
      </c>
      <c r="GV57" s="283" t="s">
        <v>955</v>
      </c>
      <c r="GY57" s="444" t="str">
        <f t="shared" si="11"/>
        <v>semences de coton</v>
      </c>
      <c r="GZ57" s="444"/>
      <c r="HA57" s="342"/>
      <c r="HB57" s="342" t="e">
        <f>IF(COUNTIF(TypeArticleDansEntrepôt,GY57)=0,0,SUMIF(TypeArticleDansEntrepôt,GY57,QtéArticleDansEntrepôt)*VLOOKUP(GY57,#REF!,2,FALSE))</f>
        <v>#REF!</v>
      </c>
      <c r="HN57" s="342" t="e">
        <f>IF(#REF!="","",(VLOOKUP(#REF!,BDD!$HN$5:$HU$38,2,FALSE))*#REF!)</f>
        <v>#REF!</v>
      </c>
      <c r="HO57" s="342" t="e">
        <f>IF(#REF!="","",IF(OR(#REF!=Moutarde,#REF!=Phacélie),0,IF(#REF!=Luzerne,10*#REF!*VLOOKUP(#REF!,BDD!$HN$5:$HU$38,3,FALSE),IF(#REF!=Miscanthus,10.5*#REF!*VLOOKUP(#REF!,BDD!$HN$5:$HU$38,3,FALSE),INDEX(#REF!:#REF!,MATCH(#REF!,#REF!:#REF!,0),MATCH(#REF!,#REF!:#REF!,0))*#REF!*VLOOKUP(#REF!,BDD!$HN$5:$HU$38,3,FALSE)))))</f>
        <v>#REF!</v>
      </c>
      <c r="HP57" s="342" t="e">
        <f>IF(#REF!="","",IF(OR(#REF!=Moutarde,#REF!=Phacélie),0,IF(#REF!=Luzerne,10*#REF!*VLOOKUP(#REF!,BDD!$HN$5:$HU$38,4,FALSE),IF(#REF!=Miscanthus,10.5*#REF!*VLOOKUP(#REF!,BDD!$HN$5:$HU$38,4,FALSE),INDEX(#REF!:#REF!,MATCH(#REF!,#REF!:#REF!,0),MATCH(#REF!,#REF!:#REF!,0))*#REF!*VLOOKUP(#REF!,BDD!$HN$5:$HU$38,4,FALSE)))))</f>
        <v>#REF!</v>
      </c>
      <c r="HQ57" s="342" t="e">
        <f>IF(#REF!="","",IF(OR(#REF!=Moutarde,#REF!=Phacélie),0,IF(#REF!=Luzerne,10*#REF!*VLOOKUP(#REF!,BDD!$HN$5:$HU$38,5,FALSE),IF(#REF!=Miscanthus,10.5*#REF!*VLOOKUP(#REF!,BDD!$HN$5:$HU$38,5,FALSE),INDEX(#REF!:#REF!,MATCH(#REF!,#REF!:#REF!,0),MATCH(#REF!,#REF!:#REF!,0))*#REF!*VLOOKUP(#REF!,BDD!$HN$5:$HU$38,5,FALSE)))))</f>
        <v>#REF!</v>
      </c>
      <c r="HR57" s="342" t="e">
        <f>IF(#REF!="","",IF(OR(#REF!=Moutarde,#REF!=Phacélie),0,IF(#REF!=Luzerne,10*#REF!*VLOOKUP(#REF!,BDD!$HN$5:$HU$38,6,FALSE),IF(#REF!=Miscanthus,10.5*#REF!*VLOOKUP(#REF!,BDD!$HN$5:$HU$38,6,FALSE),INDEX(#REF!:#REF!,MATCH(#REF!,#REF!:#REF!,0),MATCH(#REF!,#REF!:#REF!,0))*#REF!*VLOOKUP(#REF!,BDD!$HN$5:$HU$38,6,FALSE)))))</f>
        <v>#REF!</v>
      </c>
      <c r="HS57" s="342" t="e">
        <f>IF(#REF!="","",IF(OR(#REF!=Moutarde,#REF!=Phacélie),0,IF(#REF!=Luzerne,10*#REF!*VLOOKUP(#REF!,BDD!$HN$5:$HU$38,7,FALSE),IF(#REF!=Miscanthus,10.5*#REF!*VLOOKUP(#REF!,BDD!$HN$5:$HU$38,7,FALSE),INDEX(#REF!:#REF!,MATCH(#REF!,#REF!:#REF!,0),MATCH(#REF!,#REF!:#REF!,0))*#REF!*VLOOKUP(#REF!,BDD!$HN$5:$HU$38,7,FALSE)))))</f>
        <v>#REF!</v>
      </c>
      <c r="HT57" s="342" t="e">
        <f>IF(#REF!="","",IF(OR(#REF!=Moutarde,#REF!=Phacélie),0,IF(#REF!=Luzerne,10*#REF!*VLOOKUP(#REF!,BDD!$HN$5:$HU$38,8,FALSE),IF(#REF!=Miscanthus,10.5*#REF!*VLOOKUP(#REF!,BDD!$HN$5:$HU$38,8,FALSE),INDEX(#REF!:#REF!,MATCH(#REF!,#REF!:#REF!,0),MATCH(#REF!,#REF!:#REF!,0))*#REF!*VLOOKUP(#REF!,BDD!$HN$5:$HU$38,8,FALSE)))))</f>
        <v>#REF!</v>
      </c>
      <c r="HU57" s="342" t="e">
        <f>IF(#REF!="","",IF(OR(#REF!=Moutarde,#REF!=Phacélie),0,1.6*#REF!))</f>
        <v>#REF!</v>
      </c>
      <c r="HV57" s="342" t="e">
        <f>IF(#REF!="","",IF(OR(#REF!=Moutarde,#REF!=Phacélie),0,1.6*#REF!))</f>
        <v>#REF!</v>
      </c>
      <c r="HW57" s="342" t="e">
        <f>IF(#REF!="","",IF(OR(#REF!=Moutarde,#REF!=Phacélie),0,1.6*#REF!))</f>
        <v>#REF!</v>
      </c>
      <c r="HX57" s="342" t="e">
        <f>IF(#REF!="","",(VLOOKUP(#REF!,BDD!$HN$5:$HU$38,2,FALSE))*#REF!)</f>
        <v>#REF!</v>
      </c>
      <c r="HY57" s="342" t="e">
        <f>IF(#REF!="","",IF(OR(#REF!=Moutarde,#REF!=Phacélie),0,IF(#REF!=Luzerne,10*#REF!*VLOOKUP(#REF!,BDD!$HN$5:$HU$38,3,FALSE),IF(#REF!=Miscanthus,10.5*#REF!*VLOOKUP(#REF!,BDD!$HN$5:$HU$38,3,FALSE),INDEX(#REF!:#REF!,MATCH(#REF!,#REF!:#REF!,0),MATCH(#REF!,#REF!:#REF!,0))*#REF!*VLOOKUP(#REF!,BDD!$HN$5:$HU$38,3,FALSE)))))</f>
        <v>#REF!</v>
      </c>
      <c r="HZ57" s="342" t="e">
        <f>IF(#REF!="","",IF(OR(#REF!=Moutarde,#REF!=Phacélie),0,IF(#REF!=Luzerne,10*#REF!*VLOOKUP(#REF!,BDD!$HN$5:$HU$38,4,FALSE),IF(#REF!=Miscanthus,10.5*#REF!*VLOOKUP(#REF!,BDD!$HN$5:$HU$38,4,FALSE),INDEX(#REF!:#REF!,MATCH(#REF!,#REF!:#REF!,0),MATCH(#REF!,#REF!:#REF!,0))*#REF!*VLOOKUP(#REF!,BDD!$HN$5:$HU$38,4,FALSE)))))</f>
        <v>#REF!</v>
      </c>
      <c r="IA57" s="342" t="e">
        <f>IF(#REF!="","",IF(OR(#REF!=Moutarde,#REF!=Phacélie),0,IF(#REF!=Luzerne,10*#REF!*VLOOKUP(#REF!,BDD!$HN$5:$HU$38,5,FALSE),IF(#REF!=Miscanthus,10.5*#REF!*VLOOKUP(#REF!,BDD!$HN$5:$HU$38,5,FALSE),INDEX(#REF!:#REF!,MATCH(#REF!,#REF!:#REF!,0),MATCH(#REF!,#REF!:#REF!,0))*#REF!*VLOOKUP(#REF!,BDD!$HN$5:$HU$38,5,FALSE)))))</f>
        <v>#REF!</v>
      </c>
      <c r="IB57" s="342" t="e">
        <f>IF(#REF!="","",IF(OR(#REF!=Moutarde,#REF!=Phacélie),0,IF(#REF!=Luzerne,10*#REF!*VLOOKUP(#REF!,BDD!$HN$5:$HU$38,6,FALSE),IF(#REF!=Miscanthus,10.5*#REF!*VLOOKUP(#REF!,BDD!$HN$5:$HU$38,6,FALSE),INDEX(#REF!:#REF!,MATCH(#REF!,#REF!:#REF!,0),MATCH(#REF!,#REF!:#REF!,0))*#REF!*VLOOKUP(#REF!,BDD!$HN$5:$HU$38,6,FALSE)))))</f>
        <v>#REF!</v>
      </c>
      <c r="IC57" s="342" t="e">
        <f>IF(#REF!="","",IF(OR(#REF!=Moutarde,#REF!=Phacélie),0,IF(#REF!=Luzerne,10*#REF!*VLOOKUP(#REF!,BDD!$HN$5:$HU$38,7,FALSE),IF(#REF!=Miscanthus,10.5*#REF!*VLOOKUP(#REF!,BDD!$HN$5:$HU$38,7,FALSE),INDEX(#REF!:#REF!,MATCH(#REF!,#REF!:#REF!,0),MATCH(#REF!,#REF!:#REF!,0))*#REF!*VLOOKUP(#REF!,BDD!$HN$5:$HU$38,7,FALSE)))))</f>
        <v>#REF!</v>
      </c>
      <c r="ID57" s="342" t="e">
        <f>IF(#REF!="","",IF(OR(#REF!=Moutarde,#REF!=Phacélie),0,IF(#REF!=Luzerne,10*#REF!*VLOOKUP(#REF!,BDD!$HN$5:$HU$38,8,FALSE),IF(#REF!=Miscanthus,10.5*#REF!*VLOOKUP(#REF!,BDD!$HN$5:$HU$38,8,FALSE),INDEX(#REF!:#REF!,MATCH(#REF!,#REF!:#REF!,0),MATCH(#REF!,#REF!:#REF!,0))*#REF!*VLOOKUP(#REF!,BDD!$HN$5:$HU$38,8,FALSE)))))</f>
        <v>#REF!</v>
      </c>
      <c r="IE57" s="342" t="e">
        <f>IF(#REF!="","",IF(OR(#REF!=Moutarde,#REF!=Phacélie),0,1.6*#REF!))</f>
        <v>#REF!</v>
      </c>
      <c r="IF57" s="342" t="e">
        <f>IF(#REF!="","",IF(OR(#REF!=Moutarde,#REF!=Phacélie),0,1.6*#REF!))</f>
        <v>#REF!</v>
      </c>
      <c r="IG57" s="342" t="e">
        <f>IF(#REF!="","",IF(OR(#REF!=Moutarde,#REF!=Phacélie),0,1.6*#REF!))</f>
        <v>#REF!</v>
      </c>
    </row>
    <row r="58" spans="1:241" ht="12.75" customHeight="1" x14ac:dyDescent="0.2">
      <c r="A58" s="373"/>
      <c r="B58" s="374"/>
      <c r="C58" s="375"/>
      <c r="F58" s="283"/>
      <c r="N58" s="277"/>
      <c r="O58" s="280" t="s">
        <v>141</v>
      </c>
      <c r="P58" s="280"/>
      <c r="Q58" s="280"/>
      <c r="R58" s="280"/>
      <c r="S58" s="280"/>
      <c r="T58" s="280"/>
      <c r="U58" s="280"/>
      <c r="V58" s="280"/>
      <c r="W58" s="280"/>
      <c r="X58" s="280"/>
      <c r="Y58" s="280"/>
      <c r="Z58" s="280"/>
      <c r="AA58" s="280"/>
      <c r="AB58" s="280"/>
      <c r="AC58" s="280"/>
      <c r="AD58" s="280"/>
      <c r="AE58" s="280"/>
      <c r="AF58" s="280"/>
      <c r="AG58" s="280"/>
      <c r="AH58" s="280"/>
      <c r="AI58" s="280"/>
      <c r="AJ58" s="280"/>
      <c r="AK58" s="280"/>
      <c r="AL58" s="280"/>
      <c r="AM58" s="280"/>
      <c r="AN58" s="280"/>
      <c r="AO58" s="280"/>
      <c r="AP58" s="280"/>
      <c r="AQ58" s="280"/>
      <c r="AR58" s="280"/>
      <c r="AS58" s="280"/>
      <c r="AT58" s="280"/>
      <c r="AU58" s="280"/>
      <c r="AV58" s="280"/>
      <c r="AW58" s="280"/>
      <c r="AX58" s="280"/>
      <c r="AY58" s="280"/>
      <c r="BB58" s="358" t="s">
        <v>866</v>
      </c>
      <c r="BC58" s="319" t="s">
        <v>884</v>
      </c>
      <c r="BD58" s="359" t="s">
        <v>885</v>
      </c>
      <c r="BE58" s="319" t="s">
        <v>895</v>
      </c>
      <c r="BF58" s="319" t="s">
        <v>894</v>
      </c>
      <c r="BG58" s="319" t="s">
        <v>893</v>
      </c>
      <c r="BH58" s="319" t="s">
        <v>892</v>
      </c>
      <c r="BI58" s="319" t="s">
        <v>891</v>
      </c>
      <c r="BJ58" s="319" t="s">
        <v>890</v>
      </c>
      <c r="BK58" s="360" t="s">
        <v>889</v>
      </c>
      <c r="BL58" s="312"/>
      <c r="BM58" s="350" t="s">
        <v>232</v>
      </c>
      <c r="BN58" s="350">
        <f t="array" ref="BN58">IF(Ration_hivernale_complète_bisons[somme]&gt;0,0,IFERROR(IF(OR(AND(INDEX(Règles_bison[Specificite],MATCH(ChoixRationBisons&amp;$BM58,Règles_bison[Ration]&amp;Règles_bison[Aliment],0))="s1",IF($BM58=ChoixSpécificité1Bisons,1)),
INDEX(Règles_bison[Specificite],MATCH(ChoixRationBisons&amp;$BM58,Règles_bison[Ration]&amp;Règles_bison[Aliment],0))="c"),
INDEX(Règles_bison[Valeur 36 et plus],MATCH(ChoixRationBisons&amp;$BM58,Règles_bison[Ration]&amp;Règles_bison[Aliment],0)),0),0)*TotalBisonsMalesAdultes*NbreJoursNourrirBisonsDaims)</f>
        <v>0</v>
      </c>
      <c r="BO58" s="350">
        <f t="array" ref="BO58">IF(Ration_hivernale_complète_bisons[somme]&gt;0,0,IFERROR(IF(OR(AND(INDEX(Règles_bison[Specificite],MATCH(ChoixRationBisons&amp;$BM58,Règles_bison[Ration]&amp;Règles_bison[Aliment],0))="s1",IF($BM58=ChoixSpécificité1Bisons,1)),
INDEX(Règles_bison[Specificite],MATCH(ChoixRationBisons&amp;$BM58,Règles_bison[Ration]&amp;Règles_bison[Aliment],0))="c"),
INDEX(Règles_bison[Valeur 24-36],MATCH(ChoixRationBisons&amp;$BM58,Règles_bison[Ration]&amp;Règles_bison[Aliment],0)),0),0)*TotalBisonsMales_24_36_mois*NbreJoursNourrirBisonsDaims)</f>
        <v>0</v>
      </c>
      <c r="BP58" s="350">
        <f t="array" ref="BP58">IF(Ration_hivernale_complète_bisons[somme]&gt;0,0,IFERROR(IF(OR(AND(INDEX(Règles_bison[Specificite],MATCH(ChoixRationBisons&amp;$BM58,Règles_bison[Ration]&amp;Règles_bison[Aliment],0))="s1",IF($BM58=ChoixSpécificité1Bisons,1)),
INDEX(Règles_bison[Specificite],MATCH(ChoixRationBisons&amp;$BM58,Règles_bison[Ration]&amp;Règles_bison[Aliment],0))="c"),
INDEX(Règles_bison[Valeur 18-24],MATCH(ChoixRationBisons&amp;$BM58,Règles_bison[Ration]&amp;Règles_bison[Aliment],0)),0),0)*TotalBisonsMales_18_24_mois*NbreJoursNourrirBisonsDaims)</f>
        <v>0</v>
      </c>
      <c r="BQ58" s="350">
        <f t="array" ref="BQ58">IF(Ration_hivernale_complète_bisons[somme]&gt;0,0,IFERROR(IF(OR(AND(INDEX(Règles_bison[Specificite],MATCH(ChoixRationBisons&amp;$BM58,Règles_bison[Ration]&amp;Règles_bison[Aliment],0))="s1",IF($BM58=ChoixSpécificité1Bisons,1)),
INDEX(Règles_bison[Specificite],MATCH(ChoixRationBisons&amp;$BM58,Règles_bison[Ration]&amp;Règles_bison[Aliment],0))="c"),
INDEX(Règles_bison[Valeur 12-18],MATCH(ChoixRationBisons&amp;$BM58,Règles_bison[Ration]&amp;Règles_bison[Aliment],0)),0),0)*TotalBisonsMales_12_18_mois*NbreJoursNourrirBisonsDaims)</f>
        <v>0</v>
      </c>
      <c r="BR58" s="350">
        <f t="array" ref="BR58">IF(Ration_hivernale_complète_bisons[somme]&gt;0,0,IFERROR(IF(OR(AND(INDEX(Règles_bison[Specificite],MATCH(ChoixRationBisons&amp;$BM58,Règles_bison[Ration]&amp;Règles_bison[Aliment],0))="s1",IF($BM58=ChoixSpécificité1Bisons,1)),
INDEX(Règles_bison[Specificite],MATCH(ChoixRationBisons&amp;$BM58,Règles_bison[Ration]&amp;Règles_bison[Aliment],0))="c"),
INDEX(Règles_bison[Valeur 6-12],MATCH(ChoixRationBisons&amp;$BM58,Règles_bison[Ration]&amp;Règles_bison[Aliment],0)),0),0)*TotalBisonsMales_6_12_mois*NbreJoursNourrirBisonsDaims)</f>
        <v>0</v>
      </c>
      <c r="BS58" s="350">
        <f t="array" ref="BS58">IF(Ration_hivernale_complète_bisons[somme]&gt;0,0,IFERROR(IF(OR(AND(INDEX(Règles_bison[Specificite],MATCH(ChoixRationBisons&amp;$BM58,Règles_bison[Ration]&amp;Règles_bison[Aliment],0))="s1",IF($BM58=ChoixSpécificité1Bisons,1)),
INDEX(Règles_bison[Specificite],MATCH(ChoixRationBisons&amp;$BM58,Règles_bison[Ration]&amp;Règles_bison[Aliment],0))="c"),
INDEX(Règles_bison[Valeur 3-6],MATCH(ChoixRationBisons&amp;$BM58,Règles_bison[Ration]&amp;Règles_bison[Aliment],0)),0),0)*TotalBisonsMales_3_6_mois*NbreJoursNourrirBisonsDaims)</f>
        <v>0</v>
      </c>
      <c r="BT58" s="350">
        <f t="array" ref="BT58">IF(Ration_hivernale_complète_bisons[somme]&gt;0,0,IFERROR(IF(OR(AND(INDEX(Règles_bison[Specificite],MATCH(ChoixRationBisons&amp;$BM58,Règles_bison[Ration]&amp;Règles_bison[Aliment],0))="s1",IF($BM58=ChoixSpécificité1Bisons,1)),
INDEX(Règles_bison[Specificite],MATCH(ChoixRationBisons&amp;$BM58,Règles_bison[Ration]&amp;Règles_bison[Aliment],0))="c"),
INDEX(Règles_bison[Valeur 0-3],MATCH(ChoixRationBisons&amp;$BM58,Règles_bison[Ration]&amp;Règles_bison[Aliment],0)),0),0)*TotalBisonsMales_0_3_mois*NbreJoursNourrirBisonsDaims)</f>
        <v>0</v>
      </c>
      <c r="BU58" s="350">
        <f t="shared" si="10"/>
        <v>0</v>
      </c>
      <c r="BX58" s="373" t="s">
        <v>548</v>
      </c>
      <c r="BY58" s="280" t="s">
        <v>392</v>
      </c>
      <c r="BZ58" s="280" t="s">
        <v>886</v>
      </c>
      <c r="CA58" s="280">
        <v>14</v>
      </c>
      <c r="CB58" s="280">
        <v>10</v>
      </c>
      <c r="CC58" s="280">
        <v>6</v>
      </c>
      <c r="CD58" s="410">
        <v>0</v>
      </c>
      <c r="CE58" s="304"/>
      <c r="CF58" s="304"/>
      <c r="CG58" s="304"/>
      <c r="CH58" s="304"/>
      <c r="CJ58" s="420" t="s">
        <v>1167</v>
      </c>
      <c r="CK58" s="384">
        <f t="array" ref="CK5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58" s="384">
        <f t="array" ref="CL5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58" s="384">
        <f t="array" ref="CM5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58" s="384">
        <f t="array" ref="CN5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58" s="384">
        <f t="array" ref="CO5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58" s="426">
        <f>SUM(AlimentsRationPorcinsMâles[[#This Row],[Valeur 12 et plus]:[Valeur 0-1]])</f>
        <v>0</v>
      </c>
      <c r="CS58" s="420" t="s">
        <v>392</v>
      </c>
      <c r="CT58" s="433">
        <f t="array" ref="CT58">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58" s="433">
        <f t="array" ref="CU58">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58" s="433">
        <f t="array" ref="CV58">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58" s="434">
        <f>SUM(AlimentsRationLapinsMâles[[#This Row],[Valeur 3 et plus]:[Valeur 0-1]])</f>
        <v>0</v>
      </c>
      <c r="CZ58" s="420" t="s">
        <v>392</v>
      </c>
      <c r="DA58" s="433">
        <f t="array" ref="DA5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58" s="433">
        <f t="array" ref="DB5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58" s="433">
        <f t="array" ref="DC5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58" s="434">
        <f>SUM(AlimentsRationVolaillesMâles[[#This Row],[Valeur 6 et plus]:[Valeur 0-1]])</f>
        <v>0</v>
      </c>
      <c r="DE58" s="316"/>
      <c r="DF58" s="277"/>
      <c r="DG58" s="420" t="s">
        <v>513</v>
      </c>
      <c r="DH58" s="433">
        <f t="array" ref="DH5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58" s="433">
        <f t="array" ref="DI5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58" s="433">
        <f t="array" ref="DJ5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58" s="434">
        <f>SUM(AlimentsRationPintadesMâles[[#This Row],[Valeur 9 et plus]:[Valeur 0-1]])</f>
        <v>0</v>
      </c>
      <c r="DL58" s="316"/>
      <c r="DM58" s="316"/>
      <c r="DN58" s="280" t="s">
        <v>797</v>
      </c>
      <c r="DO58" s="280">
        <v>900</v>
      </c>
      <c r="DQ58" s="280" t="s">
        <v>797</v>
      </c>
      <c r="DR58" s="280">
        <v>1080</v>
      </c>
      <c r="DV58" s="350" t="s">
        <v>378</v>
      </c>
      <c r="DW58" s="351">
        <f t="array" ref="DW58">IF(ChoixRationComplèteDaims=OUI,0,IFERROR(IF(OR(AND(INDEX(Règles_daims[Specificite],MATCH(ChoixRationDaims&amp;DV58,Règles_daims[Ration]&amp;Règles_daims[Aliment],0))="s1",IF(DV58=Spécificité1Daims,1)),
AND(INDEX(Règles_daims[Specificite],MATCH(ChoixRationDaims&amp;DV58,Règles_daims[Ration]&amp;Règles_daims[Aliment],0))="s2",IF(DV58=Spécificité2Daims,1)),
INDEX(Règles_daims[Specificite],MATCH(ChoixRationDaims&amp;DV58,Règles_daims[Ration]&amp;Règles_daims[Aliment],0))="c"),
INDEX(Règles_daims[Valeur 36 et plus],MATCH(ChoixRationDaims&amp;DV58,Règles_daims[Ration]&amp;Règles_daims[Aliment],0)),0),0)*SUM(TotalDaimsAdultes)*NbreJoursNourrirBisonsDaims)</f>
        <v>0</v>
      </c>
      <c r="DX58" s="351">
        <f t="array" ref="DX58">IF(ChoixRationComplèteDaims=OUI,0,IFERROR(IF(OR(AND(INDEX(Règles_daims[Specificite],MATCH(ChoixRationDaims&amp;DV58,Règles_daims[Ration]&amp;Règles_daims[Aliment],0))="s1",IF(DV58=Spécificité1Daims,1)),
AND(INDEX(Règles_daims[Specificite],MATCH(ChoixRationDaims&amp;DV58,Règles_daims[Ration]&amp;Règles_daims[Aliment],0))="s2",IF(DV58=Spécificité2Daims,1)),
INDEX(Règles_daims[Specificite],MATCH(ChoixRationDaims&amp;DV58,Règles_daims[Ration]&amp;Règles_daims[Aliment],0))="c"),
INDEX(Règles_daims[Valeur 24-36],MATCH(ChoixRationDaims&amp;DV58,Règles_daims[Ration]&amp;Règles_daims[Aliment],0)),0),0)*SUM(TotalDaims24_36)*NbreJoursNourrirBisonsDaims)</f>
        <v>0</v>
      </c>
      <c r="DY58" s="351">
        <f t="array" ref="DY58">IF(ChoixRationComplèteDaims=OUI,0,IFERROR(IF(OR(AND(INDEX(Règles_daims[Specificite],MATCH(ChoixRationDaims&amp;DV58,Règles_daims[Ration]&amp;Règles_daims[Aliment],0))="s1",IF(DV58=Spécificité1Daims,1)),
AND(INDEX(Règles_daims[Specificite],MATCH(ChoixRationDaims&amp;DV58,Règles_daims[Ration]&amp;Règles_daims[Aliment],0))="s2",IF(DV58=Spécificité2Daims,1)),
INDEX(Règles_daims[Specificite],MATCH(ChoixRationDaims&amp;DV58,Règles_daims[Ration]&amp;Règles_daims[Aliment],0))="c"),
INDEX(Règles_daims[Valeur 18-24],MATCH(ChoixRationDaims&amp;DV58,Règles_daims[Ration]&amp;Règles_daims[Aliment],0)),0),0)*SUM(TotalDaims18_24)*NbreJoursNourrirBisonsDaims)</f>
        <v>0</v>
      </c>
      <c r="DZ58" s="441">
        <f t="array" ref="DZ58">IF(ChoixRationComplèteDaims=OUI,0,IFERROR(IF(OR(AND(INDEX(Règles_daims[Specificite],MATCH(ChoixRationDaims&amp;DV58,Règles_daims[Ration]&amp;Règles_daims[Aliment],0))="s1",IF(DV58=Spécificité1Daims,1)),
AND(INDEX(Règles_daims[Specificite],MATCH(ChoixRationDaims&amp;DV58,Règles_daims[Ration]&amp;Règles_daims[Aliment],0))="s2",IF(DV58=Spécificité2Daims,1)),
INDEX(Règles_daims[Specificite],MATCH(ChoixRationDaims&amp;DV58,Règles_daims[Ration]&amp;Règles_daims[Aliment],0))="c"),
INDEX(Règles_daims[Valeur 12-18],MATCH(ChoixRationDaims&amp;DV58,Règles_daims[Ration]&amp;Règles_daims[Aliment],0)),0),0)*SUM(TotalDaims12_18)*NbreJoursNourrirBisonsDaims)</f>
        <v>0</v>
      </c>
      <c r="EA58" s="441">
        <f t="array" ref="EA58">IF(ChoixRationComplèteDaims=OUI,0,IFERROR(IF(OR(AND(INDEX(Règles_daims[Specificite],MATCH(ChoixRationDaims&amp;DV58,Règles_daims[Ration]&amp;Règles_daims[Aliment],0))="s1",IF(DV58=Spécificité1Daims,1)),
AND(INDEX(Règles_daims[Specificite],MATCH(ChoixRationDaims&amp;DV58,Règles_daims[Ration]&amp;Règles_daims[Aliment],0))="s2",IF(DV58=Spécificité2Daims,1)),
INDEX(Règles_daims[Specificite],MATCH(ChoixRationDaims&amp;DV58,Règles_daims[Ration]&amp;Règles_daims[Aliment],0))="c"),
INDEX(Règles_daims[Valeur 6-12],MATCH(ChoixRationDaims&amp;DV58,Règles_daims[Ration]&amp;Règles_daims[Aliment],0)),0),0)*SUM(TotalDaims6_12)*NbreJoursNourrirBisonsDaims)</f>
        <v>0</v>
      </c>
      <c r="EB58" s="441">
        <f t="array" ref="EB58">IF(ChoixRationComplèteDaims=OUI,0,IFERROR(IF(OR(AND(INDEX(Règles_daims[Specificite],MATCH(ChoixRationDaims&amp;DV58,Règles_daims[Ration]&amp;Règles_daims[Aliment],0))="s1",IF(DV58=Spécificité1Daims,1)),
AND(INDEX(Règles_daims[Specificite],MATCH(ChoixRationDaims&amp;DV58,Règles_daims[Ration]&amp;Règles_daims[Aliment],0))="s2",IF(DV58=Spécificité2Daims,1)),
INDEX(Règles_daims[Specificite],MATCH(ChoixRationDaims&amp;DV58,Règles_daims[Ration]&amp;Règles_daims[Aliment],0))="c"),
INDEX(Règles_daims[Valeur 3-6],MATCH(ChoixRationDaims&amp;DV58,Règles_daims[Ration]&amp;Règles_daims[Aliment],0)),0),0)*SUM(TotalDaims3_6)*NbreJoursNourrirBisonsDaims)</f>
        <v>0</v>
      </c>
      <c r="EC58" s="441">
        <f t="array" ref="EC58">IF(ChoixRationComplèteDaims=OUI,0,IFERROR(IF(OR(AND(INDEX(Règles_daims[Specificite],MATCH(ChoixRationDaims&amp;DV58,Règles_daims[Ration]&amp;Règles_daims[Aliment],0))="s1",IF(DV58=Spécificité1Daims,1)),
AND(INDEX(Règles_daims[Specificite],MATCH(ChoixRationDaims&amp;DV58,Règles_daims[Ration]&amp;Règles_daims[Aliment],0))="s2",IF(DV58=Spécificité2Daims,1)),
INDEX(Règles_daims[Specificite],MATCH(ChoixRationDaims&amp;DV58,Règles_daims[Ration]&amp;Règles_daims[Aliment],0))="c"),
INDEX(Règles_daims[Valeur 0-3],MATCH(ChoixRationDaims&amp;DV58,Règles_daims[Ration]&amp;Règles_daims[Aliment],0)),0),0)*SUM(TotalDaims0_3)*NbreJoursNourrirBisonsDaims)</f>
        <v>0</v>
      </c>
      <c r="ED58" s="441">
        <f t="shared" si="9"/>
        <v>0</v>
      </c>
      <c r="EG58" s="420" t="s">
        <v>500</v>
      </c>
      <c r="EH58" s="433">
        <f t="array" ref="EH5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58" s="433">
        <f t="array" ref="EI5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58" s="433">
        <f t="array" ref="EJ5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58" s="434">
        <f>SUM(AlimentsRationOiesMâles[[#This Row],[Valeur 6 et plus]:[Valeur 0-3]])</f>
        <v>0</v>
      </c>
      <c r="EL58" s="316"/>
      <c r="EN58" s="420" t="s">
        <v>499</v>
      </c>
      <c r="EO58" s="433">
        <f t="array" ref="EO58">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58" s="433">
        <f t="array" ref="EP58">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58" s="433">
        <f t="array" ref="EQ58">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58" s="434">
        <f>SUM(Ration_canards_Mâles[[#This Row],[Valeur 6 et plus]:[Valeur 0-3]])</f>
        <v>0</v>
      </c>
      <c r="ES58" s="316"/>
      <c r="ET58" s="282"/>
      <c r="EU58" s="335" t="s">
        <v>1163</v>
      </c>
      <c r="EV58" s="335"/>
      <c r="EW58" s="335"/>
      <c r="EX58" s="335"/>
      <c r="EY58" s="335"/>
      <c r="EZ58" s="335"/>
      <c r="FA58" s="298"/>
      <c r="FB58" s="298"/>
      <c r="FD58" s="457" t="s">
        <v>904</v>
      </c>
      <c r="FE58" s="458">
        <f t="array" ref="FE58">IF(OR(ChoixRationComplèteEtéChevauxTrait=OUI,ChoixRationComplèteEtéChevauxTrait="",AND(ChoixChevauxTraitPréHiver=OUI,ChoixChevauxTraitPréEté=OUI)),0,IFERROR(IF(OR(AND(INDEX(Règles_chevaux_trait[Specificite],MATCH(RationEtéChevauxTrait&amp;$FD58,Règles_chevaux_trait[Ration]&amp;Règles_chevaux_trait[Aliment],0))="s1",IF($FD58=Spécificité1ChevauxTrait,1)),
AND(INDEX(Règles_chevaux_trait[Specificite],MATCH(RationEtéChevauxTrait&amp;$FD58,Règles_chevaux_trait[Ration]&amp;Règles_chevaux_trait[Aliment],0))="s2",IF($FD58=Spécificité2ChevauxTrait,1)),
INDEX(Règles_chevaux_trait[Specificite],MATCH(RationEtéChevauxTrait&amp;$FD58,Règles_chevaux_trait[Ration]&amp;Règles_chevaux_trait[Aliment],0))="c"),
INDEX(Règles_chevaux_trait[Valeur 36 et plus],MATCH(RationEtéChevauxTrait&amp;$FD58,Règles_chevaux_trait[Ration]&amp;Règles_chevaux_trait[Aliment],0)),0),0)*TotalEtalonTrait*NbreJoursNourrirChevauxTrait)</f>
        <v>0</v>
      </c>
      <c r="FF58" s="458">
        <f t="array" ref="FF58">IF(OR(ChoixRationComplèteEtéChevauxTrait=OUI,ChoixRationComplèteEtéChevauxTrait="",AND(ChoixChevauxTraitPréHiver=OUI,ChoixChevauxTraitPréEté=OUI)),0,IFERROR(IF(OR(AND(INDEX(Règles_chevaux_trait[Specificite],MATCH(RationEtéChevauxTrait&amp;$FD58,Règles_chevaux_trait[Ration]&amp;Règles_chevaux_trait[Aliment],0))="s1",IF($FD58=Spécificité1ChevauxTrait,1)),
AND(INDEX(Règles_chevaux_trait[Specificite],MATCH(RationEtéChevauxTrait&amp;$FD58,Règles_chevaux_trait[Ration]&amp;Règles_chevaux_trait[Aliment],0))="s2",IF($FD58=Spécificité2ChevauxTrait,1)),
INDEX(Règles_chevaux_trait[Specificite],MATCH(RationEtéChevauxTrait&amp;$FD58,Règles_chevaux_trait[Ration]&amp;Règles_chevaux_trait[Aliment],0))="c"),
INDEX(Règles_chevaux_trait[Valeur 24-36],MATCH(RationEtéChevauxTrait&amp;$FD58,Règles_chevaux_trait[Ration]&amp;Règles_chevaux_trait[Aliment],0)),0),0)*TotalJeuneEtalonTrait_24_36_mois*NbreJoursNourrirChevauxTrait)</f>
        <v>0</v>
      </c>
      <c r="FG58" s="458">
        <f t="array" ref="FG58">IF(OR(ChoixRationComplèteEtéChevauxTrait=OUI,ChoixRationComplèteEtéChevauxTrait="",AND(ChoixChevauxTraitPréHiver=OUI,ChoixChevauxTraitPréEté=OUI)),0,IFERROR(IF(OR(AND(INDEX(Règles_chevaux_trait[Specificite],MATCH(RationEtéChevauxTrait&amp;$FD58,Règles_chevaux_trait[Ration]&amp;Règles_chevaux_trait[Aliment],0))="s1",IF($FD58=Spécificité1ChevauxTrait,1)),
AND(INDEX(Règles_chevaux_trait[Specificite],MATCH(RationEtéChevauxTrait&amp;$FD58,Règles_chevaux_trait[Ration]&amp;Règles_chevaux_trait[Aliment],0))="s2",IF($FD58=Spécificité2ChevauxTrait,1)),
INDEX(Règles_chevaux_trait[Specificite],MATCH(RationEtéChevauxTrait&amp;$FD58,Règles_chevaux_trait[Ration]&amp;Règles_chevaux_trait[Aliment],0))="c"),
INDEX(Règles_chevaux_trait[Valeur 12-24],MATCH(RationEtéChevauxTrait&amp;$FD58,Règles_chevaux_trait[Ration]&amp;Règles_chevaux_trait[Aliment],0)),0),0)*TotalJeuneEtalonTrait_12_24_mois*NbreJoursNourrirChevauxTrait)</f>
        <v>0</v>
      </c>
      <c r="FH58" s="460">
        <f t="array" ref="FH58">IF(OR(ChoixRationComplèteEtéChevauxTrait=OUI,ChoixRationComplèteEtéChevauxTrait="",AND(ChoixChevauxTraitPréHiver=OUI,ChoixChevauxTraitPréEté=OUI)),0,IFERROR(IF(OR(AND(INDEX(Règles_chevaux_trait[Specificite],MATCH(RationEtéChevauxTrait&amp;$FD58,Règles_chevaux_trait[Ration]&amp;Règles_chevaux_trait[Aliment],0))="s1",IF($FD58=Spécificité1ChevauxTrait,1)),
AND(INDEX(Règles_chevaux_trait[Specificite],MATCH(RationEtéChevauxTrait&amp;$FD58,Règles_chevaux_trait[Ration]&amp;Règles_chevaux_trait[Aliment],0))="s2",IF($FD58=Spécificité2ChevauxTrait,1)),
INDEX(Règles_chevaux_trait[Specificite],MATCH(RationEtéChevauxTrait&amp;$FD58,Règles_chevaux_trait[Ration]&amp;Règles_chevaux_trait[Aliment],0))="c"),
INDEX(Règles_chevaux_trait[Valeur 0-12],MATCH(RationEtéChevauxTrait&amp;$FD58,Règles_chevaux_trait[Ration]&amp;Règles_chevaux_trait[Aliment],0)),0),0)*TotalPoulainTrait_0_12_mois*NbreJoursNourrirChevauxTrait)</f>
        <v>0</v>
      </c>
      <c r="FI58" s="460">
        <f t="shared" si="15"/>
        <v>0</v>
      </c>
      <c r="FJ58" s="298"/>
      <c r="FK58" s="298"/>
      <c r="FL58" s="298"/>
      <c r="FN58" s="457" t="s">
        <v>500</v>
      </c>
      <c r="FO58" s="458">
        <f t="array" ref="FO58">IF(OR(ChoixRationComplèteEtéPoneys=OUI,ChoixRationComplèteEtéPoneys="",AND(ChoixPoneysPréHiver=OUI,ChoixPoneysPréEté=OUI)),0,IFERROR(IF(OR(AND(INDEX(Règles_poneys[Specificite],MATCH(RationEtéPoneys&amp;$FN58,Règles_poneys[Ration]&amp;Règles_poneys[Aliment],0))="s1",IF($FN58=Spécificité1Poneys,1)),
AND(INDEX(Règles_poneys[Specificite],MATCH(RationEtéPoneys&amp;$FN58,Règles_poneys[Ration]&amp;Règles_poneys[Aliment],0))="s2",IF($FN58=Spécificité2Poneys,1)),
INDEX(Règles_poneys[Specificite],MATCH(RationEtéPoneys&amp;$FN58,Règles_poneys[Ration]&amp;Règles_poneys[Aliment],0))="c"),
INDEX(Règles_poneys[Valeur 36 et plus],MATCH(RationEtéPoneys&amp;$FN58,Règles_poneys[Ration]&amp;Règles_poneys[Aliment],0)),0),0)*TotalEtalonPoney*NbreJoursNourrirPoneys)</f>
        <v>0</v>
      </c>
      <c r="FP58" s="458">
        <f t="array" ref="FP58">IF(OR(ChoixRationComplèteEtéPoneys=OUI,ChoixRationComplèteEtéPoneys="",AND(ChoixPoneysPréHiver=OUI,ChoixPoneysPréEté=OUI)),0,IFERROR(IF(OR(AND(INDEX(Règles_poneys[Specificite],MATCH(RationEtéPoneys&amp;$FN58,Règles_poneys[Ration]&amp;Règles_poneys[Aliment],0))="s1",IF($FN58=Spécificité1Poneys,1)),
AND(INDEX(Règles_poneys[Specificite],MATCH(RationEtéPoneys&amp;$FN58,Règles_poneys[Ration]&amp;Règles_poneys[Aliment],0))="s2",IF($FN58=Spécificité2Poneys,1)),
INDEX(Règles_poneys[Specificite],MATCH(RationEtéPoneys&amp;$FN58,Règles_poneys[Ration]&amp;Règles_poneys[Aliment],0))="c"),
INDEX(Règles_poneys[Valeur 36 et plus],MATCH(RationEtéPoneys&amp;$FN58,Règles_poneys[Ration]&amp;Règles_poneys[Aliment],0)),0),0)*TotalJeuneEtalonPoney_24_36_mois*NbreJoursNourrirPoneys)</f>
        <v>0</v>
      </c>
      <c r="FQ58" s="458">
        <f t="array" ref="FQ58">IF(OR(ChoixRationComplèteEtéPoneys=OUI,ChoixRationComplèteEtéPoneys="",AND(ChoixPoneysPréHiver=OUI,ChoixPoneysPréEté=OUI)),0,IFERROR(IF(OR(AND(INDEX(Règles_poneys[Specificite],MATCH(RationEtéPoneys&amp;$FN58,Règles_poneys[Ration]&amp;Règles_poneys[Aliment],0))="s1",IF($FN58=Spécificité1Poneys,1)),
AND(INDEX(Règles_poneys[Specificite],MATCH(RationEtéPoneys&amp;$FN58,Règles_poneys[Ration]&amp;Règles_poneys[Aliment],0))="s2",IF($FN58=Spécificité2Poneys,1)),
INDEX(Règles_poneys[Specificite],MATCH(RationEtéPoneys&amp;$FN58,Règles_poneys[Ration]&amp;Règles_poneys[Aliment],0))="c"),
INDEX(Règles_poneys[Valeur 36 et plus],MATCH(RationEtéPoneys&amp;$FN58,Règles_poneys[Ration]&amp;Règles_poneys[Aliment],0)),0),0)*TotalJeuneEtalonPoney_12_24_mois*NbreJoursNourrirPoneys)</f>
        <v>0</v>
      </c>
      <c r="FR58" s="460">
        <f t="array" ref="FR58">IF(OR(ChoixRationComplèteEtéPoneys=OUI,ChoixRationComplèteEtéPoneys="",AND(ChoixPoneysPréHiver=OUI,ChoixPoneysPréEté=OUI)),0,IFERROR(IF(OR(AND(INDEX(Règles_poneys[Specificite],MATCH(RationEtéPoneys&amp;$FN58,Règles_poneys[Ration]&amp;Règles_poneys[Aliment],0))="s1",IF($FN58=Spécificité1Poneys,1)),
AND(INDEX(Règles_poneys[Specificite],MATCH(RationEtéPoneys&amp;$FN58,Règles_poneys[Ration]&amp;Règles_poneys[Aliment],0))="s2",IF($FN58=Spécificité2Poneys,1)),
INDEX(Règles_poneys[Specificite],MATCH(RationEtéPoneys&amp;$FN58,Règles_poneys[Ration]&amp;Règles_poneys[Aliment],0))="c"),
INDEX(Règles_poneys[Valeur 36 et plus],MATCH(RationEtéPoneys&amp;$FN58,Règles_poneys[Ration]&amp;Règles_poneys[Aliment],0)),0),0)*TotalPoulainPoney_0_12_mois*NbreJoursNourrirPoneys)</f>
        <v>0</v>
      </c>
      <c r="FS58" s="460">
        <f t="shared" si="14"/>
        <v>0</v>
      </c>
      <c r="FT58" s="298"/>
      <c r="FU58" s="298"/>
      <c r="FV58" s="298"/>
      <c r="FW58" s="443" t="s">
        <v>266</v>
      </c>
      <c r="FX58" s="450">
        <f t="array" ref="FX58">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58" s="450">
        <f t="array" ref="FY58">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58" s="450">
        <f t="array" ref="FZ58">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58" s="450">
        <f t="array" ref="GA58">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58" s="451">
        <f>SUM(AlimentsGavageOies[[#This Row],[Valeur 6 et plus]:[Valeur 0-1]])</f>
        <v>0</v>
      </c>
      <c r="GC58" s="316"/>
      <c r="GE58" s="280" t="s">
        <v>12</v>
      </c>
      <c r="GF58" s="283"/>
      <c r="GG58" s="283" t="s">
        <v>955</v>
      </c>
      <c r="GH58" s="283" t="s">
        <v>955</v>
      </c>
      <c r="GI58" s="283" t="s">
        <v>955</v>
      </c>
      <c r="GJ58" s="283" t="s">
        <v>955</v>
      </c>
      <c r="GK58" s="283" t="s">
        <v>955</v>
      </c>
      <c r="GL58" s="283" t="s">
        <v>955</v>
      </c>
      <c r="GM58" s="283" t="s">
        <v>955</v>
      </c>
      <c r="GN58" s="283" t="s">
        <v>955</v>
      </c>
      <c r="GO58" s="283" t="s">
        <v>955</v>
      </c>
      <c r="GP58" s="283" t="s">
        <v>955</v>
      </c>
      <c r="GQ58" s="283" t="s">
        <v>955</v>
      </c>
      <c r="GR58" s="283" t="s">
        <v>955</v>
      </c>
      <c r="GS58" s="283" t="s">
        <v>955</v>
      </c>
      <c r="GT58" s="283" t="s">
        <v>955</v>
      </c>
      <c r="GU58" s="283" t="s">
        <v>955</v>
      </c>
      <c r="GV58" s="283" t="s">
        <v>955</v>
      </c>
      <c r="GY58" s="444" t="str">
        <f t="shared" si="11"/>
        <v>semences de féverole (G)</v>
      </c>
      <c r="GZ58" s="444"/>
      <c r="HA58" s="342"/>
      <c r="HB58" s="342" t="e">
        <f>IF(COUNTIF(TypeArticleDansEntrepôt,GY58)=0,0,SUMIF(TypeArticleDansEntrepôt,GY58,QtéArticleDansEntrepôt)*VLOOKUP(GY58,#REF!,2,FALSE))</f>
        <v>#REF!</v>
      </c>
      <c r="HN58" s="342" t="e">
        <f>IF(#REF!="","",(VLOOKUP(#REF!,BDD!$HN$5:$HU$38,2,FALSE))*#REF!)</f>
        <v>#REF!</v>
      </c>
      <c r="HO58" s="342" t="e">
        <f>IF(#REF!="","",IF(OR(#REF!=Moutarde,#REF!=Phacélie),0,IF(#REF!=Luzerne,10*#REF!*VLOOKUP(#REF!,BDD!$HN$5:$HU$38,3,FALSE),IF(#REF!=Miscanthus,10.5*#REF!*VLOOKUP(#REF!,BDD!$HN$5:$HU$38,3,FALSE),INDEX(#REF!:#REF!,MATCH(#REF!,#REF!:#REF!,0),MATCH(#REF!,#REF!:#REF!,0))*#REF!*VLOOKUP(#REF!,BDD!$HN$5:$HU$38,3,FALSE)))))</f>
        <v>#REF!</v>
      </c>
      <c r="HP58" s="342" t="e">
        <f>IF(#REF!="","",IF(OR(#REF!=Moutarde,#REF!=Phacélie),0,IF(#REF!=Luzerne,10*#REF!*VLOOKUP(#REF!,BDD!$HN$5:$HU$38,4,FALSE),IF(#REF!=Miscanthus,10.5*#REF!*VLOOKUP(#REF!,BDD!$HN$5:$HU$38,4,FALSE),INDEX(#REF!:#REF!,MATCH(#REF!,#REF!:#REF!,0),MATCH(#REF!,#REF!:#REF!,0))*#REF!*VLOOKUP(#REF!,BDD!$HN$5:$HU$38,4,FALSE)))))</f>
        <v>#REF!</v>
      </c>
      <c r="HQ58" s="342" t="e">
        <f>IF(#REF!="","",IF(OR(#REF!=Moutarde,#REF!=Phacélie),0,IF(#REF!=Luzerne,10*#REF!*VLOOKUP(#REF!,BDD!$HN$5:$HU$38,5,FALSE),IF(#REF!=Miscanthus,10.5*#REF!*VLOOKUP(#REF!,BDD!$HN$5:$HU$38,5,FALSE),INDEX(#REF!:#REF!,MATCH(#REF!,#REF!:#REF!,0),MATCH(#REF!,#REF!:#REF!,0))*#REF!*VLOOKUP(#REF!,BDD!$HN$5:$HU$38,5,FALSE)))))</f>
        <v>#REF!</v>
      </c>
      <c r="HR58" s="342" t="e">
        <f>IF(#REF!="","",IF(OR(#REF!=Moutarde,#REF!=Phacélie),0,IF(#REF!=Luzerne,10*#REF!*VLOOKUP(#REF!,BDD!$HN$5:$HU$38,6,FALSE),IF(#REF!=Miscanthus,10.5*#REF!*VLOOKUP(#REF!,BDD!$HN$5:$HU$38,6,FALSE),INDEX(#REF!:#REF!,MATCH(#REF!,#REF!:#REF!,0),MATCH(#REF!,#REF!:#REF!,0))*#REF!*VLOOKUP(#REF!,BDD!$HN$5:$HU$38,6,FALSE)))))</f>
        <v>#REF!</v>
      </c>
      <c r="HS58" s="342" t="e">
        <f>IF(#REF!="","",IF(OR(#REF!=Moutarde,#REF!=Phacélie),0,IF(#REF!=Luzerne,10*#REF!*VLOOKUP(#REF!,BDD!$HN$5:$HU$38,7,FALSE),IF(#REF!=Miscanthus,10.5*#REF!*VLOOKUP(#REF!,BDD!$HN$5:$HU$38,7,FALSE),INDEX(#REF!:#REF!,MATCH(#REF!,#REF!:#REF!,0),MATCH(#REF!,#REF!:#REF!,0))*#REF!*VLOOKUP(#REF!,BDD!$HN$5:$HU$38,7,FALSE)))))</f>
        <v>#REF!</v>
      </c>
      <c r="HT58" s="342" t="e">
        <f>IF(#REF!="","",IF(OR(#REF!=Moutarde,#REF!=Phacélie),0,IF(#REF!=Luzerne,10*#REF!*VLOOKUP(#REF!,BDD!$HN$5:$HU$38,8,FALSE),IF(#REF!=Miscanthus,10.5*#REF!*VLOOKUP(#REF!,BDD!$HN$5:$HU$38,8,FALSE),INDEX(#REF!:#REF!,MATCH(#REF!,#REF!:#REF!,0),MATCH(#REF!,#REF!:#REF!,0))*#REF!*VLOOKUP(#REF!,BDD!$HN$5:$HU$38,8,FALSE)))))</f>
        <v>#REF!</v>
      </c>
      <c r="HU58" s="342" t="e">
        <f>IF(#REF!="","",IF(OR(#REF!=Moutarde,#REF!=Phacélie),0,1.6*#REF!))</f>
        <v>#REF!</v>
      </c>
      <c r="HV58" s="342" t="e">
        <f>IF(#REF!="","",IF(OR(#REF!=Moutarde,#REF!=Phacélie),0,1.6*#REF!))</f>
        <v>#REF!</v>
      </c>
      <c r="HW58" s="342" t="e">
        <f>IF(#REF!="","",IF(OR(#REF!=Moutarde,#REF!=Phacélie),0,1.6*#REF!))</f>
        <v>#REF!</v>
      </c>
      <c r="HX58" s="342" t="e">
        <f>IF(#REF!="","",(VLOOKUP(#REF!,BDD!$HN$5:$HU$38,2,FALSE))*#REF!)</f>
        <v>#REF!</v>
      </c>
      <c r="HY58" s="342" t="e">
        <f>IF(#REF!="","",IF(OR(#REF!=Moutarde,#REF!=Phacélie),0,IF(#REF!=Luzerne,10*#REF!*VLOOKUP(#REF!,BDD!$HN$5:$HU$38,3,FALSE),IF(#REF!=Miscanthus,10.5*#REF!*VLOOKUP(#REF!,BDD!$HN$5:$HU$38,3,FALSE),INDEX(#REF!:#REF!,MATCH(#REF!,#REF!:#REF!,0),MATCH(#REF!,#REF!:#REF!,0))*#REF!*VLOOKUP(#REF!,BDD!$HN$5:$HU$38,3,FALSE)))))</f>
        <v>#REF!</v>
      </c>
      <c r="HZ58" s="342" t="e">
        <f>IF(#REF!="","",IF(OR(#REF!=Moutarde,#REF!=Phacélie),0,IF(#REF!=Luzerne,10*#REF!*VLOOKUP(#REF!,BDD!$HN$5:$HU$38,4,FALSE),IF(#REF!=Miscanthus,10.5*#REF!*VLOOKUP(#REF!,BDD!$HN$5:$HU$38,4,FALSE),INDEX(#REF!:#REF!,MATCH(#REF!,#REF!:#REF!,0),MATCH(#REF!,#REF!:#REF!,0))*#REF!*VLOOKUP(#REF!,BDD!$HN$5:$HU$38,4,FALSE)))))</f>
        <v>#REF!</v>
      </c>
      <c r="IA58" s="342" t="e">
        <f>IF(#REF!="","",IF(OR(#REF!=Moutarde,#REF!=Phacélie),0,IF(#REF!=Luzerne,10*#REF!*VLOOKUP(#REF!,BDD!$HN$5:$HU$38,5,FALSE),IF(#REF!=Miscanthus,10.5*#REF!*VLOOKUP(#REF!,BDD!$HN$5:$HU$38,5,FALSE),INDEX(#REF!:#REF!,MATCH(#REF!,#REF!:#REF!,0),MATCH(#REF!,#REF!:#REF!,0))*#REF!*VLOOKUP(#REF!,BDD!$HN$5:$HU$38,5,FALSE)))))</f>
        <v>#REF!</v>
      </c>
      <c r="IB58" s="342" t="e">
        <f>IF(#REF!="","",IF(OR(#REF!=Moutarde,#REF!=Phacélie),0,IF(#REF!=Luzerne,10*#REF!*VLOOKUP(#REF!,BDD!$HN$5:$HU$38,6,FALSE),IF(#REF!=Miscanthus,10.5*#REF!*VLOOKUP(#REF!,BDD!$HN$5:$HU$38,6,FALSE),INDEX(#REF!:#REF!,MATCH(#REF!,#REF!:#REF!,0),MATCH(#REF!,#REF!:#REF!,0))*#REF!*VLOOKUP(#REF!,BDD!$HN$5:$HU$38,6,FALSE)))))</f>
        <v>#REF!</v>
      </c>
      <c r="IC58" s="342" t="e">
        <f>IF(#REF!="","",IF(OR(#REF!=Moutarde,#REF!=Phacélie),0,IF(#REF!=Luzerne,10*#REF!*VLOOKUP(#REF!,BDD!$HN$5:$HU$38,7,FALSE),IF(#REF!=Miscanthus,10.5*#REF!*VLOOKUP(#REF!,BDD!$HN$5:$HU$38,7,FALSE),INDEX(#REF!:#REF!,MATCH(#REF!,#REF!:#REF!,0),MATCH(#REF!,#REF!:#REF!,0))*#REF!*VLOOKUP(#REF!,BDD!$HN$5:$HU$38,7,FALSE)))))</f>
        <v>#REF!</v>
      </c>
      <c r="ID58" s="342" t="e">
        <f>IF(#REF!="","",IF(OR(#REF!=Moutarde,#REF!=Phacélie),0,IF(#REF!=Luzerne,10*#REF!*VLOOKUP(#REF!,BDD!$HN$5:$HU$38,8,FALSE),IF(#REF!=Miscanthus,10.5*#REF!*VLOOKUP(#REF!,BDD!$HN$5:$HU$38,8,FALSE),INDEX(#REF!:#REF!,MATCH(#REF!,#REF!:#REF!,0),MATCH(#REF!,#REF!:#REF!,0))*#REF!*VLOOKUP(#REF!,BDD!$HN$5:$HU$38,8,FALSE)))))</f>
        <v>#REF!</v>
      </c>
      <c r="IE58" s="342" t="e">
        <f>IF(#REF!="","",IF(OR(#REF!=Moutarde,#REF!=Phacélie),0,1.6*#REF!))</f>
        <v>#REF!</v>
      </c>
      <c r="IF58" s="342" t="e">
        <f>IF(#REF!="","",IF(OR(#REF!=Moutarde,#REF!=Phacélie),0,1.6*#REF!))</f>
        <v>#REF!</v>
      </c>
      <c r="IG58" s="342" t="e">
        <f>IF(#REF!="","",IF(OR(#REF!=Moutarde,#REF!=Phacélie),0,1.6*#REF!))</f>
        <v>#REF!</v>
      </c>
    </row>
    <row r="59" spans="1:241" ht="12.75" customHeight="1" x14ac:dyDescent="0.2">
      <c r="A59" s="376"/>
      <c r="B59" s="377"/>
      <c r="C59" s="378"/>
      <c r="F59" s="305"/>
      <c r="G59" s="305"/>
      <c r="H59" s="305"/>
      <c r="I59" s="305"/>
      <c r="J59" s="305"/>
      <c r="K59" s="305"/>
      <c r="L59" s="305"/>
      <c r="M59" s="305"/>
      <c r="N59" s="277"/>
      <c r="O59" s="280" t="s">
        <v>142</v>
      </c>
      <c r="P59" s="280"/>
      <c r="Q59" s="280"/>
      <c r="R59" s="280"/>
      <c r="S59" s="280"/>
      <c r="T59" s="280"/>
      <c r="U59" s="280"/>
      <c r="V59" s="280"/>
      <c r="W59" s="280"/>
      <c r="X59" s="280"/>
      <c r="Y59" s="280"/>
      <c r="Z59" s="280"/>
      <c r="AA59" s="280"/>
      <c r="AB59" s="280"/>
      <c r="AC59" s="280"/>
      <c r="AD59" s="280"/>
      <c r="AE59" s="280"/>
      <c r="AF59" s="280"/>
      <c r="AG59" s="280"/>
      <c r="AH59" s="280"/>
      <c r="AI59" s="280"/>
      <c r="AJ59" s="280"/>
      <c r="AK59" s="280"/>
      <c r="AL59" s="280"/>
      <c r="AM59" s="280"/>
      <c r="AN59" s="280"/>
      <c r="AO59" s="280"/>
      <c r="AP59" s="280"/>
      <c r="AQ59" s="280"/>
      <c r="AR59" s="280"/>
      <c r="AS59" s="280"/>
      <c r="AT59" s="280"/>
      <c r="AU59" s="280"/>
      <c r="AV59" s="280"/>
      <c r="AW59" s="280"/>
      <c r="AX59" s="280"/>
      <c r="AY59" s="280"/>
      <c r="BB59" s="387" t="s">
        <v>509</v>
      </c>
      <c r="BC59" s="362" t="s">
        <v>508</v>
      </c>
      <c r="BD59" s="362" t="s">
        <v>911</v>
      </c>
      <c r="BE59" s="388">
        <v>169</v>
      </c>
      <c r="BF59" s="388">
        <v>144</v>
      </c>
      <c r="BG59" s="388">
        <v>112</v>
      </c>
      <c r="BH59" s="388">
        <v>85</v>
      </c>
      <c r="BI59" s="388">
        <v>57</v>
      </c>
      <c r="BJ59" s="388">
        <v>29</v>
      </c>
      <c r="BK59" s="389">
        <v>0</v>
      </c>
      <c r="BL59" s="312"/>
      <c r="BM59" s="350" t="s">
        <v>59</v>
      </c>
      <c r="BN59" s="350">
        <f t="array" ref="BN59">IF(Ration_hivernale_complète_bisons[somme]&gt;0,0,IFERROR(IF(OR(AND(INDEX(Règles_bison[Specificite],MATCH(ChoixRationBisons&amp;$BM59,Règles_bison[Ration]&amp;Règles_bison[Aliment],0))="s1",IF($BM59=ChoixSpécificité1Bisons,1)),
INDEX(Règles_bison[Specificite],MATCH(ChoixRationBisons&amp;$BM59,Règles_bison[Ration]&amp;Règles_bison[Aliment],0))="c"),
INDEX(Règles_bison[Valeur 36 et plus],MATCH(ChoixRationBisons&amp;$BM59,Règles_bison[Ration]&amp;Règles_bison[Aliment],0)),0),0)*TotalBisonsMalesAdultes*NbreJoursNourrirBisonsDaims)</f>
        <v>0</v>
      </c>
      <c r="BO59" s="350">
        <f t="array" ref="BO59">IF(Ration_hivernale_complète_bisons[somme]&gt;0,0,IFERROR(IF(OR(AND(INDEX(Règles_bison[Specificite],MATCH(ChoixRationBisons&amp;$BM59,Règles_bison[Ration]&amp;Règles_bison[Aliment],0))="s1",IF($BM59=ChoixSpécificité1Bisons,1)),
INDEX(Règles_bison[Specificite],MATCH(ChoixRationBisons&amp;$BM59,Règles_bison[Ration]&amp;Règles_bison[Aliment],0))="c"),
INDEX(Règles_bison[Valeur 24-36],MATCH(ChoixRationBisons&amp;$BM59,Règles_bison[Ration]&amp;Règles_bison[Aliment],0)),0),0)*TotalBisonsMales_24_36_mois*NbreJoursNourrirBisonsDaims)</f>
        <v>0</v>
      </c>
      <c r="BP59" s="350">
        <f t="array" ref="BP59">IF(Ration_hivernale_complète_bisons[somme]&gt;0,0,IFERROR(IF(OR(AND(INDEX(Règles_bison[Specificite],MATCH(ChoixRationBisons&amp;$BM59,Règles_bison[Ration]&amp;Règles_bison[Aliment],0))="s1",IF($BM59=ChoixSpécificité1Bisons,1)),
INDEX(Règles_bison[Specificite],MATCH(ChoixRationBisons&amp;$BM59,Règles_bison[Ration]&amp;Règles_bison[Aliment],0))="c"),
INDEX(Règles_bison[Valeur 18-24],MATCH(ChoixRationBisons&amp;$BM59,Règles_bison[Ration]&amp;Règles_bison[Aliment],0)),0),0)*TotalBisonsMales_18_24_mois*NbreJoursNourrirBisonsDaims)</f>
        <v>0</v>
      </c>
      <c r="BQ59" s="350">
        <f t="array" ref="BQ59">IF(Ration_hivernale_complète_bisons[somme]&gt;0,0,IFERROR(IF(OR(AND(INDEX(Règles_bison[Specificite],MATCH(ChoixRationBisons&amp;$BM59,Règles_bison[Ration]&amp;Règles_bison[Aliment],0))="s1",IF($BM59=ChoixSpécificité1Bisons,1)),
INDEX(Règles_bison[Specificite],MATCH(ChoixRationBisons&amp;$BM59,Règles_bison[Ration]&amp;Règles_bison[Aliment],0))="c"),
INDEX(Règles_bison[Valeur 12-18],MATCH(ChoixRationBisons&amp;$BM59,Règles_bison[Ration]&amp;Règles_bison[Aliment],0)),0),0)*TotalBisonsMales_12_18_mois*NbreJoursNourrirBisonsDaims)</f>
        <v>0</v>
      </c>
      <c r="BR59" s="350">
        <f t="array" ref="BR59">IF(Ration_hivernale_complète_bisons[somme]&gt;0,0,IFERROR(IF(OR(AND(INDEX(Règles_bison[Specificite],MATCH(ChoixRationBisons&amp;$BM59,Règles_bison[Ration]&amp;Règles_bison[Aliment],0))="s1",IF($BM59=ChoixSpécificité1Bisons,1)),
INDEX(Règles_bison[Specificite],MATCH(ChoixRationBisons&amp;$BM59,Règles_bison[Ration]&amp;Règles_bison[Aliment],0))="c"),
INDEX(Règles_bison[Valeur 6-12],MATCH(ChoixRationBisons&amp;$BM59,Règles_bison[Ration]&amp;Règles_bison[Aliment],0)),0),0)*TotalBisonsMales_6_12_mois*NbreJoursNourrirBisonsDaims)</f>
        <v>0</v>
      </c>
      <c r="BS59" s="350">
        <f t="array" ref="BS59">IF(Ration_hivernale_complète_bisons[somme]&gt;0,0,IFERROR(IF(OR(AND(INDEX(Règles_bison[Specificite],MATCH(ChoixRationBisons&amp;$BM59,Règles_bison[Ration]&amp;Règles_bison[Aliment],0))="s1",IF($BM59=ChoixSpécificité1Bisons,1)),
INDEX(Règles_bison[Specificite],MATCH(ChoixRationBisons&amp;$BM59,Règles_bison[Ration]&amp;Règles_bison[Aliment],0))="c"),
INDEX(Règles_bison[Valeur 3-6],MATCH(ChoixRationBisons&amp;$BM59,Règles_bison[Ration]&amp;Règles_bison[Aliment],0)),0),0)*TotalBisonsMales_3_6_mois*NbreJoursNourrirBisonsDaims)</f>
        <v>0</v>
      </c>
      <c r="BT59" s="350">
        <f t="array" ref="BT59">IF(Ration_hivernale_complète_bisons[somme]&gt;0,0,IFERROR(IF(OR(AND(INDEX(Règles_bison[Specificite],MATCH(ChoixRationBisons&amp;$BM59,Règles_bison[Ration]&amp;Règles_bison[Aliment],0))="s1",IF($BM59=ChoixSpécificité1Bisons,1)),
INDEX(Règles_bison[Specificite],MATCH(ChoixRationBisons&amp;$BM59,Règles_bison[Ration]&amp;Règles_bison[Aliment],0))="c"),
INDEX(Règles_bison[Valeur 0-3],MATCH(ChoixRationBisons&amp;$BM59,Règles_bison[Ration]&amp;Règles_bison[Aliment],0)),0),0)*TotalBisonsMales_0_3_mois*NbreJoursNourrirBisonsDaims)</f>
        <v>0</v>
      </c>
      <c r="BU59" s="350">
        <f t="shared" si="10"/>
        <v>0</v>
      </c>
      <c r="BX59" s="373" t="s">
        <v>548</v>
      </c>
      <c r="BY59" s="280" t="s">
        <v>168</v>
      </c>
      <c r="BZ59" s="280" t="s">
        <v>886</v>
      </c>
      <c r="CA59" s="280">
        <v>2</v>
      </c>
      <c r="CB59" s="280">
        <v>2</v>
      </c>
      <c r="CC59" s="280">
        <v>1.2</v>
      </c>
      <c r="CD59" s="410">
        <v>2.8</v>
      </c>
      <c r="CE59" s="304"/>
      <c r="CF59" s="304"/>
      <c r="CG59" s="304"/>
      <c r="CH59" s="304"/>
      <c r="CJ59" s="420" t="s">
        <v>1165</v>
      </c>
      <c r="CK59" s="384">
        <f t="array" ref="CK5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59" s="384">
        <f t="array" ref="CL5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59" s="384">
        <f t="array" ref="CM5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59" s="384">
        <f t="array" ref="CN5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59" s="384">
        <f t="array" ref="CO5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59" s="426">
        <f>SUM(AlimentsRationPorcinsMâles[[#This Row],[Valeur 12 et plus]:[Valeur 0-1]])</f>
        <v>0</v>
      </c>
      <c r="CS59" s="420" t="s">
        <v>220</v>
      </c>
      <c r="CT59" s="433">
        <f t="array" ref="CT59">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59" s="433">
        <f t="array" ref="CU59">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59" s="433">
        <f t="array" ref="CV59">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59" s="434">
        <f>SUM(AlimentsRationLapinsMâles[[#This Row],[Valeur 3 et plus]:[Valeur 0-1]])</f>
        <v>0</v>
      </c>
      <c r="CZ59" s="420" t="s">
        <v>220</v>
      </c>
      <c r="DA59" s="433">
        <f t="array" ref="DA5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59" s="433">
        <f t="array" ref="DB5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59" s="433">
        <f t="array" ref="DC5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59" s="434">
        <f>SUM(AlimentsRationVolaillesMâles[[#This Row],[Valeur 6 et plus]:[Valeur 0-1]])</f>
        <v>0</v>
      </c>
      <c r="DE59" s="316"/>
      <c r="DF59" s="277"/>
      <c r="DG59" s="420" t="s">
        <v>518</v>
      </c>
      <c r="DH59" s="433">
        <f t="array" ref="DH5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59" s="433">
        <f t="array" ref="DI5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59" s="433">
        <f t="array" ref="DJ5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59" s="434">
        <f>SUM(AlimentsRationPintadesMâles[[#This Row],[Valeur 9 et plus]:[Valeur 0-1]])</f>
        <v>0</v>
      </c>
      <c r="DL59" s="316"/>
      <c r="DM59" s="316"/>
      <c r="DN59" s="280" t="s">
        <v>798</v>
      </c>
      <c r="DO59" s="280">
        <v>910</v>
      </c>
      <c r="DQ59" s="280" t="s">
        <v>798</v>
      </c>
      <c r="DR59" s="280">
        <v>1092</v>
      </c>
      <c r="DV59" s="350" t="s">
        <v>57</v>
      </c>
      <c r="DW59" s="351">
        <f t="array" ref="DW59">IF(ChoixRationComplèteDaims=OUI,0,IFERROR(IF(OR(AND(INDEX(Règles_daims[Specificite],MATCH(ChoixRationDaims&amp;DV59,Règles_daims[Ration]&amp;Règles_daims[Aliment],0))="s1",IF(DV59=Spécificité1Daims,1)),
AND(INDEX(Règles_daims[Specificite],MATCH(ChoixRationDaims&amp;DV59,Règles_daims[Ration]&amp;Règles_daims[Aliment],0))="s2",IF(DV59=Spécificité2Daims,1)),
INDEX(Règles_daims[Specificite],MATCH(ChoixRationDaims&amp;DV59,Règles_daims[Ration]&amp;Règles_daims[Aliment],0))="c"),
INDEX(Règles_daims[Valeur 36 et plus],MATCH(ChoixRationDaims&amp;DV59,Règles_daims[Ration]&amp;Règles_daims[Aliment],0)),0),0)*SUM(TotalDaimsAdultes)*NbreJoursNourrirBisonsDaims)</f>
        <v>0</v>
      </c>
      <c r="DX59" s="351">
        <f t="array" ref="DX59">IF(ChoixRationComplèteDaims=OUI,0,IFERROR(IF(OR(AND(INDEX(Règles_daims[Specificite],MATCH(ChoixRationDaims&amp;DV59,Règles_daims[Ration]&amp;Règles_daims[Aliment],0))="s1",IF(DV59=Spécificité1Daims,1)),
AND(INDEX(Règles_daims[Specificite],MATCH(ChoixRationDaims&amp;DV59,Règles_daims[Ration]&amp;Règles_daims[Aliment],0))="s2",IF(DV59=Spécificité2Daims,1)),
INDEX(Règles_daims[Specificite],MATCH(ChoixRationDaims&amp;DV59,Règles_daims[Ration]&amp;Règles_daims[Aliment],0))="c"),
INDEX(Règles_daims[Valeur 24-36],MATCH(ChoixRationDaims&amp;DV59,Règles_daims[Ration]&amp;Règles_daims[Aliment],0)),0),0)*SUM(TotalDaims24_36)*NbreJoursNourrirBisonsDaims)</f>
        <v>0</v>
      </c>
      <c r="DY59" s="351">
        <f t="array" ref="DY59">IF(ChoixRationComplèteDaims=OUI,0,IFERROR(IF(OR(AND(INDEX(Règles_daims[Specificite],MATCH(ChoixRationDaims&amp;DV59,Règles_daims[Ration]&amp;Règles_daims[Aliment],0))="s1",IF(DV59=Spécificité1Daims,1)),
AND(INDEX(Règles_daims[Specificite],MATCH(ChoixRationDaims&amp;DV59,Règles_daims[Ration]&amp;Règles_daims[Aliment],0))="s2",IF(DV59=Spécificité2Daims,1)),
INDEX(Règles_daims[Specificite],MATCH(ChoixRationDaims&amp;DV59,Règles_daims[Ration]&amp;Règles_daims[Aliment],0))="c"),
INDEX(Règles_daims[Valeur 18-24],MATCH(ChoixRationDaims&amp;DV59,Règles_daims[Ration]&amp;Règles_daims[Aliment],0)),0),0)*SUM(TotalDaims18_24)*NbreJoursNourrirBisonsDaims)</f>
        <v>0</v>
      </c>
      <c r="DZ59" s="441">
        <f t="array" ref="DZ59">IF(ChoixRationComplèteDaims=OUI,0,IFERROR(IF(OR(AND(INDEX(Règles_daims[Specificite],MATCH(ChoixRationDaims&amp;DV59,Règles_daims[Ration]&amp;Règles_daims[Aliment],0))="s1",IF(DV59=Spécificité1Daims,1)),
AND(INDEX(Règles_daims[Specificite],MATCH(ChoixRationDaims&amp;DV59,Règles_daims[Ration]&amp;Règles_daims[Aliment],0))="s2",IF(DV59=Spécificité2Daims,1)),
INDEX(Règles_daims[Specificite],MATCH(ChoixRationDaims&amp;DV59,Règles_daims[Ration]&amp;Règles_daims[Aliment],0))="c"),
INDEX(Règles_daims[Valeur 12-18],MATCH(ChoixRationDaims&amp;DV59,Règles_daims[Ration]&amp;Règles_daims[Aliment],0)),0),0)*SUM(TotalDaims12_18)*NbreJoursNourrirBisonsDaims)</f>
        <v>0</v>
      </c>
      <c r="EA59" s="441">
        <f t="array" ref="EA59">IF(ChoixRationComplèteDaims=OUI,0,IFERROR(IF(OR(AND(INDEX(Règles_daims[Specificite],MATCH(ChoixRationDaims&amp;DV59,Règles_daims[Ration]&amp;Règles_daims[Aliment],0))="s1",IF(DV59=Spécificité1Daims,1)),
AND(INDEX(Règles_daims[Specificite],MATCH(ChoixRationDaims&amp;DV59,Règles_daims[Ration]&amp;Règles_daims[Aliment],0))="s2",IF(DV59=Spécificité2Daims,1)),
INDEX(Règles_daims[Specificite],MATCH(ChoixRationDaims&amp;DV59,Règles_daims[Ration]&amp;Règles_daims[Aliment],0))="c"),
INDEX(Règles_daims[Valeur 6-12],MATCH(ChoixRationDaims&amp;DV59,Règles_daims[Ration]&amp;Règles_daims[Aliment],0)),0),0)*SUM(TotalDaims6_12)*NbreJoursNourrirBisonsDaims)</f>
        <v>0</v>
      </c>
      <c r="EB59" s="441">
        <f t="array" ref="EB59">IF(ChoixRationComplèteDaims=OUI,0,IFERROR(IF(OR(AND(INDEX(Règles_daims[Specificite],MATCH(ChoixRationDaims&amp;DV59,Règles_daims[Ration]&amp;Règles_daims[Aliment],0))="s1",IF(DV59=Spécificité1Daims,1)),
AND(INDEX(Règles_daims[Specificite],MATCH(ChoixRationDaims&amp;DV59,Règles_daims[Ration]&amp;Règles_daims[Aliment],0))="s2",IF(DV59=Spécificité2Daims,1)),
INDEX(Règles_daims[Specificite],MATCH(ChoixRationDaims&amp;DV59,Règles_daims[Ration]&amp;Règles_daims[Aliment],0))="c"),
INDEX(Règles_daims[Valeur 3-6],MATCH(ChoixRationDaims&amp;DV59,Règles_daims[Ration]&amp;Règles_daims[Aliment],0)),0),0)*SUM(TotalDaims3_6)*NbreJoursNourrirBisonsDaims)</f>
        <v>0</v>
      </c>
      <c r="EC59" s="441">
        <f t="array" ref="EC59">IF(ChoixRationComplèteDaims=OUI,0,IFERROR(IF(OR(AND(INDEX(Règles_daims[Specificite],MATCH(ChoixRationDaims&amp;DV59,Règles_daims[Ration]&amp;Règles_daims[Aliment],0))="s1",IF(DV59=Spécificité1Daims,1)),
AND(INDEX(Règles_daims[Specificite],MATCH(ChoixRationDaims&amp;DV59,Règles_daims[Ration]&amp;Règles_daims[Aliment],0))="s2",IF(DV59=Spécificité2Daims,1)),
INDEX(Règles_daims[Specificite],MATCH(ChoixRationDaims&amp;DV59,Règles_daims[Ration]&amp;Règles_daims[Aliment],0))="c"),
INDEX(Règles_daims[Valeur 0-3],MATCH(ChoixRationDaims&amp;DV59,Règles_daims[Ration]&amp;Règles_daims[Aliment],0)),0),0)*SUM(TotalDaims0_3)*NbreJoursNourrirBisonsDaims)</f>
        <v>0</v>
      </c>
      <c r="ED59" s="441">
        <f t="shared" si="9"/>
        <v>0</v>
      </c>
      <c r="EG59" s="420" t="s">
        <v>499</v>
      </c>
      <c r="EH59" s="433">
        <f t="array" ref="EH5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59" s="433">
        <f t="array" ref="EI5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59" s="433">
        <f t="array" ref="EJ5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59" s="434">
        <f>SUM(AlimentsRationOiesMâles[[#This Row],[Valeur 6 et plus]:[Valeur 0-3]])</f>
        <v>0</v>
      </c>
      <c r="EL59" s="316"/>
      <c r="EN59" s="420" t="s">
        <v>1166</v>
      </c>
      <c r="EO59" s="433">
        <f t="array" ref="EO59">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59" s="433">
        <f t="array" ref="EP59">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59" s="433">
        <f t="array" ref="EQ59">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59" s="434">
        <f>SUM(Ration_canards_Mâles[[#This Row],[Valeur 6 et plus]:[Valeur 0-3]])</f>
        <v>0</v>
      </c>
      <c r="ES59" s="316"/>
      <c r="ET59" s="282"/>
      <c r="EU59" s="455" t="s">
        <v>910</v>
      </c>
      <c r="EV59" s="455" t="s">
        <v>895</v>
      </c>
      <c r="EW59" s="455" t="s">
        <v>894</v>
      </c>
      <c r="EX59" s="455" t="s">
        <v>938</v>
      </c>
      <c r="EY59" s="459" t="s">
        <v>937</v>
      </c>
      <c r="EZ59" s="455" t="s">
        <v>903</v>
      </c>
      <c r="FA59" s="298"/>
      <c r="FB59" s="298"/>
      <c r="FD59" s="457" t="s">
        <v>500</v>
      </c>
      <c r="FE59" s="458">
        <f t="array" ref="FE59">IF(OR(ChoixRationComplèteEtéChevauxTrait=OUI,ChoixRationComplèteEtéChevauxTrait="",AND(ChoixChevauxTraitPréHiver=OUI,ChoixChevauxTraitPréEté=OUI)),0,IFERROR(IF(OR(AND(INDEX(Règles_chevaux_trait[Specificite],MATCH(RationEtéChevauxTrait&amp;$FD59,Règles_chevaux_trait[Ration]&amp;Règles_chevaux_trait[Aliment],0))="s1",IF($FD59=Spécificité1ChevauxTrait,1)),
AND(INDEX(Règles_chevaux_trait[Specificite],MATCH(RationEtéChevauxTrait&amp;$FD59,Règles_chevaux_trait[Ration]&amp;Règles_chevaux_trait[Aliment],0))="s2",IF($FD59=Spécificité2ChevauxTrait,1)),
INDEX(Règles_chevaux_trait[Specificite],MATCH(RationEtéChevauxTrait&amp;$FD59,Règles_chevaux_trait[Ration]&amp;Règles_chevaux_trait[Aliment],0))="c"),
INDEX(Règles_chevaux_trait[Valeur 36 et plus],MATCH(RationEtéChevauxTrait&amp;$FD59,Règles_chevaux_trait[Ration]&amp;Règles_chevaux_trait[Aliment],0)),0),0)*TotalEtalonTrait*NbreJoursNourrirChevauxTrait)</f>
        <v>0</v>
      </c>
      <c r="FF59" s="458">
        <f t="array" ref="FF59">IF(OR(ChoixRationComplèteEtéChevauxTrait=OUI,ChoixRationComplèteEtéChevauxTrait="",AND(ChoixChevauxTraitPréHiver=OUI,ChoixChevauxTraitPréEté=OUI)),0,IFERROR(IF(OR(AND(INDEX(Règles_chevaux_trait[Specificite],MATCH(RationEtéChevauxTrait&amp;$FD59,Règles_chevaux_trait[Ration]&amp;Règles_chevaux_trait[Aliment],0))="s1",IF($FD59=Spécificité1ChevauxTrait,1)),
AND(INDEX(Règles_chevaux_trait[Specificite],MATCH(RationEtéChevauxTrait&amp;$FD59,Règles_chevaux_trait[Ration]&amp;Règles_chevaux_trait[Aliment],0))="s2",IF($FD59=Spécificité2ChevauxTrait,1)),
INDEX(Règles_chevaux_trait[Specificite],MATCH(RationEtéChevauxTrait&amp;$FD59,Règles_chevaux_trait[Ration]&amp;Règles_chevaux_trait[Aliment],0))="c"),
INDEX(Règles_chevaux_trait[Valeur 24-36],MATCH(RationEtéChevauxTrait&amp;$FD59,Règles_chevaux_trait[Ration]&amp;Règles_chevaux_trait[Aliment],0)),0),0)*TotalJeuneEtalonTrait_24_36_mois*NbreJoursNourrirChevauxTrait)</f>
        <v>0</v>
      </c>
      <c r="FG59" s="458">
        <f t="array" ref="FG59">IF(OR(ChoixRationComplèteEtéChevauxTrait=OUI,ChoixRationComplèteEtéChevauxTrait="",AND(ChoixChevauxTraitPréHiver=OUI,ChoixChevauxTraitPréEté=OUI)),0,IFERROR(IF(OR(AND(INDEX(Règles_chevaux_trait[Specificite],MATCH(RationEtéChevauxTrait&amp;$FD59,Règles_chevaux_trait[Ration]&amp;Règles_chevaux_trait[Aliment],0))="s1",IF($FD59=Spécificité1ChevauxTrait,1)),
AND(INDEX(Règles_chevaux_trait[Specificite],MATCH(RationEtéChevauxTrait&amp;$FD59,Règles_chevaux_trait[Ration]&amp;Règles_chevaux_trait[Aliment],0))="s2",IF($FD59=Spécificité2ChevauxTrait,1)),
INDEX(Règles_chevaux_trait[Specificite],MATCH(RationEtéChevauxTrait&amp;$FD59,Règles_chevaux_trait[Ration]&amp;Règles_chevaux_trait[Aliment],0))="c"),
INDEX(Règles_chevaux_trait[Valeur 12-24],MATCH(RationEtéChevauxTrait&amp;$FD59,Règles_chevaux_trait[Ration]&amp;Règles_chevaux_trait[Aliment],0)),0),0)*TotalJeuneEtalonTrait_12_24_mois*NbreJoursNourrirChevauxTrait)</f>
        <v>0</v>
      </c>
      <c r="FH59" s="460">
        <f t="array" ref="FH59">IF(OR(ChoixRationComplèteEtéChevauxTrait=OUI,ChoixRationComplèteEtéChevauxTrait="",AND(ChoixChevauxTraitPréHiver=OUI,ChoixChevauxTraitPréEté=OUI)),0,IFERROR(IF(OR(AND(INDEX(Règles_chevaux_trait[Specificite],MATCH(RationEtéChevauxTrait&amp;$FD59,Règles_chevaux_trait[Ration]&amp;Règles_chevaux_trait[Aliment],0))="s1",IF($FD59=Spécificité1ChevauxTrait,1)),
AND(INDEX(Règles_chevaux_trait[Specificite],MATCH(RationEtéChevauxTrait&amp;$FD59,Règles_chevaux_trait[Ration]&amp;Règles_chevaux_trait[Aliment],0))="s2",IF($FD59=Spécificité2ChevauxTrait,1)),
INDEX(Règles_chevaux_trait[Specificite],MATCH(RationEtéChevauxTrait&amp;$FD59,Règles_chevaux_trait[Ration]&amp;Règles_chevaux_trait[Aliment],0))="c"),
INDEX(Règles_chevaux_trait[Valeur 0-12],MATCH(RationEtéChevauxTrait&amp;$FD59,Règles_chevaux_trait[Ration]&amp;Règles_chevaux_trait[Aliment],0)),0),0)*TotalPoulainTrait_0_12_mois*NbreJoursNourrirChevauxTrait)</f>
        <v>0</v>
      </c>
      <c r="FI59" s="460">
        <f t="shared" si="15"/>
        <v>0</v>
      </c>
      <c r="FJ59" s="298"/>
      <c r="FK59" s="298"/>
      <c r="FL59" s="298"/>
      <c r="FN59" s="457" t="s">
        <v>499</v>
      </c>
      <c r="FO59" s="458">
        <f t="array" ref="FO59">IF(OR(ChoixRationComplèteEtéPoneys=OUI,ChoixRationComplèteEtéPoneys="",AND(ChoixPoneysPréHiver=OUI,ChoixPoneysPréEté=OUI)),0,IFERROR(IF(OR(AND(INDEX(Règles_poneys[Specificite],MATCH(RationEtéPoneys&amp;$FN59,Règles_poneys[Ration]&amp;Règles_poneys[Aliment],0))="s1",IF($FN59=Spécificité1Poneys,1)),
AND(INDEX(Règles_poneys[Specificite],MATCH(RationEtéPoneys&amp;$FN59,Règles_poneys[Ration]&amp;Règles_poneys[Aliment],0))="s2",IF($FN59=Spécificité2Poneys,1)),
INDEX(Règles_poneys[Specificite],MATCH(RationEtéPoneys&amp;$FN59,Règles_poneys[Ration]&amp;Règles_poneys[Aliment],0))="c"),
INDEX(Règles_poneys[Valeur 36 et plus],MATCH(RationEtéPoneys&amp;$FN59,Règles_poneys[Ration]&amp;Règles_poneys[Aliment],0)),0),0)*TotalEtalonPoney*NbreJoursNourrirPoneys)</f>
        <v>0</v>
      </c>
      <c r="FP59" s="458">
        <f t="array" ref="FP59">IF(OR(ChoixRationComplèteEtéPoneys=OUI,ChoixRationComplèteEtéPoneys="",AND(ChoixPoneysPréHiver=OUI,ChoixPoneysPréEté=OUI)),0,IFERROR(IF(OR(AND(INDEX(Règles_poneys[Specificite],MATCH(RationEtéPoneys&amp;$FN59,Règles_poneys[Ration]&amp;Règles_poneys[Aliment],0))="s1",IF($FN59=Spécificité1Poneys,1)),
AND(INDEX(Règles_poneys[Specificite],MATCH(RationEtéPoneys&amp;$FN59,Règles_poneys[Ration]&amp;Règles_poneys[Aliment],0))="s2",IF($FN59=Spécificité2Poneys,1)),
INDEX(Règles_poneys[Specificite],MATCH(RationEtéPoneys&amp;$FN59,Règles_poneys[Ration]&amp;Règles_poneys[Aliment],0))="c"),
INDEX(Règles_poneys[Valeur 36 et plus],MATCH(RationEtéPoneys&amp;$FN59,Règles_poneys[Ration]&amp;Règles_poneys[Aliment],0)),0),0)*TotalJeuneEtalonPoney_24_36_mois*NbreJoursNourrirPoneys)</f>
        <v>0</v>
      </c>
      <c r="FQ59" s="458">
        <f t="array" ref="FQ59">IF(OR(ChoixRationComplèteEtéPoneys=OUI,ChoixRationComplèteEtéPoneys="",AND(ChoixPoneysPréHiver=OUI,ChoixPoneysPréEté=OUI)),0,IFERROR(IF(OR(AND(INDEX(Règles_poneys[Specificite],MATCH(RationEtéPoneys&amp;$FN59,Règles_poneys[Ration]&amp;Règles_poneys[Aliment],0))="s1",IF($FN59=Spécificité1Poneys,1)),
AND(INDEX(Règles_poneys[Specificite],MATCH(RationEtéPoneys&amp;$FN59,Règles_poneys[Ration]&amp;Règles_poneys[Aliment],0))="s2",IF($FN59=Spécificité2Poneys,1)),
INDEX(Règles_poneys[Specificite],MATCH(RationEtéPoneys&amp;$FN59,Règles_poneys[Ration]&amp;Règles_poneys[Aliment],0))="c"),
INDEX(Règles_poneys[Valeur 36 et plus],MATCH(RationEtéPoneys&amp;$FN59,Règles_poneys[Ration]&amp;Règles_poneys[Aliment],0)),0),0)*TotalJeuneEtalonPoney_12_24_mois*NbreJoursNourrirPoneys)</f>
        <v>0</v>
      </c>
      <c r="FR59" s="460">
        <f t="array" ref="FR59">IF(OR(ChoixRationComplèteEtéPoneys=OUI,ChoixRationComplèteEtéPoneys="",AND(ChoixPoneysPréHiver=OUI,ChoixPoneysPréEté=OUI)),0,IFERROR(IF(OR(AND(INDEX(Règles_poneys[Specificite],MATCH(RationEtéPoneys&amp;$FN59,Règles_poneys[Ration]&amp;Règles_poneys[Aliment],0))="s1",IF($FN59=Spécificité1Poneys,1)),
AND(INDEX(Règles_poneys[Specificite],MATCH(RationEtéPoneys&amp;$FN59,Règles_poneys[Ration]&amp;Règles_poneys[Aliment],0))="s2",IF($FN59=Spécificité2Poneys,1)),
INDEX(Règles_poneys[Specificite],MATCH(RationEtéPoneys&amp;$FN59,Règles_poneys[Ration]&amp;Règles_poneys[Aliment],0))="c"),
INDEX(Règles_poneys[Valeur 36 et plus],MATCH(RationEtéPoneys&amp;$FN59,Règles_poneys[Ration]&amp;Règles_poneys[Aliment],0)),0),0)*TotalPoulainPoney_0_12_mois*NbreJoursNourrirPoneys)</f>
        <v>0</v>
      </c>
      <c r="FS59" s="460">
        <f t="shared" si="14"/>
        <v>0</v>
      </c>
      <c r="FT59" s="298"/>
      <c r="FU59" s="298"/>
      <c r="FV59" s="298"/>
      <c r="FW59" s="443" t="s">
        <v>267</v>
      </c>
      <c r="FX59" s="450">
        <f t="array" ref="FX59">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59" s="450">
        <f t="array" ref="FY59">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59" s="450">
        <f t="array" ref="FZ59">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59" s="450">
        <f t="array" ref="GA59">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59" s="451">
        <f>SUM(AlimentsGavageOies[[#This Row],[Valeur 6 et plus]:[Valeur 0-1]])</f>
        <v>0</v>
      </c>
      <c r="GC59" s="316"/>
      <c r="GE59" s="280" t="s">
        <v>6</v>
      </c>
      <c r="GF59" s="283"/>
      <c r="GG59" s="283" t="s">
        <v>955</v>
      </c>
      <c r="GH59" s="283" t="s">
        <v>955</v>
      </c>
      <c r="GI59" s="283" t="s">
        <v>955</v>
      </c>
      <c r="GJ59" s="283" t="s">
        <v>955</v>
      </c>
      <c r="GK59" s="283" t="s">
        <v>955</v>
      </c>
      <c r="GL59" s="283" t="s">
        <v>955</v>
      </c>
      <c r="GM59" s="283" t="s">
        <v>955</v>
      </c>
      <c r="GN59" s="283" t="s">
        <v>955</v>
      </c>
      <c r="GO59" s="283" t="s">
        <v>955</v>
      </c>
      <c r="GP59" s="283" t="s">
        <v>955</v>
      </c>
      <c r="GQ59" s="283" t="s">
        <v>955</v>
      </c>
      <c r="GR59" s="283" t="s">
        <v>955</v>
      </c>
      <c r="GS59" s="283" t="s">
        <v>955</v>
      </c>
      <c r="GT59" s="283" t="s">
        <v>955</v>
      </c>
      <c r="GU59" s="283" t="s">
        <v>955</v>
      </c>
      <c r="GV59" s="283" t="s">
        <v>955</v>
      </c>
      <c r="GY59" s="444" t="str">
        <f t="shared" si="11"/>
        <v>semences de féverole (GP)</v>
      </c>
      <c r="GZ59" s="444"/>
      <c r="HA59" s="342"/>
      <c r="HB59" s="342" t="e">
        <f>IF(COUNTIF(TypeArticleDansEntrepôt,GY59)=0,0,SUMIF(TypeArticleDansEntrepôt,GY59,QtéArticleDansEntrepôt)*VLOOKUP(GY59,#REF!,2,FALSE))</f>
        <v>#REF!</v>
      </c>
      <c r="HN59" s="342" t="e">
        <f>IF(#REF!="","",(VLOOKUP(#REF!,BDD!$HN$5:$HU$38,2,FALSE))*#REF!)</f>
        <v>#REF!</v>
      </c>
      <c r="HO59" s="342" t="e">
        <f>IF(#REF!="","",IF(OR(#REF!=Moutarde,#REF!=Phacélie),0,IF(#REF!=Luzerne,10*#REF!*VLOOKUP(#REF!,BDD!$HN$5:$HU$38,3,FALSE),IF(#REF!=Miscanthus,10.5*#REF!*VLOOKUP(#REF!,BDD!$HN$5:$HU$38,3,FALSE),INDEX(#REF!:#REF!,MATCH(#REF!,#REF!:#REF!,0),MATCH(#REF!,#REF!:#REF!,0))*#REF!*VLOOKUP(#REF!,BDD!$HN$5:$HU$38,3,FALSE)))))</f>
        <v>#REF!</v>
      </c>
      <c r="HP59" s="342" t="e">
        <f>IF(#REF!="","",IF(OR(#REF!=Moutarde,#REF!=Phacélie),0,IF(#REF!=Luzerne,10*#REF!*VLOOKUP(#REF!,BDD!$HN$5:$HU$38,4,FALSE),IF(#REF!=Miscanthus,10.5*#REF!*VLOOKUP(#REF!,BDD!$HN$5:$HU$38,4,FALSE),INDEX(#REF!:#REF!,MATCH(#REF!,#REF!:#REF!,0),MATCH(#REF!,#REF!:#REF!,0))*#REF!*VLOOKUP(#REF!,BDD!$HN$5:$HU$38,4,FALSE)))))</f>
        <v>#REF!</v>
      </c>
      <c r="HQ59" s="342" t="e">
        <f>IF(#REF!="","",IF(OR(#REF!=Moutarde,#REF!=Phacélie),0,IF(#REF!=Luzerne,10*#REF!*VLOOKUP(#REF!,BDD!$HN$5:$HU$38,5,FALSE),IF(#REF!=Miscanthus,10.5*#REF!*VLOOKUP(#REF!,BDD!$HN$5:$HU$38,5,FALSE),INDEX(#REF!:#REF!,MATCH(#REF!,#REF!:#REF!,0),MATCH(#REF!,#REF!:#REF!,0))*#REF!*VLOOKUP(#REF!,BDD!$HN$5:$HU$38,5,FALSE)))))</f>
        <v>#REF!</v>
      </c>
      <c r="HR59" s="342" t="e">
        <f>IF(#REF!="","",IF(OR(#REF!=Moutarde,#REF!=Phacélie),0,IF(#REF!=Luzerne,10*#REF!*VLOOKUP(#REF!,BDD!$HN$5:$HU$38,6,FALSE),IF(#REF!=Miscanthus,10.5*#REF!*VLOOKUP(#REF!,BDD!$HN$5:$HU$38,6,FALSE),INDEX(#REF!:#REF!,MATCH(#REF!,#REF!:#REF!,0),MATCH(#REF!,#REF!:#REF!,0))*#REF!*VLOOKUP(#REF!,BDD!$HN$5:$HU$38,6,FALSE)))))</f>
        <v>#REF!</v>
      </c>
      <c r="HS59" s="342" t="e">
        <f>IF(#REF!="","",IF(OR(#REF!=Moutarde,#REF!=Phacélie),0,IF(#REF!=Luzerne,10*#REF!*VLOOKUP(#REF!,BDD!$HN$5:$HU$38,7,FALSE),IF(#REF!=Miscanthus,10.5*#REF!*VLOOKUP(#REF!,BDD!$HN$5:$HU$38,7,FALSE),INDEX(#REF!:#REF!,MATCH(#REF!,#REF!:#REF!,0),MATCH(#REF!,#REF!:#REF!,0))*#REF!*VLOOKUP(#REF!,BDD!$HN$5:$HU$38,7,FALSE)))))</f>
        <v>#REF!</v>
      </c>
      <c r="HT59" s="342" t="e">
        <f>IF(#REF!="","",IF(OR(#REF!=Moutarde,#REF!=Phacélie),0,IF(#REF!=Luzerne,10*#REF!*VLOOKUP(#REF!,BDD!$HN$5:$HU$38,8,FALSE),IF(#REF!=Miscanthus,10.5*#REF!*VLOOKUP(#REF!,BDD!$HN$5:$HU$38,8,FALSE),INDEX(#REF!:#REF!,MATCH(#REF!,#REF!:#REF!,0),MATCH(#REF!,#REF!:#REF!,0))*#REF!*VLOOKUP(#REF!,BDD!$HN$5:$HU$38,8,FALSE)))))</f>
        <v>#REF!</v>
      </c>
      <c r="HU59" s="342" t="e">
        <f>IF(#REF!="","",IF(OR(#REF!=Moutarde,#REF!=Phacélie),0,1.6*#REF!))</f>
        <v>#REF!</v>
      </c>
      <c r="HV59" s="342" t="e">
        <f>IF(#REF!="","",IF(OR(#REF!=Moutarde,#REF!=Phacélie),0,1.6*#REF!))</f>
        <v>#REF!</v>
      </c>
      <c r="HW59" s="342" t="e">
        <f>IF(#REF!="","",IF(OR(#REF!=Moutarde,#REF!=Phacélie),0,1.6*#REF!))</f>
        <v>#REF!</v>
      </c>
      <c r="HX59" s="342" t="e">
        <f>IF(#REF!="","",(VLOOKUP(#REF!,BDD!$HN$5:$HU$38,2,FALSE))*#REF!)</f>
        <v>#REF!</v>
      </c>
      <c r="HY59" s="342" t="e">
        <f>IF(#REF!="","",IF(OR(#REF!=Moutarde,#REF!=Phacélie),0,IF(#REF!=Luzerne,10*#REF!*VLOOKUP(#REF!,BDD!$HN$5:$HU$38,3,FALSE),IF(#REF!=Miscanthus,10.5*#REF!*VLOOKUP(#REF!,BDD!$HN$5:$HU$38,3,FALSE),INDEX(#REF!:#REF!,MATCH(#REF!,#REF!:#REF!,0),MATCH(#REF!,#REF!:#REF!,0))*#REF!*VLOOKUP(#REF!,BDD!$HN$5:$HU$38,3,FALSE)))))</f>
        <v>#REF!</v>
      </c>
      <c r="HZ59" s="342" t="e">
        <f>IF(#REF!="","",IF(OR(#REF!=Moutarde,#REF!=Phacélie),0,IF(#REF!=Luzerne,10*#REF!*VLOOKUP(#REF!,BDD!$HN$5:$HU$38,4,FALSE),IF(#REF!=Miscanthus,10.5*#REF!*VLOOKUP(#REF!,BDD!$HN$5:$HU$38,4,FALSE),INDEX(#REF!:#REF!,MATCH(#REF!,#REF!:#REF!,0),MATCH(#REF!,#REF!:#REF!,0))*#REF!*VLOOKUP(#REF!,BDD!$HN$5:$HU$38,4,FALSE)))))</f>
        <v>#REF!</v>
      </c>
      <c r="IA59" s="342" t="e">
        <f>IF(#REF!="","",IF(OR(#REF!=Moutarde,#REF!=Phacélie),0,IF(#REF!=Luzerne,10*#REF!*VLOOKUP(#REF!,BDD!$HN$5:$HU$38,5,FALSE),IF(#REF!=Miscanthus,10.5*#REF!*VLOOKUP(#REF!,BDD!$HN$5:$HU$38,5,FALSE),INDEX(#REF!:#REF!,MATCH(#REF!,#REF!:#REF!,0),MATCH(#REF!,#REF!:#REF!,0))*#REF!*VLOOKUP(#REF!,BDD!$HN$5:$HU$38,5,FALSE)))))</f>
        <v>#REF!</v>
      </c>
      <c r="IB59" s="342" t="e">
        <f>IF(#REF!="","",IF(OR(#REF!=Moutarde,#REF!=Phacélie),0,IF(#REF!=Luzerne,10*#REF!*VLOOKUP(#REF!,BDD!$HN$5:$HU$38,6,FALSE),IF(#REF!=Miscanthus,10.5*#REF!*VLOOKUP(#REF!,BDD!$HN$5:$HU$38,6,FALSE),INDEX(#REF!:#REF!,MATCH(#REF!,#REF!:#REF!,0),MATCH(#REF!,#REF!:#REF!,0))*#REF!*VLOOKUP(#REF!,BDD!$HN$5:$HU$38,6,FALSE)))))</f>
        <v>#REF!</v>
      </c>
      <c r="IC59" s="342" t="e">
        <f>IF(#REF!="","",IF(OR(#REF!=Moutarde,#REF!=Phacélie),0,IF(#REF!=Luzerne,10*#REF!*VLOOKUP(#REF!,BDD!$HN$5:$HU$38,7,FALSE),IF(#REF!=Miscanthus,10.5*#REF!*VLOOKUP(#REF!,BDD!$HN$5:$HU$38,7,FALSE),INDEX(#REF!:#REF!,MATCH(#REF!,#REF!:#REF!,0),MATCH(#REF!,#REF!:#REF!,0))*#REF!*VLOOKUP(#REF!,BDD!$HN$5:$HU$38,7,FALSE)))))</f>
        <v>#REF!</v>
      </c>
      <c r="ID59" s="342" t="e">
        <f>IF(#REF!="","",IF(OR(#REF!=Moutarde,#REF!=Phacélie),0,IF(#REF!=Luzerne,10*#REF!*VLOOKUP(#REF!,BDD!$HN$5:$HU$38,8,FALSE),IF(#REF!=Miscanthus,10.5*#REF!*VLOOKUP(#REF!,BDD!$HN$5:$HU$38,8,FALSE),INDEX(#REF!:#REF!,MATCH(#REF!,#REF!:#REF!,0),MATCH(#REF!,#REF!:#REF!,0))*#REF!*VLOOKUP(#REF!,BDD!$HN$5:$HU$38,8,FALSE)))))</f>
        <v>#REF!</v>
      </c>
      <c r="IE59" s="342" t="e">
        <f>IF(#REF!="","",IF(OR(#REF!=Moutarde,#REF!=Phacélie),0,1.6*#REF!))</f>
        <v>#REF!</v>
      </c>
      <c r="IF59" s="342" t="e">
        <f>IF(#REF!="","",IF(OR(#REF!=Moutarde,#REF!=Phacélie),0,1.6*#REF!))</f>
        <v>#REF!</v>
      </c>
      <c r="IG59" s="342" t="e">
        <f>IF(#REF!="","",IF(OR(#REF!=Moutarde,#REF!=Phacélie),0,1.6*#REF!))</f>
        <v>#REF!</v>
      </c>
    </row>
    <row r="60" spans="1:241" ht="12.75" customHeight="1" x14ac:dyDescent="0.2">
      <c r="B60" s="318"/>
      <c r="F60" s="319"/>
      <c r="G60" s="319"/>
      <c r="H60" s="319"/>
      <c r="I60" s="319"/>
      <c r="J60" s="319"/>
      <c r="K60" s="319"/>
      <c r="L60" s="319"/>
      <c r="M60" s="319"/>
      <c r="N60" s="277"/>
      <c r="O60" s="280" t="s">
        <v>143</v>
      </c>
      <c r="P60" s="280"/>
      <c r="Q60" s="280"/>
      <c r="R60" s="280"/>
      <c r="S60" s="280"/>
      <c r="T60" s="280"/>
      <c r="U60" s="280"/>
      <c r="V60" s="280"/>
      <c r="W60" s="280"/>
      <c r="X60" s="280"/>
      <c r="Y60" s="280"/>
      <c r="Z60" s="280"/>
      <c r="AA60" s="280"/>
      <c r="AB60" s="280"/>
      <c r="AC60" s="280"/>
      <c r="AD60" s="280"/>
      <c r="AE60" s="280"/>
      <c r="AF60" s="280"/>
      <c r="AG60" s="280"/>
      <c r="AH60" s="280"/>
      <c r="AI60" s="280"/>
      <c r="AJ60" s="280"/>
      <c r="AK60" s="280"/>
      <c r="AL60" s="280"/>
      <c r="AM60" s="280"/>
      <c r="AN60" s="280"/>
      <c r="AO60" s="280"/>
      <c r="AP60" s="280"/>
      <c r="AQ60" s="280"/>
      <c r="AR60" s="280"/>
      <c r="AS60" s="280"/>
      <c r="AT60" s="280"/>
      <c r="AU60" s="280"/>
      <c r="AV60" s="280"/>
      <c r="AW60" s="280"/>
      <c r="AX60" s="280"/>
      <c r="AY60" s="280"/>
      <c r="BB60" s="387" t="s">
        <v>509</v>
      </c>
      <c r="BC60" s="362" t="s">
        <v>168</v>
      </c>
      <c r="BD60" s="362" t="s">
        <v>886</v>
      </c>
      <c r="BE60" s="388">
        <v>72</v>
      </c>
      <c r="BF60" s="388">
        <v>60</v>
      </c>
      <c r="BG60" s="388">
        <v>48</v>
      </c>
      <c r="BH60" s="388">
        <v>36</v>
      </c>
      <c r="BI60" s="388">
        <v>24</v>
      </c>
      <c r="BJ60" s="388">
        <v>12</v>
      </c>
      <c r="BK60" s="389">
        <v>0</v>
      </c>
      <c r="BL60" s="312"/>
      <c r="BM60" s="350" t="s">
        <v>906</v>
      </c>
      <c r="BN60" s="350">
        <f t="array" ref="BN60">IF(Ration_hivernale_complète_bisons[somme]&gt;0,0,IFERROR(IF(OR(AND(INDEX(Règles_bison[Specificite],MATCH(ChoixRationBisons&amp;$BM60,Règles_bison[Ration]&amp;Règles_bison[Aliment],0))="s1",IF($BM60=ChoixSpécificité1Bisons,1)),
INDEX(Règles_bison[Specificite],MATCH(ChoixRationBisons&amp;$BM60,Règles_bison[Ration]&amp;Règles_bison[Aliment],0))="c"),
INDEX(Règles_bison[Valeur 36 et plus],MATCH(ChoixRationBisons&amp;$BM60,Règles_bison[Ration]&amp;Règles_bison[Aliment],0)),0),0)*TotalBisonsMalesAdultes*NbreJoursNourrirBisonsDaims)</f>
        <v>0</v>
      </c>
      <c r="BO60" s="350">
        <f t="array" ref="BO60">IF(Ration_hivernale_complète_bisons[somme]&gt;0,0,IFERROR(IF(OR(AND(INDEX(Règles_bison[Specificite],MATCH(ChoixRationBisons&amp;$BM60,Règles_bison[Ration]&amp;Règles_bison[Aliment],0))="s1",IF($BM60=ChoixSpécificité1Bisons,1)),
INDEX(Règles_bison[Specificite],MATCH(ChoixRationBisons&amp;$BM60,Règles_bison[Ration]&amp;Règles_bison[Aliment],0))="c"),
INDEX(Règles_bison[Valeur 24-36],MATCH(ChoixRationBisons&amp;$BM60,Règles_bison[Ration]&amp;Règles_bison[Aliment],0)),0),0)*TotalBisonsMales_24_36_mois*NbreJoursNourrirBisonsDaims)</f>
        <v>0</v>
      </c>
      <c r="BP60" s="350">
        <f t="array" ref="BP60">IF(Ration_hivernale_complète_bisons[somme]&gt;0,0,IFERROR(IF(OR(AND(INDEX(Règles_bison[Specificite],MATCH(ChoixRationBisons&amp;$BM60,Règles_bison[Ration]&amp;Règles_bison[Aliment],0))="s1",IF($BM60=ChoixSpécificité1Bisons,1)),
INDEX(Règles_bison[Specificite],MATCH(ChoixRationBisons&amp;$BM60,Règles_bison[Ration]&amp;Règles_bison[Aliment],0))="c"),
INDEX(Règles_bison[Valeur 18-24],MATCH(ChoixRationBisons&amp;$BM60,Règles_bison[Ration]&amp;Règles_bison[Aliment],0)),0),0)*TotalBisonsMales_18_24_mois*NbreJoursNourrirBisonsDaims)</f>
        <v>0</v>
      </c>
      <c r="BQ60" s="350">
        <f t="array" ref="BQ60">IF(Ration_hivernale_complète_bisons[somme]&gt;0,0,IFERROR(IF(OR(AND(INDEX(Règles_bison[Specificite],MATCH(ChoixRationBisons&amp;$BM60,Règles_bison[Ration]&amp;Règles_bison[Aliment],0))="s1",IF($BM60=ChoixSpécificité1Bisons,1)),
INDEX(Règles_bison[Specificite],MATCH(ChoixRationBisons&amp;$BM60,Règles_bison[Ration]&amp;Règles_bison[Aliment],0))="c"),
INDEX(Règles_bison[Valeur 12-18],MATCH(ChoixRationBisons&amp;$BM60,Règles_bison[Ration]&amp;Règles_bison[Aliment],0)),0),0)*TotalBisonsMales_12_18_mois*NbreJoursNourrirBisonsDaims)</f>
        <v>0</v>
      </c>
      <c r="BR60" s="350">
        <f t="array" ref="BR60">IF(Ration_hivernale_complète_bisons[somme]&gt;0,0,IFERROR(IF(OR(AND(INDEX(Règles_bison[Specificite],MATCH(ChoixRationBisons&amp;$BM60,Règles_bison[Ration]&amp;Règles_bison[Aliment],0))="s1",IF($BM60=ChoixSpécificité1Bisons,1)),
INDEX(Règles_bison[Specificite],MATCH(ChoixRationBisons&amp;$BM60,Règles_bison[Ration]&amp;Règles_bison[Aliment],0))="c"),
INDEX(Règles_bison[Valeur 6-12],MATCH(ChoixRationBisons&amp;$BM60,Règles_bison[Ration]&amp;Règles_bison[Aliment],0)),0),0)*TotalBisonsMales_6_12_mois*NbreJoursNourrirBisonsDaims)</f>
        <v>0</v>
      </c>
      <c r="BS60" s="350">
        <f t="array" ref="BS60">IF(Ration_hivernale_complète_bisons[somme]&gt;0,0,IFERROR(IF(OR(AND(INDEX(Règles_bison[Specificite],MATCH(ChoixRationBisons&amp;$BM60,Règles_bison[Ration]&amp;Règles_bison[Aliment],0))="s1",IF($BM60=ChoixSpécificité1Bisons,1)),
INDEX(Règles_bison[Specificite],MATCH(ChoixRationBisons&amp;$BM60,Règles_bison[Ration]&amp;Règles_bison[Aliment],0))="c"),
INDEX(Règles_bison[Valeur 3-6],MATCH(ChoixRationBisons&amp;$BM60,Règles_bison[Ration]&amp;Règles_bison[Aliment],0)),0),0)*TotalBisonsMales_3_6_mois*NbreJoursNourrirBisonsDaims)</f>
        <v>0</v>
      </c>
      <c r="BT60" s="350">
        <f t="array" ref="BT60">IF(Ration_hivernale_complète_bisons[somme]&gt;0,0,IFERROR(IF(OR(AND(INDEX(Règles_bison[Specificite],MATCH(ChoixRationBisons&amp;$BM60,Règles_bison[Ration]&amp;Règles_bison[Aliment],0))="s1",IF($BM60=ChoixSpécificité1Bisons,1)),
INDEX(Règles_bison[Specificite],MATCH(ChoixRationBisons&amp;$BM60,Règles_bison[Ration]&amp;Règles_bison[Aliment],0))="c"),
INDEX(Règles_bison[Valeur 0-3],MATCH(ChoixRationBisons&amp;$BM60,Règles_bison[Ration]&amp;Règles_bison[Aliment],0)),0),0)*TotalBisonsMales_0_3_mois*NbreJoursNourrirBisonsDaims)</f>
        <v>0</v>
      </c>
      <c r="BU60" s="350">
        <f t="shared" si="10"/>
        <v>0</v>
      </c>
      <c r="BX60" s="373" t="s">
        <v>548</v>
      </c>
      <c r="BY60" s="280" t="s">
        <v>489</v>
      </c>
      <c r="BZ60" s="280" t="s">
        <v>886</v>
      </c>
      <c r="CA60" s="280">
        <v>1.6</v>
      </c>
      <c r="CB60" s="280">
        <v>1.4</v>
      </c>
      <c r="CC60" s="280">
        <v>1.2</v>
      </c>
      <c r="CD60" s="410">
        <v>1</v>
      </c>
      <c r="CE60" s="304"/>
      <c r="CF60" s="304"/>
      <c r="CG60" s="304"/>
      <c r="CH60" s="304"/>
      <c r="CJ60" s="420" t="s">
        <v>513</v>
      </c>
      <c r="CK60" s="384">
        <f t="array" ref="CK6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60" s="384">
        <f t="array" ref="CL6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60" s="384">
        <f t="array" ref="CM6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60" s="384">
        <f t="array" ref="CN6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60" s="384">
        <f t="array" ref="CO6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60" s="426">
        <f>SUM(AlimentsRationPorcinsMâles[[#This Row],[Valeur 12 et plus]:[Valeur 0-1]])</f>
        <v>0</v>
      </c>
      <c r="CS60" s="420" t="s">
        <v>515</v>
      </c>
      <c r="CT60" s="433">
        <f t="array" ref="CT60">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60" s="433">
        <f t="array" ref="CU60">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60" s="433">
        <f t="array" ref="CV60">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60" s="434">
        <f>SUM(AlimentsRationLapinsMâles[[#This Row],[Valeur 3 et plus]:[Valeur 0-1]])</f>
        <v>0</v>
      </c>
      <c r="CZ60" s="420" t="s">
        <v>515</v>
      </c>
      <c r="DA60" s="433">
        <f t="array" ref="DA6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60" s="433">
        <f t="array" ref="DB6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60" s="433">
        <f t="array" ref="DC6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60" s="434">
        <f>SUM(AlimentsRationVolaillesMâles[[#This Row],[Valeur 6 et plus]:[Valeur 0-1]])</f>
        <v>0</v>
      </c>
      <c r="DE60" s="316"/>
      <c r="DF60" s="277"/>
      <c r="DG60" s="420" t="s">
        <v>265</v>
      </c>
      <c r="DH60" s="433">
        <f t="array" ref="DH6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60" s="433">
        <f t="array" ref="DI6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60" s="433">
        <f t="array" ref="DJ6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60" s="434">
        <f>SUM(AlimentsRationPintadesMâles[[#This Row],[Valeur 9 et plus]:[Valeur 0-1]])</f>
        <v>0</v>
      </c>
      <c r="DL60" s="316"/>
      <c r="DM60" s="316"/>
      <c r="DN60" s="280" t="s">
        <v>799</v>
      </c>
      <c r="DO60" s="280">
        <v>920</v>
      </c>
      <c r="DQ60" s="280" t="s">
        <v>799</v>
      </c>
      <c r="DR60" s="280">
        <v>1104</v>
      </c>
      <c r="DV60" s="350" t="s">
        <v>488</v>
      </c>
      <c r="DW60" s="351">
        <f t="array" ref="DW60">IF(ChoixRationComplèteDaims=OUI,0,IFERROR(IF(OR(AND(INDEX(Règles_daims[Specificite],MATCH(ChoixRationDaims&amp;DV60,Règles_daims[Ration]&amp;Règles_daims[Aliment],0))="s1",IF(DV60=Spécificité1Daims,1)),
AND(INDEX(Règles_daims[Specificite],MATCH(ChoixRationDaims&amp;DV60,Règles_daims[Ration]&amp;Règles_daims[Aliment],0))="s2",IF(DV60=Spécificité2Daims,1)),
INDEX(Règles_daims[Specificite],MATCH(ChoixRationDaims&amp;DV60,Règles_daims[Ration]&amp;Règles_daims[Aliment],0))="c"),
INDEX(Règles_daims[Valeur 36 et plus],MATCH(ChoixRationDaims&amp;DV60,Règles_daims[Ration]&amp;Règles_daims[Aliment],0)),0),0)*SUM(TotalDaimsAdultes)*NbreJoursNourrirBisonsDaims)</f>
        <v>0</v>
      </c>
      <c r="DX60" s="351">
        <f t="array" ref="DX60">IF(ChoixRationComplèteDaims=OUI,0,IFERROR(IF(OR(AND(INDEX(Règles_daims[Specificite],MATCH(ChoixRationDaims&amp;DV60,Règles_daims[Ration]&amp;Règles_daims[Aliment],0))="s1",IF(DV60=Spécificité1Daims,1)),
AND(INDEX(Règles_daims[Specificite],MATCH(ChoixRationDaims&amp;DV60,Règles_daims[Ration]&amp;Règles_daims[Aliment],0))="s2",IF(DV60=Spécificité2Daims,1)),
INDEX(Règles_daims[Specificite],MATCH(ChoixRationDaims&amp;DV60,Règles_daims[Ration]&amp;Règles_daims[Aliment],0))="c"),
INDEX(Règles_daims[Valeur 24-36],MATCH(ChoixRationDaims&amp;DV60,Règles_daims[Ration]&amp;Règles_daims[Aliment],0)),0),0)*SUM(TotalDaims24_36)*NbreJoursNourrirBisonsDaims)</f>
        <v>0</v>
      </c>
      <c r="DY60" s="351">
        <f t="array" ref="DY60">IF(ChoixRationComplèteDaims=OUI,0,IFERROR(IF(OR(AND(INDEX(Règles_daims[Specificite],MATCH(ChoixRationDaims&amp;DV60,Règles_daims[Ration]&amp;Règles_daims[Aliment],0))="s1",IF(DV60=Spécificité1Daims,1)),
AND(INDEX(Règles_daims[Specificite],MATCH(ChoixRationDaims&amp;DV60,Règles_daims[Ration]&amp;Règles_daims[Aliment],0))="s2",IF(DV60=Spécificité2Daims,1)),
INDEX(Règles_daims[Specificite],MATCH(ChoixRationDaims&amp;DV60,Règles_daims[Ration]&amp;Règles_daims[Aliment],0))="c"),
INDEX(Règles_daims[Valeur 18-24],MATCH(ChoixRationDaims&amp;DV60,Règles_daims[Ration]&amp;Règles_daims[Aliment],0)),0),0)*SUM(TotalDaims18_24)*NbreJoursNourrirBisonsDaims)</f>
        <v>0</v>
      </c>
      <c r="DZ60" s="441">
        <f t="array" ref="DZ60">IF(ChoixRationComplèteDaims=OUI,0,IFERROR(IF(OR(AND(INDEX(Règles_daims[Specificite],MATCH(ChoixRationDaims&amp;DV60,Règles_daims[Ration]&amp;Règles_daims[Aliment],0))="s1",IF(DV60=Spécificité1Daims,1)),
AND(INDEX(Règles_daims[Specificite],MATCH(ChoixRationDaims&amp;DV60,Règles_daims[Ration]&amp;Règles_daims[Aliment],0))="s2",IF(DV60=Spécificité2Daims,1)),
INDEX(Règles_daims[Specificite],MATCH(ChoixRationDaims&amp;DV60,Règles_daims[Ration]&amp;Règles_daims[Aliment],0))="c"),
INDEX(Règles_daims[Valeur 12-18],MATCH(ChoixRationDaims&amp;DV60,Règles_daims[Ration]&amp;Règles_daims[Aliment],0)),0),0)*SUM(TotalDaims12_18)*NbreJoursNourrirBisonsDaims)</f>
        <v>0</v>
      </c>
      <c r="EA60" s="441">
        <f t="array" ref="EA60">IF(ChoixRationComplèteDaims=OUI,0,IFERROR(IF(OR(AND(INDEX(Règles_daims[Specificite],MATCH(ChoixRationDaims&amp;DV60,Règles_daims[Ration]&amp;Règles_daims[Aliment],0))="s1",IF(DV60=Spécificité1Daims,1)),
AND(INDEX(Règles_daims[Specificite],MATCH(ChoixRationDaims&amp;DV60,Règles_daims[Ration]&amp;Règles_daims[Aliment],0))="s2",IF(DV60=Spécificité2Daims,1)),
INDEX(Règles_daims[Specificite],MATCH(ChoixRationDaims&amp;DV60,Règles_daims[Ration]&amp;Règles_daims[Aliment],0))="c"),
INDEX(Règles_daims[Valeur 6-12],MATCH(ChoixRationDaims&amp;DV60,Règles_daims[Ration]&amp;Règles_daims[Aliment],0)),0),0)*SUM(TotalDaims6_12)*NbreJoursNourrirBisonsDaims)</f>
        <v>0</v>
      </c>
      <c r="EB60" s="441">
        <f t="array" ref="EB60">IF(ChoixRationComplèteDaims=OUI,0,IFERROR(IF(OR(AND(INDEX(Règles_daims[Specificite],MATCH(ChoixRationDaims&amp;DV60,Règles_daims[Ration]&amp;Règles_daims[Aliment],0))="s1",IF(DV60=Spécificité1Daims,1)),
AND(INDEX(Règles_daims[Specificite],MATCH(ChoixRationDaims&amp;DV60,Règles_daims[Ration]&amp;Règles_daims[Aliment],0))="s2",IF(DV60=Spécificité2Daims,1)),
INDEX(Règles_daims[Specificite],MATCH(ChoixRationDaims&amp;DV60,Règles_daims[Ration]&amp;Règles_daims[Aliment],0))="c"),
INDEX(Règles_daims[Valeur 3-6],MATCH(ChoixRationDaims&amp;DV60,Règles_daims[Ration]&amp;Règles_daims[Aliment],0)),0),0)*SUM(TotalDaims3_6)*NbreJoursNourrirBisonsDaims)</f>
        <v>0</v>
      </c>
      <c r="EC60" s="441">
        <f t="array" ref="EC60">IF(ChoixRationComplèteDaims=OUI,0,IFERROR(IF(OR(AND(INDEX(Règles_daims[Specificite],MATCH(ChoixRationDaims&amp;DV60,Règles_daims[Ration]&amp;Règles_daims[Aliment],0))="s1",IF(DV60=Spécificité1Daims,1)),
AND(INDEX(Règles_daims[Specificite],MATCH(ChoixRationDaims&amp;DV60,Règles_daims[Ration]&amp;Règles_daims[Aliment],0))="s2",IF(DV60=Spécificité2Daims,1)),
INDEX(Règles_daims[Specificite],MATCH(ChoixRationDaims&amp;DV60,Règles_daims[Ration]&amp;Règles_daims[Aliment],0))="c"),
INDEX(Règles_daims[Valeur 0-3],MATCH(ChoixRationDaims&amp;DV60,Règles_daims[Ration]&amp;Règles_daims[Aliment],0)),0),0)*SUM(TotalDaims0_3)*NbreJoursNourrirBisonsDaims)</f>
        <v>0</v>
      </c>
      <c r="ED60" s="441">
        <f t="shared" si="9"/>
        <v>0</v>
      </c>
      <c r="EG60" s="420" t="s">
        <v>1166</v>
      </c>
      <c r="EH60" s="433">
        <f t="array" ref="EH6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60" s="433">
        <f t="array" ref="EI6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60" s="433">
        <f t="array" ref="EJ6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60" s="434">
        <f>SUM(AlimentsRationOiesMâles[[#This Row],[Valeur 6 et plus]:[Valeur 0-3]])</f>
        <v>0</v>
      </c>
      <c r="EL60" s="316"/>
      <c r="EN60" s="420" t="s">
        <v>1167</v>
      </c>
      <c r="EO60" s="433">
        <f t="array" ref="EO60">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60" s="433">
        <f t="array" ref="EP60">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60" s="433">
        <f t="array" ref="EQ60">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60" s="434">
        <f>SUM(Ration_canards_Mâles[[#This Row],[Valeur 6 et plus]:[Valeur 0-3]])</f>
        <v>0</v>
      </c>
      <c r="ES60" s="316"/>
      <c r="EU60" s="457" t="s">
        <v>490</v>
      </c>
      <c r="EV60" s="458">
        <f t="array" ref="EV60">IF(OR(ChoixRationComplèteEtéChevauxSelle=OUI,ChoixRationComplèteEtéChevauxSelle="",AND(ChoixChevauxSellePréHiver=OUI,ChoixChevauxSellePréEté=OUI)),0,IFERROR(IF(OR(AND(INDEX(Règles_chevaux_selle[Specificite],MATCH(RationEtéChevauxSelle&amp;$EU60,Règles_chevaux_selle[Ration]&amp;Règles_chevaux_selle[Aliment],0))="s1",IF($EU60=Spécificité1ChevauxSelle,1)),
AND(INDEX(Règles_chevaux_selle[Specificite],MATCH(RationEtéChevauxSelle&amp;$EU60,Règles_chevaux_selle[Ration]&amp;Règles_chevaux_selle[Aliment],0))="s2",IF($EU60=Spécificité2ChevauxSelle,1)),
INDEX(Règles_chevaux_selle[Specificite],MATCH(RationEtéChevauxSelle&amp;$EU60,Règles_chevaux_selle[Ration]&amp;Règles_chevaux_selle[Aliment],0))="c"),
INDEX(Règles_chevaux_selle[Valeur 36 et plus],MATCH(RationEtéChevauxSelle&amp;$EU60,Règles_chevaux_selle[Ration]&amp;Règles_chevaux_selle[Aliment],0)),0),0)*TotalEtalonSelle*NbreJoursNourrirChevauxSelle)</f>
        <v>0</v>
      </c>
      <c r="EW60" s="458">
        <f t="array" ref="EW60">IF(OR(ChoixRationComplèteEtéChevauxSelle=OUI,ChoixRationComplèteEtéChevauxSelle="",AND(ChoixChevauxSellePréHiver=OUI,ChoixChevauxSellePréEté=OUI)),0,IFERROR(IF(OR(AND(INDEX(Règles_chevaux_selle[Specificite],MATCH(RationEtéChevauxSelle&amp;$EU60,Règles_chevaux_selle[Ration]&amp;Règles_chevaux_selle[Aliment],0))="s1",IF($EU60=Spécificité1ChevauxSelle,1)),
AND(INDEX(Règles_chevaux_selle[Specificite],MATCH(RationEtéChevauxSelle&amp;$EU60,Règles_chevaux_selle[Ration]&amp;Règles_chevaux_selle[Aliment],0))="s2",IF($EU60=Spécificité2ChevauxSelle,1)),
INDEX(Règles_chevaux_selle[Specificite],MATCH(RationEtéChevauxSelle&amp;$EU60,Règles_chevaux_selle[Ration]&amp;Règles_chevaux_selle[Aliment],0))="c"),
INDEX(Règles_chevaux_selle[Valeur 24-36],MATCH(RationEtéChevauxSelle&amp;$EU60,Règles_chevaux_selle[Ration]&amp;Règles_chevaux_selle[Aliment],0)),0),0)*TotalJeuneEtalonSelle_24_36_mois*NbreJoursNourrirChevauxSelle)</f>
        <v>0</v>
      </c>
      <c r="EX60" s="458">
        <f t="array" ref="EX60">IF(OR(ChoixRationComplèteEtéChevauxSelle=OUI,ChoixRationComplèteEtéChevauxSelle="",AND(ChoixChevauxSellePréHiver=OUI,ChoixChevauxSellePréEté=OUI)),0,IFERROR(IF(OR(AND(INDEX(Règles_chevaux_selle[Specificite],MATCH(RationEtéChevauxSelle&amp;$EU60,Règles_chevaux_selle[Ration]&amp;Règles_chevaux_selle[Aliment],0))="s1",IF($EU60=Spécificité1ChevauxSelle,1)),
AND(INDEX(Règles_chevaux_selle[Specificite],MATCH(RationEtéChevauxSelle&amp;$EU60,Règles_chevaux_selle[Ration]&amp;Règles_chevaux_selle[Aliment],0))="s2",IF($EU60=Spécificité2ChevauxSelle,1)),
INDEX(Règles_chevaux_selle[Specificite],MATCH(RationEtéChevauxSelle&amp;$EU60,Règles_chevaux_selle[Ration]&amp;Règles_chevaux_selle[Aliment],0))="c"),
INDEX(Règles_chevaux_selle[Valeur 12-24],MATCH(RationEtéChevauxSelle&amp;$EU60,Règles_chevaux_selle[Ration]&amp;Règles_chevaux_selle[Aliment],0)),0),0)*TotalJeuneEtalonSelle_12_24_mois*NbreJoursNourrirChevauxSelle)</f>
        <v>0</v>
      </c>
      <c r="EY60" s="458">
        <f t="array" ref="EY60">IF(OR(ChoixRationComplèteEtéChevauxSelle=OUI,ChoixRationComplèteEtéChevauxSelle="",AND(ChoixChevauxSellePréHiver=OUI,ChoixChevauxSellePréEté=OUI)),0,IFERROR(IF(OR(AND(INDEX(Règles_chevaux_selle[Specificite],MATCH(RationEtéChevauxSelle&amp;$EU60,Règles_chevaux_selle[Ration]&amp;Règles_chevaux_selle[Aliment],0))="s1",IF($EU60=Spécificité1ChevauxSelle,1)),
AND(INDEX(Règles_chevaux_selle[Specificite],MATCH(RationEtéChevauxSelle&amp;$EU60,Règles_chevaux_selle[Ration]&amp;Règles_chevaux_selle[Aliment],0))="s2",IF($EU60=Spécificité2ChevauxSelle,1)),
INDEX(Règles_chevaux_selle[Specificite],MATCH(RationEtéChevauxSelle&amp;$EU60,Règles_chevaux_selle[Ration]&amp;Règles_chevaux_selle[Aliment],0))="c"),
INDEX(Règles_chevaux_selle[Valeur 0-12],MATCH(RationEtéChevauxSelle&amp;$EU60,Règles_chevaux_selle[Ration]&amp;Règles_chevaux_selle[Aliment],0)),0),0)*TotalPoulainSelle_0_12_mois*NbreJoursNourrirChevauxSelle)</f>
        <v>0</v>
      </c>
      <c r="EZ60" s="460">
        <f t="shared" ref="EZ60:EZ98" si="16">SUM($EV60:$EY60)</f>
        <v>0</v>
      </c>
      <c r="FD60" s="457" t="s">
        <v>499</v>
      </c>
      <c r="FE60" s="458">
        <f t="array" ref="FE60">IF(OR(ChoixRationComplèteEtéChevauxTrait=OUI,ChoixRationComplèteEtéChevauxTrait="",AND(ChoixChevauxTraitPréHiver=OUI,ChoixChevauxTraitPréEté=OUI)),0,IFERROR(IF(OR(AND(INDEX(Règles_chevaux_trait[Specificite],MATCH(RationEtéChevauxTrait&amp;$FD60,Règles_chevaux_trait[Ration]&amp;Règles_chevaux_trait[Aliment],0))="s1",IF($FD60=Spécificité1ChevauxTrait,1)),
AND(INDEX(Règles_chevaux_trait[Specificite],MATCH(RationEtéChevauxTrait&amp;$FD60,Règles_chevaux_trait[Ration]&amp;Règles_chevaux_trait[Aliment],0))="s2",IF($FD60=Spécificité2ChevauxTrait,1)),
INDEX(Règles_chevaux_trait[Specificite],MATCH(RationEtéChevauxTrait&amp;$FD60,Règles_chevaux_trait[Ration]&amp;Règles_chevaux_trait[Aliment],0))="c"),
INDEX(Règles_chevaux_trait[Valeur 36 et plus],MATCH(RationEtéChevauxTrait&amp;$FD60,Règles_chevaux_trait[Ration]&amp;Règles_chevaux_trait[Aliment],0)),0),0)*TotalEtalonTrait*NbreJoursNourrirChevauxTrait)</f>
        <v>0</v>
      </c>
      <c r="FF60" s="458">
        <f t="array" ref="FF60">IF(OR(ChoixRationComplèteEtéChevauxTrait=OUI,ChoixRationComplèteEtéChevauxTrait="",AND(ChoixChevauxTraitPréHiver=OUI,ChoixChevauxTraitPréEté=OUI)),0,IFERROR(IF(OR(AND(INDEX(Règles_chevaux_trait[Specificite],MATCH(RationEtéChevauxTrait&amp;$FD60,Règles_chevaux_trait[Ration]&amp;Règles_chevaux_trait[Aliment],0))="s1",IF($FD60=Spécificité1ChevauxTrait,1)),
AND(INDEX(Règles_chevaux_trait[Specificite],MATCH(RationEtéChevauxTrait&amp;$FD60,Règles_chevaux_trait[Ration]&amp;Règles_chevaux_trait[Aliment],0))="s2",IF($FD60=Spécificité2ChevauxTrait,1)),
INDEX(Règles_chevaux_trait[Specificite],MATCH(RationEtéChevauxTrait&amp;$FD60,Règles_chevaux_trait[Ration]&amp;Règles_chevaux_trait[Aliment],0))="c"),
INDEX(Règles_chevaux_trait[Valeur 24-36],MATCH(RationEtéChevauxTrait&amp;$FD60,Règles_chevaux_trait[Ration]&amp;Règles_chevaux_trait[Aliment],0)),0),0)*TotalJeuneEtalonTrait_24_36_mois*NbreJoursNourrirChevauxTrait)</f>
        <v>0</v>
      </c>
      <c r="FG60" s="458">
        <f t="array" ref="FG60">IF(OR(ChoixRationComplèteEtéChevauxTrait=OUI,ChoixRationComplèteEtéChevauxTrait="",AND(ChoixChevauxTraitPréHiver=OUI,ChoixChevauxTraitPréEté=OUI)),0,IFERROR(IF(OR(AND(INDEX(Règles_chevaux_trait[Specificite],MATCH(RationEtéChevauxTrait&amp;$FD60,Règles_chevaux_trait[Ration]&amp;Règles_chevaux_trait[Aliment],0))="s1",IF($FD60=Spécificité1ChevauxTrait,1)),
AND(INDEX(Règles_chevaux_trait[Specificite],MATCH(RationEtéChevauxTrait&amp;$FD60,Règles_chevaux_trait[Ration]&amp;Règles_chevaux_trait[Aliment],0))="s2",IF($FD60=Spécificité2ChevauxTrait,1)),
INDEX(Règles_chevaux_trait[Specificite],MATCH(RationEtéChevauxTrait&amp;$FD60,Règles_chevaux_trait[Ration]&amp;Règles_chevaux_trait[Aliment],0))="c"),
INDEX(Règles_chevaux_trait[Valeur 12-24],MATCH(RationEtéChevauxTrait&amp;$FD60,Règles_chevaux_trait[Ration]&amp;Règles_chevaux_trait[Aliment],0)),0),0)*TotalJeuneEtalonTrait_12_24_mois*NbreJoursNourrirChevauxTrait)</f>
        <v>0</v>
      </c>
      <c r="FH60" s="460">
        <f t="array" ref="FH60">IF(OR(ChoixRationComplèteEtéChevauxTrait=OUI,ChoixRationComplèteEtéChevauxTrait="",AND(ChoixChevauxTraitPréHiver=OUI,ChoixChevauxTraitPréEté=OUI)),0,IFERROR(IF(OR(AND(INDEX(Règles_chevaux_trait[Specificite],MATCH(RationEtéChevauxTrait&amp;$FD60,Règles_chevaux_trait[Ration]&amp;Règles_chevaux_trait[Aliment],0))="s1",IF($FD60=Spécificité1ChevauxTrait,1)),
AND(INDEX(Règles_chevaux_trait[Specificite],MATCH(RationEtéChevauxTrait&amp;$FD60,Règles_chevaux_trait[Ration]&amp;Règles_chevaux_trait[Aliment],0))="s2",IF($FD60=Spécificité2ChevauxTrait,1)),
INDEX(Règles_chevaux_trait[Specificite],MATCH(RationEtéChevauxTrait&amp;$FD60,Règles_chevaux_trait[Ration]&amp;Règles_chevaux_trait[Aliment],0))="c"),
INDEX(Règles_chevaux_trait[Valeur 0-12],MATCH(RationEtéChevauxTrait&amp;$FD60,Règles_chevaux_trait[Ration]&amp;Règles_chevaux_trait[Aliment],0)),0),0)*TotalPoulainTrait_0_12_mois*NbreJoursNourrirChevauxTrait)</f>
        <v>0</v>
      </c>
      <c r="FI60" s="460">
        <f t="shared" si="15"/>
        <v>0</v>
      </c>
      <c r="FJ60" s="298"/>
      <c r="FK60" s="298"/>
      <c r="FL60" s="298"/>
      <c r="FN60" s="457" t="s">
        <v>1166</v>
      </c>
      <c r="FO60" s="458">
        <f t="array" ref="FO60">IF(OR(ChoixRationComplèteEtéPoneys=OUI,ChoixRationComplèteEtéPoneys="",AND(ChoixPoneysPréHiver=OUI,ChoixPoneysPréEté=OUI)),0,IFERROR(IF(OR(AND(INDEX(Règles_poneys[Specificite],MATCH(RationEtéPoneys&amp;$FN60,Règles_poneys[Ration]&amp;Règles_poneys[Aliment],0))="s1",IF($FN60=Spécificité1Poneys,1)),
AND(INDEX(Règles_poneys[Specificite],MATCH(RationEtéPoneys&amp;$FN60,Règles_poneys[Ration]&amp;Règles_poneys[Aliment],0))="s2",IF($FN60=Spécificité2Poneys,1)),
INDEX(Règles_poneys[Specificite],MATCH(RationEtéPoneys&amp;$FN60,Règles_poneys[Ration]&amp;Règles_poneys[Aliment],0))="c"),
INDEX(Règles_poneys[Valeur 36 et plus],MATCH(RationEtéPoneys&amp;$FN60,Règles_poneys[Ration]&amp;Règles_poneys[Aliment],0)),0),0)*TotalEtalonPoney*NbreJoursNourrirPoneys)</f>
        <v>0</v>
      </c>
      <c r="FP60" s="458">
        <f t="array" ref="FP60">IF(OR(ChoixRationComplèteEtéPoneys=OUI,ChoixRationComplèteEtéPoneys="",AND(ChoixPoneysPréHiver=OUI,ChoixPoneysPréEté=OUI)),0,IFERROR(IF(OR(AND(INDEX(Règles_poneys[Specificite],MATCH(RationEtéPoneys&amp;$FN60,Règles_poneys[Ration]&amp;Règles_poneys[Aliment],0))="s1",IF($FN60=Spécificité1Poneys,1)),
AND(INDEX(Règles_poneys[Specificite],MATCH(RationEtéPoneys&amp;$FN60,Règles_poneys[Ration]&amp;Règles_poneys[Aliment],0))="s2",IF($FN60=Spécificité2Poneys,1)),
INDEX(Règles_poneys[Specificite],MATCH(RationEtéPoneys&amp;$FN60,Règles_poneys[Ration]&amp;Règles_poneys[Aliment],0))="c"),
INDEX(Règles_poneys[Valeur 36 et plus],MATCH(RationEtéPoneys&amp;$FN60,Règles_poneys[Ration]&amp;Règles_poneys[Aliment],0)),0),0)*TotalJeuneEtalonPoney_24_36_mois*NbreJoursNourrirPoneys)</f>
        <v>0</v>
      </c>
      <c r="FQ60" s="458">
        <f t="array" ref="FQ60">IF(OR(ChoixRationComplèteEtéPoneys=OUI,ChoixRationComplèteEtéPoneys="",AND(ChoixPoneysPréHiver=OUI,ChoixPoneysPréEté=OUI)),0,IFERROR(IF(OR(AND(INDEX(Règles_poneys[Specificite],MATCH(RationEtéPoneys&amp;$FN60,Règles_poneys[Ration]&amp;Règles_poneys[Aliment],0))="s1",IF($FN60=Spécificité1Poneys,1)),
AND(INDEX(Règles_poneys[Specificite],MATCH(RationEtéPoneys&amp;$FN60,Règles_poneys[Ration]&amp;Règles_poneys[Aliment],0))="s2",IF($FN60=Spécificité2Poneys,1)),
INDEX(Règles_poneys[Specificite],MATCH(RationEtéPoneys&amp;$FN60,Règles_poneys[Ration]&amp;Règles_poneys[Aliment],0))="c"),
INDEX(Règles_poneys[Valeur 36 et plus],MATCH(RationEtéPoneys&amp;$FN60,Règles_poneys[Ration]&amp;Règles_poneys[Aliment],0)),0),0)*TotalJeuneEtalonPoney_12_24_mois*NbreJoursNourrirPoneys)</f>
        <v>0</v>
      </c>
      <c r="FR60" s="460">
        <f t="array" ref="FR60">IF(OR(ChoixRationComplèteEtéPoneys=OUI,ChoixRationComplèteEtéPoneys="",AND(ChoixPoneysPréHiver=OUI,ChoixPoneysPréEté=OUI)),0,IFERROR(IF(OR(AND(INDEX(Règles_poneys[Specificite],MATCH(RationEtéPoneys&amp;$FN60,Règles_poneys[Ration]&amp;Règles_poneys[Aliment],0))="s1",IF($FN60=Spécificité1Poneys,1)),
AND(INDEX(Règles_poneys[Specificite],MATCH(RationEtéPoneys&amp;$FN60,Règles_poneys[Ration]&amp;Règles_poneys[Aliment],0))="s2",IF($FN60=Spécificité2Poneys,1)),
INDEX(Règles_poneys[Specificite],MATCH(RationEtéPoneys&amp;$FN60,Règles_poneys[Ration]&amp;Règles_poneys[Aliment],0))="c"),
INDEX(Règles_poneys[Valeur 36 et plus],MATCH(RationEtéPoneys&amp;$FN60,Règles_poneys[Ration]&amp;Règles_poneys[Aliment],0)),0),0)*TotalPoulainPoney_0_12_mois*NbreJoursNourrirPoneys)</f>
        <v>0</v>
      </c>
      <c r="FS60" s="460">
        <f t="shared" si="14"/>
        <v>0</v>
      </c>
      <c r="FT60" s="298"/>
      <c r="FU60" s="298"/>
      <c r="FV60" s="298"/>
      <c r="FW60" s="443" t="s">
        <v>269</v>
      </c>
      <c r="FX60" s="450">
        <f t="array" ref="FX60">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60" s="450">
        <f t="array" ref="FY60">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60" s="450">
        <f t="array" ref="FZ60">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60" s="450">
        <f t="array" ref="GA60">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60" s="451">
        <f>SUM(AlimentsGavageOies[[#This Row],[Valeur 6 et plus]:[Valeur 0-1]])</f>
        <v>0</v>
      </c>
      <c r="GC60" s="316"/>
      <c r="GE60" s="280" t="s">
        <v>10</v>
      </c>
      <c r="GF60" s="283"/>
      <c r="GG60" s="283" t="s">
        <v>955</v>
      </c>
      <c r="GH60" s="283" t="s">
        <v>955</v>
      </c>
      <c r="GI60" s="283" t="s">
        <v>955</v>
      </c>
      <c r="GJ60" s="283" t="s">
        <v>955</v>
      </c>
      <c r="GK60" s="283" t="s">
        <v>955</v>
      </c>
      <c r="GL60" s="283" t="s">
        <v>955</v>
      </c>
      <c r="GM60" s="283" t="s">
        <v>955</v>
      </c>
      <c r="GN60" s="283" t="s">
        <v>955</v>
      </c>
      <c r="GO60" s="283" t="s">
        <v>955</v>
      </c>
      <c r="GP60" s="283" t="s">
        <v>955</v>
      </c>
      <c r="GQ60" s="283" t="s">
        <v>955</v>
      </c>
      <c r="GR60" s="283" t="s">
        <v>955</v>
      </c>
      <c r="GS60" s="283" t="s">
        <v>955</v>
      </c>
      <c r="GT60" s="283" t="s">
        <v>955</v>
      </c>
      <c r="GU60" s="283" t="s">
        <v>955</v>
      </c>
      <c r="GV60" s="283" t="s">
        <v>955</v>
      </c>
      <c r="GY60" s="444" t="str">
        <f t="shared" si="11"/>
        <v>semences de féverole (P)</v>
      </c>
      <c r="GZ60" s="444"/>
      <c r="HA60" s="342"/>
      <c r="HB60" s="342" t="e">
        <f>IF(COUNTIF(TypeArticleDansEntrepôt,GY60)=0,0,SUMIF(TypeArticleDansEntrepôt,GY60,QtéArticleDansEntrepôt)*VLOOKUP(GY60,#REF!,2,FALSE))</f>
        <v>#REF!</v>
      </c>
      <c r="HN60" s="342" t="e">
        <f>IF(#REF!="","",(VLOOKUP(#REF!,BDD!$HN$5:$HU$38,2,FALSE))*#REF!)</f>
        <v>#REF!</v>
      </c>
      <c r="HO60" s="342" t="e">
        <f>IF(#REF!="","",IF(OR(#REF!=Moutarde,#REF!=Phacélie),0,IF(#REF!=Luzerne,10*#REF!*VLOOKUP(#REF!,BDD!$HN$5:$HU$38,3,FALSE),IF(#REF!=Miscanthus,10.5*#REF!*VLOOKUP(#REF!,BDD!$HN$5:$HU$38,3,FALSE),INDEX(#REF!:#REF!,MATCH(#REF!,#REF!:#REF!,0),MATCH(#REF!,#REF!:#REF!,0))*#REF!*VLOOKUP(#REF!,BDD!$HN$5:$HU$38,3,FALSE)))))</f>
        <v>#REF!</v>
      </c>
      <c r="HP60" s="342" t="e">
        <f>IF(#REF!="","",IF(OR(#REF!=Moutarde,#REF!=Phacélie),0,IF(#REF!=Luzerne,10*#REF!*VLOOKUP(#REF!,BDD!$HN$5:$HU$38,4,FALSE),IF(#REF!=Miscanthus,10.5*#REF!*VLOOKUP(#REF!,BDD!$HN$5:$HU$38,4,FALSE),INDEX(#REF!:#REF!,MATCH(#REF!,#REF!:#REF!,0),MATCH(#REF!,#REF!:#REF!,0))*#REF!*VLOOKUP(#REF!,BDD!$HN$5:$HU$38,4,FALSE)))))</f>
        <v>#REF!</v>
      </c>
      <c r="HQ60" s="342" t="e">
        <f>IF(#REF!="","",IF(OR(#REF!=Moutarde,#REF!=Phacélie),0,IF(#REF!=Luzerne,10*#REF!*VLOOKUP(#REF!,BDD!$HN$5:$HU$38,5,FALSE),IF(#REF!=Miscanthus,10.5*#REF!*VLOOKUP(#REF!,BDD!$HN$5:$HU$38,5,FALSE),INDEX(#REF!:#REF!,MATCH(#REF!,#REF!:#REF!,0),MATCH(#REF!,#REF!:#REF!,0))*#REF!*VLOOKUP(#REF!,BDD!$HN$5:$HU$38,5,FALSE)))))</f>
        <v>#REF!</v>
      </c>
      <c r="HR60" s="342" t="e">
        <f>IF(#REF!="","",IF(OR(#REF!=Moutarde,#REF!=Phacélie),0,IF(#REF!=Luzerne,10*#REF!*VLOOKUP(#REF!,BDD!$HN$5:$HU$38,6,FALSE),IF(#REF!=Miscanthus,10.5*#REF!*VLOOKUP(#REF!,BDD!$HN$5:$HU$38,6,FALSE),INDEX(#REF!:#REF!,MATCH(#REF!,#REF!:#REF!,0),MATCH(#REF!,#REF!:#REF!,0))*#REF!*VLOOKUP(#REF!,BDD!$HN$5:$HU$38,6,FALSE)))))</f>
        <v>#REF!</v>
      </c>
      <c r="HS60" s="342" t="e">
        <f>IF(#REF!="","",IF(OR(#REF!=Moutarde,#REF!=Phacélie),0,IF(#REF!=Luzerne,10*#REF!*VLOOKUP(#REF!,BDD!$HN$5:$HU$38,7,FALSE),IF(#REF!=Miscanthus,10.5*#REF!*VLOOKUP(#REF!,BDD!$HN$5:$HU$38,7,FALSE),INDEX(#REF!:#REF!,MATCH(#REF!,#REF!:#REF!,0),MATCH(#REF!,#REF!:#REF!,0))*#REF!*VLOOKUP(#REF!,BDD!$HN$5:$HU$38,7,FALSE)))))</f>
        <v>#REF!</v>
      </c>
      <c r="HT60" s="342" t="e">
        <f>IF(#REF!="","",IF(OR(#REF!=Moutarde,#REF!=Phacélie),0,IF(#REF!=Luzerne,10*#REF!*VLOOKUP(#REF!,BDD!$HN$5:$HU$38,8,FALSE),IF(#REF!=Miscanthus,10.5*#REF!*VLOOKUP(#REF!,BDD!$HN$5:$HU$38,8,FALSE),INDEX(#REF!:#REF!,MATCH(#REF!,#REF!:#REF!,0),MATCH(#REF!,#REF!:#REF!,0))*#REF!*VLOOKUP(#REF!,BDD!$HN$5:$HU$38,8,FALSE)))))</f>
        <v>#REF!</v>
      </c>
      <c r="HU60" s="342" t="e">
        <f>IF(#REF!="","",IF(OR(#REF!=Moutarde,#REF!=Phacélie),0,1.6*#REF!))</f>
        <v>#REF!</v>
      </c>
      <c r="HV60" s="342" t="e">
        <f>IF(#REF!="","",IF(OR(#REF!=Moutarde,#REF!=Phacélie),0,1.6*#REF!))</f>
        <v>#REF!</v>
      </c>
      <c r="HW60" s="342" t="e">
        <f>IF(#REF!="","",IF(OR(#REF!=Moutarde,#REF!=Phacélie),0,1.6*#REF!))</f>
        <v>#REF!</v>
      </c>
      <c r="HX60" s="342" t="e">
        <f>IF(#REF!="","",(VLOOKUP(#REF!,BDD!$HN$5:$HU$38,2,FALSE))*#REF!)</f>
        <v>#REF!</v>
      </c>
      <c r="HY60" s="342" t="e">
        <f>IF(#REF!="","",IF(OR(#REF!=Moutarde,#REF!=Phacélie),0,IF(#REF!=Luzerne,10*#REF!*VLOOKUP(#REF!,BDD!$HN$5:$HU$38,3,FALSE),IF(#REF!=Miscanthus,10.5*#REF!*VLOOKUP(#REF!,BDD!$HN$5:$HU$38,3,FALSE),INDEX(#REF!:#REF!,MATCH(#REF!,#REF!:#REF!,0),MATCH(#REF!,#REF!:#REF!,0))*#REF!*VLOOKUP(#REF!,BDD!$HN$5:$HU$38,3,FALSE)))))</f>
        <v>#REF!</v>
      </c>
      <c r="HZ60" s="342" t="e">
        <f>IF(#REF!="","",IF(OR(#REF!=Moutarde,#REF!=Phacélie),0,IF(#REF!=Luzerne,10*#REF!*VLOOKUP(#REF!,BDD!$HN$5:$HU$38,4,FALSE),IF(#REF!=Miscanthus,10.5*#REF!*VLOOKUP(#REF!,BDD!$HN$5:$HU$38,4,FALSE),INDEX(#REF!:#REF!,MATCH(#REF!,#REF!:#REF!,0),MATCH(#REF!,#REF!:#REF!,0))*#REF!*VLOOKUP(#REF!,BDD!$HN$5:$HU$38,4,FALSE)))))</f>
        <v>#REF!</v>
      </c>
      <c r="IA60" s="342" t="e">
        <f>IF(#REF!="","",IF(OR(#REF!=Moutarde,#REF!=Phacélie),0,IF(#REF!=Luzerne,10*#REF!*VLOOKUP(#REF!,BDD!$HN$5:$HU$38,5,FALSE),IF(#REF!=Miscanthus,10.5*#REF!*VLOOKUP(#REF!,BDD!$HN$5:$HU$38,5,FALSE),INDEX(#REF!:#REF!,MATCH(#REF!,#REF!:#REF!,0),MATCH(#REF!,#REF!:#REF!,0))*#REF!*VLOOKUP(#REF!,BDD!$HN$5:$HU$38,5,FALSE)))))</f>
        <v>#REF!</v>
      </c>
      <c r="IB60" s="342" t="e">
        <f>IF(#REF!="","",IF(OR(#REF!=Moutarde,#REF!=Phacélie),0,IF(#REF!=Luzerne,10*#REF!*VLOOKUP(#REF!,BDD!$HN$5:$HU$38,6,FALSE),IF(#REF!=Miscanthus,10.5*#REF!*VLOOKUP(#REF!,BDD!$HN$5:$HU$38,6,FALSE),INDEX(#REF!:#REF!,MATCH(#REF!,#REF!:#REF!,0),MATCH(#REF!,#REF!:#REF!,0))*#REF!*VLOOKUP(#REF!,BDD!$HN$5:$HU$38,6,FALSE)))))</f>
        <v>#REF!</v>
      </c>
      <c r="IC60" s="342" t="e">
        <f>IF(#REF!="","",IF(OR(#REF!=Moutarde,#REF!=Phacélie),0,IF(#REF!=Luzerne,10*#REF!*VLOOKUP(#REF!,BDD!$HN$5:$HU$38,7,FALSE),IF(#REF!=Miscanthus,10.5*#REF!*VLOOKUP(#REF!,BDD!$HN$5:$HU$38,7,FALSE),INDEX(#REF!:#REF!,MATCH(#REF!,#REF!:#REF!,0),MATCH(#REF!,#REF!:#REF!,0))*#REF!*VLOOKUP(#REF!,BDD!$HN$5:$HU$38,7,FALSE)))))</f>
        <v>#REF!</v>
      </c>
      <c r="ID60" s="342" t="e">
        <f>IF(#REF!="","",IF(OR(#REF!=Moutarde,#REF!=Phacélie),0,IF(#REF!=Luzerne,10*#REF!*VLOOKUP(#REF!,BDD!$HN$5:$HU$38,8,FALSE),IF(#REF!=Miscanthus,10.5*#REF!*VLOOKUP(#REF!,BDD!$HN$5:$HU$38,8,FALSE),INDEX(#REF!:#REF!,MATCH(#REF!,#REF!:#REF!,0),MATCH(#REF!,#REF!:#REF!,0))*#REF!*VLOOKUP(#REF!,BDD!$HN$5:$HU$38,8,FALSE)))))</f>
        <v>#REF!</v>
      </c>
      <c r="IE60" s="342" t="e">
        <f>IF(#REF!="","",IF(OR(#REF!=Moutarde,#REF!=Phacélie),0,1.6*#REF!))</f>
        <v>#REF!</v>
      </c>
      <c r="IF60" s="342" t="e">
        <f>IF(#REF!="","",IF(OR(#REF!=Moutarde,#REF!=Phacélie),0,1.6*#REF!))</f>
        <v>#REF!</v>
      </c>
      <c r="IG60" s="342" t="e">
        <f>IF(#REF!="","",IF(OR(#REF!=Moutarde,#REF!=Phacélie),0,1.6*#REF!))</f>
        <v>#REF!</v>
      </c>
    </row>
    <row r="61" spans="1:241" ht="12.75" customHeight="1" x14ac:dyDescent="0.2">
      <c r="A61" s="358"/>
      <c r="B61" s="379"/>
      <c r="F61" s="280"/>
      <c r="G61" s="280"/>
      <c r="H61" s="280"/>
      <c r="I61" s="280"/>
      <c r="J61" s="280"/>
      <c r="K61" s="280"/>
      <c r="L61" s="280"/>
      <c r="M61" s="280"/>
      <c r="N61" s="277"/>
      <c r="O61" s="280" t="s">
        <v>848</v>
      </c>
      <c r="P61" s="280"/>
      <c r="Q61" s="280"/>
      <c r="R61" s="280"/>
      <c r="S61" s="280"/>
      <c r="T61" s="280"/>
      <c r="U61" s="280"/>
      <c r="V61" s="280"/>
      <c r="W61" s="280"/>
      <c r="X61" s="280"/>
      <c r="Y61" s="280"/>
      <c r="Z61" s="280"/>
      <c r="AA61" s="280"/>
      <c r="AB61" s="280"/>
      <c r="AC61" s="280"/>
      <c r="AD61" s="280"/>
      <c r="AE61" s="280"/>
      <c r="AF61" s="280"/>
      <c r="AG61" s="280"/>
      <c r="AH61" s="280"/>
      <c r="AI61" s="280"/>
      <c r="AJ61" s="280"/>
      <c r="AK61" s="280"/>
      <c r="AL61" s="280"/>
      <c r="AM61" s="280"/>
      <c r="AN61" s="280"/>
      <c r="AO61" s="280"/>
      <c r="AP61" s="280"/>
      <c r="AQ61" s="280"/>
      <c r="AR61" s="280"/>
      <c r="AS61" s="280"/>
      <c r="AT61" s="280"/>
      <c r="AU61" s="280"/>
      <c r="AV61" s="280"/>
      <c r="AW61" s="280"/>
      <c r="AX61" s="280"/>
      <c r="AY61" s="280"/>
      <c r="BB61" s="387" t="s">
        <v>509</v>
      </c>
      <c r="BC61" s="362" t="s">
        <v>269</v>
      </c>
      <c r="BD61" s="362" t="s">
        <v>886</v>
      </c>
      <c r="BE61" s="388">
        <v>84</v>
      </c>
      <c r="BF61" s="388">
        <v>72</v>
      </c>
      <c r="BG61" s="388">
        <v>48</v>
      </c>
      <c r="BH61" s="388">
        <v>36</v>
      </c>
      <c r="BI61" s="388">
        <v>24</v>
      </c>
      <c r="BJ61" s="388">
        <v>12</v>
      </c>
      <c r="BK61" s="389">
        <v>0</v>
      </c>
      <c r="BL61" s="312"/>
      <c r="BM61" s="350" t="s">
        <v>508</v>
      </c>
      <c r="BN61" s="350">
        <f t="array" ref="BN61">IF(Ration_hivernale_complète_bisons[somme]&gt;0,0,IFERROR(IF(OR(AND(INDEX(Règles_bison[Specificite],MATCH(ChoixRationBisons&amp;$BM61,Règles_bison[Ration]&amp;Règles_bison[Aliment],0))="s1",IF($BM61=ChoixSpécificité1Bisons,1)),
INDEX(Règles_bison[Specificite],MATCH(ChoixRationBisons&amp;$BM61,Règles_bison[Ration]&amp;Règles_bison[Aliment],0))="c"),
INDEX(Règles_bison[Valeur 36 et plus],MATCH(ChoixRationBisons&amp;$BM61,Règles_bison[Ration]&amp;Règles_bison[Aliment],0)),0),0)*TotalBisonsMalesAdultes*NbreJoursNourrirBisonsDaims)</f>
        <v>0</v>
      </c>
      <c r="BO61" s="350">
        <f t="array" ref="BO61">IF(Ration_hivernale_complète_bisons[somme]&gt;0,0,IFERROR(IF(OR(AND(INDEX(Règles_bison[Specificite],MATCH(ChoixRationBisons&amp;$BM61,Règles_bison[Ration]&amp;Règles_bison[Aliment],0))="s1",IF($BM61=ChoixSpécificité1Bisons,1)),
INDEX(Règles_bison[Specificite],MATCH(ChoixRationBisons&amp;$BM61,Règles_bison[Ration]&amp;Règles_bison[Aliment],0))="c"),
INDEX(Règles_bison[Valeur 24-36],MATCH(ChoixRationBisons&amp;$BM61,Règles_bison[Ration]&amp;Règles_bison[Aliment],0)),0),0)*TotalBisonsMales_24_36_mois*NbreJoursNourrirBisonsDaims)</f>
        <v>0</v>
      </c>
      <c r="BP61" s="350">
        <f t="array" ref="BP61">IF(Ration_hivernale_complète_bisons[somme]&gt;0,0,IFERROR(IF(OR(AND(INDEX(Règles_bison[Specificite],MATCH(ChoixRationBisons&amp;$BM61,Règles_bison[Ration]&amp;Règles_bison[Aliment],0))="s1",IF($BM61=ChoixSpécificité1Bisons,1)),
INDEX(Règles_bison[Specificite],MATCH(ChoixRationBisons&amp;$BM61,Règles_bison[Ration]&amp;Règles_bison[Aliment],0))="c"),
INDEX(Règles_bison[Valeur 18-24],MATCH(ChoixRationBisons&amp;$BM61,Règles_bison[Ration]&amp;Règles_bison[Aliment],0)),0),0)*TotalBisonsMales_18_24_mois*NbreJoursNourrirBisonsDaims)</f>
        <v>0</v>
      </c>
      <c r="BQ61" s="350">
        <f t="array" ref="BQ61">IF(Ration_hivernale_complète_bisons[somme]&gt;0,0,IFERROR(IF(OR(AND(INDEX(Règles_bison[Specificite],MATCH(ChoixRationBisons&amp;$BM61,Règles_bison[Ration]&amp;Règles_bison[Aliment],0))="s1",IF($BM61=ChoixSpécificité1Bisons,1)),
INDEX(Règles_bison[Specificite],MATCH(ChoixRationBisons&amp;$BM61,Règles_bison[Ration]&amp;Règles_bison[Aliment],0))="c"),
INDEX(Règles_bison[Valeur 12-18],MATCH(ChoixRationBisons&amp;$BM61,Règles_bison[Ration]&amp;Règles_bison[Aliment],0)),0),0)*TotalBisonsMales_12_18_mois*NbreJoursNourrirBisonsDaims)</f>
        <v>0</v>
      </c>
      <c r="BR61" s="350">
        <f t="array" ref="BR61">IF(Ration_hivernale_complète_bisons[somme]&gt;0,0,IFERROR(IF(OR(AND(INDEX(Règles_bison[Specificite],MATCH(ChoixRationBisons&amp;$BM61,Règles_bison[Ration]&amp;Règles_bison[Aliment],0))="s1",IF($BM61=ChoixSpécificité1Bisons,1)),
INDEX(Règles_bison[Specificite],MATCH(ChoixRationBisons&amp;$BM61,Règles_bison[Ration]&amp;Règles_bison[Aliment],0))="c"),
INDEX(Règles_bison[Valeur 6-12],MATCH(ChoixRationBisons&amp;$BM61,Règles_bison[Ration]&amp;Règles_bison[Aliment],0)),0),0)*TotalBisonsMales_6_12_mois*NbreJoursNourrirBisonsDaims)</f>
        <v>0</v>
      </c>
      <c r="BS61" s="350">
        <f t="array" ref="BS61">IF(Ration_hivernale_complète_bisons[somme]&gt;0,0,IFERROR(IF(OR(AND(INDEX(Règles_bison[Specificite],MATCH(ChoixRationBisons&amp;$BM61,Règles_bison[Ration]&amp;Règles_bison[Aliment],0))="s1",IF($BM61=ChoixSpécificité1Bisons,1)),
INDEX(Règles_bison[Specificite],MATCH(ChoixRationBisons&amp;$BM61,Règles_bison[Ration]&amp;Règles_bison[Aliment],0))="c"),
INDEX(Règles_bison[Valeur 3-6],MATCH(ChoixRationBisons&amp;$BM61,Règles_bison[Ration]&amp;Règles_bison[Aliment],0)),0),0)*TotalBisonsMales_3_6_mois*NbreJoursNourrirBisonsDaims)</f>
        <v>0</v>
      </c>
      <c r="BT61" s="350">
        <f t="array" ref="BT61">IF(Ration_hivernale_complète_bisons[somme]&gt;0,0,IFERROR(IF(OR(AND(INDEX(Règles_bison[Specificite],MATCH(ChoixRationBisons&amp;$BM61,Règles_bison[Ration]&amp;Règles_bison[Aliment],0))="s1",IF($BM61=ChoixSpécificité1Bisons,1)),
INDEX(Règles_bison[Specificite],MATCH(ChoixRationBisons&amp;$BM61,Règles_bison[Ration]&amp;Règles_bison[Aliment],0))="c"),
INDEX(Règles_bison[Valeur 0-3],MATCH(ChoixRationBisons&amp;$BM61,Règles_bison[Ration]&amp;Règles_bison[Aliment],0)),0),0)*TotalBisonsMales_0_3_mois*NbreJoursNourrirBisonsDaims)</f>
        <v>0</v>
      </c>
      <c r="BU61" s="350">
        <f t="shared" si="10"/>
        <v>0</v>
      </c>
      <c r="BX61" s="373" t="s">
        <v>548</v>
      </c>
      <c r="BY61" s="280" t="s">
        <v>220</v>
      </c>
      <c r="BZ61" s="280" t="s">
        <v>887</v>
      </c>
      <c r="CA61" s="280">
        <v>1.6</v>
      </c>
      <c r="CB61" s="280">
        <v>1.4</v>
      </c>
      <c r="CC61" s="280">
        <v>1.2</v>
      </c>
      <c r="CD61" s="410">
        <v>1</v>
      </c>
      <c r="CE61" s="304"/>
      <c r="CF61" s="304"/>
      <c r="CG61" s="304"/>
      <c r="CH61" s="304"/>
      <c r="CJ61" s="420" t="s">
        <v>518</v>
      </c>
      <c r="CK61" s="384">
        <f t="array" ref="CK6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61" s="384">
        <f t="array" ref="CL6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61" s="384">
        <f t="array" ref="CM6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61" s="384">
        <f t="array" ref="CN6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61" s="384">
        <f t="array" ref="CO6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61" s="426">
        <f>SUM(AlimentsRationPorcinsMâles[[#This Row],[Valeur 12 et plus]:[Valeur 0-1]])</f>
        <v>0</v>
      </c>
      <c r="CS61" s="420" t="s">
        <v>904</v>
      </c>
      <c r="CT61" s="433">
        <f t="array" ref="CT61">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61" s="433">
        <f t="array" ref="CU61">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61" s="433">
        <f t="array" ref="CV61">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61" s="434">
        <f>SUM(AlimentsRationLapinsMâles[[#This Row],[Valeur 3 et plus]:[Valeur 0-1]])</f>
        <v>0</v>
      </c>
      <c r="CZ61" s="420" t="s">
        <v>904</v>
      </c>
      <c r="DA61" s="433">
        <f t="array" ref="DA6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61" s="433">
        <f t="array" ref="DB6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61" s="433">
        <f t="array" ref="DC6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61" s="434">
        <f>SUM(AlimentsRationVolaillesMâles[[#This Row],[Valeur 6 et plus]:[Valeur 0-1]])</f>
        <v>0</v>
      </c>
      <c r="DE61" s="316"/>
      <c r="DF61" s="277"/>
      <c r="DG61" s="420" t="s">
        <v>233</v>
      </c>
      <c r="DH61" s="433">
        <f t="array" ref="DH6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61" s="433">
        <f t="array" ref="DI6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61" s="433">
        <f t="array" ref="DJ6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61" s="434">
        <f>SUM(AlimentsRationPintadesMâles[[#This Row],[Valeur 9 et plus]:[Valeur 0-1]])</f>
        <v>0</v>
      </c>
      <c r="DL61" s="316"/>
      <c r="DM61" s="316"/>
      <c r="DN61" s="280" t="s">
        <v>800</v>
      </c>
      <c r="DO61" s="280">
        <v>930</v>
      </c>
      <c r="DQ61" s="280" t="s">
        <v>800</v>
      </c>
      <c r="DR61" s="280">
        <v>1116</v>
      </c>
      <c r="DV61" s="350" t="s">
        <v>231</v>
      </c>
      <c r="DW61" s="351">
        <f t="array" ref="DW61">IF(ChoixRationComplèteDaims=OUI,0,IFERROR(IF(OR(AND(INDEX(Règles_daims[Specificite],MATCH(ChoixRationDaims&amp;DV61,Règles_daims[Ration]&amp;Règles_daims[Aliment],0))="s1",IF(DV61=Spécificité1Daims,1)),
AND(INDEX(Règles_daims[Specificite],MATCH(ChoixRationDaims&amp;DV61,Règles_daims[Ration]&amp;Règles_daims[Aliment],0))="s2",IF(DV61=Spécificité2Daims,1)),
INDEX(Règles_daims[Specificite],MATCH(ChoixRationDaims&amp;DV61,Règles_daims[Ration]&amp;Règles_daims[Aliment],0))="c"),
INDEX(Règles_daims[Valeur 36 et plus],MATCH(ChoixRationDaims&amp;DV61,Règles_daims[Ration]&amp;Règles_daims[Aliment],0)),0),0)*SUM(TotalDaimsAdultes)*NbreJoursNourrirBisonsDaims)</f>
        <v>0</v>
      </c>
      <c r="DX61" s="351">
        <f t="array" ref="DX61">IF(ChoixRationComplèteDaims=OUI,0,IFERROR(IF(OR(AND(INDEX(Règles_daims[Specificite],MATCH(ChoixRationDaims&amp;DV61,Règles_daims[Ration]&amp;Règles_daims[Aliment],0))="s1",IF(DV61=Spécificité1Daims,1)),
AND(INDEX(Règles_daims[Specificite],MATCH(ChoixRationDaims&amp;DV61,Règles_daims[Ration]&amp;Règles_daims[Aliment],0))="s2",IF(DV61=Spécificité2Daims,1)),
INDEX(Règles_daims[Specificite],MATCH(ChoixRationDaims&amp;DV61,Règles_daims[Ration]&amp;Règles_daims[Aliment],0))="c"),
INDEX(Règles_daims[Valeur 24-36],MATCH(ChoixRationDaims&amp;DV61,Règles_daims[Ration]&amp;Règles_daims[Aliment],0)),0),0)*SUM(TotalDaims24_36)*NbreJoursNourrirBisonsDaims)</f>
        <v>0</v>
      </c>
      <c r="DY61" s="351">
        <f t="array" ref="DY61">IF(ChoixRationComplèteDaims=OUI,0,IFERROR(IF(OR(AND(INDEX(Règles_daims[Specificite],MATCH(ChoixRationDaims&amp;DV61,Règles_daims[Ration]&amp;Règles_daims[Aliment],0))="s1",IF(DV61=Spécificité1Daims,1)),
AND(INDEX(Règles_daims[Specificite],MATCH(ChoixRationDaims&amp;DV61,Règles_daims[Ration]&amp;Règles_daims[Aliment],0))="s2",IF(DV61=Spécificité2Daims,1)),
INDEX(Règles_daims[Specificite],MATCH(ChoixRationDaims&amp;DV61,Règles_daims[Ration]&amp;Règles_daims[Aliment],0))="c"),
INDEX(Règles_daims[Valeur 18-24],MATCH(ChoixRationDaims&amp;DV61,Règles_daims[Ration]&amp;Règles_daims[Aliment],0)),0),0)*SUM(TotalDaims18_24)*NbreJoursNourrirBisonsDaims)</f>
        <v>0</v>
      </c>
      <c r="DZ61" s="441">
        <f t="array" ref="DZ61">IF(ChoixRationComplèteDaims=OUI,0,IFERROR(IF(OR(AND(INDEX(Règles_daims[Specificite],MATCH(ChoixRationDaims&amp;DV61,Règles_daims[Ration]&amp;Règles_daims[Aliment],0))="s1",IF(DV61=Spécificité1Daims,1)),
AND(INDEX(Règles_daims[Specificite],MATCH(ChoixRationDaims&amp;DV61,Règles_daims[Ration]&amp;Règles_daims[Aliment],0))="s2",IF(DV61=Spécificité2Daims,1)),
INDEX(Règles_daims[Specificite],MATCH(ChoixRationDaims&amp;DV61,Règles_daims[Ration]&amp;Règles_daims[Aliment],0))="c"),
INDEX(Règles_daims[Valeur 12-18],MATCH(ChoixRationDaims&amp;DV61,Règles_daims[Ration]&amp;Règles_daims[Aliment],0)),0),0)*SUM(TotalDaims12_18)*NbreJoursNourrirBisonsDaims)</f>
        <v>0</v>
      </c>
      <c r="EA61" s="441">
        <f t="array" ref="EA61">IF(ChoixRationComplèteDaims=OUI,0,IFERROR(IF(OR(AND(INDEX(Règles_daims[Specificite],MATCH(ChoixRationDaims&amp;DV61,Règles_daims[Ration]&amp;Règles_daims[Aliment],0))="s1",IF(DV61=Spécificité1Daims,1)),
AND(INDEX(Règles_daims[Specificite],MATCH(ChoixRationDaims&amp;DV61,Règles_daims[Ration]&amp;Règles_daims[Aliment],0))="s2",IF(DV61=Spécificité2Daims,1)),
INDEX(Règles_daims[Specificite],MATCH(ChoixRationDaims&amp;DV61,Règles_daims[Ration]&amp;Règles_daims[Aliment],0))="c"),
INDEX(Règles_daims[Valeur 6-12],MATCH(ChoixRationDaims&amp;DV61,Règles_daims[Ration]&amp;Règles_daims[Aliment],0)),0),0)*SUM(TotalDaims6_12)*NbreJoursNourrirBisonsDaims)</f>
        <v>0</v>
      </c>
      <c r="EB61" s="441">
        <f t="array" ref="EB61">IF(ChoixRationComplèteDaims=OUI,0,IFERROR(IF(OR(AND(INDEX(Règles_daims[Specificite],MATCH(ChoixRationDaims&amp;DV61,Règles_daims[Ration]&amp;Règles_daims[Aliment],0))="s1",IF(DV61=Spécificité1Daims,1)),
AND(INDEX(Règles_daims[Specificite],MATCH(ChoixRationDaims&amp;DV61,Règles_daims[Ration]&amp;Règles_daims[Aliment],0))="s2",IF(DV61=Spécificité2Daims,1)),
INDEX(Règles_daims[Specificite],MATCH(ChoixRationDaims&amp;DV61,Règles_daims[Ration]&amp;Règles_daims[Aliment],0))="c"),
INDEX(Règles_daims[Valeur 3-6],MATCH(ChoixRationDaims&amp;DV61,Règles_daims[Ration]&amp;Règles_daims[Aliment],0)),0),0)*SUM(TotalDaims3_6)*NbreJoursNourrirBisonsDaims)</f>
        <v>0</v>
      </c>
      <c r="EC61" s="441">
        <f t="array" ref="EC61">IF(ChoixRationComplèteDaims=OUI,0,IFERROR(IF(OR(AND(INDEX(Règles_daims[Specificite],MATCH(ChoixRationDaims&amp;DV61,Règles_daims[Ration]&amp;Règles_daims[Aliment],0))="s1",IF(DV61=Spécificité1Daims,1)),
AND(INDEX(Règles_daims[Specificite],MATCH(ChoixRationDaims&amp;DV61,Règles_daims[Ration]&amp;Règles_daims[Aliment],0))="s2",IF(DV61=Spécificité2Daims,1)),
INDEX(Règles_daims[Specificite],MATCH(ChoixRationDaims&amp;DV61,Règles_daims[Ration]&amp;Règles_daims[Aliment],0))="c"),
INDEX(Règles_daims[Valeur 0-3],MATCH(ChoixRationDaims&amp;DV61,Règles_daims[Ration]&amp;Règles_daims[Aliment],0)),0),0)*SUM(TotalDaims0_3)*NbreJoursNourrirBisonsDaims)</f>
        <v>0</v>
      </c>
      <c r="ED61" s="441">
        <f t="shared" si="9"/>
        <v>0</v>
      </c>
      <c r="EG61" s="420" t="s">
        <v>1167</v>
      </c>
      <c r="EH61" s="433">
        <f t="array" ref="EH6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61" s="433">
        <f t="array" ref="EI6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61" s="433">
        <f t="array" ref="EJ6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61" s="434">
        <f>SUM(AlimentsRationOiesMâles[[#This Row],[Valeur 6 et plus]:[Valeur 0-3]])</f>
        <v>0</v>
      </c>
      <c r="EL61" s="316"/>
      <c r="EN61" s="420" t="s">
        <v>1165</v>
      </c>
      <c r="EO61" s="433">
        <f t="array" ref="EO61">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61" s="433">
        <f t="array" ref="EP61">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61" s="433">
        <f t="array" ref="EQ61">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61" s="434">
        <f>SUM(Ration_canards_Mâles[[#This Row],[Valeur 6 et plus]:[Valeur 0-3]])</f>
        <v>0</v>
      </c>
      <c r="ES61" s="316"/>
      <c r="EU61" s="457" t="s">
        <v>392</v>
      </c>
      <c r="EV61" s="458">
        <f t="array" ref="EV61">IF(OR(ChoixRationComplèteEtéChevauxSelle=OUI,ChoixRationComplèteEtéChevauxSelle="",AND(ChoixChevauxSellePréHiver=OUI,ChoixChevauxSellePréEté=OUI)),0,IFERROR(IF(OR(AND(INDEX(Règles_chevaux_selle[Specificite],MATCH(RationEtéChevauxSelle&amp;$EU61,Règles_chevaux_selle[Ration]&amp;Règles_chevaux_selle[Aliment],0))="s1",IF($EU61=Spécificité1ChevauxSelle,1)),
AND(INDEX(Règles_chevaux_selle[Specificite],MATCH(RationEtéChevauxSelle&amp;$EU61,Règles_chevaux_selle[Ration]&amp;Règles_chevaux_selle[Aliment],0))="s2",IF($EU61=Spécificité2ChevauxSelle,1)),
INDEX(Règles_chevaux_selle[Specificite],MATCH(RationEtéChevauxSelle&amp;$EU61,Règles_chevaux_selle[Ration]&amp;Règles_chevaux_selle[Aliment],0))="c"),
INDEX(Règles_chevaux_selle[Valeur 36 et plus],MATCH(RationEtéChevauxSelle&amp;$EU61,Règles_chevaux_selle[Ration]&amp;Règles_chevaux_selle[Aliment],0)),0),0)*TotalEtalonSelle*NbreJoursNourrirChevauxSelle)</f>
        <v>0</v>
      </c>
      <c r="EW61" s="458">
        <f t="array" ref="EW61">IF(OR(ChoixRationComplèteEtéChevauxSelle=OUI,ChoixRationComplèteEtéChevauxSelle="",AND(ChoixChevauxSellePréHiver=OUI,ChoixChevauxSellePréEté=OUI)),0,IFERROR(IF(OR(AND(INDEX(Règles_chevaux_selle[Specificite],MATCH(RationEtéChevauxSelle&amp;$EU61,Règles_chevaux_selle[Ration]&amp;Règles_chevaux_selle[Aliment],0))="s1",IF($EU61=Spécificité1ChevauxSelle,1)),
AND(INDEX(Règles_chevaux_selle[Specificite],MATCH(RationEtéChevauxSelle&amp;$EU61,Règles_chevaux_selle[Ration]&amp;Règles_chevaux_selle[Aliment],0))="s2",IF($EU61=Spécificité2ChevauxSelle,1)),
INDEX(Règles_chevaux_selle[Specificite],MATCH(RationEtéChevauxSelle&amp;$EU61,Règles_chevaux_selle[Ration]&amp;Règles_chevaux_selle[Aliment],0))="c"),
INDEX(Règles_chevaux_selle[Valeur 24-36],MATCH(RationEtéChevauxSelle&amp;$EU61,Règles_chevaux_selle[Ration]&amp;Règles_chevaux_selle[Aliment],0)),0),0)*TotalJeuneEtalonSelle_24_36_mois*NbreJoursNourrirChevauxSelle)</f>
        <v>0</v>
      </c>
      <c r="EX61" s="458">
        <f t="array" ref="EX61">IF(OR(ChoixRationComplèteEtéChevauxSelle=OUI,ChoixRationComplèteEtéChevauxSelle="",AND(ChoixChevauxSellePréHiver=OUI,ChoixChevauxSellePréEté=OUI)),0,IFERROR(IF(OR(AND(INDEX(Règles_chevaux_selle[Specificite],MATCH(RationEtéChevauxSelle&amp;$EU61,Règles_chevaux_selle[Ration]&amp;Règles_chevaux_selle[Aliment],0))="s1",IF($EU61=Spécificité1ChevauxSelle,1)),
AND(INDEX(Règles_chevaux_selle[Specificite],MATCH(RationEtéChevauxSelle&amp;$EU61,Règles_chevaux_selle[Ration]&amp;Règles_chevaux_selle[Aliment],0))="s2",IF($EU61=Spécificité2ChevauxSelle,1)),
INDEX(Règles_chevaux_selle[Specificite],MATCH(RationEtéChevauxSelle&amp;$EU61,Règles_chevaux_selle[Ration]&amp;Règles_chevaux_selle[Aliment],0))="c"),
INDEX(Règles_chevaux_selle[Valeur 12-24],MATCH(RationEtéChevauxSelle&amp;$EU61,Règles_chevaux_selle[Ration]&amp;Règles_chevaux_selle[Aliment],0)),0),0)*TotalJeuneEtalonSelle_12_24_mois*NbreJoursNourrirChevauxSelle)</f>
        <v>0</v>
      </c>
      <c r="EY61" s="460">
        <f t="array" ref="EY61">IF(OR(ChoixRationComplèteEtéChevauxSelle=OUI,ChoixRationComplèteEtéChevauxSelle="",AND(ChoixChevauxSellePréHiver=OUI,ChoixChevauxSellePréEté=OUI)),0,IFERROR(IF(OR(AND(INDEX(Règles_chevaux_selle[Specificite],MATCH(RationEtéChevauxSelle&amp;$EU61,Règles_chevaux_selle[Ration]&amp;Règles_chevaux_selle[Aliment],0))="s1",IF($EU61=Spécificité1ChevauxSelle,1)),
AND(INDEX(Règles_chevaux_selle[Specificite],MATCH(RationEtéChevauxSelle&amp;$EU61,Règles_chevaux_selle[Ration]&amp;Règles_chevaux_selle[Aliment],0))="s2",IF($EU61=Spécificité2ChevauxSelle,1)),
INDEX(Règles_chevaux_selle[Specificite],MATCH(RationEtéChevauxSelle&amp;$EU61,Règles_chevaux_selle[Ration]&amp;Règles_chevaux_selle[Aliment],0))="c"),
INDEX(Règles_chevaux_selle[Valeur 0-12],MATCH(RationEtéChevauxSelle&amp;$EU61,Règles_chevaux_selle[Ration]&amp;Règles_chevaux_selle[Aliment],0)),0),0)*TotalPoulainSelle_0_12_mois*NbreJoursNourrirChevauxSelle)</f>
        <v>0</v>
      </c>
      <c r="EZ61" s="460">
        <f t="shared" si="16"/>
        <v>0</v>
      </c>
      <c r="FA61" s="298"/>
      <c r="FB61" s="298"/>
      <c r="FD61" s="457" t="s">
        <v>1166</v>
      </c>
      <c r="FE61" s="458">
        <f t="array" ref="FE61">IF(OR(ChoixRationComplèteEtéChevauxTrait=OUI,ChoixRationComplèteEtéChevauxTrait="",AND(ChoixChevauxTraitPréHiver=OUI,ChoixChevauxTraitPréEté=OUI)),0,IFERROR(IF(OR(AND(INDEX(Règles_chevaux_trait[Specificite],MATCH(RationEtéChevauxTrait&amp;$FD61,Règles_chevaux_trait[Ration]&amp;Règles_chevaux_trait[Aliment],0))="s1",IF($FD61=Spécificité1ChevauxTrait,1)),
AND(INDEX(Règles_chevaux_trait[Specificite],MATCH(RationEtéChevauxTrait&amp;$FD61,Règles_chevaux_trait[Ration]&amp;Règles_chevaux_trait[Aliment],0))="s2",IF($FD61=Spécificité2ChevauxTrait,1)),
INDEX(Règles_chevaux_trait[Specificite],MATCH(RationEtéChevauxTrait&amp;$FD61,Règles_chevaux_trait[Ration]&amp;Règles_chevaux_trait[Aliment],0))="c"),
INDEX(Règles_chevaux_trait[Valeur 36 et plus],MATCH(RationEtéChevauxTrait&amp;$FD61,Règles_chevaux_trait[Ration]&amp;Règles_chevaux_trait[Aliment],0)),0),0)*TotalEtalonTrait*NbreJoursNourrirChevauxTrait)</f>
        <v>0</v>
      </c>
      <c r="FF61" s="458">
        <f t="array" ref="FF61">IF(OR(ChoixRationComplèteEtéChevauxTrait=OUI,ChoixRationComplèteEtéChevauxTrait="",AND(ChoixChevauxTraitPréHiver=OUI,ChoixChevauxTraitPréEté=OUI)),0,IFERROR(IF(OR(AND(INDEX(Règles_chevaux_trait[Specificite],MATCH(RationEtéChevauxTrait&amp;$FD61,Règles_chevaux_trait[Ration]&amp;Règles_chevaux_trait[Aliment],0))="s1",IF($FD61=Spécificité1ChevauxTrait,1)),
AND(INDEX(Règles_chevaux_trait[Specificite],MATCH(RationEtéChevauxTrait&amp;$FD61,Règles_chevaux_trait[Ration]&amp;Règles_chevaux_trait[Aliment],0))="s2",IF($FD61=Spécificité2ChevauxTrait,1)),
INDEX(Règles_chevaux_trait[Specificite],MATCH(RationEtéChevauxTrait&amp;$FD61,Règles_chevaux_trait[Ration]&amp;Règles_chevaux_trait[Aliment],0))="c"),
INDEX(Règles_chevaux_trait[Valeur 24-36],MATCH(RationEtéChevauxTrait&amp;$FD61,Règles_chevaux_trait[Ration]&amp;Règles_chevaux_trait[Aliment],0)),0),0)*TotalJeuneEtalonTrait_24_36_mois*NbreJoursNourrirChevauxTrait)</f>
        <v>0</v>
      </c>
      <c r="FG61" s="458">
        <f t="array" ref="FG61">IF(OR(ChoixRationComplèteEtéChevauxTrait=OUI,ChoixRationComplèteEtéChevauxTrait="",AND(ChoixChevauxTraitPréHiver=OUI,ChoixChevauxTraitPréEté=OUI)),0,IFERROR(IF(OR(AND(INDEX(Règles_chevaux_trait[Specificite],MATCH(RationEtéChevauxTrait&amp;$FD61,Règles_chevaux_trait[Ration]&amp;Règles_chevaux_trait[Aliment],0))="s1",IF($FD61=Spécificité1ChevauxTrait,1)),
AND(INDEX(Règles_chevaux_trait[Specificite],MATCH(RationEtéChevauxTrait&amp;$FD61,Règles_chevaux_trait[Ration]&amp;Règles_chevaux_trait[Aliment],0))="s2",IF($FD61=Spécificité2ChevauxTrait,1)),
INDEX(Règles_chevaux_trait[Specificite],MATCH(RationEtéChevauxTrait&amp;$FD61,Règles_chevaux_trait[Ration]&amp;Règles_chevaux_trait[Aliment],0))="c"),
INDEX(Règles_chevaux_trait[Valeur 12-24],MATCH(RationEtéChevauxTrait&amp;$FD61,Règles_chevaux_trait[Ration]&amp;Règles_chevaux_trait[Aliment],0)),0),0)*TotalJeuneEtalonTrait_12_24_mois*NbreJoursNourrirChevauxTrait)</f>
        <v>0</v>
      </c>
      <c r="FH61" s="460">
        <f t="array" ref="FH61">IF(OR(ChoixRationComplèteEtéChevauxTrait=OUI,ChoixRationComplèteEtéChevauxTrait="",AND(ChoixChevauxTraitPréHiver=OUI,ChoixChevauxTraitPréEté=OUI)),0,IFERROR(IF(OR(AND(INDEX(Règles_chevaux_trait[Specificite],MATCH(RationEtéChevauxTrait&amp;$FD61,Règles_chevaux_trait[Ration]&amp;Règles_chevaux_trait[Aliment],0))="s1",IF($FD61=Spécificité1ChevauxTrait,1)),
AND(INDEX(Règles_chevaux_trait[Specificite],MATCH(RationEtéChevauxTrait&amp;$FD61,Règles_chevaux_trait[Ration]&amp;Règles_chevaux_trait[Aliment],0))="s2",IF($FD61=Spécificité2ChevauxTrait,1)),
INDEX(Règles_chevaux_trait[Specificite],MATCH(RationEtéChevauxTrait&amp;$FD61,Règles_chevaux_trait[Ration]&amp;Règles_chevaux_trait[Aliment],0))="c"),
INDEX(Règles_chevaux_trait[Valeur 0-12],MATCH(RationEtéChevauxTrait&amp;$FD61,Règles_chevaux_trait[Ration]&amp;Règles_chevaux_trait[Aliment],0)),0),0)*TotalPoulainTrait_0_12_mois*NbreJoursNourrirChevauxTrait)</f>
        <v>0</v>
      </c>
      <c r="FI61" s="460">
        <f t="shared" si="15"/>
        <v>0</v>
      </c>
      <c r="FJ61" s="298"/>
      <c r="FK61" s="298"/>
      <c r="FL61" s="298"/>
      <c r="FN61" s="457" t="s">
        <v>1167</v>
      </c>
      <c r="FO61" s="458">
        <f t="array" ref="FO61">IF(OR(ChoixRationComplèteEtéPoneys=OUI,ChoixRationComplèteEtéPoneys="",AND(ChoixPoneysPréHiver=OUI,ChoixPoneysPréEté=OUI)),0,IFERROR(IF(OR(AND(INDEX(Règles_poneys[Specificite],MATCH(RationEtéPoneys&amp;$FN61,Règles_poneys[Ration]&amp;Règles_poneys[Aliment],0))="s1",IF($FN61=Spécificité1Poneys,1)),
AND(INDEX(Règles_poneys[Specificite],MATCH(RationEtéPoneys&amp;$FN61,Règles_poneys[Ration]&amp;Règles_poneys[Aliment],0))="s2",IF($FN61=Spécificité2Poneys,1)),
INDEX(Règles_poneys[Specificite],MATCH(RationEtéPoneys&amp;$FN61,Règles_poneys[Ration]&amp;Règles_poneys[Aliment],0))="c"),
INDEX(Règles_poneys[Valeur 36 et plus],MATCH(RationEtéPoneys&amp;$FN61,Règles_poneys[Ration]&amp;Règles_poneys[Aliment],0)),0),0)*TotalEtalonPoney*NbreJoursNourrirPoneys)</f>
        <v>0</v>
      </c>
      <c r="FP61" s="458">
        <f t="array" ref="FP61">IF(OR(ChoixRationComplèteEtéPoneys=OUI,ChoixRationComplèteEtéPoneys="",AND(ChoixPoneysPréHiver=OUI,ChoixPoneysPréEté=OUI)),0,IFERROR(IF(OR(AND(INDEX(Règles_poneys[Specificite],MATCH(RationEtéPoneys&amp;$FN61,Règles_poneys[Ration]&amp;Règles_poneys[Aliment],0))="s1",IF($FN61=Spécificité1Poneys,1)),
AND(INDEX(Règles_poneys[Specificite],MATCH(RationEtéPoneys&amp;$FN61,Règles_poneys[Ration]&amp;Règles_poneys[Aliment],0))="s2",IF($FN61=Spécificité2Poneys,1)),
INDEX(Règles_poneys[Specificite],MATCH(RationEtéPoneys&amp;$FN61,Règles_poneys[Ration]&amp;Règles_poneys[Aliment],0))="c"),
INDEX(Règles_poneys[Valeur 36 et plus],MATCH(RationEtéPoneys&amp;$FN61,Règles_poneys[Ration]&amp;Règles_poneys[Aliment],0)),0),0)*TotalJeuneEtalonPoney_24_36_mois*NbreJoursNourrirPoneys)</f>
        <v>0</v>
      </c>
      <c r="FQ61" s="458">
        <f t="array" ref="FQ61">IF(OR(ChoixRationComplèteEtéPoneys=OUI,ChoixRationComplèteEtéPoneys="",AND(ChoixPoneysPréHiver=OUI,ChoixPoneysPréEté=OUI)),0,IFERROR(IF(OR(AND(INDEX(Règles_poneys[Specificite],MATCH(RationEtéPoneys&amp;$FN61,Règles_poneys[Ration]&amp;Règles_poneys[Aliment],0))="s1",IF($FN61=Spécificité1Poneys,1)),
AND(INDEX(Règles_poneys[Specificite],MATCH(RationEtéPoneys&amp;$FN61,Règles_poneys[Ration]&amp;Règles_poneys[Aliment],0))="s2",IF($FN61=Spécificité2Poneys,1)),
INDEX(Règles_poneys[Specificite],MATCH(RationEtéPoneys&amp;$FN61,Règles_poneys[Ration]&amp;Règles_poneys[Aliment],0))="c"),
INDEX(Règles_poneys[Valeur 36 et plus],MATCH(RationEtéPoneys&amp;$FN61,Règles_poneys[Ration]&amp;Règles_poneys[Aliment],0)),0),0)*TotalJeuneEtalonPoney_12_24_mois*NbreJoursNourrirPoneys)</f>
        <v>0</v>
      </c>
      <c r="FR61" s="460">
        <f t="array" ref="FR61">IF(OR(ChoixRationComplèteEtéPoneys=OUI,ChoixRationComplèteEtéPoneys="",AND(ChoixPoneysPréHiver=OUI,ChoixPoneysPréEté=OUI)),0,IFERROR(IF(OR(AND(INDEX(Règles_poneys[Specificite],MATCH(RationEtéPoneys&amp;$FN61,Règles_poneys[Ration]&amp;Règles_poneys[Aliment],0))="s1",IF($FN61=Spécificité1Poneys,1)),
AND(INDEX(Règles_poneys[Specificite],MATCH(RationEtéPoneys&amp;$FN61,Règles_poneys[Ration]&amp;Règles_poneys[Aliment],0))="s2",IF($FN61=Spécificité2Poneys,1)),
INDEX(Règles_poneys[Specificite],MATCH(RationEtéPoneys&amp;$FN61,Règles_poneys[Ration]&amp;Règles_poneys[Aliment],0))="c"),
INDEX(Règles_poneys[Valeur 36 et plus],MATCH(RationEtéPoneys&amp;$FN61,Règles_poneys[Ration]&amp;Règles_poneys[Aliment],0)),0),0)*TotalPoulainPoney_0_12_mois*NbreJoursNourrirPoneys)</f>
        <v>0</v>
      </c>
      <c r="FS61" s="460">
        <f t="shared" si="14"/>
        <v>0</v>
      </c>
      <c r="FT61" s="298"/>
      <c r="FU61" s="298"/>
      <c r="FV61" s="298"/>
      <c r="FW61" s="443" t="s">
        <v>268</v>
      </c>
      <c r="FX61" s="450">
        <f t="array" ref="FX61">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61" s="450">
        <f t="array" ref="FY61">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61" s="450">
        <f t="array" ref="FZ61">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61" s="450">
        <f t="array" ref="GA61">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61" s="451">
        <f>SUM(AlimentsGavageOies[[#This Row],[Valeur 6 et plus]:[Valeur 0-1]])</f>
        <v>0</v>
      </c>
      <c r="GC61" s="316"/>
      <c r="GE61" s="280" t="s">
        <v>310</v>
      </c>
      <c r="GF61" s="283"/>
      <c r="GG61" s="283" t="s">
        <v>955</v>
      </c>
      <c r="GH61" s="283" t="s">
        <v>955</v>
      </c>
      <c r="GI61" s="283" t="s">
        <v>955</v>
      </c>
      <c r="GJ61" s="283" t="s">
        <v>955</v>
      </c>
      <c r="GK61" s="283" t="s">
        <v>955</v>
      </c>
      <c r="GL61" s="283" t="s">
        <v>955</v>
      </c>
      <c r="GM61" s="283" t="s">
        <v>955</v>
      </c>
      <c r="GN61" s="283" t="s">
        <v>955</v>
      </c>
      <c r="GO61" s="283" t="s">
        <v>955</v>
      </c>
      <c r="GP61" s="283" t="s">
        <v>955</v>
      </c>
      <c r="GQ61" s="283" t="s">
        <v>955</v>
      </c>
      <c r="GR61" s="283" t="s">
        <v>955</v>
      </c>
      <c r="GS61" s="283" t="s">
        <v>955</v>
      </c>
      <c r="GT61" s="283" t="s">
        <v>955</v>
      </c>
      <c r="GU61" s="283" t="s">
        <v>955</v>
      </c>
      <c r="GV61" s="283" t="s">
        <v>955</v>
      </c>
      <c r="GY61" s="444" t="str">
        <f t="shared" si="11"/>
        <v>semences de haricot vert</v>
      </c>
      <c r="GZ61" s="444"/>
      <c r="HA61" s="342"/>
      <c r="HB61" s="342" t="e">
        <f>IF(COUNTIF(TypeArticleDansEntrepôt,GY61)=0,0,SUMIF(TypeArticleDansEntrepôt,GY61,QtéArticleDansEntrepôt)*VLOOKUP(GY61,#REF!,2,FALSE))</f>
        <v>#REF!</v>
      </c>
      <c r="HN61" s="342" t="e">
        <f>IF(#REF!="","",(VLOOKUP(#REF!,BDD!$HN$5:$HU$38,2,FALSE))*#REF!)</f>
        <v>#REF!</v>
      </c>
      <c r="HO61" s="342" t="e">
        <f>IF(#REF!="","",IF(OR(#REF!=Moutarde,#REF!=Phacélie),0,IF(#REF!=Luzerne,10*#REF!*VLOOKUP(#REF!,BDD!$HN$5:$HU$38,3,FALSE),IF(#REF!=Miscanthus,10.5*#REF!*VLOOKUP(#REF!,BDD!$HN$5:$HU$38,3,FALSE),INDEX(#REF!:#REF!,MATCH(#REF!,#REF!:#REF!,0),MATCH(#REF!,#REF!:#REF!,0))*#REF!*VLOOKUP(#REF!,BDD!$HN$5:$HU$38,3,FALSE)))))</f>
        <v>#REF!</v>
      </c>
      <c r="HP61" s="342" t="e">
        <f>IF(#REF!="","",IF(OR(#REF!=Moutarde,#REF!=Phacélie),0,IF(#REF!=Luzerne,10*#REF!*VLOOKUP(#REF!,BDD!$HN$5:$HU$38,4,FALSE),IF(#REF!=Miscanthus,10.5*#REF!*VLOOKUP(#REF!,BDD!$HN$5:$HU$38,4,FALSE),INDEX(#REF!:#REF!,MATCH(#REF!,#REF!:#REF!,0),MATCH(#REF!,#REF!:#REF!,0))*#REF!*VLOOKUP(#REF!,BDD!$HN$5:$HU$38,4,FALSE)))))</f>
        <v>#REF!</v>
      </c>
      <c r="HQ61" s="342" t="e">
        <f>IF(#REF!="","",IF(OR(#REF!=Moutarde,#REF!=Phacélie),0,IF(#REF!=Luzerne,10*#REF!*VLOOKUP(#REF!,BDD!$HN$5:$HU$38,5,FALSE),IF(#REF!=Miscanthus,10.5*#REF!*VLOOKUP(#REF!,BDD!$HN$5:$HU$38,5,FALSE),INDEX(#REF!:#REF!,MATCH(#REF!,#REF!:#REF!,0),MATCH(#REF!,#REF!:#REF!,0))*#REF!*VLOOKUP(#REF!,BDD!$HN$5:$HU$38,5,FALSE)))))</f>
        <v>#REF!</v>
      </c>
      <c r="HR61" s="342" t="e">
        <f>IF(#REF!="","",IF(OR(#REF!=Moutarde,#REF!=Phacélie),0,IF(#REF!=Luzerne,10*#REF!*VLOOKUP(#REF!,BDD!$HN$5:$HU$38,6,FALSE),IF(#REF!=Miscanthus,10.5*#REF!*VLOOKUP(#REF!,BDD!$HN$5:$HU$38,6,FALSE),INDEX(#REF!:#REF!,MATCH(#REF!,#REF!:#REF!,0),MATCH(#REF!,#REF!:#REF!,0))*#REF!*VLOOKUP(#REF!,BDD!$HN$5:$HU$38,6,FALSE)))))</f>
        <v>#REF!</v>
      </c>
      <c r="HS61" s="342" t="e">
        <f>IF(#REF!="","",IF(OR(#REF!=Moutarde,#REF!=Phacélie),0,IF(#REF!=Luzerne,10*#REF!*VLOOKUP(#REF!,BDD!$HN$5:$HU$38,7,FALSE),IF(#REF!=Miscanthus,10.5*#REF!*VLOOKUP(#REF!,BDD!$HN$5:$HU$38,7,FALSE),INDEX(#REF!:#REF!,MATCH(#REF!,#REF!:#REF!,0),MATCH(#REF!,#REF!:#REF!,0))*#REF!*VLOOKUP(#REF!,BDD!$HN$5:$HU$38,7,FALSE)))))</f>
        <v>#REF!</v>
      </c>
      <c r="HT61" s="342" t="e">
        <f>IF(#REF!="","",IF(OR(#REF!=Moutarde,#REF!=Phacélie),0,IF(#REF!=Luzerne,10*#REF!*VLOOKUP(#REF!,BDD!$HN$5:$HU$38,8,FALSE),IF(#REF!=Miscanthus,10.5*#REF!*VLOOKUP(#REF!,BDD!$HN$5:$HU$38,8,FALSE),INDEX(#REF!:#REF!,MATCH(#REF!,#REF!:#REF!,0),MATCH(#REF!,#REF!:#REF!,0))*#REF!*VLOOKUP(#REF!,BDD!$HN$5:$HU$38,8,FALSE)))))</f>
        <v>#REF!</v>
      </c>
      <c r="HU61" s="342" t="e">
        <f>IF(#REF!="","",IF(OR(#REF!=Moutarde,#REF!=Phacélie),0,1.6*#REF!))</f>
        <v>#REF!</v>
      </c>
      <c r="HV61" s="342" t="e">
        <f>IF(#REF!="","",IF(OR(#REF!=Moutarde,#REF!=Phacélie),0,1.6*#REF!))</f>
        <v>#REF!</v>
      </c>
      <c r="HW61" s="342" t="e">
        <f>IF(#REF!="","",IF(OR(#REF!=Moutarde,#REF!=Phacélie),0,1.6*#REF!))</f>
        <v>#REF!</v>
      </c>
      <c r="HX61" s="342" t="e">
        <f>IF(#REF!="","",(VLOOKUP(#REF!,BDD!$HN$5:$HU$38,2,FALSE))*#REF!)</f>
        <v>#REF!</v>
      </c>
      <c r="HY61" s="342" t="e">
        <f>IF(#REF!="","",IF(OR(#REF!=Moutarde,#REF!=Phacélie),0,IF(#REF!=Luzerne,10*#REF!*VLOOKUP(#REF!,BDD!$HN$5:$HU$38,3,FALSE),IF(#REF!=Miscanthus,10.5*#REF!*VLOOKUP(#REF!,BDD!$HN$5:$HU$38,3,FALSE),INDEX(#REF!:#REF!,MATCH(#REF!,#REF!:#REF!,0),MATCH(#REF!,#REF!:#REF!,0))*#REF!*VLOOKUP(#REF!,BDD!$HN$5:$HU$38,3,FALSE)))))</f>
        <v>#REF!</v>
      </c>
      <c r="HZ61" s="342" t="e">
        <f>IF(#REF!="","",IF(OR(#REF!=Moutarde,#REF!=Phacélie),0,IF(#REF!=Luzerne,10*#REF!*VLOOKUP(#REF!,BDD!$HN$5:$HU$38,4,FALSE),IF(#REF!=Miscanthus,10.5*#REF!*VLOOKUP(#REF!,BDD!$HN$5:$HU$38,4,FALSE),INDEX(#REF!:#REF!,MATCH(#REF!,#REF!:#REF!,0),MATCH(#REF!,#REF!:#REF!,0))*#REF!*VLOOKUP(#REF!,BDD!$HN$5:$HU$38,4,FALSE)))))</f>
        <v>#REF!</v>
      </c>
      <c r="IA61" s="342" t="e">
        <f>IF(#REF!="","",IF(OR(#REF!=Moutarde,#REF!=Phacélie),0,IF(#REF!=Luzerne,10*#REF!*VLOOKUP(#REF!,BDD!$HN$5:$HU$38,5,FALSE),IF(#REF!=Miscanthus,10.5*#REF!*VLOOKUP(#REF!,BDD!$HN$5:$HU$38,5,FALSE),INDEX(#REF!:#REF!,MATCH(#REF!,#REF!:#REF!,0),MATCH(#REF!,#REF!:#REF!,0))*#REF!*VLOOKUP(#REF!,BDD!$HN$5:$HU$38,5,FALSE)))))</f>
        <v>#REF!</v>
      </c>
      <c r="IB61" s="342" t="e">
        <f>IF(#REF!="","",IF(OR(#REF!=Moutarde,#REF!=Phacélie),0,IF(#REF!=Luzerne,10*#REF!*VLOOKUP(#REF!,BDD!$HN$5:$HU$38,6,FALSE),IF(#REF!=Miscanthus,10.5*#REF!*VLOOKUP(#REF!,BDD!$HN$5:$HU$38,6,FALSE),INDEX(#REF!:#REF!,MATCH(#REF!,#REF!:#REF!,0),MATCH(#REF!,#REF!:#REF!,0))*#REF!*VLOOKUP(#REF!,BDD!$HN$5:$HU$38,6,FALSE)))))</f>
        <v>#REF!</v>
      </c>
      <c r="IC61" s="342" t="e">
        <f>IF(#REF!="","",IF(OR(#REF!=Moutarde,#REF!=Phacélie),0,IF(#REF!=Luzerne,10*#REF!*VLOOKUP(#REF!,BDD!$HN$5:$HU$38,7,FALSE),IF(#REF!=Miscanthus,10.5*#REF!*VLOOKUP(#REF!,BDD!$HN$5:$HU$38,7,FALSE),INDEX(#REF!:#REF!,MATCH(#REF!,#REF!:#REF!,0),MATCH(#REF!,#REF!:#REF!,0))*#REF!*VLOOKUP(#REF!,BDD!$HN$5:$HU$38,7,FALSE)))))</f>
        <v>#REF!</v>
      </c>
      <c r="ID61" s="342" t="e">
        <f>IF(#REF!="","",IF(OR(#REF!=Moutarde,#REF!=Phacélie),0,IF(#REF!=Luzerne,10*#REF!*VLOOKUP(#REF!,BDD!$HN$5:$HU$38,8,FALSE),IF(#REF!=Miscanthus,10.5*#REF!*VLOOKUP(#REF!,BDD!$HN$5:$HU$38,8,FALSE),INDEX(#REF!:#REF!,MATCH(#REF!,#REF!:#REF!,0),MATCH(#REF!,#REF!:#REF!,0))*#REF!*VLOOKUP(#REF!,BDD!$HN$5:$HU$38,8,FALSE)))))</f>
        <v>#REF!</v>
      </c>
      <c r="IE61" s="342" t="e">
        <f>IF(#REF!="","",IF(OR(#REF!=Moutarde,#REF!=Phacélie),0,1.6*#REF!))</f>
        <v>#REF!</v>
      </c>
      <c r="IF61" s="342" t="e">
        <f>IF(#REF!="","",IF(OR(#REF!=Moutarde,#REF!=Phacélie),0,1.6*#REF!))</f>
        <v>#REF!</v>
      </c>
      <c r="IG61" s="342" t="e">
        <f>IF(#REF!="","",IF(OR(#REF!=Moutarde,#REF!=Phacélie),0,1.6*#REF!))</f>
        <v>#REF!</v>
      </c>
    </row>
    <row r="62" spans="1:241" ht="12.75" customHeight="1" x14ac:dyDescent="0.2">
      <c r="A62" s="373"/>
      <c r="B62" s="380"/>
      <c r="F62" s="280"/>
      <c r="G62" s="280"/>
      <c r="H62" s="280"/>
      <c r="I62" s="280"/>
      <c r="J62" s="280"/>
      <c r="K62" s="280"/>
      <c r="L62" s="280"/>
      <c r="M62" s="280"/>
      <c r="N62" s="277"/>
      <c r="O62" s="280" t="s">
        <v>144</v>
      </c>
      <c r="P62" s="280"/>
      <c r="Q62" s="280"/>
      <c r="R62" s="280"/>
      <c r="S62" s="280"/>
      <c r="T62" s="280"/>
      <c r="U62" s="280"/>
      <c r="V62" s="280"/>
      <c r="W62" s="280"/>
      <c r="X62" s="280"/>
      <c r="Y62" s="280"/>
      <c r="Z62" s="280"/>
      <c r="AA62" s="280"/>
      <c r="AB62" s="280"/>
      <c r="AC62" s="280"/>
      <c r="AD62" s="280"/>
      <c r="AE62" s="280"/>
      <c r="AF62" s="280"/>
      <c r="AG62" s="280"/>
      <c r="AH62" s="280"/>
      <c r="AI62" s="280"/>
      <c r="AJ62" s="280"/>
      <c r="AK62" s="280"/>
      <c r="AL62" s="280"/>
      <c r="AM62" s="280"/>
      <c r="AN62" s="280"/>
      <c r="AO62" s="280"/>
      <c r="AP62" s="280"/>
      <c r="AQ62" s="280"/>
      <c r="AR62" s="280"/>
      <c r="AS62" s="280"/>
      <c r="AT62" s="280"/>
      <c r="AU62" s="280"/>
      <c r="AV62" s="280"/>
      <c r="AW62" s="280"/>
      <c r="AX62" s="280"/>
      <c r="AY62" s="280"/>
      <c r="BB62" s="387" t="s">
        <v>509</v>
      </c>
      <c r="BC62" s="362" t="s">
        <v>489</v>
      </c>
      <c r="BD62" s="362" t="s">
        <v>887</v>
      </c>
      <c r="BE62" s="388">
        <v>7.2</v>
      </c>
      <c r="BF62" s="388">
        <v>6</v>
      </c>
      <c r="BG62" s="388">
        <v>4</v>
      </c>
      <c r="BH62" s="388">
        <v>2</v>
      </c>
      <c r="BI62" s="388">
        <v>1.2</v>
      </c>
      <c r="BJ62" s="388">
        <v>0.6</v>
      </c>
      <c r="BK62" s="389">
        <v>0</v>
      </c>
      <c r="BL62" s="312"/>
      <c r="BM62" s="350" t="s">
        <v>378</v>
      </c>
      <c r="BN62" s="350">
        <f t="array" ref="BN62">IF(Ration_hivernale_complète_bisons[somme]&gt;0,0,IFERROR(IF(OR(AND(INDEX(Règles_bison[Specificite],MATCH(ChoixRationBisons&amp;$BM62,Règles_bison[Ration]&amp;Règles_bison[Aliment],0))="s1",IF($BM62=ChoixSpécificité1Bisons,1)),
INDEX(Règles_bison[Specificite],MATCH(ChoixRationBisons&amp;$BM62,Règles_bison[Ration]&amp;Règles_bison[Aliment],0))="c"),
INDEX(Règles_bison[Valeur 36 et plus],MATCH(ChoixRationBisons&amp;$BM62,Règles_bison[Ration]&amp;Règles_bison[Aliment],0)),0),0)*TotalBisonsMalesAdultes*NbreJoursNourrirBisonsDaims)</f>
        <v>0</v>
      </c>
      <c r="BO62" s="350">
        <f t="array" ref="BO62">IF(Ration_hivernale_complète_bisons[somme]&gt;0,0,IFERROR(IF(OR(AND(INDEX(Règles_bison[Specificite],MATCH(ChoixRationBisons&amp;$BM62,Règles_bison[Ration]&amp;Règles_bison[Aliment],0))="s1",IF($BM62=ChoixSpécificité1Bisons,1)),
INDEX(Règles_bison[Specificite],MATCH(ChoixRationBisons&amp;$BM62,Règles_bison[Ration]&amp;Règles_bison[Aliment],0))="c"),
INDEX(Règles_bison[Valeur 24-36],MATCH(ChoixRationBisons&amp;$BM62,Règles_bison[Ration]&amp;Règles_bison[Aliment],0)),0),0)*TotalBisonsMales_24_36_mois*NbreJoursNourrirBisonsDaims)</f>
        <v>0</v>
      </c>
      <c r="BP62" s="350">
        <f t="array" ref="BP62">IF(Ration_hivernale_complète_bisons[somme]&gt;0,0,IFERROR(IF(OR(AND(INDEX(Règles_bison[Specificite],MATCH(ChoixRationBisons&amp;$BM62,Règles_bison[Ration]&amp;Règles_bison[Aliment],0))="s1",IF($BM62=ChoixSpécificité1Bisons,1)),
INDEX(Règles_bison[Specificite],MATCH(ChoixRationBisons&amp;$BM62,Règles_bison[Ration]&amp;Règles_bison[Aliment],0))="c"),
INDEX(Règles_bison[Valeur 18-24],MATCH(ChoixRationBisons&amp;$BM62,Règles_bison[Ration]&amp;Règles_bison[Aliment],0)),0),0)*TotalBisonsMales_18_24_mois*NbreJoursNourrirBisonsDaims)</f>
        <v>0</v>
      </c>
      <c r="BQ62" s="350">
        <f t="array" ref="BQ62">IF(Ration_hivernale_complète_bisons[somme]&gt;0,0,IFERROR(IF(OR(AND(INDEX(Règles_bison[Specificite],MATCH(ChoixRationBisons&amp;$BM62,Règles_bison[Ration]&amp;Règles_bison[Aliment],0))="s1",IF($BM62=ChoixSpécificité1Bisons,1)),
INDEX(Règles_bison[Specificite],MATCH(ChoixRationBisons&amp;$BM62,Règles_bison[Ration]&amp;Règles_bison[Aliment],0))="c"),
INDEX(Règles_bison[Valeur 12-18],MATCH(ChoixRationBisons&amp;$BM62,Règles_bison[Ration]&amp;Règles_bison[Aliment],0)),0),0)*TotalBisonsMales_12_18_mois*NbreJoursNourrirBisonsDaims)</f>
        <v>0</v>
      </c>
      <c r="BR62" s="350">
        <f t="array" ref="BR62">IF(Ration_hivernale_complète_bisons[somme]&gt;0,0,IFERROR(IF(OR(AND(INDEX(Règles_bison[Specificite],MATCH(ChoixRationBisons&amp;$BM62,Règles_bison[Ration]&amp;Règles_bison[Aliment],0))="s1",IF($BM62=ChoixSpécificité1Bisons,1)),
INDEX(Règles_bison[Specificite],MATCH(ChoixRationBisons&amp;$BM62,Règles_bison[Ration]&amp;Règles_bison[Aliment],0))="c"),
INDEX(Règles_bison[Valeur 6-12],MATCH(ChoixRationBisons&amp;$BM62,Règles_bison[Ration]&amp;Règles_bison[Aliment],0)),0),0)*TotalBisonsMales_6_12_mois*NbreJoursNourrirBisonsDaims)</f>
        <v>0</v>
      </c>
      <c r="BS62" s="350">
        <f t="array" ref="BS62">IF(Ration_hivernale_complète_bisons[somme]&gt;0,0,IFERROR(IF(OR(AND(INDEX(Règles_bison[Specificite],MATCH(ChoixRationBisons&amp;$BM62,Règles_bison[Ration]&amp;Règles_bison[Aliment],0))="s1",IF($BM62=ChoixSpécificité1Bisons,1)),
INDEX(Règles_bison[Specificite],MATCH(ChoixRationBisons&amp;$BM62,Règles_bison[Ration]&amp;Règles_bison[Aliment],0))="c"),
INDEX(Règles_bison[Valeur 3-6],MATCH(ChoixRationBisons&amp;$BM62,Règles_bison[Ration]&amp;Règles_bison[Aliment],0)),0),0)*TotalBisonsMales_3_6_mois*NbreJoursNourrirBisonsDaims)</f>
        <v>0</v>
      </c>
      <c r="BT62" s="350">
        <f t="array" ref="BT62">IF(Ration_hivernale_complète_bisons[somme]&gt;0,0,IFERROR(IF(OR(AND(INDEX(Règles_bison[Specificite],MATCH(ChoixRationBisons&amp;$BM62,Règles_bison[Ration]&amp;Règles_bison[Aliment],0))="s1",IF($BM62=ChoixSpécificité1Bisons,1)),
INDEX(Règles_bison[Specificite],MATCH(ChoixRationBisons&amp;$BM62,Règles_bison[Ration]&amp;Règles_bison[Aliment],0))="c"),
INDEX(Règles_bison[Valeur 0-3],MATCH(ChoixRationBisons&amp;$BM62,Règles_bison[Ration]&amp;Règles_bison[Aliment],0)),0),0)*TotalBisonsMales_0_3_mois*NbreJoursNourrirBisonsDaims)</f>
        <v>0</v>
      </c>
      <c r="BU62" s="350">
        <f t="shared" si="10"/>
        <v>0</v>
      </c>
      <c r="BX62" s="373" t="s">
        <v>548</v>
      </c>
      <c r="BY62" s="280" t="s">
        <v>70</v>
      </c>
      <c r="BZ62" s="280" t="s">
        <v>887</v>
      </c>
      <c r="CA62" s="280">
        <v>1.6</v>
      </c>
      <c r="CB62" s="280">
        <v>1.4</v>
      </c>
      <c r="CC62" s="280">
        <v>1.2</v>
      </c>
      <c r="CD62" s="410">
        <v>1</v>
      </c>
      <c r="CE62" s="304"/>
      <c r="CF62" s="304"/>
      <c r="CG62" s="304"/>
      <c r="CH62" s="304"/>
      <c r="CJ62" s="420" t="s">
        <v>265</v>
      </c>
      <c r="CK62" s="384">
        <f t="array" ref="CK6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62" s="384">
        <f t="array" ref="CL6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62" s="384">
        <f t="array" ref="CM6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62" s="384">
        <f t="array" ref="CN6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62" s="384">
        <f t="array" ref="CO6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62" s="426">
        <f>SUM(AlimentsRationPorcinsMâles[[#This Row],[Valeur 12 et plus]:[Valeur 0-1]])</f>
        <v>0</v>
      </c>
      <c r="CS62" s="420" t="s">
        <v>500</v>
      </c>
      <c r="CT62" s="433">
        <f t="array" ref="CT62">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62" s="433">
        <f t="array" ref="CU62">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62" s="433">
        <f t="array" ref="CV62">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62" s="434">
        <f>SUM(AlimentsRationLapinsMâles[[#This Row],[Valeur 3 et plus]:[Valeur 0-1]])</f>
        <v>0</v>
      </c>
      <c r="CZ62" s="420" t="s">
        <v>500</v>
      </c>
      <c r="DA62" s="433">
        <f t="array" ref="DA6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62" s="433">
        <f t="array" ref="DB6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62" s="433">
        <f t="array" ref="DC6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62" s="434">
        <f>SUM(AlimentsRationVolaillesMâles[[#This Row],[Valeur 6 et plus]:[Valeur 0-1]])</f>
        <v>0</v>
      </c>
      <c r="DE62" s="316"/>
      <c r="DF62" s="277"/>
      <c r="DG62" s="420" t="s">
        <v>168</v>
      </c>
      <c r="DH62" s="433">
        <f t="array" ref="DH6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62" s="433">
        <f t="array" ref="DI6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62" s="433">
        <f t="array" ref="DJ6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62" s="434">
        <f>SUM(AlimentsRationPintadesMâles[[#This Row],[Valeur 9 et plus]:[Valeur 0-1]])</f>
        <v>0</v>
      </c>
      <c r="DL62" s="316"/>
      <c r="DM62" s="316"/>
      <c r="DN62" s="280" t="s">
        <v>801</v>
      </c>
      <c r="DO62" s="280">
        <v>940</v>
      </c>
      <c r="DQ62" s="280" t="s">
        <v>801</v>
      </c>
      <c r="DR62" s="280">
        <v>1128</v>
      </c>
      <c r="DV62" s="350" t="s">
        <v>907</v>
      </c>
      <c r="DW62" s="351">
        <f t="array" ref="DW62">IF(ChoixRationComplèteDaims=OUI,0,IFERROR(IF(OR(AND(INDEX(Règles_daims[Specificite],MATCH(ChoixRationDaims&amp;DV62,Règles_daims[Ration]&amp;Règles_daims[Aliment],0))="s1",IF(DV62=Spécificité1Daims,1)),
AND(INDEX(Règles_daims[Specificite],MATCH(ChoixRationDaims&amp;DV62,Règles_daims[Ration]&amp;Règles_daims[Aliment],0))="s2",IF(DV62=Spécificité2Daims,1)),
INDEX(Règles_daims[Specificite],MATCH(ChoixRationDaims&amp;DV62,Règles_daims[Ration]&amp;Règles_daims[Aliment],0))="c"),
INDEX(Règles_daims[Valeur 36 et plus],MATCH(ChoixRationDaims&amp;DV62,Règles_daims[Ration]&amp;Règles_daims[Aliment],0)),0),0)*SUM(TotalDaimsAdultes)*NbreJoursNourrirBisonsDaims)</f>
        <v>0</v>
      </c>
      <c r="DX62" s="351">
        <f t="array" ref="DX62">IF(ChoixRationComplèteDaims=OUI,0,IFERROR(IF(OR(AND(INDEX(Règles_daims[Specificite],MATCH(ChoixRationDaims&amp;DV62,Règles_daims[Ration]&amp;Règles_daims[Aliment],0))="s1",IF(DV62=Spécificité1Daims,1)),
AND(INDEX(Règles_daims[Specificite],MATCH(ChoixRationDaims&amp;DV62,Règles_daims[Ration]&amp;Règles_daims[Aliment],0))="s2",IF(DV62=Spécificité2Daims,1)),
INDEX(Règles_daims[Specificite],MATCH(ChoixRationDaims&amp;DV62,Règles_daims[Ration]&amp;Règles_daims[Aliment],0))="c"),
INDEX(Règles_daims[Valeur 24-36],MATCH(ChoixRationDaims&amp;DV62,Règles_daims[Ration]&amp;Règles_daims[Aliment],0)),0),0)*SUM(TotalDaims24_36)*NbreJoursNourrirBisonsDaims)</f>
        <v>0</v>
      </c>
      <c r="DY62" s="351">
        <f t="array" ref="DY62">IF(ChoixRationComplèteDaims=OUI,0,IFERROR(IF(OR(AND(INDEX(Règles_daims[Specificite],MATCH(ChoixRationDaims&amp;DV62,Règles_daims[Ration]&amp;Règles_daims[Aliment],0))="s1",IF(DV62=Spécificité1Daims,1)),
AND(INDEX(Règles_daims[Specificite],MATCH(ChoixRationDaims&amp;DV62,Règles_daims[Ration]&amp;Règles_daims[Aliment],0))="s2",IF(DV62=Spécificité2Daims,1)),
INDEX(Règles_daims[Specificite],MATCH(ChoixRationDaims&amp;DV62,Règles_daims[Ration]&amp;Règles_daims[Aliment],0))="c"),
INDEX(Règles_daims[Valeur 18-24],MATCH(ChoixRationDaims&amp;DV62,Règles_daims[Ration]&amp;Règles_daims[Aliment],0)),0),0)*SUM(TotalDaims18_24)*NbreJoursNourrirBisonsDaims)</f>
        <v>0</v>
      </c>
      <c r="DZ62" s="441">
        <f t="array" ref="DZ62">IF(ChoixRationComplèteDaims=OUI,0,IFERROR(IF(OR(AND(INDEX(Règles_daims[Specificite],MATCH(ChoixRationDaims&amp;DV62,Règles_daims[Ration]&amp;Règles_daims[Aliment],0))="s1",IF(DV62=Spécificité1Daims,1)),
AND(INDEX(Règles_daims[Specificite],MATCH(ChoixRationDaims&amp;DV62,Règles_daims[Ration]&amp;Règles_daims[Aliment],0))="s2",IF(DV62=Spécificité2Daims,1)),
INDEX(Règles_daims[Specificite],MATCH(ChoixRationDaims&amp;DV62,Règles_daims[Ration]&amp;Règles_daims[Aliment],0))="c"),
INDEX(Règles_daims[Valeur 12-18],MATCH(ChoixRationDaims&amp;DV62,Règles_daims[Ration]&amp;Règles_daims[Aliment],0)),0),0)*SUM(TotalDaims12_18)*NbreJoursNourrirBisonsDaims)</f>
        <v>0</v>
      </c>
      <c r="EA62" s="441">
        <f t="array" ref="EA62">IF(ChoixRationComplèteDaims=OUI,0,IFERROR(IF(OR(AND(INDEX(Règles_daims[Specificite],MATCH(ChoixRationDaims&amp;DV62,Règles_daims[Ration]&amp;Règles_daims[Aliment],0))="s1",IF(DV62=Spécificité1Daims,1)),
AND(INDEX(Règles_daims[Specificite],MATCH(ChoixRationDaims&amp;DV62,Règles_daims[Ration]&amp;Règles_daims[Aliment],0))="s2",IF(DV62=Spécificité2Daims,1)),
INDEX(Règles_daims[Specificite],MATCH(ChoixRationDaims&amp;DV62,Règles_daims[Ration]&amp;Règles_daims[Aliment],0))="c"),
INDEX(Règles_daims[Valeur 6-12],MATCH(ChoixRationDaims&amp;DV62,Règles_daims[Ration]&amp;Règles_daims[Aliment],0)),0),0)*SUM(TotalDaims6_12)*NbreJoursNourrirBisonsDaims)</f>
        <v>0</v>
      </c>
      <c r="EB62" s="441">
        <f t="array" ref="EB62">IF(ChoixRationComplèteDaims=OUI,0,IFERROR(IF(OR(AND(INDEX(Règles_daims[Specificite],MATCH(ChoixRationDaims&amp;DV62,Règles_daims[Ration]&amp;Règles_daims[Aliment],0))="s1",IF(DV62=Spécificité1Daims,1)),
AND(INDEX(Règles_daims[Specificite],MATCH(ChoixRationDaims&amp;DV62,Règles_daims[Ration]&amp;Règles_daims[Aliment],0))="s2",IF(DV62=Spécificité2Daims,1)),
INDEX(Règles_daims[Specificite],MATCH(ChoixRationDaims&amp;DV62,Règles_daims[Ration]&amp;Règles_daims[Aliment],0))="c"),
INDEX(Règles_daims[Valeur 3-6],MATCH(ChoixRationDaims&amp;DV62,Règles_daims[Ration]&amp;Règles_daims[Aliment],0)),0),0)*SUM(TotalDaims3_6)*NbreJoursNourrirBisonsDaims)</f>
        <v>0</v>
      </c>
      <c r="EC62" s="441">
        <f t="array" ref="EC62">IF(ChoixRationComplèteDaims=OUI,0,IFERROR(IF(OR(AND(INDEX(Règles_daims[Specificite],MATCH(ChoixRationDaims&amp;DV62,Règles_daims[Ration]&amp;Règles_daims[Aliment],0))="s1",IF(DV62=Spécificité1Daims,1)),
AND(INDEX(Règles_daims[Specificite],MATCH(ChoixRationDaims&amp;DV62,Règles_daims[Ration]&amp;Règles_daims[Aliment],0))="s2",IF(DV62=Spécificité2Daims,1)),
INDEX(Règles_daims[Specificite],MATCH(ChoixRationDaims&amp;DV62,Règles_daims[Ration]&amp;Règles_daims[Aliment],0))="c"),
INDEX(Règles_daims[Valeur 0-3],MATCH(ChoixRationDaims&amp;DV62,Règles_daims[Ration]&amp;Règles_daims[Aliment],0)),0),0)*SUM(TotalDaims0_3)*NbreJoursNourrirBisonsDaims)</f>
        <v>0</v>
      </c>
      <c r="ED62" s="441">
        <f t="shared" si="9"/>
        <v>0</v>
      </c>
      <c r="EG62" s="420" t="s">
        <v>1165</v>
      </c>
      <c r="EH62" s="433">
        <f t="array" ref="EH6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62" s="433">
        <f t="array" ref="EI6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62" s="433">
        <f t="array" ref="EJ6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62" s="434">
        <f>SUM(AlimentsRationOiesMâles[[#This Row],[Valeur 6 et plus]:[Valeur 0-3]])</f>
        <v>0</v>
      </c>
      <c r="EL62" s="316"/>
      <c r="EN62" s="420" t="s">
        <v>513</v>
      </c>
      <c r="EO62" s="433">
        <f t="array" ref="EO62">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62" s="433">
        <f t="array" ref="EP62">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62" s="433">
        <f t="array" ref="EQ62">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62" s="434">
        <f>SUM(Ration_canards_Mâles[[#This Row],[Valeur 6 et plus]:[Valeur 0-3]])</f>
        <v>0</v>
      </c>
      <c r="ES62" s="316"/>
      <c r="EU62" s="457" t="s">
        <v>220</v>
      </c>
      <c r="EV62" s="458">
        <f t="array" ref="EV62">IF(OR(ChoixRationComplèteEtéChevauxSelle=OUI,ChoixRationComplèteEtéChevauxSelle="",AND(ChoixChevauxSellePréHiver=OUI,ChoixChevauxSellePréEté=OUI)),0,IFERROR(IF(OR(AND(INDEX(Règles_chevaux_selle[Specificite],MATCH(RationEtéChevauxSelle&amp;$EU62,Règles_chevaux_selle[Ration]&amp;Règles_chevaux_selle[Aliment],0))="s1",IF($EU62=Spécificité1ChevauxSelle,1)),
AND(INDEX(Règles_chevaux_selle[Specificite],MATCH(RationEtéChevauxSelle&amp;$EU62,Règles_chevaux_selle[Ration]&amp;Règles_chevaux_selle[Aliment],0))="s2",IF($EU62=Spécificité2ChevauxSelle,1)),
INDEX(Règles_chevaux_selle[Specificite],MATCH(RationEtéChevauxSelle&amp;$EU62,Règles_chevaux_selle[Ration]&amp;Règles_chevaux_selle[Aliment],0))="c"),
INDEX(Règles_chevaux_selle[Valeur 36 et plus],MATCH(RationEtéChevauxSelle&amp;$EU62,Règles_chevaux_selle[Ration]&amp;Règles_chevaux_selle[Aliment],0)),0),0)*TotalEtalonSelle*NbreJoursNourrirChevauxSelle)</f>
        <v>0</v>
      </c>
      <c r="EW62" s="458">
        <f t="array" ref="EW62">IF(OR(ChoixRationComplèteEtéChevauxSelle=OUI,ChoixRationComplèteEtéChevauxSelle="",AND(ChoixChevauxSellePréHiver=OUI,ChoixChevauxSellePréEté=OUI)),0,IFERROR(IF(OR(AND(INDEX(Règles_chevaux_selle[Specificite],MATCH(RationEtéChevauxSelle&amp;$EU62,Règles_chevaux_selle[Ration]&amp;Règles_chevaux_selle[Aliment],0))="s1",IF($EU62=Spécificité1ChevauxSelle,1)),
AND(INDEX(Règles_chevaux_selle[Specificite],MATCH(RationEtéChevauxSelle&amp;$EU62,Règles_chevaux_selle[Ration]&amp;Règles_chevaux_selle[Aliment],0))="s2",IF($EU62=Spécificité2ChevauxSelle,1)),
INDEX(Règles_chevaux_selle[Specificite],MATCH(RationEtéChevauxSelle&amp;$EU62,Règles_chevaux_selle[Ration]&amp;Règles_chevaux_selle[Aliment],0))="c"),
INDEX(Règles_chevaux_selle[Valeur 24-36],MATCH(RationEtéChevauxSelle&amp;$EU62,Règles_chevaux_selle[Ration]&amp;Règles_chevaux_selle[Aliment],0)),0),0)*TotalJeuneEtalonSelle_24_36_mois*NbreJoursNourrirChevauxSelle)</f>
        <v>0</v>
      </c>
      <c r="EX62" s="458">
        <f t="array" ref="EX62">IF(OR(ChoixRationComplèteEtéChevauxSelle=OUI,ChoixRationComplèteEtéChevauxSelle="",AND(ChoixChevauxSellePréHiver=OUI,ChoixChevauxSellePréEté=OUI)),0,IFERROR(IF(OR(AND(INDEX(Règles_chevaux_selle[Specificite],MATCH(RationEtéChevauxSelle&amp;$EU62,Règles_chevaux_selle[Ration]&amp;Règles_chevaux_selle[Aliment],0))="s1",IF($EU62=Spécificité1ChevauxSelle,1)),
AND(INDEX(Règles_chevaux_selle[Specificite],MATCH(RationEtéChevauxSelle&amp;$EU62,Règles_chevaux_selle[Ration]&amp;Règles_chevaux_selle[Aliment],0))="s2",IF($EU62=Spécificité2ChevauxSelle,1)),
INDEX(Règles_chevaux_selle[Specificite],MATCH(RationEtéChevauxSelle&amp;$EU62,Règles_chevaux_selle[Ration]&amp;Règles_chevaux_selle[Aliment],0))="c"),
INDEX(Règles_chevaux_selle[Valeur 12-24],MATCH(RationEtéChevauxSelle&amp;$EU62,Règles_chevaux_selle[Ration]&amp;Règles_chevaux_selle[Aliment],0)),0),0)*TotalJeuneEtalonSelle_12_24_mois*NbreJoursNourrirChevauxSelle)</f>
        <v>0</v>
      </c>
      <c r="EY62" s="460">
        <f t="array" ref="EY62">IF(OR(ChoixRationComplèteEtéChevauxSelle=OUI,ChoixRationComplèteEtéChevauxSelle="",AND(ChoixChevauxSellePréHiver=OUI,ChoixChevauxSellePréEté=OUI)),0,IFERROR(IF(OR(AND(INDEX(Règles_chevaux_selle[Specificite],MATCH(RationEtéChevauxSelle&amp;$EU62,Règles_chevaux_selle[Ration]&amp;Règles_chevaux_selle[Aliment],0))="s1",IF($EU62=Spécificité1ChevauxSelle,1)),
AND(INDEX(Règles_chevaux_selle[Specificite],MATCH(RationEtéChevauxSelle&amp;$EU62,Règles_chevaux_selle[Ration]&amp;Règles_chevaux_selle[Aliment],0))="s2",IF($EU62=Spécificité2ChevauxSelle,1)),
INDEX(Règles_chevaux_selle[Specificite],MATCH(RationEtéChevauxSelle&amp;$EU62,Règles_chevaux_selle[Ration]&amp;Règles_chevaux_selle[Aliment],0))="c"),
INDEX(Règles_chevaux_selle[Valeur 0-12],MATCH(RationEtéChevauxSelle&amp;$EU62,Règles_chevaux_selle[Ration]&amp;Règles_chevaux_selle[Aliment],0)),0),0)*TotalPoulainSelle_0_12_mois*NbreJoursNourrirChevauxSelle)</f>
        <v>0</v>
      </c>
      <c r="EZ62" s="460">
        <f t="shared" si="16"/>
        <v>0</v>
      </c>
      <c r="FA62" s="298"/>
      <c r="FB62" s="298"/>
      <c r="FD62" s="457" t="s">
        <v>1167</v>
      </c>
      <c r="FE62" s="458">
        <f t="array" ref="FE62">IF(OR(ChoixRationComplèteEtéChevauxTrait=OUI,ChoixRationComplèteEtéChevauxTrait="",AND(ChoixChevauxTraitPréHiver=OUI,ChoixChevauxTraitPréEté=OUI)),0,IFERROR(IF(OR(AND(INDEX(Règles_chevaux_trait[Specificite],MATCH(RationEtéChevauxTrait&amp;$FD62,Règles_chevaux_trait[Ration]&amp;Règles_chevaux_trait[Aliment],0))="s1",IF($FD62=Spécificité1ChevauxTrait,1)),
AND(INDEX(Règles_chevaux_trait[Specificite],MATCH(RationEtéChevauxTrait&amp;$FD62,Règles_chevaux_trait[Ration]&amp;Règles_chevaux_trait[Aliment],0))="s2",IF($FD62=Spécificité2ChevauxTrait,1)),
INDEX(Règles_chevaux_trait[Specificite],MATCH(RationEtéChevauxTrait&amp;$FD62,Règles_chevaux_trait[Ration]&amp;Règles_chevaux_trait[Aliment],0))="c"),
INDEX(Règles_chevaux_trait[Valeur 36 et plus],MATCH(RationEtéChevauxTrait&amp;$FD62,Règles_chevaux_trait[Ration]&amp;Règles_chevaux_trait[Aliment],0)),0),0)*TotalEtalonTrait*NbreJoursNourrirChevauxTrait)</f>
        <v>0</v>
      </c>
      <c r="FF62" s="458">
        <f t="array" ref="FF62">IF(OR(ChoixRationComplèteEtéChevauxTrait=OUI,ChoixRationComplèteEtéChevauxTrait="",AND(ChoixChevauxTraitPréHiver=OUI,ChoixChevauxTraitPréEté=OUI)),0,IFERROR(IF(OR(AND(INDEX(Règles_chevaux_trait[Specificite],MATCH(RationEtéChevauxTrait&amp;$FD62,Règles_chevaux_trait[Ration]&amp;Règles_chevaux_trait[Aliment],0))="s1",IF($FD62=Spécificité1ChevauxTrait,1)),
AND(INDEX(Règles_chevaux_trait[Specificite],MATCH(RationEtéChevauxTrait&amp;$FD62,Règles_chevaux_trait[Ration]&amp;Règles_chevaux_trait[Aliment],0))="s2",IF($FD62=Spécificité2ChevauxTrait,1)),
INDEX(Règles_chevaux_trait[Specificite],MATCH(RationEtéChevauxTrait&amp;$FD62,Règles_chevaux_trait[Ration]&amp;Règles_chevaux_trait[Aliment],0))="c"),
INDEX(Règles_chevaux_trait[Valeur 24-36],MATCH(RationEtéChevauxTrait&amp;$FD62,Règles_chevaux_trait[Ration]&amp;Règles_chevaux_trait[Aliment],0)),0),0)*TotalJeuneEtalonTrait_24_36_mois*NbreJoursNourrirChevauxTrait)</f>
        <v>0</v>
      </c>
      <c r="FG62" s="458">
        <f t="array" ref="FG62">IF(OR(ChoixRationComplèteEtéChevauxTrait=OUI,ChoixRationComplèteEtéChevauxTrait="",AND(ChoixChevauxTraitPréHiver=OUI,ChoixChevauxTraitPréEté=OUI)),0,IFERROR(IF(OR(AND(INDEX(Règles_chevaux_trait[Specificite],MATCH(RationEtéChevauxTrait&amp;$FD62,Règles_chevaux_trait[Ration]&amp;Règles_chevaux_trait[Aliment],0))="s1",IF($FD62=Spécificité1ChevauxTrait,1)),
AND(INDEX(Règles_chevaux_trait[Specificite],MATCH(RationEtéChevauxTrait&amp;$FD62,Règles_chevaux_trait[Ration]&amp;Règles_chevaux_trait[Aliment],0))="s2",IF($FD62=Spécificité2ChevauxTrait,1)),
INDEX(Règles_chevaux_trait[Specificite],MATCH(RationEtéChevauxTrait&amp;$FD62,Règles_chevaux_trait[Ration]&amp;Règles_chevaux_trait[Aliment],0))="c"),
INDEX(Règles_chevaux_trait[Valeur 12-24],MATCH(RationEtéChevauxTrait&amp;$FD62,Règles_chevaux_trait[Ration]&amp;Règles_chevaux_trait[Aliment],0)),0),0)*TotalJeuneEtalonTrait_12_24_mois*NbreJoursNourrirChevauxTrait)</f>
        <v>0</v>
      </c>
      <c r="FH62" s="460">
        <f t="array" ref="FH62">IF(OR(ChoixRationComplèteEtéChevauxTrait=OUI,ChoixRationComplèteEtéChevauxTrait="",AND(ChoixChevauxTraitPréHiver=OUI,ChoixChevauxTraitPréEté=OUI)),0,IFERROR(IF(OR(AND(INDEX(Règles_chevaux_trait[Specificite],MATCH(RationEtéChevauxTrait&amp;$FD62,Règles_chevaux_trait[Ration]&amp;Règles_chevaux_trait[Aliment],0))="s1",IF($FD62=Spécificité1ChevauxTrait,1)),
AND(INDEX(Règles_chevaux_trait[Specificite],MATCH(RationEtéChevauxTrait&amp;$FD62,Règles_chevaux_trait[Ration]&amp;Règles_chevaux_trait[Aliment],0))="s2",IF($FD62=Spécificité2ChevauxTrait,1)),
INDEX(Règles_chevaux_trait[Specificite],MATCH(RationEtéChevauxTrait&amp;$FD62,Règles_chevaux_trait[Ration]&amp;Règles_chevaux_trait[Aliment],0))="c"),
INDEX(Règles_chevaux_trait[Valeur 0-12],MATCH(RationEtéChevauxTrait&amp;$FD62,Règles_chevaux_trait[Ration]&amp;Règles_chevaux_trait[Aliment],0)),0),0)*TotalPoulainTrait_0_12_mois*NbreJoursNourrirChevauxTrait)</f>
        <v>0</v>
      </c>
      <c r="FI62" s="460">
        <f t="shared" si="15"/>
        <v>0</v>
      </c>
      <c r="FJ62" s="298"/>
      <c r="FK62" s="298"/>
      <c r="FL62" s="298"/>
      <c r="FN62" s="457" t="s">
        <v>1165</v>
      </c>
      <c r="FO62" s="458">
        <f t="array" ref="FO62">IF(OR(ChoixRationComplèteEtéPoneys=OUI,ChoixRationComplèteEtéPoneys="",AND(ChoixPoneysPréHiver=OUI,ChoixPoneysPréEté=OUI)),0,IFERROR(IF(OR(AND(INDEX(Règles_poneys[Specificite],MATCH(RationEtéPoneys&amp;$FN62,Règles_poneys[Ration]&amp;Règles_poneys[Aliment],0))="s1",IF($FN62=Spécificité1Poneys,1)),
AND(INDEX(Règles_poneys[Specificite],MATCH(RationEtéPoneys&amp;$FN62,Règles_poneys[Ration]&amp;Règles_poneys[Aliment],0))="s2",IF($FN62=Spécificité2Poneys,1)),
INDEX(Règles_poneys[Specificite],MATCH(RationEtéPoneys&amp;$FN62,Règles_poneys[Ration]&amp;Règles_poneys[Aliment],0))="c"),
INDEX(Règles_poneys[Valeur 36 et plus],MATCH(RationEtéPoneys&amp;$FN62,Règles_poneys[Ration]&amp;Règles_poneys[Aliment],0)),0),0)*TotalEtalonPoney*NbreJoursNourrirPoneys)</f>
        <v>0</v>
      </c>
      <c r="FP62" s="458">
        <f t="array" ref="FP62">IF(OR(ChoixRationComplèteEtéPoneys=OUI,ChoixRationComplèteEtéPoneys="",AND(ChoixPoneysPréHiver=OUI,ChoixPoneysPréEté=OUI)),0,IFERROR(IF(OR(AND(INDEX(Règles_poneys[Specificite],MATCH(RationEtéPoneys&amp;$FN62,Règles_poneys[Ration]&amp;Règles_poneys[Aliment],0))="s1",IF($FN62=Spécificité1Poneys,1)),
AND(INDEX(Règles_poneys[Specificite],MATCH(RationEtéPoneys&amp;$FN62,Règles_poneys[Ration]&amp;Règles_poneys[Aliment],0))="s2",IF($FN62=Spécificité2Poneys,1)),
INDEX(Règles_poneys[Specificite],MATCH(RationEtéPoneys&amp;$FN62,Règles_poneys[Ration]&amp;Règles_poneys[Aliment],0))="c"),
INDEX(Règles_poneys[Valeur 36 et plus],MATCH(RationEtéPoneys&amp;$FN62,Règles_poneys[Ration]&amp;Règles_poneys[Aliment],0)),0),0)*TotalJeuneEtalonPoney_24_36_mois*NbreJoursNourrirPoneys)</f>
        <v>0</v>
      </c>
      <c r="FQ62" s="458">
        <f t="array" ref="FQ62">IF(OR(ChoixRationComplèteEtéPoneys=OUI,ChoixRationComplèteEtéPoneys="",AND(ChoixPoneysPréHiver=OUI,ChoixPoneysPréEté=OUI)),0,IFERROR(IF(OR(AND(INDEX(Règles_poneys[Specificite],MATCH(RationEtéPoneys&amp;$FN62,Règles_poneys[Ration]&amp;Règles_poneys[Aliment],0))="s1",IF($FN62=Spécificité1Poneys,1)),
AND(INDEX(Règles_poneys[Specificite],MATCH(RationEtéPoneys&amp;$FN62,Règles_poneys[Ration]&amp;Règles_poneys[Aliment],0))="s2",IF($FN62=Spécificité2Poneys,1)),
INDEX(Règles_poneys[Specificite],MATCH(RationEtéPoneys&amp;$FN62,Règles_poneys[Ration]&amp;Règles_poneys[Aliment],0))="c"),
INDEX(Règles_poneys[Valeur 36 et plus],MATCH(RationEtéPoneys&amp;$FN62,Règles_poneys[Ration]&amp;Règles_poneys[Aliment],0)),0),0)*TotalJeuneEtalonPoney_12_24_mois*NbreJoursNourrirPoneys)</f>
        <v>0</v>
      </c>
      <c r="FR62" s="460">
        <f t="array" ref="FR62">IF(OR(ChoixRationComplèteEtéPoneys=OUI,ChoixRationComplèteEtéPoneys="",AND(ChoixPoneysPréHiver=OUI,ChoixPoneysPréEté=OUI)),0,IFERROR(IF(OR(AND(INDEX(Règles_poneys[Specificite],MATCH(RationEtéPoneys&amp;$FN62,Règles_poneys[Ration]&amp;Règles_poneys[Aliment],0))="s1",IF($FN62=Spécificité1Poneys,1)),
AND(INDEX(Règles_poneys[Specificite],MATCH(RationEtéPoneys&amp;$FN62,Règles_poneys[Ration]&amp;Règles_poneys[Aliment],0))="s2",IF($FN62=Spécificité2Poneys,1)),
INDEX(Règles_poneys[Specificite],MATCH(RationEtéPoneys&amp;$FN62,Règles_poneys[Ration]&amp;Règles_poneys[Aliment],0))="c"),
INDEX(Règles_poneys[Valeur 36 et plus],MATCH(RationEtéPoneys&amp;$FN62,Règles_poneys[Ration]&amp;Règles_poneys[Aliment],0)),0),0)*TotalPoulainPoney_0_12_mois*NbreJoursNourrirPoneys)</f>
        <v>0</v>
      </c>
      <c r="FS62" s="460">
        <f t="shared" si="14"/>
        <v>0</v>
      </c>
      <c r="FT62" s="298"/>
      <c r="FU62" s="298"/>
      <c r="FV62" s="298"/>
      <c r="FW62" s="443" t="s">
        <v>905</v>
      </c>
      <c r="FX62" s="450">
        <f t="array" ref="FX62">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62" s="450">
        <f t="array" ref="FY62">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62" s="450">
        <f t="array" ref="FZ62">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62" s="450">
        <f t="array" ref="GA62">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62" s="451">
        <f>SUM(AlimentsGavageOies[[#This Row],[Valeur 6 et plus]:[Valeur 0-1]])</f>
        <v>0</v>
      </c>
      <c r="GC62" s="316"/>
      <c r="GE62" s="280" t="s">
        <v>9</v>
      </c>
      <c r="GF62" s="283"/>
      <c r="GG62" s="283" t="s">
        <v>955</v>
      </c>
      <c r="GH62" s="283" t="s">
        <v>955</v>
      </c>
      <c r="GI62" s="283" t="s">
        <v>955</v>
      </c>
      <c r="GJ62" s="283" t="s">
        <v>955</v>
      </c>
      <c r="GK62" s="283" t="s">
        <v>955</v>
      </c>
      <c r="GL62" s="283" t="s">
        <v>955</v>
      </c>
      <c r="GM62" s="283" t="s">
        <v>955</v>
      </c>
      <c r="GN62" s="283" t="s">
        <v>955</v>
      </c>
      <c r="GO62" s="283" t="s">
        <v>955</v>
      </c>
      <c r="GP62" s="283" t="s">
        <v>955</v>
      </c>
      <c r="GQ62" s="283" t="s">
        <v>955</v>
      </c>
      <c r="GR62" s="283" t="s">
        <v>955</v>
      </c>
      <c r="GS62" s="283" t="s">
        <v>955</v>
      </c>
      <c r="GT62" s="283" t="s">
        <v>955</v>
      </c>
      <c r="GU62" s="283" t="s">
        <v>955</v>
      </c>
      <c r="GV62" s="283" t="s">
        <v>955</v>
      </c>
      <c r="GY62" s="444" t="str">
        <f t="shared" si="11"/>
        <v>semences de lentilles</v>
      </c>
      <c r="GZ62" s="444"/>
      <c r="HA62" s="342"/>
      <c r="HB62" s="342" t="e">
        <f>IF(COUNTIF(TypeArticleDansEntrepôt,GY62)=0,0,SUMIF(TypeArticleDansEntrepôt,GY62,QtéArticleDansEntrepôt)*VLOOKUP(GY62,#REF!,2,FALSE))</f>
        <v>#REF!</v>
      </c>
      <c r="HN62" s="342" t="e">
        <f>IF(#REF!="","",(VLOOKUP(#REF!,BDD!$HN$5:$HU$38,2,FALSE))*#REF!)</f>
        <v>#REF!</v>
      </c>
      <c r="HO62" s="342" t="e">
        <f>IF(#REF!="","",IF(OR(#REF!=Moutarde,#REF!=Phacélie),0,IF(#REF!=Luzerne,10*#REF!*VLOOKUP(#REF!,BDD!$HN$5:$HU$38,3,FALSE),IF(#REF!=Miscanthus,10.5*#REF!*VLOOKUP(#REF!,BDD!$HN$5:$HU$38,3,FALSE),INDEX(#REF!:#REF!,MATCH(#REF!,#REF!:#REF!,0),MATCH(#REF!,#REF!:#REF!,0))*#REF!*VLOOKUP(#REF!,BDD!$HN$5:$HU$38,3,FALSE)))))</f>
        <v>#REF!</v>
      </c>
      <c r="HP62" s="342" t="e">
        <f>IF(#REF!="","",IF(OR(#REF!=Moutarde,#REF!=Phacélie),0,IF(#REF!=Luzerne,10*#REF!*VLOOKUP(#REF!,BDD!$HN$5:$HU$38,4,FALSE),IF(#REF!=Miscanthus,10.5*#REF!*VLOOKUP(#REF!,BDD!$HN$5:$HU$38,4,FALSE),INDEX(#REF!:#REF!,MATCH(#REF!,#REF!:#REF!,0),MATCH(#REF!,#REF!:#REF!,0))*#REF!*VLOOKUP(#REF!,BDD!$HN$5:$HU$38,4,FALSE)))))</f>
        <v>#REF!</v>
      </c>
      <c r="HQ62" s="342" t="e">
        <f>IF(#REF!="","",IF(OR(#REF!=Moutarde,#REF!=Phacélie),0,IF(#REF!=Luzerne,10*#REF!*VLOOKUP(#REF!,BDD!$HN$5:$HU$38,5,FALSE),IF(#REF!=Miscanthus,10.5*#REF!*VLOOKUP(#REF!,BDD!$HN$5:$HU$38,5,FALSE),INDEX(#REF!:#REF!,MATCH(#REF!,#REF!:#REF!,0),MATCH(#REF!,#REF!:#REF!,0))*#REF!*VLOOKUP(#REF!,BDD!$HN$5:$HU$38,5,FALSE)))))</f>
        <v>#REF!</v>
      </c>
      <c r="HR62" s="342" t="e">
        <f>IF(#REF!="","",IF(OR(#REF!=Moutarde,#REF!=Phacélie),0,IF(#REF!=Luzerne,10*#REF!*VLOOKUP(#REF!,BDD!$HN$5:$HU$38,6,FALSE),IF(#REF!=Miscanthus,10.5*#REF!*VLOOKUP(#REF!,BDD!$HN$5:$HU$38,6,FALSE),INDEX(#REF!:#REF!,MATCH(#REF!,#REF!:#REF!,0),MATCH(#REF!,#REF!:#REF!,0))*#REF!*VLOOKUP(#REF!,BDD!$HN$5:$HU$38,6,FALSE)))))</f>
        <v>#REF!</v>
      </c>
      <c r="HS62" s="342" t="e">
        <f>IF(#REF!="","",IF(OR(#REF!=Moutarde,#REF!=Phacélie),0,IF(#REF!=Luzerne,10*#REF!*VLOOKUP(#REF!,BDD!$HN$5:$HU$38,7,FALSE),IF(#REF!=Miscanthus,10.5*#REF!*VLOOKUP(#REF!,BDD!$HN$5:$HU$38,7,FALSE),INDEX(#REF!:#REF!,MATCH(#REF!,#REF!:#REF!,0),MATCH(#REF!,#REF!:#REF!,0))*#REF!*VLOOKUP(#REF!,BDD!$HN$5:$HU$38,7,FALSE)))))</f>
        <v>#REF!</v>
      </c>
      <c r="HT62" s="342" t="e">
        <f>IF(#REF!="","",IF(OR(#REF!=Moutarde,#REF!=Phacélie),0,IF(#REF!=Luzerne,10*#REF!*VLOOKUP(#REF!,BDD!$HN$5:$HU$38,8,FALSE),IF(#REF!=Miscanthus,10.5*#REF!*VLOOKUP(#REF!,BDD!$HN$5:$HU$38,8,FALSE),INDEX(#REF!:#REF!,MATCH(#REF!,#REF!:#REF!,0),MATCH(#REF!,#REF!:#REF!,0))*#REF!*VLOOKUP(#REF!,BDD!$HN$5:$HU$38,8,FALSE)))))</f>
        <v>#REF!</v>
      </c>
      <c r="HU62" s="342" t="e">
        <f>IF(#REF!="","",IF(OR(#REF!=Moutarde,#REF!=Phacélie),0,1.6*#REF!))</f>
        <v>#REF!</v>
      </c>
      <c r="HV62" s="342" t="e">
        <f>IF(#REF!="","",IF(OR(#REF!=Moutarde,#REF!=Phacélie),0,1.6*#REF!))</f>
        <v>#REF!</v>
      </c>
      <c r="HW62" s="342" t="e">
        <f>IF(#REF!="","",IF(OR(#REF!=Moutarde,#REF!=Phacélie),0,1.6*#REF!))</f>
        <v>#REF!</v>
      </c>
      <c r="HX62" s="342" t="e">
        <f>IF(#REF!="","",(VLOOKUP(#REF!,BDD!$HN$5:$HU$38,2,FALSE))*#REF!)</f>
        <v>#REF!</v>
      </c>
      <c r="HY62" s="342" t="e">
        <f>IF(#REF!="","",IF(OR(#REF!=Moutarde,#REF!=Phacélie),0,IF(#REF!=Luzerne,10*#REF!*VLOOKUP(#REF!,BDD!$HN$5:$HU$38,3,FALSE),IF(#REF!=Miscanthus,10.5*#REF!*VLOOKUP(#REF!,BDD!$HN$5:$HU$38,3,FALSE),INDEX(#REF!:#REF!,MATCH(#REF!,#REF!:#REF!,0),MATCH(#REF!,#REF!:#REF!,0))*#REF!*VLOOKUP(#REF!,BDD!$HN$5:$HU$38,3,FALSE)))))</f>
        <v>#REF!</v>
      </c>
      <c r="HZ62" s="342" t="e">
        <f>IF(#REF!="","",IF(OR(#REF!=Moutarde,#REF!=Phacélie),0,IF(#REF!=Luzerne,10*#REF!*VLOOKUP(#REF!,BDD!$HN$5:$HU$38,4,FALSE),IF(#REF!=Miscanthus,10.5*#REF!*VLOOKUP(#REF!,BDD!$HN$5:$HU$38,4,FALSE),INDEX(#REF!:#REF!,MATCH(#REF!,#REF!:#REF!,0),MATCH(#REF!,#REF!:#REF!,0))*#REF!*VLOOKUP(#REF!,BDD!$HN$5:$HU$38,4,FALSE)))))</f>
        <v>#REF!</v>
      </c>
      <c r="IA62" s="342" t="e">
        <f>IF(#REF!="","",IF(OR(#REF!=Moutarde,#REF!=Phacélie),0,IF(#REF!=Luzerne,10*#REF!*VLOOKUP(#REF!,BDD!$HN$5:$HU$38,5,FALSE),IF(#REF!=Miscanthus,10.5*#REF!*VLOOKUP(#REF!,BDD!$HN$5:$HU$38,5,FALSE),INDEX(#REF!:#REF!,MATCH(#REF!,#REF!:#REF!,0),MATCH(#REF!,#REF!:#REF!,0))*#REF!*VLOOKUP(#REF!,BDD!$HN$5:$HU$38,5,FALSE)))))</f>
        <v>#REF!</v>
      </c>
      <c r="IB62" s="342" t="e">
        <f>IF(#REF!="","",IF(OR(#REF!=Moutarde,#REF!=Phacélie),0,IF(#REF!=Luzerne,10*#REF!*VLOOKUP(#REF!,BDD!$HN$5:$HU$38,6,FALSE),IF(#REF!=Miscanthus,10.5*#REF!*VLOOKUP(#REF!,BDD!$HN$5:$HU$38,6,FALSE),INDEX(#REF!:#REF!,MATCH(#REF!,#REF!:#REF!,0),MATCH(#REF!,#REF!:#REF!,0))*#REF!*VLOOKUP(#REF!,BDD!$HN$5:$HU$38,6,FALSE)))))</f>
        <v>#REF!</v>
      </c>
      <c r="IC62" s="342" t="e">
        <f>IF(#REF!="","",IF(OR(#REF!=Moutarde,#REF!=Phacélie),0,IF(#REF!=Luzerne,10*#REF!*VLOOKUP(#REF!,BDD!$HN$5:$HU$38,7,FALSE),IF(#REF!=Miscanthus,10.5*#REF!*VLOOKUP(#REF!,BDD!$HN$5:$HU$38,7,FALSE),INDEX(#REF!:#REF!,MATCH(#REF!,#REF!:#REF!,0),MATCH(#REF!,#REF!:#REF!,0))*#REF!*VLOOKUP(#REF!,BDD!$HN$5:$HU$38,7,FALSE)))))</f>
        <v>#REF!</v>
      </c>
      <c r="ID62" s="342" t="e">
        <f>IF(#REF!="","",IF(OR(#REF!=Moutarde,#REF!=Phacélie),0,IF(#REF!=Luzerne,10*#REF!*VLOOKUP(#REF!,BDD!$HN$5:$HU$38,8,FALSE),IF(#REF!=Miscanthus,10.5*#REF!*VLOOKUP(#REF!,BDD!$HN$5:$HU$38,8,FALSE),INDEX(#REF!:#REF!,MATCH(#REF!,#REF!:#REF!,0),MATCH(#REF!,#REF!:#REF!,0))*#REF!*VLOOKUP(#REF!,BDD!$HN$5:$HU$38,8,FALSE)))))</f>
        <v>#REF!</v>
      </c>
      <c r="IE62" s="342" t="e">
        <f>IF(#REF!="","",IF(OR(#REF!=Moutarde,#REF!=Phacélie),0,1.6*#REF!))</f>
        <v>#REF!</v>
      </c>
      <c r="IF62" s="342" t="e">
        <f>IF(#REF!="","",IF(OR(#REF!=Moutarde,#REF!=Phacélie),0,1.6*#REF!))</f>
        <v>#REF!</v>
      </c>
      <c r="IG62" s="342" t="e">
        <f>IF(#REF!="","",IF(OR(#REF!=Moutarde,#REF!=Phacélie),0,1.6*#REF!))</f>
        <v>#REF!</v>
      </c>
    </row>
    <row r="63" spans="1:241" ht="12.75" customHeight="1" x14ac:dyDescent="0.2">
      <c r="A63" s="373"/>
      <c r="B63" s="380"/>
      <c r="F63" s="280"/>
      <c r="G63" s="280"/>
      <c r="H63" s="280"/>
      <c r="I63" s="280"/>
      <c r="J63" s="280"/>
      <c r="K63" s="280"/>
      <c r="L63" s="280"/>
      <c r="M63" s="280"/>
      <c r="N63" s="277"/>
      <c r="BB63" s="387" t="s">
        <v>509</v>
      </c>
      <c r="BC63" s="362" t="s">
        <v>220</v>
      </c>
      <c r="BD63" s="362" t="s">
        <v>887</v>
      </c>
      <c r="BE63" s="388">
        <v>7.2</v>
      </c>
      <c r="BF63" s="388">
        <v>6</v>
      </c>
      <c r="BG63" s="388">
        <v>4</v>
      </c>
      <c r="BH63" s="388">
        <v>2</v>
      </c>
      <c r="BI63" s="388">
        <v>1.2</v>
      </c>
      <c r="BJ63" s="388">
        <v>0.6</v>
      </c>
      <c r="BK63" s="389">
        <v>0</v>
      </c>
      <c r="BL63" s="312"/>
      <c r="BM63" s="350" t="s">
        <v>57</v>
      </c>
      <c r="BN63" s="350">
        <f t="array" ref="BN63">IF(Ration_hivernale_complète_bisons[somme]&gt;0,0,IFERROR(IF(OR(AND(INDEX(Règles_bison[Specificite],MATCH(ChoixRationBisons&amp;$BM63,Règles_bison[Ration]&amp;Règles_bison[Aliment],0))="s1",IF($BM63=ChoixSpécificité1Bisons,1)),
INDEX(Règles_bison[Specificite],MATCH(ChoixRationBisons&amp;$BM63,Règles_bison[Ration]&amp;Règles_bison[Aliment],0))="c"),
INDEX(Règles_bison[Valeur 36 et plus],MATCH(ChoixRationBisons&amp;$BM63,Règles_bison[Ration]&amp;Règles_bison[Aliment],0)),0),0)*TotalBisonsMalesAdultes*NbreJoursNourrirBisonsDaims)</f>
        <v>0</v>
      </c>
      <c r="BO63" s="350">
        <f t="array" ref="BO63">IF(Ration_hivernale_complète_bisons[somme]&gt;0,0,IFERROR(IF(OR(AND(INDEX(Règles_bison[Specificite],MATCH(ChoixRationBisons&amp;$BM63,Règles_bison[Ration]&amp;Règles_bison[Aliment],0))="s1",IF($BM63=ChoixSpécificité1Bisons,1)),
INDEX(Règles_bison[Specificite],MATCH(ChoixRationBisons&amp;$BM63,Règles_bison[Ration]&amp;Règles_bison[Aliment],0))="c"),
INDEX(Règles_bison[Valeur 24-36],MATCH(ChoixRationBisons&amp;$BM63,Règles_bison[Ration]&amp;Règles_bison[Aliment],0)),0),0)*TotalBisonsMales_24_36_mois*NbreJoursNourrirBisonsDaims)</f>
        <v>0</v>
      </c>
      <c r="BP63" s="350">
        <f t="array" ref="BP63">IF(Ration_hivernale_complète_bisons[somme]&gt;0,0,IFERROR(IF(OR(AND(INDEX(Règles_bison[Specificite],MATCH(ChoixRationBisons&amp;$BM63,Règles_bison[Ration]&amp;Règles_bison[Aliment],0))="s1",IF($BM63=ChoixSpécificité1Bisons,1)),
INDEX(Règles_bison[Specificite],MATCH(ChoixRationBisons&amp;$BM63,Règles_bison[Ration]&amp;Règles_bison[Aliment],0))="c"),
INDEX(Règles_bison[Valeur 18-24],MATCH(ChoixRationBisons&amp;$BM63,Règles_bison[Ration]&amp;Règles_bison[Aliment],0)),0),0)*TotalBisonsMales_18_24_mois*NbreJoursNourrirBisonsDaims)</f>
        <v>0</v>
      </c>
      <c r="BQ63" s="350">
        <f t="array" ref="BQ63">IF(Ration_hivernale_complète_bisons[somme]&gt;0,0,IFERROR(IF(OR(AND(INDEX(Règles_bison[Specificite],MATCH(ChoixRationBisons&amp;$BM63,Règles_bison[Ration]&amp;Règles_bison[Aliment],0))="s1",IF($BM63=ChoixSpécificité1Bisons,1)),
INDEX(Règles_bison[Specificite],MATCH(ChoixRationBisons&amp;$BM63,Règles_bison[Ration]&amp;Règles_bison[Aliment],0))="c"),
INDEX(Règles_bison[Valeur 12-18],MATCH(ChoixRationBisons&amp;$BM63,Règles_bison[Ration]&amp;Règles_bison[Aliment],0)),0),0)*TotalBisonsMales_12_18_mois*NbreJoursNourrirBisonsDaims)</f>
        <v>0</v>
      </c>
      <c r="BR63" s="350">
        <f t="array" ref="BR63">IF(Ration_hivernale_complète_bisons[somme]&gt;0,0,IFERROR(IF(OR(AND(INDEX(Règles_bison[Specificite],MATCH(ChoixRationBisons&amp;$BM63,Règles_bison[Ration]&amp;Règles_bison[Aliment],0))="s1",IF($BM63=ChoixSpécificité1Bisons,1)),
INDEX(Règles_bison[Specificite],MATCH(ChoixRationBisons&amp;$BM63,Règles_bison[Ration]&amp;Règles_bison[Aliment],0))="c"),
INDEX(Règles_bison[Valeur 6-12],MATCH(ChoixRationBisons&amp;$BM63,Règles_bison[Ration]&amp;Règles_bison[Aliment],0)),0),0)*TotalBisonsMales_6_12_mois*NbreJoursNourrirBisonsDaims)</f>
        <v>0</v>
      </c>
      <c r="BS63" s="350">
        <f t="array" ref="BS63">IF(Ration_hivernale_complète_bisons[somme]&gt;0,0,IFERROR(IF(OR(AND(INDEX(Règles_bison[Specificite],MATCH(ChoixRationBisons&amp;$BM63,Règles_bison[Ration]&amp;Règles_bison[Aliment],0))="s1",IF($BM63=ChoixSpécificité1Bisons,1)),
INDEX(Règles_bison[Specificite],MATCH(ChoixRationBisons&amp;$BM63,Règles_bison[Ration]&amp;Règles_bison[Aliment],0))="c"),
INDEX(Règles_bison[Valeur 3-6],MATCH(ChoixRationBisons&amp;$BM63,Règles_bison[Ration]&amp;Règles_bison[Aliment],0)),0),0)*TotalBisonsMales_3_6_mois*NbreJoursNourrirBisonsDaims)</f>
        <v>0</v>
      </c>
      <c r="BT63" s="350">
        <f t="array" ref="BT63">IF(Ration_hivernale_complète_bisons[somme]&gt;0,0,IFERROR(IF(OR(AND(INDEX(Règles_bison[Specificite],MATCH(ChoixRationBisons&amp;$BM63,Règles_bison[Ration]&amp;Règles_bison[Aliment],0))="s1",IF($BM63=ChoixSpécificité1Bisons,1)),
INDEX(Règles_bison[Specificite],MATCH(ChoixRationBisons&amp;$BM63,Règles_bison[Ration]&amp;Règles_bison[Aliment],0))="c"),
INDEX(Règles_bison[Valeur 0-3],MATCH(ChoixRationBisons&amp;$BM63,Règles_bison[Ration]&amp;Règles_bison[Aliment],0)),0),0)*TotalBisonsMales_0_3_mois*NbreJoursNourrirBisonsDaims)</f>
        <v>0</v>
      </c>
      <c r="BU63" s="350">
        <f t="shared" si="10"/>
        <v>0</v>
      </c>
      <c r="BX63" s="373" t="s">
        <v>548</v>
      </c>
      <c r="BY63" s="280" t="s">
        <v>905</v>
      </c>
      <c r="BZ63" s="280" t="s">
        <v>886</v>
      </c>
      <c r="CA63" s="280">
        <v>0.08</v>
      </c>
      <c r="CB63" s="280">
        <v>0.04</v>
      </c>
      <c r="CC63" s="280">
        <v>0.04</v>
      </c>
      <c r="CD63" s="410">
        <v>0.04</v>
      </c>
      <c r="CE63" s="304"/>
      <c r="CF63" s="304"/>
      <c r="CG63" s="304"/>
      <c r="CH63" s="304"/>
      <c r="CJ63" s="420" t="s">
        <v>233</v>
      </c>
      <c r="CK63" s="384">
        <f t="array" ref="CK6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63" s="384">
        <f t="array" ref="CL6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63" s="384">
        <f t="array" ref="CM6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63" s="384">
        <f t="array" ref="CN6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63" s="384">
        <f t="array" ref="CO6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63" s="426">
        <f>SUM(AlimentsRationPorcinsMâles[[#This Row],[Valeur 12 et plus]:[Valeur 0-1]])</f>
        <v>0</v>
      </c>
      <c r="CS63" s="420" t="s">
        <v>499</v>
      </c>
      <c r="CT63" s="433">
        <f t="array" ref="CT63">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63" s="433">
        <f t="array" ref="CU63">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63" s="433">
        <f t="array" ref="CV63">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63" s="434">
        <f>SUM(AlimentsRationLapinsMâles[[#This Row],[Valeur 3 et plus]:[Valeur 0-1]])</f>
        <v>0</v>
      </c>
      <c r="CZ63" s="420" t="s">
        <v>499</v>
      </c>
      <c r="DA63" s="433">
        <f t="array" ref="DA6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63" s="433">
        <f t="array" ref="DB6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63" s="433">
        <f t="array" ref="DC6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63" s="434">
        <f>SUM(AlimentsRationVolaillesMâles[[#This Row],[Valeur 6 et plus]:[Valeur 0-1]])</f>
        <v>0</v>
      </c>
      <c r="DE63" s="316"/>
      <c r="DF63" s="277"/>
      <c r="DG63" s="420" t="s">
        <v>266</v>
      </c>
      <c r="DH63" s="433">
        <f t="array" ref="DH6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63" s="433">
        <f t="array" ref="DI6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63" s="433">
        <f t="array" ref="DJ6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63" s="434">
        <f>SUM(AlimentsRationPintadesMâles[[#This Row],[Valeur 9 et plus]:[Valeur 0-1]])</f>
        <v>0</v>
      </c>
      <c r="DL63" s="316"/>
      <c r="DM63" s="316"/>
      <c r="DN63" s="277"/>
      <c r="DO63" s="277"/>
      <c r="DQ63" s="277"/>
      <c r="DR63" s="277"/>
      <c r="DV63" s="350" t="s">
        <v>908</v>
      </c>
      <c r="DW63" s="351">
        <f t="array" ref="DW63">IF(ChoixRationComplèteDaims=OUI,0,IFERROR(IF(OR(AND(INDEX(Règles_daims[Specificite],MATCH(ChoixRationDaims&amp;DV63,Règles_daims[Ration]&amp;Règles_daims[Aliment],0))="s1",IF(DV63=Spécificité1Daims,1)),
AND(INDEX(Règles_daims[Specificite],MATCH(ChoixRationDaims&amp;DV63,Règles_daims[Ration]&amp;Règles_daims[Aliment],0))="s2",IF(DV63=Spécificité2Daims,1)),
INDEX(Règles_daims[Specificite],MATCH(ChoixRationDaims&amp;DV63,Règles_daims[Ration]&amp;Règles_daims[Aliment],0))="c"),
INDEX(Règles_daims[Valeur 36 et plus],MATCH(ChoixRationDaims&amp;DV63,Règles_daims[Ration]&amp;Règles_daims[Aliment],0)),0),0)*SUM(TotalDaimsAdultes)*NbreJoursNourrirBisonsDaims)</f>
        <v>0</v>
      </c>
      <c r="DX63" s="351">
        <f t="array" ref="DX63">IF(ChoixRationComplèteDaims=OUI,0,IFERROR(IF(OR(AND(INDEX(Règles_daims[Specificite],MATCH(ChoixRationDaims&amp;DV63,Règles_daims[Ration]&amp;Règles_daims[Aliment],0))="s1",IF(DV63=Spécificité1Daims,1)),
AND(INDEX(Règles_daims[Specificite],MATCH(ChoixRationDaims&amp;DV63,Règles_daims[Ration]&amp;Règles_daims[Aliment],0))="s2",IF(DV63=Spécificité2Daims,1)),
INDEX(Règles_daims[Specificite],MATCH(ChoixRationDaims&amp;DV63,Règles_daims[Ration]&amp;Règles_daims[Aliment],0))="c"),
INDEX(Règles_daims[Valeur 24-36],MATCH(ChoixRationDaims&amp;DV63,Règles_daims[Ration]&amp;Règles_daims[Aliment],0)),0),0)*SUM(TotalDaims24_36)*NbreJoursNourrirBisonsDaims)</f>
        <v>0</v>
      </c>
      <c r="DY63" s="351">
        <f t="array" ref="DY63">IF(ChoixRationComplèteDaims=OUI,0,IFERROR(IF(OR(AND(INDEX(Règles_daims[Specificite],MATCH(ChoixRationDaims&amp;DV63,Règles_daims[Ration]&amp;Règles_daims[Aliment],0))="s1",IF(DV63=Spécificité1Daims,1)),
AND(INDEX(Règles_daims[Specificite],MATCH(ChoixRationDaims&amp;DV63,Règles_daims[Ration]&amp;Règles_daims[Aliment],0))="s2",IF(DV63=Spécificité2Daims,1)),
INDEX(Règles_daims[Specificite],MATCH(ChoixRationDaims&amp;DV63,Règles_daims[Ration]&amp;Règles_daims[Aliment],0))="c"),
INDEX(Règles_daims[Valeur 18-24],MATCH(ChoixRationDaims&amp;DV63,Règles_daims[Ration]&amp;Règles_daims[Aliment],0)),0),0)*SUM(TotalDaims18_24)*NbreJoursNourrirBisonsDaims)</f>
        <v>0</v>
      </c>
      <c r="DZ63" s="441">
        <f t="array" ref="DZ63">IF(ChoixRationComplèteDaims=OUI,0,IFERROR(IF(OR(AND(INDEX(Règles_daims[Specificite],MATCH(ChoixRationDaims&amp;DV63,Règles_daims[Ration]&amp;Règles_daims[Aliment],0))="s1",IF(DV63=Spécificité1Daims,1)),
AND(INDEX(Règles_daims[Specificite],MATCH(ChoixRationDaims&amp;DV63,Règles_daims[Ration]&amp;Règles_daims[Aliment],0))="s2",IF(DV63=Spécificité2Daims,1)),
INDEX(Règles_daims[Specificite],MATCH(ChoixRationDaims&amp;DV63,Règles_daims[Ration]&amp;Règles_daims[Aliment],0))="c"),
INDEX(Règles_daims[Valeur 12-18],MATCH(ChoixRationDaims&amp;DV63,Règles_daims[Ration]&amp;Règles_daims[Aliment],0)),0),0)*SUM(TotalDaims12_18)*NbreJoursNourrirBisonsDaims)</f>
        <v>0</v>
      </c>
      <c r="EA63" s="441">
        <f t="array" ref="EA63">IF(ChoixRationComplèteDaims=OUI,0,IFERROR(IF(OR(AND(INDEX(Règles_daims[Specificite],MATCH(ChoixRationDaims&amp;DV63,Règles_daims[Ration]&amp;Règles_daims[Aliment],0))="s1",IF(DV63=Spécificité1Daims,1)),
AND(INDEX(Règles_daims[Specificite],MATCH(ChoixRationDaims&amp;DV63,Règles_daims[Ration]&amp;Règles_daims[Aliment],0))="s2",IF(DV63=Spécificité2Daims,1)),
INDEX(Règles_daims[Specificite],MATCH(ChoixRationDaims&amp;DV63,Règles_daims[Ration]&amp;Règles_daims[Aliment],0))="c"),
INDEX(Règles_daims[Valeur 6-12],MATCH(ChoixRationDaims&amp;DV63,Règles_daims[Ration]&amp;Règles_daims[Aliment],0)),0),0)*SUM(TotalDaims6_12)*NbreJoursNourrirBisonsDaims)</f>
        <v>0</v>
      </c>
      <c r="EB63" s="441">
        <f t="array" ref="EB63">IF(ChoixRationComplèteDaims=OUI,0,IFERROR(IF(OR(AND(INDEX(Règles_daims[Specificite],MATCH(ChoixRationDaims&amp;DV63,Règles_daims[Ration]&amp;Règles_daims[Aliment],0))="s1",IF(DV63=Spécificité1Daims,1)),
AND(INDEX(Règles_daims[Specificite],MATCH(ChoixRationDaims&amp;DV63,Règles_daims[Ration]&amp;Règles_daims[Aliment],0))="s2",IF(DV63=Spécificité2Daims,1)),
INDEX(Règles_daims[Specificite],MATCH(ChoixRationDaims&amp;DV63,Règles_daims[Ration]&amp;Règles_daims[Aliment],0))="c"),
INDEX(Règles_daims[Valeur 3-6],MATCH(ChoixRationDaims&amp;DV63,Règles_daims[Ration]&amp;Règles_daims[Aliment],0)),0),0)*SUM(TotalDaims3_6)*NbreJoursNourrirBisonsDaims)</f>
        <v>0</v>
      </c>
      <c r="EC63" s="441">
        <f t="array" ref="EC63">IF(ChoixRationComplèteDaims=OUI,0,IFERROR(IF(OR(AND(INDEX(Règles_daims[Specificite],MATCH(ChoixRationDaims&amp;DV63,Règles_daims[Ration]&amp;Règles_daims[Aliment],0))="s1",IF(DV63=Spécificité1Daims,1)),
AND(INDEX(Règles_daims[Specificite],MATCH(ChoixRationDaims&amp;DV63,Règles_daims[Ration]&amp;Règles_daims[Aliment],0))="s2",IF(DV63=Spécificité2Daims,1)),
INDEX(Règles_daims[Specificite],MATCH(ChoixRationDaims&amp;DV63,Règles_daims[Ration]&amp;Règles_daims[Aliment],0))="c"),
INDEX(Règles_daims[Valeur 0-3],MATCH(ChoixRationDaims&amp;DV63,Règles_daims[Ration]&amp;Règles_daims[Aliment],0)),0),0)*SUM(TotalDaims0_3)*NbreJoursNourrirBisonsDaims)</f>
        <v>0</v>
      </c>
      <c r="ED63" s="441">
        <f t="shared" si="9"/>
        <v>0</v>
      </c>
      <c r="EG63" s="420" t="s">
        <v>513</v>
      </c>
      <c r="EH63" s="433">
        <f t="array" ref="EH6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63" s="433">
        <f t="array" ref="EI6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63" s="433">
        <f t="array" ref="EJ6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63" s="434">
        <f>SUM(AlimentsRationOiesMâles[[#This Row],[Valeur 6 et plus]:[Valeur 0-3]])</f>
        <v>0</v>
      </c>
      <c r="EL63" s="316"/>
      <c r="EN63" s="420" t="s">
        <v>518</v>
      </c>
      <c r="EO63" s="433">
        <f t="array" ref="EO63">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63" s="433">
        <f t="array" ref="EP63">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63" s="433">
        <f t="array" ref="EQ63">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63" s="434">
        <f>SUM(Ration_canards_Mâles[[#This Row],[Valeur 6 et plus]:[Valeur 0-3]])</f>
        <v>0</v>
      </c>
      <c r="ES63" s="316"/>
      <c r="EU63" s="457" t="s">
        <v>515</v>
      </c>
      <c r="EV63" s="458">
        <f t="array" ref="EV63">IF(OR(ChoixRationComplèteEtéChevauxSelle=OUI,ChoixRationComplèteEtéChevauxSelle="",AND(ChoixChevauxSellePréHiver=OUI,ChoixChevauxSellePréEté=OUI)),0,IFERROR(IF(OR(AND(INDEX(Règles_chevaux_selle[Specificite],MATCH(RationEtéChevauxSelle&amp;$EU63,Règles_chevaux_selle[Ration]&amp;Règles_chevaux_selle[Aliment],0))="s1",IF($EU63=Spécificité1ChevauxSelle,1)),
AND(INDEX(Règles_chevaux_selle[Specificite],MATCH(RationEtéChevauxSelle&amp;$EU63,Règles_chevaux_selle[Ration]&amp;Règles_chevaux_selle[Aliment],0))="s2",IF($EU63=Spécificité2ChevauxSelle,1)),
INDEX(Règles_chevaux_selle[Specificite],MATCH(RationEtéChevauxSelle&amp;$EU63,Règles_chevaux_selle[Ration]&amp;Règles_chevaux_selle[Aliment],0))="c"),
INDEX(Règles_chevaux_selle[Valeur 36 et plus],MATCH(RationEtéChevauxSelle&amp;$EU63,Règles_chevaux_selle[Ration]&amp;Règles_chevaux_selle[Aliment],0)),0),0)*TotalEtalonSelle*NbreJoursNourrirChevauxSelle)</f>
        <v>0</v>
      </c>
      <c r="EW63" s="458">
        <f t="array" ref="EW63">IF(OR(ChoixRationComplèteEtéChevauxSelle=OUI,ChoixRationComplèteEtéChevauxSelle="",AND(ChoixChevauxSellePréHiver=OUI,ChoixChevauxSellePréEté=OUI)),0,IFERROR(IF(OR(AND(INDEX(Règles_chevaux_selle[Specificite],MATCH(RationEtéChevauxSelle&amp;$EU63,Règles_chevaux_selle[Ration]&amp;Règles_chevaux_selle[Aliment],0))="s1",IF($EU63=Spécificité1ChevauxSelle,1)),
AND(INDEX(Règles_chevaux_selle[Specificite],MATCH(RationEtéChevauxSelle&amp;$EU63,Règles_chevaux_selle[Ration]&amp;Règles_chevaux_selle[Aliment],0))="s2",IF($EU63=Spécificité2ChevauxSelle,1)),
INDEX(Règles_chevaux_selle[Specificite],MATCH(RationEtéChevauxSelle&amp;$EU63,Règles_chevaux_selle[Ration]&amp;Règles_chevaux_selle[Aliment],0))="c"),
INDEX(Règles_chevaux_selle[Valeur 24-36],MATCH(RationEtéChevauxSelle&amp;$EU63,Règles_chevaux_selle[Ration]&amp;Règles_chevaux_selle[Aliment],0)),0),0)*TotalJeuneEtalonSelle_24_36_mois*NbreJoursNourrirChevauxSelle)</f>
        <v>0</v>
      </c>
      <c r="EX63" s="458">
        <f t="array" ref="EX63">IF(OR(ChoixRationComplèteEtéChevauxSelle=OUI,ChoixRationComplèteEtéChevauxSelle="",AND(ChoixChevauxSellePréHiver=OUI,ChoixChevauxSellePréEté=OUI)),0,IFERROR(IF(OR(AND(INDEX(Règles_chevaux_selle[Specificite],MATCH(RationEtéChevauxSelle&amp;$EU63,Règles_chevaux_selle[Ration]&amp;Règles_chevaux_selle[Aliment],0))="s1",IF($EU63=Spécificité1ChevauxSelle,1)),
AND(INDEX(Règles_chevaux_selle[Specificite],MATCH(RationEtéChevauxSelle&amp;$EU63,Règles_chevaux_selle[Ration]&amp;Règles_chevaux_selle[Aliment],0))="s2",IF($EU63=Spécificité2ChevauxSelle,1)),
INDEX(Règles_chevaux_selle[Specificite],MATCH(RationEtéChevauxSelle&amp;$EU63,Règles_chevaux_selle[Ration]&amp;Règles_chevaux_selle[Aliment],0))="c"),
INDEX(Règles_chevaux_selle[Valeur 12-24],MATCH(RationEtéChevauxSelle&amp;$EU63,Règles_chevaux_selle[Ration]&amp;Règles_chevaux_selle[Aliment],0)),0),0)*TotalJeuneEtalonSelle_12_24_mois*NbreJoursNourrirChevauxSelle)</f>
        <v>0</v>
      </c>
      <c r="EY63" s="460">
        <f t="array" ref="EY63">IF(OR(ChoixRationComplèteEtéChevauxSelle=OUI,ChoixRationComplèteEtéChevauxSelle="",AND(ChoixChevauxSellePréHiver=OUI,ChoixChevauxSellePréEté=OUI)),0,IFERROR(IF(OR(AND(INDEX(Règles_chevaux_selle[Specificite],MATCH(RationEtéChevauxSelle&amp;$EU63,Règles_chevaux_selle[Ration]&amp;Règles_chevaux_selle[Aliment],0))="s1",IF($EU63=Spécificité1ChevauxSelle,1)),
AND(INDEX(Règles_chevaux_selle[Specificite],MATCH(RationEtéChevauxSelle&amp;$EU63,Règles_chevaux_selle[Ration]&amp;Règles_chevaux_selle[Aliment],0))="s2",IF($EU63=Spécificité2ChevauxSelle,1)),
INDEX(Règles_chevaux_selle[Specificite],MATCH(RationEtéChevauxSelle&amp;$EU63,Règles_chevaux_selle[Ration]&amp;Règles_chevaux_selle[Aliment],0))="c"),
INDEX(Règles_chevaux_selle[Valeur 0-12],MATCH(RationEtéChevauxSelle&amp;$EU63,Règles_chevaux_selle[Ration]&amp;Règles_chevaux_selle[Aliment],0)),0),0)*TotalPoulainSelle_0_12_mois*NbreJoursNourrirChevauxSelle)</f>
        <v>0</v>
      </c>
      <c r="EZ63" s="460">
        <f t="shared" si="16"/>
        <v>0</v>
      </c>
      <c r="FA63" s="298"/>
      <c r="FB63" s="298"/>
      <c r="FD63" s="457" t="s">
        <v>1165</v>
      </c>
      <c r="FE63" s="458">
        <f t="array" ref="FE63">IF(OR(ChoixRationComplèteEtéChevauxTrait=OUI,ChoixRationComplèteEtéChevauxTrait="",AND(ChoixChevauxTraitPréHiver=OUI,ChoixChevauxTraitPréEté=OUI)),0,IFERROR(IF(OR(AND(INDEX(Règles_chevaux_trait[Specificite],MATCH(RationEtéChevauxTrait&amp;$FD63,Règles_chevaux_trait[Ration]&amp;Règles_chevaux_trait[Aliment],0))="s1",IF($FD63=Spécificité1ChevauxTrait,1)),
AND(INDEX(Règles_chevaux_trait[Specificite],MATCH(RationEtéChevauxTrait&amp;$FD63,Règles_chevaux_trait[Ration]&amp;Règles_chevaux_trait[Aliment],0))="s2",IF($FD63=Spécificité2ChevauxTrait,1)),
INDEX(Règles_chevaux_trait[Specificite],MATCH(RationEtéChevauxTrait&amp;$FD63,Règles_chevaux_trait[Ration]&amp;Règles_chevaux_trait[Aliment],0))="c"),
INDEX(Règles_chevaux_trait[Valeur 36 et plus],MATCH(RationEtéChevauxTrait&amp;$FD63,Règles_chevaux_trait[Ration]&amp;Règles_chevaux_trait[Aliment],0)),0),0)*TotalEtalonTrait*NbreJoursNourrirChevauxTrait)</f>
        <v>0</v>
      </c>
      <c r="FF63" s="458">
        <f t="array" ref="FF63">IF(OR(ChoixRationComplèteEtéChevauxTrait=OUI,ChoixRationComplèteEtéChevauxTrait="",AND(ChoixChevauxTraitPréHiver=OUI,ChoixChevauxTraitPréEté=OUI)),0,IFERROR(IF(OR(AND(INDEX(Règles_chevaux_trait[Specificite],MATCH(RationEtéChevauxTrait&amp;$FD63,Règles_chevaux_trait[Ration]&amp;Règles_chevaux_trait[Aliment],0))="s1",IF($FD63=Spécificité1ChevauxTrait,1)),
AND(INDEX(Règles_chevaux_trait[Specificite],MATCH(RationEtéChevauxTrait&amp;$FD63,Règles_chevaux_trait[Ration]&amp;Règles_chevaux_trait[Aliment],0))="s2",IF($FD63=Spécificité2ChevauxTrait,1)),
INDEX(Règles_chevaux_trait[Specificite],MATCH(RationEtéChevauxTrait&amp;$FD63,Règles_chevaux_trait[Ration]&amp;Règles_chevaux_trait[Aliment],0))="c"),
INDEX(Règles_chevaux_trait[Valeur 24-36],MATCH(RationEtéChevauxTrait&amp;$FD63,Règles_chevaux_trait[Ration]&amp;Règles_chevaux_trait[Aliment],0)),0),0)*TotalJeuneEtalonTrait_24_36_mois*NbreJoursNourrirChevauxTrait)</f>
        <v>0</v>
      </c>
      <c r="FG63" s="458">
        <f t="array" ref="FG63">IF(OR(ChoixRationComplèteEtéChevauxTrait=OUI,ChoixRationComplèteEtéChevauxTrait="",AND(ChoixChevauxTraitPréHiver=OUI,ChoixChevauxTraitPréEté=OUI)),0,IFERROR(IF(OR(AND(INDEX(Règles_chevaux_trait[Specificite],MATCH(RationEtéChevauxTrait&amp;$FD63,Règles_chevaux_trait[Ration]&amp;Règles_chevaux_trait[Aliment],0))="s1",IF($FD63=Spécificité1ChevauxTrait,1)),
AND(INDEX(Règles_chevaux_trait[Specificite],MATCH(RationEtéChevauxTrait&amp;$FD63,Règles_chevaux_trait[Ration]&amp;Règles_chevaux_trait[Aliment],0))="s2",IF($FD63=Spécificité2ChevauxTrait,1)),
INDEX(Règles_chevaux_trait[Specificite],MATCH(RationEtéChevauxTrait&amp;$FD63,Règles_chevaux_trait[Ration]&amp;Règles_chevaux_trait[Aliment],0))="c"),
INDEX(Règles_chevaux_trait[Valeur 12-24],MATCH(RationEtéChevauxTrait&amp;$FD63,Règles_chevaux_trait[Ration]&amp;Règles_chevaux_trait[Aliment],0)),0),0)*TotalJeuneEtalonTrait_12_24_mois*NbreJoursNourrirChevauxTrait)</f>
        <v>0</v>
      </c>
      <c r="FH63" s="460">
        <f t="array" ref="FH63">IF(OR(ChoixRationComplèteEtéChevauxTrait=OUI,ChoixRationComplèteEtéChevauxTrait="",AND(ChoixChevauxTraitPréHiver=OUI,ChoixChevauxTraitPréEté=OUI)),0,IFERROR(IF(OR(AND(INDEX(Règles_chevaux_trait[Specificite],MATCH(RationEtéChevauxTrait&amp;$FD63,Règles_chevaux_trait[Ration]&amp;Règles_chevaux_trait[Aliment],0))="s1",IF($FD63=Spécificité1ChevauxTrait,1)),
AND(INDEX(Règles_chevaux_trait[Specificite],MATCH(RationEtéChevauxTrait&amp;$FD63,Règles_chevaux_trait[Ration]&amp;Règles_chevaux_trait[Aliment],0))="s2",IF($FD63=Spécificité2ChevauxTrait,1)),
INDEX(Règles_chevaux_trait[Specificite],MATCH(RationEtéChevauxTrait&amp;$FD63,Règles_chevaux_trait[Ration]&amp;Règles_chevaux_trait[Aliment],0))="c"),
INDEX(Règles_chevaux_trait[Valeur 0-12],MATCH(RationEtéChevauxTrait&amp;$FD63,Règles_chevaux_trait[Ration]&amp;Règles_chevaux_trait[Aliment],0)),0),0)*TotalPoulainTrait_0_12_mois*NbreJoursNourrirChevauxTrait)</f>
        <v>0</v>
      </c>
      <c r="FI63" s="460">
        <f t="shared" si="15"/>
        <v>0</v>
      </c>
      <c r="FJ63" s="298"/>
      <c r="FK63" s="298"/>
      <c r="FL63" s="298"/>
      <c r="FN63" s="457" t="s">
        <v>513</v>
      </c>
      <c r="FO63" s="458">
        <f t="array" ref="FO63">IF(OR(ChoixRationComplèteEtéPoneys=OUI,ChoixRationComplèteEtéPoneys="",AND(ChoixPoneysPréHiver=OUI,ChoixPoneysPréEté=OUI)),0,IFERROR(IF(OR(AND(INDEX(Règles_poneys[Specificite],MATCH(RationEtéPoneys&amp;$FN63,Règles_poneys[Ration]&amp;Règles_poneys[Aliment],0))="s1",IF($FN63=Spécificité1Poneys,1)),
AND(INDEX(Règles_poneys[Specificite],MATCH(RationEtéPoneys&amp;$FN63,Règles_poneys[Ration]&amp;Règles_poneys[Aliment],0))="s2",IF($FN63=Spécificité2Poneys,1)),
INDEX(Règles_poneys[Specificite],MATCH(RationEtéPoneys&amp;$FN63,Règles_poneys[Ration]&amp;Règles_poneys[Aliment],0))="c"),
INDEX(Règles_poneys[Valeur 36 et plus],MATCH(RationEtéPoneys&amp;$FN63,Règles_poneys[Ration]&amp;Règles_poneys[Aliment],0)),0),0)*TotalEtalonPoney*NbreJoursNourrirPoneys)</f>
        <v>0</v>
      </c>
      <c r="FP63" s="458">
        <f t="array" ref="FP63">IF(OR(ChoixRationComplèteEtéPoneys=OUI,ChoixRationComplèteEtéPoneys="",AND(ChoixPoneysPréHiver=OUI,ChoixPoneysPréEté=OUI)),0,IFERROR(IF(OR(AND(INDEX(Règles_poneys[Specificite],MATCH(RationEtéPoneys&amp;$FN63,Règles_poneys[Ration]&amp;Règles_poneys[Aliment],0))="s1",IF($FN63=Spécificité1Poneys,1)),
AND(INDEX(Règles_poneys[Specificite],MATCH(RationEtéPoneys&amp;$FN63,Règles_poneys[Ration]&amp;Règles_poneys[Aliment],0))="s2",IF($FN63=Spécificité2Poneys,1)),
INDEX(Règles_poneys[Specificite],MATCH(RationEtéPoneys&amp;$FN63,Règles_poneys[Ration]&amp;Règles_poneys[Aliment],0))="c"),
INDEX(Règles_poneys[Valeur 36 et plus],MATCH(RationEtéPoneys&amp;$FN63,Règles_poneys[Ration]&amp;Règles_poneys[Aliment],0)),0),0)*TotalJeuneEtalonPoney_24_36_mois*NbreJoursNourrirPoneys)</f>
        <v>0</v>
      </c>
      <c r="FQ63" s="458">
        <f t="array" ref="FQ63">IF(OR(ChoixRationComplèteEtéPoneys=OUI,ChoixRationComplèteEtéPoneys="",AND(ChoixPoneysPréHiver=OUI,ChoixPoneysPréEté=OUI)),0,IFERROR(IF(OR(AND(INDEX(Règles_poneys[Specificite],MATCH(RationEtéPoneys&amp;$FN63,Règles_poneys[Ration]&amp;Règles_poneys[Aliment],0))="s1",IF($FN63=Spécificité1Poneys,1)),
AND(INDEX(Règles_poneys[Specificite],MATCH(RationEtéPoneys&amp;$FN63,Règles_poneys[Ration]&amp;Règles_poneys[Aliment],0))="s2",IF($FN63=Spécificité2Poneys,1)),
INDEX(Règles_poneys[Specificite],MATCH(RationEtéPoneys&amp;$FN63,Règles_poneys[Ration]&amp;Règles_poneys[Aliment],0))="c"),
INDEX(Règles_poneys[Valeur 36 et plus],MATCH(RationEtéPoneys&amp;$FN63,Règles_poneys[Ration]&amp;Règles_poneys[Aliment],0)),0),0)*TotalJeuneEtalonPoney_12_24_mois*NbreJoursNourrirPoneys)</f>
        <v>0</v>
      </c>
      <c r="FR63" s="460">
        <f t="array" ref="FR63">IF(OR(ChoixRationComplèteEtéPoneys=OUI,ChoixRationComplèteEtéPoneys="",AND(ChoixPoneysPréHiver=OUI,ChoixPoneysPréEté=OUI)),0,IFERROR(IF(OR(AND(INDEX(Règles_poneys[Specificite],MATCH(RationEtéPoneys&amp;$FN63,Règles_poneys[Ration]&amp;Règles_poneys[Aliment],0))="s1",IF($FN63=Spécificité1Poneys,1)),
AND(INDEX(Règles_poneys[Specificite],MATCH(RationEtéPoneys&amp;$FN63,Règles_poneys[Ration]&amp;Règles_poneys[Aliment],0))="s2",IF($FN63=Spécificité2Poneys,1)),
INDEX(Règles_poneys[Specificite],MATCH(RationEtéPoneys&amp;$FN63,Règles_poneys[Ration]&amp;Règles_poneys[Aliment],0))="c"),
INDEX(Règles_poneys[Valeur 36 et plus],MATCH(RationEtéPoneys&amp;$FN63,Règles_poneys[Ration]&amp;Règles_poneys[Aliment],0)),0),0)*TotalPoulainPoney_0_12_mois*NbreJoursNourrirPoneys)</f>
        <v>0</v>
      </c>
      <c r="FS63" s="460">
        <f t="shared" si="14"/>
        <v>0</v>
      </c>
      <c r="FU63" s="298"/>
      <c r="FV63" s="298"/>
      <c r="FW63" s="443" t="s">
        <v>489</v>
      </c>
      <c r="FX63" s="450">
        <f t="array" ref="FX63">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63" s="450">
        <f t="array" ref="FY63">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63" s="450">
        <f t="array" ref="FZ63">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63" s="450">
        <f t="array" ref="GA63">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63" s="451">
        <f>SUM(AlimentsGavageOies[[#This Row],[Valeur 6 et plus]:[Valeur 0-1]])</f>
        <v>0</v>
      </c>
      <c r="GC63" s="316"/>
      <c r="GE63" s="280" t="s">
        <v>74</v>
      </c>
      <c r="GF63" s="283"/>
      <c r="GG63" s="283" t="s">
        <v>955</v>
      </c>
      <c r="GH63" s="283" t="s">
        <v>955</v>
      </c>
      <c r="GI63" s="283" t="s">
        <v>955</v>
      </c>
      <c r="GJ63" s="283" t="s">
        <v>955</v>
      </c>
      <c r="GK63" s="283" t="s">
        <v>955</v>
      </c>
      <c r="GL63" s="283" t="s">
        <v>955</v>
      </c>
      <c r="GM63" s="283" t="s">
        <v>955</v>
      </c>
      <c r="GN63" s="283" t="s">
        <v>955</v>
      </c>
      <c r="GO63" s="283" t="s">
        <v>955</v>
      </c>
      <c r="GP63" s="283" t="s">
        <v>955</v>
      </c>
      <c r="GQ63" s="283" t="s">
        <v>955</v>
      </c>
      <c r="GR63" s="283" t="s">
        <v>955</v>
      </c>
      <c r="GS63" s="283" t="s">
        <v>955</v>
      </c>
      <c r="GT63" s="283" t="s">
        <v>955</v>
      </c>
      <c r="GU63" s="283" t="s">
        <v>955</v>
      </c>
      <c r="GV63" s="283" t="s">
        <v>955</v>
      </c>
      <c r="GY63" s="444" t="str">
        <f t="shared" si="11"/>
        <v>semences de lin</v>
      </c>
      <c r="GZ63" s="444"/>
      <c r="HA63" s="342"/>
      <c r="HB63" s="342" t="e">
        <f>IF(COUNTIF(TypeArticleDansEntrepôt,GY63)=0,0,SUMIF(TypeArticleDansEntrepôt,GY63,QtéArticleDansEntrepôt)*VLOOKUP(GY63,#REF!,2,FALSE))</f>
        <v>#REF!</v>
      </c>
      <c r="HN63" s="342" t="e">
        <f>IF(#REF!="","",(VLOOKUP(#REF!,BDD!$HN$5:$HU$38,2,FALSE))*#REF!)</f>
        <v>#REF!</v>
      </c>
      <c r="HO63" s="342" t="e">
        <f>IF(#REF!="","",IF(OR(#REF!=Moutarde,#REF!=Phacélie),0,IF(#REF!=Luzerne,10*#REF!*VLOOKUP(#REF!,BDD!$HN$5:$HU$38,3,FALSE),IF(#REF!=Miscanthus,10.5*#REF!*VLOOKUP(#REF!,BDD!$HN$5:$HU$38,3,FALSE),INDEX(#REF!:#REF!,MATCH(#REF!,#REF!:#REF!,0),MATCH(#REF!,#REF!:#REF!,0))*#REF!*VLOOKUP(#REF!,BDD!$HN$5:$HU$38,3,FALSE)))))</f>
        <v>#REF!</v>
      </c>
      <c r="HP63" s="342" t="e">
        <f>IF(#REF!="","",IF(OR(#REF!=Moutarde,#REF!=Phacélie),0,IF(#REF!=Luzerne,10*#REF!*VLOOKUP(#REF!,BDD!$HN$5:$HU$38,4,FALSE),IF(#REF!=Miscanthus,10.5*#REF!*VLOOKUP(#REF!,BDD!$HN$5:$HU$38,4,FALSE),INDEX(#REF!:#REF!,MATCH(#REF!,#REF!:#REF!,0),MATCH(#REF!,#REF!:#REF!,0))*#REF!*VLOOKUP(#REF!,BDD!$HN$5:$HU$38,4,FALSE)))))</f>
        <v>#REF!</v>
      </c>
      <c r="HQ63" s="342" t="e">
        <f>IF(#REF!="","",IF(OR(#REF!=Moutarde,#REF!=Phacélie),0,IF(#REF!=Luzerne,10*#REF!*VLOOKUP(#REF!,BDD!$HN$5:$HU$38,5,FALSE),IF(#REF!=Miscanthus,10.5*#REF!*VLOOKUP(#REF!,BDD!$HN$5:$HU$38,5,FALSE),INDEX(#REF!:#REF!,MATCH(#REF!,#REF!:#REF!,0),MATCH(#REF!,#REF!:#REF!,0))*#REF!*VLOOKUP(#REF!,BDD!$HN$5:$HU$38,5,FALSE)))))</f>
        <v>#REF!</v>
      </c>
      <c r="HR63" s="342" t="e">
        <f>IF(#REF!="","",IF(OR(#REF!=Moutarde,#REF!=Phacélie),0,IF(#REF!=Luzerne,10*#REF!*VLOOKUP(#REF!,BDD!$HN$5:$HU$38,6,FALSE),IF(#REF!=Miscanthus,10.5*#REF!*VLOOKUP(#REF!,BDD!$HN$5:$HU$38,6,FALSE),INDEX(#REF!:#REF!,MATCH(#REF!,#REF!:#REF!,0),MATCH(#REF!,#REF!:#REF!,0))*#REF!*VLOOKUP(#REF!,BDD!$HN$5:$HU$38,6,FALSE)))))</f>
        <v>#REF!</v>
      </c>
      <c r="HS63" s="342" t="e">
        <f>IF(#REF!="","",IF(OR(#REF!=Moutarde,#REF!=Phacélie),0,IF(#REF!=Luzerne,10*#REF!*VLOOKUP(#REF!,BDD!$HN$5:$HU$38,7,FALSE),IF(#REF!=Miscanthus,10.5*#REF!*VLOOKUP(#REF!,BDD!$HN$5:$HU$38,7,FALSE),INDEX(#REF!:#REF!,MATCH(#REF!,#REF!:#REF!,0),MATCH(#REF!,#REF!:#REF!,0))*#REF!*VLOOKUP(#REF!,BDD!$HN$5:$HU$38,7,FALSE)))))</f>
        <v>#REF!</v>
      </c>
      <c r="HT63" s="342" t="e">
        <f>IF(#REF!="","",IF(OR(#REF!=Moutarde,#REF!=Phacélie),0,IF(#REF!=Luzerne,10*#REF!*VLOOKUP(#REF!,BDD!$HN$5:$HU$38,8,FALSE),IF(#REF!=Miscanthus,10.5*#REF!*VLOOKUP(#REF!,BDD!$HN$5:$HU$38,8,FALSE),INDEX(#REF!:#REF!,MATCH(#REF!,#REF!:#REF!,0),MATCH(#REF!,#REF!:#REF!,0))*#REF!*VLOOKUP(#REF!,BDD!$HN$5:$HU$38,8,FALSE)))))</f>
        <v>#REF!</v>
      </c>
      <c r="HU63" s="342" t="e">
        <f>IF(#REF!="","",IF(OR(#REF!=Moutarde,#REF!=Phacélie),0,1.6*#REF!))</f>
        <v>#REF!</v>
      </c>
      <c r="HV63" s="342" t="e">
        <f>IF(#REF!="","",IF(OR(#REF!=Moutarde,#REF!=Phacélie),0,1.6*#REF!))</f>
        <v>#REF!</v>
      </c>
      <c r="HW63" s="342" t="e">
        <f>IF(#REF!="","",IF(OR(#REF!=Moutarde,#REF!=Phacélie),0,1.6*#REF!))</f>
        <v>#REF!</v>
      </c>
      <c r="HX63" s="342" t="e">
        <f>IF(#REF!="","",(VLOOKUP(#REF!,BDD!$HN$5:$HU$38,2,FALSE))*#REF!)</f>
        <v>#REF!</v>
      </c>
      <c r="HY63" s="342" t="e">
        <f>IF(#REF!="","",IF(OR(#REF!=Moutarde,#REF!=Phacélie),0,IF(#REF!=Luzerne,10*#REF!*VLOOKUP(#REF!,BDD!$HN$5:$HU$38,3,FALSE),IF(#REF!=Miscanthus,10.5*#REF!*VLOOKUP(#REF!,BDD!$HN$5:$HU$38,3,FALSE),INDEX(#REF!:#REF!,MATCH(#REF!,#REF!:#REF!,0),MATCH(#REF!,#REF!:#REF!,0))*#REF!*VLOOKUP(#REF!,BDD!$HN$5:$HU$38,3,FALSE)))))</f>
        <v>#REF!</v>
      </c>
      <c r="HZ63" s="342" t="e">
        <f>IF(#REF!="","",IF(OR(#REF!=Moutarde,#REF!=Phacélie),0,IF(#REF!=Luzerne,10*#REF!*VLOOKUP(#REF!,BDD!$HN$5:$HU$38,4,FALSE),IF(#REF!=Miscanthus,10.5*#REF!*VLOOKUP(#REF!,BDD!$HN$5:$HU$38,4,FALSE),INDEX(#REF!:#REF!,MATCH(#REF!,#REF!:#REF!,0),MATCH(#REF!,#REF!:#REF!,0))*#REF!*VLOOKUP(#REF!,BDD!$HN$5:$HU$38,4,FALSE)))))</f>
        <v>#REF!</v>
      </c>
      <c r="IA63" s="342" t="e">
        <f>IF(#REF!="","",IF(OR(#REF!=Moutarde,#REF!=Phacélie),0,IF(#REF!=Luzerne,10*#REF!*VLOOKUP(#REF!,BDD!$HN$5:$HU$38,5,FALSE),IF(#REF!=Miscanthus,10.5*#REF!*VLOOKUP(#REF!,BDD!$HN$5:$HU$38,5,FALSE),INDEX(#REF!:#REF!,MATCH(#REF!,#REF!:#REF!,0),MATCH(#REF!,#REF!:#REF!,0))*#REF!*VLOOKUP(#REF!,BDD!$HN$5:$HU$38,5,FALSE)))))</f>
        <v>#REF!</v>
      </c>
      <c r="IB63" s="342" t="e">
        <f>IF(#REF!="","",IF(OR(#REF!=Moutarde,#REF!=Phacélie),0,IF(#REF!=Luzerne,10*#REF!*VLOOKUP(#REF!,BDD!$HN$5:$HU$38,6,FALSE),IF(#REF!=Miscanthus,10.5*#REF!*VLOOKUP(#REF!,BDD!$HN$5:$HU$38,6,FALSE),INDEX(#REF!:#REF!,MATCH(#REF!,#REF!:#REF!,0),MATCH(#REF!,#REF!:#REF!,0))*#REF!*VLOOKUP(#REF!,BDD!$HN$5:$HU$38,6,FALSE)))))</f>
        <v>#REF!</v>
      </c>
      <c r="IC63" s="342" t="e">
        <f>IF(#REF!="","",IF(OR(#REF!=Moutarde,#REF!=Phacélie),0,IF(#REF!=Luzerne,10*#REF!*VLOOKUP(#REF!,BDD!$HN$5:$HU$38,7,FALSE),IF(#REF!=Miscanthus,10.5*#REF!*VLOOKUP(#REF!,BDD!$HN$5:$HU$38,7,FALSE),INDEX(#REF!:#REF!,MATCH(#REF!,#REF!:#REF!,0),MATCH(#REF!,#REF!:#REF!,0))*#REF!*VLOOKUP(#REF!,BDD!$HN$5:$HU$38,7,FALSE)))))</f>
        <v>#REF!</v>
      </c>
      <c r="ID63" s="342" t="e">
        <f>IF(#REF!="","",IF(OR(#REF!=Moutarde,#REF!=Phacélie),0,IF(#REF!=Luzerne,10*#REF!*VLOOKUP(#REF!,BDD!$HN$5:$HU$38,8,FALSE),IF(#REF!=Miscanthus,10.5*#REF!*VLOOKUP(#REF!,BDD!$HN$5:$HU$38,8,FALSE),INDEX(#REF!:#REF!,MATCH(#REF!,#REF!:#REF!,0),MATCH(#REF!,#REF!:#REF!,0))*#REF!*VLOOKUP(#REF!,BDD!$HN$5:$HU$38,8,FALSE)))))</f>
        <v>#REF!</v>
      </c>
      <c r="IE63" s="342" t="e">
        <f>IF(#REF!="","",IF(OR(#REF!=Moutarde,#REF!=Phacélie),0,1.6*#REF!))</f>
        <v>#REF!</v>
      </c>
      <c r="IF63" s="342" t="e">
        <f>IF(#REF!="","",IF(OR(#REF!=Moutarde,#REF!=Phacélie),0,1.6*#REF!))</f>
        <v>#REF!</v>
      </c>
      <c r="IG63" s="342" t="e">
        <f>IF(#REF!="","",IF(OR(#REF!=Moutarde,#REF!=Phacélie),0,1.6*#REF!))</f>
        <v>#REF!</v>
      </c>
    </row>
    <row r="64" spans="1:241" ht="12.75" customHeight="1" x14ac:dyDescent="0.2">
      <c r="A64" s="373"/>
      <c r="B64" s="380"/>
      <c r="F64" s="280"/>
      <c r="G64" s="280"/>
      <c r="H64" s="280"/>
      <c r="I64" s="280"/>
      <c r="J64" s="280"/>
      <c r="K64" s="280"/>
      <c r="L64" s="280"/>
      <c r="M64" s="280"/>
      <c r="N64" s="277"/>
      <c r="O64" s="283" t="s">
        <v>849</v>
      </c>
      <c r="P64" s="283" t="str">
        <f t="shared" ref="P64:U64" si="17">P32</f>
        <v>Blé</v>
      </c>
      <c r="Q64" s="283" t="str">
        <f t="shared" si="17"/>
        <v>Orge</v>
      </c>
      <c r="R64" s="283" t="str">
        <f t="shared" si="17"/>
        <v>Orge de printemps</v>
      </c>
      <c r="S64" s="283" t="str">
        <f t="shared" si="17"/>
        <v>Avoine</v>
      </c>
      <c r="T64" s="283" t="str">
        <f t="shared" si="17"/>
        <v>Avoine de printemps</v>
      </c>
      <c r="U64" s="283" t="str">
        <f t="shared" si="17"/>
        <v>Triticale</v>
      </c>
      <c r="V64" s="283"/>
      <c r="W64" s="283" t="str">
        <f t="shared" ref="W64:AG64" si="18">W32</f>
        <v>Maïs grain</v>
      </c>
      <c r="X64" s="283" t="str">
        <f t="shared" si="18"/>
        <v>Maïs ensilé</v>
      </c>
      <c r="Y64" s="283" t="str">
        <f t="shared" si="18"/>
        <v>Betterave</v>
      </c>
      <c r="Z64" s="283" t="str">
        <f t="shared" si="18"/>
        <v>Colza</v>
      </c>
      <c r="AA64" s="283" t="str">
        <f t="shared" si="18"/>
        <v>Tournesol</v>
      </c>
      <c r="AB64" s="283" t="str">
        <f t="shared" si="18"/>
        <v>Pois</v>
      </c>
      <c r="AC64" s="283" t="str">
        <f t="shared" si="18"/>
        <v>Féverole</v>
      </c>
      <c r="AD64" s="283" t="str">
        <f t="shared" si="18"/>
        <v>Soja</v>
      </c>
      <c r="AE64" s="283" t="str">
        <f t="shared" si="18"/>
        <v>Lin</v>
      </c>
      <c r="AF64" s="283" t="str">
        <f t="shared" si="18"/>
        <v>Pomme de terre</v>
      </c>
      <c r="AG64" s="516" t="str">
        <f t="shared" si="18"/>
        <v>Chanvre Industriel</v>
      </c>
      <c r="AH64" s="516"/>
      <c r="AI64" s="283" t="str">
        <f>AI32</f>
        <v>Epinard</v>
      </c>
      <c r="AJ64" s="283" t="str">
        <f>AJ32</f>
        <v>Haricot vert</v>
      </c>
      <c r="AK64" s="283" t="str">
        <f>AK32</f>
        <v>Lentille</v>
      </c>
      <c r="AL64" s="283" t="str">
        <f>AL32</f>
        <v>Sorgho ensilé</v>
      </c>
      <c r="AM64" s="283"/>
      <c r="AN64" s="283" t="str">
        <f>AN32</f>
        <v>Tabac</v>
      </c>
      <c r="AO64" s="295" t="s">
        <v>1058</v>
      </c>
      <c r="AP64" s="295" t="s">
        <v>1059</v>
      </c>
      <c r="AQ64" s="295" t="s">
        <v>1060</v>
      </c>
      <c r="AR64" s="295" t="s">
        <v>1061</v>
      </c>
      <c r="AS64" s="295" t="s">
        <v>1062</v>
      </c>
      <c r="AT64" s="295" t="s">
        <v>1063</v>
      </c>
      <c r="AU64" s="295" t="s">
        <v>1085</v>
      </c>
      <c r="AV64" s="295" t="s">
        <v>1086</v>
      </c>
      <c r="AW64" s="295" t="s">
        <v>1087</v>
      </c>
      <c r="AX64" s="295" t="s">
        <v>1088</v>
      </c>
      <c r="AY64" s="295" t="s">
        <v>1089</v>
      </c>
      <c r="BB64" s="387" t="s">
        <v>509</v>
      </c>
      <c r="BC64" s="362" t="s">
        <v>70</v>
      </c>
      <c r="BD64" s="362" t="s">
        <v>887</v>
      </c>
      <c r="BE64" s="388">
        <v>7.2</v>
      </c>
      <c r="BF64" s="388">
        <v>6</v>
      </c>
      <c r="BG64" s="388">
        <v>4</v>
      </c>
      <c r="BH64" s="388">
        <v>2</v>
      </c>
      <c r="BI64" s="388">
        <v>1.2</v>
      </c>
      <c r="BJ64" s="388">
        <v>0.6</v>
      </c>
      <c r="BK64" s="389">
        <v>0</v>
      </c>
      <c r="BL64" s="312"/>
      <c r="BM64" s="350" t="s">
        <v>488</v>
      </c>
      <c r="BN64" s="350">
        <f t="array" ref="BN64">IF(Ration_hivernale_complète_bisons[somme]&gt;0,0,IFERROR(IF(OR(AND(INDEX(Règles_bison[Specificite],MATCH(ChoixRationBisons&amp;$BM64,Règles_bison[Ration]&amp;Règles_bison[Aliment],0))="s1",IF($BM64=ChoixSpécificité1Bisons,1)),
INDEX(Règles_bison[Specificite],MATCH(ChoixRationBisons&amp;$BM64,Règles_bison[Ration]&amp;Règles_bison[Aliment],0))="c"),
INDEX(Règles_bison[Valeur 36 et plus],MATCH(ChoixRationBisons&amp;$BM64,Règles_bison[Ration]&amp;Règles_bison[Aliment],0)),0),0)*TotalBisonsMalesAdultes*NbreJoursNourrirBisonsDaims)</f>
        <v>0</v>
      </c>
      <c r="BO64" s="350">
        <f t="array" ref="BO64">IF(Ration_hivernale_complète_bisons[somme]&gt;0,0,IFERROR(IF(OR(AND(INDEX(Règles_bison[Specificite],MATCH(ChoixRationBisons&amp;$BM64,Règles_bison[Ration]&amp;Règles_bison[Aliment],0))="s1",IF($BM64=ChoixSpécificité1Bisons,1)),
INDEX(Règles_bison[Specificite],MATCH(ChoixRationBisons&amp;$BM64,Règles_bison[Ration]&amp;Règles_bison[Aliment],0))="c"),
INDEX(Règles_bison[Valeur 24-36],MATCH(ChoixRationBisons&amp;$BM64,Règles_bison[Ration]&amp;Règles_bison[Aliment],0)),0),0)*TotalBisonsMales_24_36_mois*NbreJoursNourrirBisonsDaims)</f>
        <v>0</v>
      </c>
      <c r="BP64" s="350">
        <f t="array" ref="BP64">IF(Ration_hivernale_complète_bisons[somme]&gt;0,0,IFERROR(IF(OR(AND(INDEX(Règles_bison[Specificite],MATCH(ChoixRationBisons&amp;$BM64,Règles_bison[Ration]&amp;Règles_bison[Aliment],0))="s1",IF($BM64=ChoixSpécificité1Bisons,1)),
INDEX(Règles_bison[Specificite],MATCH(ChoixRationBisons&amp;$BM64,Règles_bison[Ration]&amp;Règles_bison[Aliment],0))="c"),
INDEX(Règles_bison[Valeur 18-24],MATCH(ChoixRationBisons&amp;$BM64,Règles_bison[Ration]&amp;Règles_bison[Aliment],0)),0),0)*TotalBisonsMales_18_24_mois*NbreJoursNourrirBisonsDaims)</f>
        <v>0</v>
      </c>
      <c r="BQ64" s="350">
        <f t="array" ref="BQ64">IF(Ration_hivernale_complète_bisons[somme]&gt;0,0,IFERROR(IF(OR(AND(INDEX(Règles_bison[Specificite],MATCH(ChoixRationBisons&amp;$BM64,Règles_bison[Ration]&amp;Règles_bison[Aliment],0))="s1",IF($BM64=ChoixSpécificité1Bisons,1)),
INDEX(Règles_bison[Specificite],MATCH(ChoixRationBisons&amp;$BM64,Règles_bison[Ration]&amp;Règles_bison[Aliment],0))="c"),
INDEX(Règles_bison[Valeur 12-18],MATCH(ChoixRationBisons&amp;$BM64,Règles_bison[Ration]&amp;Règles_bison[Aliment],0)),0),0)*TotalBisonsMales_12_18_mois*NbreJoursNourrirBisonsDaims)</f>
        <v>0</v>
      </c>
      <c r="BR64" s="350">
        <f t="array" ref="BR64">IF(Ration_hivernale_complète_bisons[somme]&gt;0,0,IFERROR(IF(OR(AND(INDEX(Règles_bison[Specificite],MATCH(ChoixRationBisons&amp;$BM64,Règles_bison[Ration]&amp;Règles_bison[Aliment],0))="s1",IF($BM64=ChoixSpécificité1Bisons,1)),
INDEX(Règles_bison[Specificite],MATCH(ChoixRationBisons&amp;$BM64,Règles_bison[Ration]&amp;Règles_bison[Aliment],0))="c"),
INDEX(Règles_bison[Valeur 6-12],MATCH(ChoixRationBisons&amp;$BM64,Règles_bison[Ration]&amp;Règles_bison[Aliment],0)),0),0)*TotalBisonsMales_6_12_mois*NbreJoursNourrirBisonsDaims)</f>
        <v>0</v>
      </c>
      <c r="BS64" s="350">
        <f t="array" ref="BS64">IF(Ration_hivernale_complète_bisons[somme]&gt;0,0,IFERROR(IF(OR(AND(INDEX(Règles_bison[Specificite],MATCH(ChoixRationBisons&amp;$BM64,Règles_bison[Ration]&amp;Règles_bison[Aliment],0))="s1",IF($BM64=ChoixSpécificité1Bisons,1)),
INDEX(Règles_bison[Specificite],MATCH(ChoixRationBisons&amp;$BM64,Règles_bison[Ration]&amp;Règles_bison[Aliment],0))="c"),
INDEX(Règles_bison[Valeur 3-6],MATCH(ChoixRationBisons&amp;$BM64,Règles_bison[Ration]&amp;Règles_bison[Aliment],0)),0),0)*TotalBisonsMales_3_6_mois*NbreJoursNourrirBisonsDaims)</f>
        <v>0</v>
      </c>
      <c r="BT64" s="350">
        <f t="array" ref="BT64">IF(Ration_hivernale_complète_bisons[somme]&gt;0,0,IFERROR(IF(OR(AND(INDEX(Règles_bison[Specificite],MATCH(ChoixRationBisons&amp;$BM64,Règles_bison[Ration]&amp;Règles_bison[Aliment],0))="s1",IF($BM64=ChoixSpécificité1Bisons,1)),
INDEX(Règles_bison[Specificite],MATCH(ChoixRationBisons&amp;$BM64,Règles_bison[Ration]&amp;Règles_bison[Aliment],0))="c"),
INDEX(Règles_bison[Valeur 0-3],MATCH(ChoixRationBisons&amp;$BM64,Règles_bison[Ration]&amp;Règles_bison[Aliment],0)),0),0)*TotalBisonsMales_0_3_mois*NbreJoursNourrirBisonsDaims)</f>
        <v>0</v>
      </c>
      <c r="BU64" s="350">
        <f t="shared" si="10"/>
        <v>0</v>
      </c>
      <c r="BX64" s="373" t="s">
        <v>548</v>
      </c>
      <c r="BY64" s="280" t="s">
        <v>518</v>
      </c>
      <c r="BZ64" s="280" t="s">
        <v>886</v>
      </c>
      <c r="CA64" s="280">
        <v>20</v>
      </c>
      <c r="CB64" s="280">
        <v>12</v>
      </c>
      <c r="CC64" s="280">
        <v>8</v>
      </c>
      <c r="CD64" s="410">
        <v>4</v>
      </c>
      <c r="CE64" s="304"/>
      <c r="CF64" s="304"/>
      <c r="CG64" s="304"/>
      <c r="CH64" s="304"/>
      <c r="CJ64" s="420" t="s">
        <v>168</v>
      </c>
      <c r="CK64" s="384">
        <f t="array" ref="CK6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64" s="384">
        <f t="array" ref="CL6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64" s="384">
        <f t="array" ref="CM6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64" s="384">
        <f t="array" ref="CN6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64" s="384">
        <f t="array" ref="CO6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64" s="426">
        <f>SUM(AlimentsRationPorcinsMâles[[#This Row],[Valeur 12 et plus]:[Valeur 0-1]])</f>
        <v>0</v>
      </c>
      <c r="CS64" s="420" t="s">
        <v>1166</v>
      </c>
      <c r="CT64" s="433">
        <f t="array" ref="CT64">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64" s="433">
        <f t="array" ref="CU64">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64" s="433">
        <f t="array" ref="CV64">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64" s="434">
        <f>SUM(AlimentsRationLapinsMâles[[#This Row],[Valeur 3 et plus]:[Valeur 0-1]])</f>
        <v>0</v>
      </c>
      <c r="CZ64" s="420" t="s">
        <v>1166</v>
      </c>
      <c r="DA64" s="433">
        <f t="array" ref="DA6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64" s="433">
        <f t="array" ref="DB6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64" s="433">
        <f t="array" ref="DC6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64" s="434">
        <f>SUM(AlimentsRationVolaillesMâles[[#This Row],[Valeur 6 et plus]:[Valeur 0-1]])</f>
        <v>0</v>
      </c>
      <c r="DE64" s="316"/>
      <c r="DF64" s="277"/>
      <c r="DG64" s="420" t="s">
        <v>267</v>
      </c>
      <c r="DH64" s="433">
        <f t="array" ref="DH6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64" s="433">
        <f t="array" ref="DI6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64" s="433">
        <f t="array" ref="DJ6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64" s="434">
        <f>SUM(AlimentsRationPintadesMâles[[#This Row],[Valeur 9 et plus]:[Valeur 0-1]])</f>
        <v>0</v>
      </c>
      <c r="DL64" s="316"/>
      <c r="DM64" s="316"/>
      <c r="DN64" s="295" t="s">
        <v>916</v>
      </c>
      <c r="DO64" s="277"/>
      <c r="DQ64" s="277"/>
      <c r="DR64" s="277"/>
      <c r="DV64" s="350" t="s">
        <v>70</v>
      </c>
      <c r="DW64" s="351">
        <f t="array" ref="DW64">IF(ChoixRationComplèteDaims=OUI,0,IFERROR(IF(OR(AND(INDEX(Règles_daims[Specificite],MATCH(ChoixRationDaims&amp;DV64,Règles_daims[Ration]&amp;Règles_daims[Aliment],0))="s1",IF(DV64=Spécificité1Daims,1)),
AND(INDEX(Règles_daims[Specificite],MATCH(ChoixRationDaims&amp;DV64,Règles_daims[Ration]&amp;Règles_daims[Aliment],0))="s2",IF(DV64=Spécificité2Daims,1)),
INDEX(Règles_daims[Specificite],MATCH(ChoixRationDaims&amp;DV64,Règles_daims[Ration]&amp;Règles_daims[Aliment],0))="c"),
INDEX(Règles_daims[Valeur 36 et plus],MATCH(ChoixRationDaims&amp;DV64,Règles_daims[Ration]&amp;Règles_daims[Aliment],0)),0),0)*SUM(TotalDaimsAdultes)*NbreJoursNourrirBisonsDaims)</f>
        <v>0</v>
      </c>
      <c r="DX64" s="351">
        <f t="array" ref="DX64">IF(ChoixRationComplèteDaims=OUI,0,IFERROR(IF(OR(AND(INDEX(Règles_daims[Specificite],MATCH(ChoixRationDaims&amp;DV64,Règles_daims[Ration]&amp;Règles_daims[Aliment],0))="s1",IF(DV64=Spécificité1Daims,1)),
AND(INDEX(Règles_daims[Specificite],MATCH(ChoixRationDaims&amp;DV64,Règles_daims[Ration]&amp;Règles_daims[Aliment],0))="s2",IF(DV64=Spécificité2Daims,1)),
INDEX(Règles_daims[Specificite],MATCH(ChoixRationDaims&amp;DV64,Règles_daims[Ration]&amp;Règles_daims[Aliment],0))="c"),
INDEX(Règles_daims[Valeur 24-36],MATCH(ChoixRationDaims&amp;DV64,Règles_daims[Ration]&amp;Règles_daims[Aliment],0)),0),0)*SUM(TotalDaims24_36)*NbreJoursNourrirBisonsDaims)</f>
        <v>0</v>
      </c>
      <c r="DY64" s="351">
        <f t="array" ref="DY64">IF(ChoixRationComplèteDaims=OUI,0,IFERROR(IF(OR(AND(INDEX(Règles_daims[Specificite],MATCH(ChoixRationDaims&amp;DV64,Règles_daims[Ration]&amp;Règles_daims[Aliment],0))="s1",IF(DV64=Spécificité1Daims,1)),
AND(INDEX(Règles_daims[Specificite],MATCH(ChoixRationDaims&amp;DV64,Règles_daims[Ration]&amp;Règles_daims[Aliment],0))="s2",IF(DV64=Spécificité2Daims,1)),
INDEX(Règles_daims[Specificite],MATCH(ChoixRationDaims&amp;DV64,Règles_daims[Ration]&amp;Règles_daims[Aliment],0))="c"),
INDEX(Règles_daims[Valeur 18-24],MATCH(ChoixRationDaims&amp;DV64,Règles_daims[Ration]&amp;Règles_daims[Aliment],0)),0),0)*SUM(TotalDaims18_24)*NbreJoursNourrirBisonsDaims)</f>
        <v>0</v>
      </c>
      <c r="DZ64" s="441">
        <f t="array" ref="DZ64">IF(ChoixRationComplèteDaims=OUI,0,IFERROR(IF(OR(AND(INDEX(Règles_daims[Specificite],MATCH(ChoixRationDaims&amp;DV64,Règles_daims[Ration]&amp;Règles_daims[Aliment],0))="s1",IF(DV64=Spécificité1Daims,1)),
AND(INDEX(Règles_daims[Specificite],MATCH(ChoixRationDaims&amp;DV64,Règles_daims[Ration]&amp;Règles_daims[Aliment],0))="s2",IF(DV64=Spécificité2Daims,1)),
INDEX(Règles_daims[Specificite],MATCH(ChoixRationDaims&amp;DV64,Règles_daims[Ration]&amp;Règles_daims[Aliment],0))="c"),
INDEX(Règles_daims[Valeur 12-18],MATCH(ChoixRationDaims&amp;DV64,Règles_daims[Ration]&amp;Règles_daims[Aliment],0)),0),0)*SUM(TotalDaims12_18)*NbreJoursNourrirBisonsDaims)</f>
        <v>0</v>
      </c>
      <c r="EA64" s="441">
        <f t="array" ref="EA64">IF(ChoixRationComplèteDaims=OUI,0,IFERROR(IF(OR(AND(INDEX(Règles_daims[Specificite],MATCH(ChoixRationDaims&amp;DV64,Règles_daims[Ration]&amp;Règles_daims[Aliment],0))="s1",IF(DV64=Spécificité1Daims,1)),
AND(INDEX(Règles_daims[Specificite],MATCH(ChoixRationDaims&amp;DV64,Règles_daims[Ration]&amp;Règles_daims[Aliment],0))="s2",IF(DV64=Spécificité2Daims,1)),
INDEX(Règles_daims[Specificite],MATCH(ChoixRationDaims&amp;DV64,Règles_daims[Ration]&amp;Règles_daims[Aliment],0))="c"),
INDEX(Règles_daims[Valeur 6-12],MATCH(ChoixRationDaims&amp;DV64,Règles_daims[Ration]&amp;Règles_daims[Aliment],0)),0),0)*SUM(TotalDaims6_12)*NbreJoursNourrirBisonsDaims)</f>
        <v>0</v>
      </c>
      <c r="EB64" s="441">
        <f t="array" ref="EB64">IF(ChoixRationComplèteDaims=OUI,0,IFERROR(IF(OR(AND(INDEX(Règles_daims[Specificite],MATCH(ChoixRationDaims&amp;DV64,Règles_daims[Ration]&amp;Règles_daims[Aliment],0))="s1",IF(DV64=Spécificité1Daims,1)),
AND(INDEX(Règles_daims[Specificite],MATCH(ChoixRationDaims&amp;DV64,Règles_daims[Ration]&amp;Règles_daims[Aliment],0))="s2",IF(DV64=Spécificité2Daims,1)),
INDEX(Règles_daims[Specificite],MATCH(ChoixRationDaims&amp;DV64,Règles_daims[Ration]&amp;Règles_daims[Aliment],0))="c"),
INDEX(Règles_daims[Valeur 3-6],MATCH(ChoixRationDaims&amp;DV64,Règles_daims[Ration]&amp;Règles_daims[Aliment],0)),0),0)*SUM(TotalDaims3_6)*NbreJoursNourrirBisonsDaims)</f>
        <v>0</v>
      </c>
      <c r="EC64" s="441">
        <f t="array" ref="EC64">IF(ChoixRationComplèteDaims=OUI,0,IFERROR(IF(OR(AND(INDEX(Règles_daims[Specificite],MATCH(ChoixRationDaims&amp;DV64,Règles_daims[Ration]&amp;Règles_daims[Aliment],0))="s1",IF(DV64=Spécificité1Daims,1)),
AND(INDEX(Règles_daims[Specificite],MATCH(ChoixRationDaims&amp;DV64,Règles_daims[Ration]&amp;Règles_daims[Aliment],0))="s2",IF(DV64=Spécificité2Daims,1)),
INDEX(Règles_daims[Specificite],MATCH(ChoixRationDaims&amp;DV64,Règles_daims[Ration]&amp;Règles_daims[Aliment],0))="c"),
INDEX(Règles_daims[Valeur 0-3],MATCH(ChoixRationDaims&amp;DV64,Règles_daims[Ration]&amp;Règles_daims[Aliment],0)),0),0)*SUM(TotalDaims0_3)*NbreJoursNourrirBisonsDaims)</f>
        <v>0</v>
      </c>
      <c r="ED64" s="441">
        <f t="shared" si="9"/>
        <v>0</v>
      </c>
      <c r="EG64" s="420" t="s">
        <v>518</v>
      </c>
      <c r="EH64" s="433">
        <f t="array" ref="EH6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64" s="433">
        <f t="array" ref="EI6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64" s="433">
        <f t="array" ref="EJ6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64" s="434">
        <f>SUM(AlimentsRationOiesMâles[[#This Row],[Valeur 6 et plus]:[Valeur 0-3]])</f>
        <v>0</v>
      </c>
      <c r="EL64" s="316"/>
      <c r="EN64" s="420" t="s">
        <v>265</v>
      </c>
      <c r="EO64" s="433">
        <f t="array" ref="EO64">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64" s="433">
        <f t="array" ref="EP64">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64" s="433">
        <f t="array" ref="EQ64">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64" s="434">
        <f>SUM(Ration_canards_Mâles[[#This Row],[Valeur 6 et plus]:[Valeur 0-3]])</f>
        <v>0</v>
      </c>
      <c r="ES64" s="316"/>
      <c r="EU64" s="457" t="s">
        <v>904</v>
      </c>
      <c r="EV64" s="458">
        <f t="array" ref="EV64">IF(OR(ChoixRationComplèteEtéChevauxSelle=OUI,ChoixRationComplèteEtéChevauxSelle="",AND(ChoixChevauxSellePréHiver=OUI,ChoixChevauxSellePréEté=OUI)),0,IFERROR(IF(OR(AND(INDEX(Règles_chevaux_selle[Specificite],MATCH(RationEtéChevauxSelle&amp;$EU64,Règles_chevaux_selle[Ration]&amp;Règles_chevaux_selle[Aliment],0))="s1",IF($EU64=Spécificité1ChevauxSelle,1)),
AND(INDEX(Règles_chevaux_selle[Specificite],MATCH(RationEtéChevauxSelle&amp;$EU64,Règles_chevaux_selle[Ration]&amp;Règles_chevaux_selle[Aliment],0))="s2",IF($EU64=Spécificité2ChevauxSelle,1)),
INDEX(Règles_chevaux_selle[Specificite],MATCH(RationEtéChevauxSelle&amp;$EU64,Règles_chevaux_selle[Ration]&amp;Règles_chevaux_selle[Aliment],0))="c"),
INDEX(Règles_chevaux_selle[Valeur 36 et plus],MATCH(RationEtéChevauxSelle&amp;$EU64,Règles_chevaux_selle[Ration]&amp;Règles_chevaux_selle[Aliment],0)),0),0)*TotalEtalonSelle*NbreJoursNourrirChevauxSelle)</f>
        <v>0</v>
      </c>
      <c r="EW64" s="458">
        <f t="array" ref="EW64">IF(OR(ChoixRationComplèteEtéChevauxSelle=OUI,ChoixRationComplèteEtéChevauxSelle="",AND(ChoixChevauxSellePréHiver=OUI,ChoixChevauxSellePréEté=OUI)),0,IFERROR(IF(OR(AND(INDEX(Règles_chevaux_selle[Specificite],MATCH(RationEtéChevauxSelle&amp;$EU64,Règles_chevaux_selle[Ration]&amp;Règles_chevaux_selle[Aliment],0))="s1",IF($EU64=Spécificité1ChevauxSelle,1)),
AND(INDEX(Règles_chevaux_selle[Specificite],MATCH(RationEtéChevauxSelle&amp;$EU64,Règles_chevaux_selle[Ration]&amp;Règles_chevaux_selle[Aliment],0))="s2",IF($EU64=Spécificité2ChevauxSelle,1)),
INDEX(Règles_chevaux_selle[Specificite],MATCH(RationEtéChevauxSelle&amp;$EU64,Règles_chevaux_selle[Ration]&amp;Règles_chevaux_selle[Aliment],0))="c"),
INDEX(Règles_chevaux_selle[Valeur 24-36],MATCH(RationEtéChevauxSelle&amp;$EU64,Règles_chevaux_selle[Ration]&amp;Règles_chevaux_selle[Aliment],0)),0),0)*TotalJeuneEtalonSelle_24_36_mois*NbreJoursNourrirChevauxSelle)</f>
        <v>0</v>
      </c>
      <c r="EX64" s="458">
        <f t="array" ref="EX64">IF(OR(ChoixRationComplèteEtéChevauxSelle=OUI,ChoixRationComplèteEtéChevauxSelle="",AND(ChoixChevauxSellePréHiver=OUI,ChoixChevauxSellePréEté=OUI)),0,IFERROR(IF(OR(AND(INDEX(Règles_chevaux_selle[Specificite],MATCH(RationEtéChevauxSelle&amp;$EU64,Règles_chevaux_selle[Ration]&amp;Règles_chevaux_selle[Aliment],0))="s1",IF($EU64=Spécificité1ChevauxSelle,1)),
AND(INDEX(Règles_chevaux_selle[Specificite],MATCH(RationEtéChevauxSelle&amp;$EU64,Règles_chevaux_selle[Ration]&amp;Règles_chevaux_selle[Aliment],0))="s2",IF($EU64=Spécificité2ChevauxSelle,1)),
INDEX(Règles_chevaux_selle[Specificite],MATCH(RationEtéChevauxSelle&amp;$EU64,Règles_chevaux_selle[Ration]&amp;Règles_chevaux_selle[Aliment],0))="c"),
INDEX(Règles_chevaux_selle[Valeur 12-24],MATCH(RationEtéChevauxSelle&amp;$EU64,Règles_chevaux_selle[Ration]&amp;Règles_chevaux_selle[Aliment],0)),0),0)*TotalJeuneEtalonSelle_12_24_mois*NbreJoursNourrirChevauxSelle)</f>
        <v>0</v>
      </c>
      <c r="EY64" s="460">
        <f t="array" ref="EY64">IF(OR(ChoixRationComplèteEtéChevauxSelle=OUI,ChoixRationComplèteEtéChevauxSelle="",AND(ChoixChevauxSellePréHiver=OUI,ChoixChevauxSellePréEté=OUI)),0,IFERROR(IF(OR(AND(INDEX(Règles_chevaux_selle[Specificite],MATCH(RationEtéChevauxSelle&amp;$EU64,Règles_chevaux_selle[Ration]&amp;Règles_chevaux_selle[Aliment],0))="s1",IF($EU64=Spécificité1ChevauxSelle,1)),
AND(INDEX(Règles_chevaux_selle[Specificite],MATCH(RationEtéChevauxSelle&amp;$EU64,Règles_chevaux_selle[Ration]&amp;Règles_chevaux_selle[Aliment],0))="s2",IF($EU64=Spécificité2ChevauxSelle,1)),
INDEX(Règles_chevaux_selle[Specificite],MATCH(RationEtéChevauxSelle&amp;$EU64,Règles_chevaux_selle[Ration]&amp;Règles_chevaux_selle[Aliment],0))="c"),
INDEX(Règles_chevaux_selle[Valeur 0-12],MATCH(RationEtéChevauxSelle&amp;$EU64,Règles_chevaux_selle[Ration]&amp;Règles_chevaux_selle[Aliment],0)),0),0)*TotalPoulainSelle_0_12_mois*NbreJoursNourrirChevauxSelle)</f>
        <v>0</v>
      </c>
      <c r="EZ64" s="460">
        <f t="shared" si="16"/>
        <v>0</v>
      </c>
      <c r="FA64" s="298"/>
      <c r="FB64" s="298"/>
      <c r="FD64" s="457" t="s">
        <v>513</v>
      </c>
      <c r="FE64" s="458">
        <f t="array" ref="FE64">IF(OR(ChoixRationComplèteEtéChevauxTrait=OUI,ChoixRationComplèteEtéChevauxTrait="",AND(ChoixChevauxTraitPréHiver=OUI,ChoixChevauxTraitPréEté=OUI)),0,IFERROR(IF(OR(AND(INDEX(Règles_chevaux_trait[Specificite],MATCH(RationEtéChevauxTrait&amp;$FD64,Règles_chevaux_trait[Ration]&amp;Règles_chevaux_trait[Aliment],0))="s1",IF($FD64=Spécificité1ChevauxTrait,1)),
AND(INDEX(Règles_chevaux_trait[Specificite],MATCH(RationEtéChevauxTrait&amp;$FD64,Règles_chevaux_trait[Ration]&amp;Règles_chevaux_trait[Aliment],0))="s2",IF($FD64=Spécificité2ChevauxTrait,1)),
INDEX(Règles_chevaux_trait[Specificite],MATCH(RationEtéChevauxTrait&amp;$FD64,Règles_chevaux_trait[Ration]&amp;Règles_chevaux_trait[Aliment],0))="c"),
INDEX(Règles_chevaux_trait[Valeur 36 et plus],MATCH(RationEtéChevauxTrait&amp;$FD64,Règles_chevaux_trait[Ration]&amp;Règles_chevaux_trait[Aliment],0)),0),0)*TotalEtalonTrait*NbreJoursNourrirChevauxTrait)</f>
        <v>0</v>
      </c>
      <c r="FF64" s="458">
        <f t="array" ref="FF64">IF(OR(ChoixRationComplèteEtéChevauxTrait=OUI,ChoixRationComplèteEtéChevauxTrait="",AND(ChoixChevauxTraitPréHiver=OUI,ChoixChevauxTraitPréEté=OUI)),0,IFERROR(IF(OR(AND(INDEX(Règles_chevaux_trait[Specificite],MATCH(RationEtéChevauxTrait&amp;$FD64,Règles_chevaux_trait[Ration]&amp;Règles_chevaux_trait[Aliment],0))="s1",IF($FD64=Spécificité1ChevauxTrait,1)),
AND(INDEX(Règles_chevaux_trait[Specificite],MATCH(RationEtéChevauxTrait&amp;$FD64,Règles_chevaux_trait[Ration]&amp;Règles_chevaux_trait[Aliment],0))="s2",IF($FD64=Spécificité2ChevauxTrait,1)),
INDEX(Règles_chevaux_trait[Specificite],MATCH(RationEtéChevauxTrait&amp;$FD64,Règles_chevaux_trait[Ration]&amp;Règles_chevaux_trait[Aliment],0))="c"),
INDEX(Règles_chevaux_trait[Valeur 24-36],MATCH(RationEtéChevauxTrait&amp;$FD64,Règles_chevaux_trait[Ration]&amp;Règles_chevaux_trait[Aliment],0)),0),0)*TotalJeuneEtalonTrait_24_36_mois*NbreJoursNourrirChevauxTrait)</f>
        <v>0</v>
      </c>
      <c r="FG64" s="458">
        <f t="array" ref="FG64">IF(OR(ChoixRationComplèteEtéChevauxTrait=OUI,ChoixRationComplèteEtéChevauxTrait="",AND(ChoixChevauxTraitPréHiver=OUI,ChoixChevauxTraitPréEté=OUI)),0,IFERROR(IF(OR(AND(INDEX(Règles_chevaux_trait[Specificite],MATCH(RationEtéChevauxTrait&amp;$FD64,Règles_chevaux_trait[Ration]&amp;Règles_chevaux_trait[Aliment],0))="s1",IF($FD64=Spécificité1ChevauxTrait,1)),
AND(INDEX(Règles_chevaux_trait[Specificite],MATCH(RationEtéChevauxTrait&amp;$FD64,Règles_chevaux_trait[Ration]&amp;Règles_chevaux_trait[Aliment],0))="s2",IF($FD64=Spécificité2ChevauxTrait,1)),
INDEX(Règles_chevaux_trait[Specificite],MATCH(RationEtéChevauxTrait&amp;$FD64,Règles_chevaux_trait[Ration]&amp;Règles_chevaux_trait[Aliment],0))="c"),
INDEX(Règles_chevaux_trait[Valeur 12-24],MATCH(RationEtéChevauxTrait&amp;$FD64,Règles_chevaux_trait[Ration]&amp;Règles_chevaux_trait[Aliment],0)),0),0)*TotalJeuneEtalonTrait_12_24_mois*NbreJoursNourrirChevauxTrait)</f>
        <v>0</v>
      </c>
      <c r="FH64" s="460">
        <f t="array" ref="FH64">IF(OR(ChoixRationComplèteEtéChevauxTrait=OUI,ChoixRationComplèteEtéChevauxTrait="",AND(ChoixChevauxTraitPréHiver=OUI,ChoixChevauxTraitPréEté=OUI)),0,IFERROR(IF(OR(AND(INDEX(Règles_chevaux_trait[Specificite],MATCH(RationEtéChevauxTrait&amp;$FD64,Règles_chevaux_trait[Ration]&amp;Règles_chevaux_trait[Aliment],0))="s1",IF($FD64=Spécificité1ChevauxTrait,1)),
AND(INDEX(Règles_chevaux_trait[Specificite],MATCH(RationEtéChevauxTrait&amp;$FD64,Règles_chevaux_trait[Ration]&amp;Règles_chevaux_trait[Aliment],0))="s2",IF($FD64=Spécificité2ChevauxTrait,1)),
INDEX(Règles_chevaux_trait[Specificite],MATCH(RationEtéChevauxTrait&amp;$FD64,Règles_chevaux_trait[Ration]&amp;Règles_chevaux_trait[Aliment],0))="c"),
INDEX(Règles_chevaux_trait[Valeur 0-12],MATCH(RationEtéChevauxTrait&amp;$FD64,Règles_chevaux_trait[Ration]&amp;Règles_chevaux_trait[Aliment],0)),0),0)*TotalPoulainTrait_0_12_mois*NbreJoursNourrirChevauxTrait)</f>
        <v>0</v>
      </c>
      <c r="FI64" s="460">
        <f t="shared" si="15"/>
        <v>0</v>
      </c>
      <c r="FK64" s="298"/>
      <c r="FL64" s="298"/>
      <c r="FN64" s="457" t="s">
        <v>518</v>
      </c>
      <c r="FO64" s="458">
        <f t="array" ref="FO64">IF(OR(ChoixRationComplèteEtéPoneys=OUI,ChoixRationComplèteEtéPoneys="",AND(ChoixPoneysPréHiver=OUI,ChoixPoneysPréEté=OUI)),0,IFERROR(IF(OR(AND(INDEX(Règles_poneys[Specificite],MATCH(RationEtéPoneys&amp;$FN64,Règles_poneys[Ration]&amp;Règles_poneys[Aliment],0))="s1",IF($FN64=Spécificité1Poneys,1)),
AND(INDEX(Règles_poneys[Specificite],MATCH(RationEtéPoneys&amp;$FN64,Règles_poneys[Ration]&amp;Règles_poneys[Aliment],0))="s2",IF($FN64=Spécificité2Poneys,1)),
INDEX(Règles_poneys[Specificite],MATCH(RationEtéPoneys&amp;$FN64,Règles_poneys[Ration]&amp;Règles_poneys[Aliment],0))="c"),
INDEX(Règles_poneys[Valeur 36 et plus],MATCH(RationEtéPoneys&amp;$FN64,Règles_poneys[Ration]&amp;Règles_poneys[Aliment],0)),0),0)*TotalEtalonPoney*NbreJoursNourrirPoneys)</f>
        <v>0</v>
      </c>
      <c r="FP64" s="458">
        <f t="array" ref="FP64">IF(OR(ChoixRationComplèteEtéPoneys=OUI,ChoixRationComplèteEtéPoneys="",AND(ChoixPoneysPréHiver=OUI,ChoixPoneysPréEté=OUI)),0,IFERROR(IF(OR(AND(INDEX(Règles_poneys[Specificite],MATCH(RationEtéPoneys&amp;$FN64,Règles_poneys[Ration]&amp;Règles_poneys[Aliment],0))="s1",IF($FN64=Spécificité1Poneys,1)),
AND(INDEX(Règles_poneys[Specificite],MATCH(RationEtéPoneys&amp;$FN64,Règles_poneys[Ration]&amp;Règles_poneys[Aliment],0))="s2",IF($FN64=Spécificité2Poneys,1)),
INDEX(Règles_poneys[Specificite],MATCH(RationEtéPoneys&amp;$FN64,Règles_poneys[Ration]&amp;Règles_poneys[Aliment],0))="c"),
INDEX(Règles_poneys[Valeur 36 et plus],MATCH(RationEtéPoneys&amp;$FN64,Règles_poneys[Ration]&amp;Règles_poneys[Aliment],0)),0),0)*TotalJeuneEtalonPoney_24_36_mois*NbreJoursNourrirPoneys)</f>
        <v>0</v>
      </c>
      <c r="FQ64" s="458">
        <f t="array" ref="FQ64">IF(OR(ChoixRationComplèteEtéPoneys=OUI,ChoixRationComplèteEtéPoneys="",AND(ChoixPoneysPréHiver=OUI,ChoixPoneysPréEté=OUI)),0,IFERROR(IF(OR(AND(INDEX(Règles_poneys[Specificite],MATCH(RationEtéPoneys&amp;$FN64,Règles_poneys[Ration]&amp;Règles_poneys[Aliment],0))="s1",IF($FN64=Spécificité1Poneys,1)),
AND(INDEX(Règles_poneys[Specificite],MATCH(RationEtéPoneys&amp;$FN64,Règles_poneys[Ration]&amp;Règles_poneys[Aliment],0))="s2",IF($FN64=Spécificité2Poneys,1)),
INDEX(Règles_poneys[Specificite],MATCH(RationEtéPoneys&amp;$FN64,Règles_poneys[Ration]&amp;Règles_poneys[Aliment],0))="c"),
INDEX(Règles_poneys[Valeur 36 et plus],MATCH(RationEtéPoneys&amp;$FN64,Règles_poneys[Ration]&amp;Règles_poneys[Aliment],0)),0),0)*TotalJeuneEtalonPoney_12_24_mois*NbreJoursNourrirPoneys)</f>
        <v>0</v>
      </c>
      <c r="FR64" s="460">
        <f t="array" ref="FR64">IF(OR(ChoixRationComplèteEtéPoneys=OUI,ChoixRationComplèteEtéPoneys="",AND(ChoixPoneysPréHiver=OUI,ChoixPoneysPréEté=OUI)),0,IFERROR(IF(OR(AND(INDEX(Règles_poneys[Specificite],MATCH(RationEtéPoneys&amp;$FN64,Règles_poneys[Ration]&amp;Règles_poneys[Aliment],0))="s1",IF($FN64=Spécificité1Poneys,1)),
AND(INDEX(Règles_poneys[Specificite],MATCH(RationEtéPoneys&amp;$FN64,Règles_poneys[Ration]&amp;Règles_poneys[Aliment],0))="s2",IF($FN64=Spécificité2Poneys,1)),
INDEX(Règles_poneys[Specificite],MATCH(RationEtéPoneys&amp;$FN64,Règles_poneys[Ration]&amp;Règles_poneys[Aliment],0))="c"),
INDEX(Règles_poneys[Valeur 36 et plus],MATCH(RationEtéPoneys&amp;$FN64,Règles_poneys[Ration]&amp;Règles_poneys[Aliment],0)),0),0)*TotalPoulainPoney_0_12_mois*NbreJoursNourrirPoneys)</f>
        <v>0</v>
      </c>
      <c r="FS64" s="460">
        <f t="shared" si="14"/>
        <v>0</v>
      </c>
      <c r="FT64" s="298"/>
      <c r="FU64" s="298"/>
      <c r="FV64" s="298"/>
      <c r="FW64" s="443" t="s">
        <v>510</v>
      </c>
      <c r="FX64" s="450">
        <f t="array" ref="FX64">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64" s="450">
        <f t="array" ref="FY64">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64" s="450">
        <f t="array" ref="FZ64">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64" s="450">
        <f t="array" ref="GA64">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64" s="451">
        <f>SUM(AlimentsGavageOies[[#This Row],[Valeur 6 et plus]:[Valeur 0-1]])</f>
        <v>0</v>
      </c>
      <c r="GC64" s="316"/>
      <c r="GE64" s="280" t="s">
        <v>75</v>
      </c>
      <c r="GF64" s="283"/>
      <c r="GG64" s="283" t="s">
        <v>955</v>
      </c>
      <c r="GH64" s="283" t="s">
        <v>955</v>
      </c>
      <c r="GI64" s="283" t="s">
        <v>955</v>
      </c>
      <c r="GJ64" s="283" t="s">
        <v>955</v>
      </c>
      <c r="GK64" s="283" t="s">
        <v>955</v>
      </c>
      <c r="GL64" s="283" t="s">
        <v>955</v>
      </c>
      <c r="GM64" s="283" t="s">
        <v>955</v>
      </c>
      <c r="GN64" s="283" t="s">
        <v>955</v>
      </c>
      <c r="GO64" s="283" t="s">
        <v>955</v>
      </c>
      <c r="GP64" s="283" t="s">
        <v>955</v>
      </c>
      <c r="GQ64" s="283" t="s">
        <v>955</v>
      </c>
      <c r="GR64" s="283" t="s">
        <v>955</v>
      </c>
      <c r="GS64" s="283" t="s">
        <v>955</v>
      </c>
      <c r="GT64" s="283" t="s">
        <v>955</v>
      </c>
      <c r="GU64" s="283" t="s">
        <v>955</v>
      </c>
      <c r="GV64" s="283" t="s">
        <v>955</v>
      </c>
      <c r="GY64" s="444" t="str">
        <f t="shared" si="11"/>
        <v>semences de luzerne</v>
      </c>
      <c r="GZ64" s="444"/>
      <c r="HA64" s="342"/>
      <c r="HB64" s="342" t="e">
        <f>IF(COUNTIF(TypeArticleDansEntrepôt,GY64)=0,0,SUMIF(TypeArticleDansEntrepôt,GY64,QtéArticleDansEntrepôt)*VLOOKUP(GY64,#REF!,2,FALSE))</f>
        <v>#REF!</v>
      </c>
      <c r="HN64" s="342" t="e">
        <f>IF(#REF!="","",(VLOOKUP(#REF!,BDD!$HN$5:$HU$38,2,FALSE))*#REF!)</f>
        <v>#REF!</v>
      </c>
      <c r="HO64" s="342" t="e">
        <f>IF(#REF!="","",IF(OR(#REF!=Moutarde,#REF!=Phacélie),0,IF(#REF!=Luzerne,10*#REF!*VLOOKUP(#REF!,BDD!$HN$5:$HU$38,3,FALSE),IF(#REF!=Miscanthus,10.5*#REF!*VLOOKUP(#REF!,BDD!$HN$5:$HU$38,3,FALSE),INDEX(#REF!:#REF!,MATCH(#REF!,#REF!:#REF!,0),MATCH(#REF!,#REF!:#REF!,0))*#REF!*VLOOKUP(#REF!,BDD!$HN$5:$HU$38,3,FALSE)))))</f>
        <v>#REF!</v>
      </c>
      <c r="HP64" s="342" t="e">
        <f>IF(#REF!="","",IF(OR(#REF!=Moutarde,#REF!=Phacélie),0,IF(#REF!=Luzerne,10*#REF!*VLOOKUP(#REF!,BDD!$HN$5:$HU$38,4,FALSE),IF(#REF!=Miscanthus,10.5*#REF!*VLOOKUP(#REF!,BDD!$HN$5:$HU$38,4,FALSE),INDEX(#REF!:#REF!,MATCH(#REF!,#REF!:#REF!,0),MATCH(#REF!,#REF!:#REF!,0))*#REF!*VLOOKUP(#REF!,BDD!$HN$5:$HU$38,4,FALSE)))))</f>
        <v>#REF!</v>
      </c>
      <c r="HQ64" s="342" t="e">
        <f>IF(#REF!="","",IF(OR(#REF!=Moutarde,#REF!=Phacélie),0,IF(#REF!=Luzerne,10*#REF!*VLOOKUP(#REF!,BDD!$HN$5:$HU$38,5,FALSE),IF(#REF!=Miscanthus,10.5*#REF!*VLOOKUP(#REF!,BDD!$HN$5:$HU$38,5,FALSE),INDEX(#REF!:#REF!,MATCH(#REF!,#REF!:#REF!,0),MATCH(#REF!,#REF!:#REF!,0))*#REF!*VLOOKUP(#REF!,BDD!$HN$5:$HU$38,5,FALSE)))))</f>
        <v>#REF!</v>
      </c>
      <c r="HR64" s="342" t="e">
        <f>IF(#REF!="","",IF(OR(#REF!=Moutarde,#REF!=Phacélie),0,IF(#REF!=Luzerne,10*#REF!*VLOOKUP(#REF!,BDD!$HN$5:$HU$38,6,FALSE),IF(#REF!=Miscanthus,10.5*#REF!*VLOOKUP(#REF!,BDD!$HN$5:$HU$38,6,FALSE),INDEX(#REF!:#REF!,MATCH(#REF!,#REF!:#REF!,0),MATCH(#REF!,#REF!:#REF!,0))*#REF!*VLOOKUP(#REF!,BDD!$HN$5:$HU$38,6,FALSE)))))</f>
        <v>#REF!</v>
      </c>
      <c r="HS64" s="342" t="e">
        <f>IF(#REF!="","",IF(OR(#REF!=Moutarde,#REF!=Phacélie),0,IF(#REF!=Luzerne,10*#REF!*VLOOKUP(#REF!,BDD!$HN$5:$HU$38,7,FALSE),IF(#REF!=Miscanthus,10.5*#REF!*VLOOKUP(#REF!,BDD!$HN$5:$HU$38,7,FALSE),INDEX(#REF!:#REF!,MATCH(#REF!,#REF!:#REF!,0),MATCH(#REF!,#REF!:#REF!,0))*#REF!*VLOOKUP(#REF!,BDD!$HN$5:$HU$38,7,FALSE)))))</f>
        <v>#REF!</v>
      </c>
      <c r="HT64" s="342" t="e">
        <f>IF(#REF!="","",IF(OR(#REF!=Moutarde,#REF!=Phacélie),0,IF(#REF!=Luzerne,10*#REF!*VLOOKUP(#REF!,BDD!$HN$5:$HU$38,8,FALSE),IF(#REF!=Miscanthus,10.5*#REF!*VLOOKUP(#REF!,BDD!$HN$5:$HU$38,8,FALSE),INDEX(#REF!:#REF!,MATCH(#REF!,#REF!:#REF!,0),MATCH(#REF!,#REF!:#REF!,0))*#REF!*VLOOKUP(#REF!,BDD!$HN$5:$HU$38,8,FALSE)))))</f>
        <v>#REF!</v>
      </c>
      <c r="HU64" s="342" t="e">
        <f>IF(#REF!="","",IF(OR(#REF!=Moutarde,#REF!=Phacélie),0,1.6*#REF!))</f>
        <v>#REF!</v>
      </c>
      <c r="HV64" s="342" t="e">
        <f>IF(#REF!="","",IF(OR(#REF!=Moutarde,#REF!=Phacélie),0,1.6*#REF!))</f>
        <v>#REF!</v>
      </c>
      <c r="HW64" s="342" t="e">
        <f>IF(#REF!="","",IF(OR(#REF!=Moutarde,#REF!=Phacélie),0,1.6*#REF!))</f>
        <v>#REF!</v>
      </c>
      <c r="HX64" s="342" t="e">
        <f>IF(#REF!="","",(VLOOKUP(#REF!,BDD!$HN$5:$HU$38,2,FALSE))*#REF!)</f>
        <v>#REF!</v>
      </c>
      <c r="HY64" s="342" t="e">
        <f>IF(#REF!="","",IF(OR(#REF!=Moutarde,#REF!=Phacélie),0,IF(#REF!=Luzerne,10*#REF!*VLOOKUP(#REF!,BDD!$HN$5:$HU$38,3,FALSE),IF(#REF!=Miscanthus,10.5*#REF!*VLOOKUP(#REF!,BDD!$HN$5:$HU$38,3,FALSE),INDEX(#REF!:#REF!,MATCH(#REF!,#REF!:#REF!,0),MATCH(#REF!,#REF!:#REF!,0))*#REF!*VLOOKUP(#REF!,BDD!$HN$5:$HU$38,3,FALSE)))))</f>
        <v>#REF!</v>
      </c>
      <c r="HZ64" s="342" t="e">
        <f>IF(#REF!="","",IF(OR(#REF!=Moutarde,#REF!=Phacélie),0,IF(#REF!=Luzerne,10*#REF!*VLOOKUP(#REF!,BDD!$HN$5:$HU$38,4,FALSE),IF(#REF!=Miscanthus,10.5*#REF!*VLOOKUP(#REF!,BDD!$HN$5:$HU$38,4,FALSE),INDEX(#REF!:#REF!,MATCH(#REF!,#REF!:#REF!,0),MATCH(#REF!,#REF!:#REF!,0))*#REF!*VLOOKUP(#REF!,BDD!$HN$5:$HU$38,4,FALSE)))))</f>
        <v>#REF!</v>
      </c>
      <c r="IA64" s="342" t="e">
        <f>IF(#REF!="","",IF(OR(#REF!=Moutarde,#REF!=Phacélie),0,IF(#REF!=Luzerne,10*#REF!*VLOOKUP(#REF!,BDD!$HN$5:$HU$38,5,FALSE),IF(#REF!=Miscanthus,10.5*#REF!*VLOOKUP(#REF!,BDD!$HN$5:$HU$38,5,FALSE),INDEX(#REF!:#REF!,MATCH(#REF!,#REF!:#REF!,0),MATCH(#REF!,#REF!:#REF!,0))*#REF!*VLOOKUP(#REF!,BDD!$HN$5:$HU$38,5,FALSE)))))</f>
        <v>#REF!</v>
      </c>
      <c r="IB64" s="342" t="e">
        <f>IF(#REF!="","",IF(OR(#REF!=Moutarde,#REF!=Phacélie),0,IF(#REF!=Luzerne,10*#REF!*VLOOKUP(#REF!,BDD!$HN$5:$HU$38,6,FALSE),IF(#REF!=Miscanthus,10.5*#REF!*VLOOKUP(#REF!,BDD!$HN$5:$HU$38,6,FALSE),INDEX(#REF!:#REF!,MATCH(#REF!,#REF!:#REF!,0),MATCH(#REF!,#REF!:#REF!,0))*#REF!*VLOOKUP(#REF!,BDD!$HN$5:$HU$38,6,FALSE)))))</f>
        <v>#REF!</v>
      </c>
      <c r="IC64" s="342" t="e">
        <f>IF(#REF!="","",IF(OR(#REF!=Moutarde,#REF!=Phacélie),0,IF(#REF!=Luzerne,10*#REF!*VLOOKUP(#REF!,BDD!$HN$5:$HU$38,7,FALSE),IF(#REF!=Miscanthus,10.5*#REF!*VLOOKUP(#REF!,BDD!$HN$5:$HU$38,7,FALSE),INDEX(#REF!:#REF!,MATCH(#REF!,#REF!:#REF!,0),MATCH(#REF!,#REF!:#REF!,0))*#REF!*VLOOKUP(#REF!,BDD!$HN$5:$HU$38,7,FALSE)))))</f>
        <v>#REF!</v>
      </c>
      <c r="ID64" s="342" t="e">
        <f>IF(#REF!="","",IF(OR(#REF!=Moutarde,#REF!=Phacélie),0,IF(#REF!=Luzerne,10*#REF!*VLOOKUP(#REF!,BDD!$HN$5:$HU$38,8,FALSE),IF(#REF!=Miscanthus,10.5*#REF!*VLOOKUP(#REF!,BDD!$HN$5:$HU$38,8,FALSE),INDEX(#REF!:#REF!,MATCH(#REF!,#REF!:#REF!,0),MATCH(#REF!,#REF!:#REF!,0))*#REF!*VLOOKUP(#REF!,BDD!$HN$5:$HU$38,8,FALSE)))))</f>
        <v>#REF!</v>
      </c>
      <c r="IE64" s="342" t="e">
        <f>IF(#REF!="","",IF(OR(#REF!=Moutarde,#REF!=Phacélie),0,1.6*#REF!))</f>
        <v>#REF!</v>
      </c>
      <c r="IF64" s="342" t="e">
        <f>IF(#REF!="","",IF(OR(#REF!=Moutarde,#REF!=Phacélie),0,1.6*#REF!))</f>
        <v>#REF!</v>
      </c>
      <c r="IG64" s="342" t="e">
        <f>IF(#REF!="","",IF(OR(#REF!=Moutarde,#REF!=Phacélie),0,1.6*#REF!))</f>
        <v>#REF!</v>
      </c>
    </row>
    <row r="65" spans="1:241" ht="12.75" customHeight="1" x14ac:dyDescent="0.2">
      <c r="A65" s="373"/>
      <c r="B65" s="380"/>
      <c r="F65" s="280"/>
      <c r="G65" s="280"/>
      <c r="H65" s="280"/>
      <c r="I65" s="280"/>
      <c r="J65" s="280"/>
      <c r="K65" s="280"/>
      <c r="L65" s="280"/>
      <c r="M65" s="280"/>
      <c r="N65" s="277"/>
      <c r="O65" s="280" t="s">
        <v>47</v>
      </c>
      <c r="P65" s="280"/>
      <c r="Q65" s="280"/>
      <c r="R65" s="280"/>
      <c r="S65" s="280"/>
      <c r="T65" s="280"/>
      <c r="U65" s="280"/>
      <c r="V65" s="280"/>
      <c r="W65" s="280"/>
      <c r="X65" s="280"/>
      <c r="Y65" s="280"/>
      <c r="Z65" s="280"/>
      <c r="AA65" s="280"/>
      <c r="AB65" s="280"/>
      <c r="AC65" s="280"/>
      <c r="AD65" s="280"/>
      <c r="AE65" s="280"/>
      <c r="AF65" s="280"/>
      <c r="AG65" s="280"/>
      <c r="AH65" s="280"/>
      <c r="AI65" s="280"/>
      <c r="AJ65" s="280"/>
      <c r="AK65" s="280"/>
      <c r="AL65" s="280"/>
      <c r="AM65" s="280"/>
      <c r="AN65" s="280"/>
      <c r="AO65" s="280"/>
      <c r="AP65" s="280"/>
      <c r="AQ65" s="280"/>
      <c r="AR65" s="280"/>
      <c r="AS65" s="280"/>
      <c r="AT65" s="280"/>
      <c r="AU65" s="280"/>
      <c r="AV65" s="280"/>
      <c r="AW65" s="280"/>
      <c r="AX65" s="280"/>
      <c r="AY65" s="280"/>
      <c r="BB65" s="387" t="s">
        <v>509</v>
      </c>
      <c r="BC65" s="362" t="s">
        <v>907</v>
      </c>
      <c r="BD65" s="362" t="s">
        <v>888</v>
      </c>
      <c r="BE65" s="388">
        <v>4.8</v>
      </c>
      <c r="BF65" s="388">
        <v>4</v>
      </c>
      <c r="BG65" s="388">
        <v>4</v>
      </c>
      <c r="BH65" s="388">
        <v>4</v>
      </c>
      <c r="BI65" s="388">
        <v>2</v>
      </c>
      <c r="BJ65" s="388">
        <v>1.2</v>
      </c>
      <c r="BK65" s="389">
        <v>0</v>
      </c>
      <c r="BL65" s="312"/>
      <c r="BM65" s="350" t="s">
        <v>231</v>
      </c>
      <c r="BN65" s="350">
        <f t="array" ref="BN65">IF(Ration_hivernale_complète_bisons[somme]&gt;0,0,IFERROR(IF(OR(AND(INDEX(Règles_bison[Specificite],MATCH(ChoixRationBisons&amp;$BM65,Règles_bison[Ration]&amp;Règles_bison[Aliment],0))="s1",IF($BM65=ChoixSpécificité1Bisons,1)),
INDEX(Règles_bison[Specificite],MATCH(ChoixRationBisons&amp;$BM65,Règles_bison[Ration]&amp;Règles_bison[Aliment],0))="c"),
INDEX(Règles_bison[Valeur 36 et plus],MATCH(ChoixRationBisons&amp;$BM65,Règles_bison[Ration]&amp;Règles_bison[Aliment],0)),0),0)*TotalBisonsMalesAdultes*NbreJoursNourrirBisonsDaims)</f>
        <v>0</v>
      </c>
      <c r="BO65" s="350">
        <f t="array" ref="BO65">IF(Ration_hivernale_complète_bisons[somme]&gt;0,0,IFERROR(IF(OR(AND(INDEX(Règles_bison[Specificite],MATCH(ChoixRationBisons&amp;$BM65,Règles_bison[Ration]&amp;Règles_bison[Aliment],0))="s1",IF($BM65=ChoixSpécificité1Bisons,1)),
INDEX(Règles_bison[Specificite],MATCH(ChoixRationBisons&amp;$BM65,Règles_bison[Ration]&amp;Règles_bison[Aliment],0))="c"),
INDEX(Règles_bison[Valeur 24-36],MATCH(ChoixRationBisons&amp;$BM65,Règles_bison[Ration]&amp;Règles_bison[Aliment],0)),0),0)*TotalBisonsMales_24_36_mois*NbreJoursNourrirBisonsDaims)</f>
        <v>0</v>
      </c>
      <c r="BP65" s="350">
        <f t="array" ref="BP65">IF(Ration_hivernale_complète_bisons[somme]&gt;0,0,IFERROR(IF(OR(AND(INDEX(Règles_bison[Specificite],MATCH(ChoixRationBisons&amp;$BM65,Règles_bison[Ration]&amp;Règles_bison[Aliment],0))="s1",IF($BM65=ChoixSpécificité1Bisons,1)),
INDEX(Règles_bison[Specificite],MATCH(ChoixRationBisons&amp;$BM65,Règles_bison[Ration]&amp;Règles_bison[Aliment],0))="c"),
INDEX(Règles_bison[Valeur 18-24],MATCH(ChoixRationBisons&amp;$BM65,Règles_bison[Ration]&amp;Règles_bison[Aliment],0)),0),0)*TotalBisonsMales_18_24_mois*NbreJoursNourrirBisonsDaims)</f>
        <v>0</v>
      </c>
      <c r="BQ65" s="350">
        <f t="array" ref="BQ65">IF(Ration_hivernale_complète_bisons[somme]&gt;0,0,IFERROR(IF(OR(AND(INDEX(Règles_bison[Specificite],MATCH(ChoixRationBisons&amp;$BM65,Règles_bison[Ration]&amp;Règles_bison[Aliment],0))="s1",IF($BM65=ChoixSpécificité1Bisons,1)),
INDEX(Règles_bison[Specificite],MATCH(ChoixRationBisons&amp;$BM65,Règles_bison[Ration]&amp;Règles_bison[Aliment],0))="c"),
INDEX(Règles_bison[Valeur 12-18],MATCH(ChoixRationBisons&amp;$BM65,Règles_bison[Ration]&amp;Règles_bison[Aliment],0)),0),0)*TotalBisonsMales_12_18_mois*NbreJoursNourrirBisonsDaims)</f>
        <v>0</v>
      </c>
      <c r="BR65" s="350">
        <f t="array" ref="BR65">IF(Ration_hivernale_complète_bisons[somme]&gt;0,0,IFERROR(IF(OR(AND(INDEX(Règles_bison[Specificite],MATCH(ChoixRationBisons&amp;$BM65,Règles_bison[Ration]&amp;Règles_bison[Aliment],0))="s1",IF($BM65=ChoixSpécificité1Bisons,1)),
INDEX(Règles_bison[Specificite],MATCH(ChoixRationBisons&amp;$BM65,Règles_bison[Ration]&amp;Règles_bison[Aliment],0))="c"),
INDEX(Règles_bison[Valeur 6-12],MATCH(ChoixRationBisons&amp;$BM65,Règles_bison[Ration]&amp;Règles_bison[Aliment],0)),0),0)*TotalBisonsMales_6_12_mois*NbreJoursNourrirBisonsDaims)</f>
        <v>0</v>
      </c>
      <c r="BS65" s="350">
        <f t="array" ref="BS65">IF(Ration_hivernale_complète_bisons[somme]&gt;0,0,IFERROR(IF(OR(AND(INDEX(Règles_bison[Specificite],MATCH(ChoixRationBisons&amp;$BM65,Règles_bison[Ration]&amp;Règles_bison[Aliment],0))="s1",IF($BM65=ChoixSpécificité1Bisons,1)),
INDEX(Règles_bison[Specificite],MATCH(ChoixRationBisons&amp;$BM65,Règles_bison[Ration]&amp;Règles_bison[Aliment],0))="c"),
INDEX(Règles_bison[Valeur 3-6],MATCH(ChoixRationBisons&amp;$BM65,Règles_bison[Ration]&amp;Règles_bison[Aliment],0)),0),0)*TotalBisonsMales_3_6_mois*NbreJoursNourrirBisonsDaims)</f>
        <v>0</v>
      </c>
      <c r="BT65" s="350">
        <f t="array" ref="BT65">IF(Ration_hivernale_complète_bisons[somme]&gt;0,0,IFERROR(IF(OR(AND(INDEX(Règles_bison[Specificite],MATCH(ChoixRationBisons&amp;$BM65,Règles_bison[Ration]&amp;Règles_bison[Aliment],0))="s1",IF($BM65=ChoixSpécificité1Bisons,1)),
INDEX(Règles_bison[Specificite],MATCH(ChoixRationBisons&amp;$BM65,Règles_bison[Ration]&amp;Règles_bison[Aliment],0))="c"),
INDEX(Règles_bison[Valeur 0-3],MATCH(ChoixRationBisons&amp;$BM65,Règles_bison[Ration]&amp;Règles_bison[Aliment],0)),0),0)*TotalBisonsMales_0_3_mois*NbreJoursNourrirBisonsDaims)</f>
        <v>0</v>
      </c>
      <c r="BU65" s="350">
        <f t="shared" si="10"/>
        <v>0</v>
      </c>
      <c r="BX65" s="373" t="s">
        <v>168</v>
      </c>
      <c r="BY65" s="280" t="s">
        <v>508</v>
      </c>
      <c r="BZ65" s="280" t="s">
        <v>911</v>
      </c>
      <c r="CA65" s="280">
        <v>19</v>
      </c>
      <c r="CB65" s="280">
        <v>14</v>
      </c>
      <c r="CC65" s="280">
        <v>10</v>
      </c>
      <c r="CD65" s="410">
        <v>3</v>
      </c>
      <c r="CE65" s="304"/>
      <c r="CF65" s="304"/>
      <c r="CG65" s="304"/>
      <c r="CH65" s="304"/>
      <c r="CJ65" s="420" t="s">
        <v>266</v>
      </c>
      <c r="CK65" s="384">
        <f t="array" ref="CK6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65" s="384">
        <f t="array" ref="CL6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65" s="384">
        <f t="array" ref="CM6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65" s="384">
        <f t="array" ref="CN6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65" s="384">
        <f t="array" ref="CO6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65" s="426">
        <f>SUM(AlimentsRationPorcinsMâles[[#This Row],[Valeur 12 et plus]:[Valeur 0-1]])</f>
        <v>0</v>
      </c>
      <c r="CS65" s="420" t="s">
        <v>1167</v>
      </c>
      <c r="CT65" s="433">
        <f t="array" ref="CT65">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65" s="433">
        <f t="array" ref="CU65">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65" s="433">
        <f t="array" ref="CV65">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65" s="434">
        <f>SUM(AlimentsRationLapinsMâles[[#This Row],[Valeur 3 et plus]:[Valeur 0-1]])</f>
        <v>0</v>
      </c>
      <c r="CZ65" s="420" t="s">
        <v>1167</v>
      </c>
      <c r="DA65" s="433">
        <f t="array" ref="DA6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65" s="433">
        <f t="array" ref="DB6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65" s="433">
        <f t="array" ref="DC6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65" s="434">
        <f>SUM(AlimentsRationVolaillesMâles[[#This Row],[Valeur 6 et plus]:[Valeur 0-1]])</f>
        <v>0</v>
      </c>
      <c r="DE65" s="316"/>
      <c r="DF65" s="277"/>
      <c r="DG65" s="420" t="s">
        <v>269</v>
      </c>
      <c r="DH65" s="433">
        <f t="array" ref="DH6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65" s="433">
        <f t="array" ref="DI6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65" s="433">
        <f t="array" ref="DJ6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65" s="434">
        <f>SUM(AlimentsRationPintadesMâles[[#This Row],[Valeur 9 et plus]:[Valeur 0-1]])</f>
        <v>0</v>
      </c>
      <c r="DL65" s="316"/>
      <c r="DM65" s="316"/>
      <c r="DN65" s="358" t="s">
        <v>866</v>
      </c>
      <c r="DO65" s="319" t="s">
        <v>884</v>
      </c>
      <c r="DP65" s="359" t="s">
        <v>885</v>
      </c>
      <c r="DQ65" s="319" t="s">
        <v>914</v>
      </c>
      <c r="DR65" s="319" t="s">
        <v>891</v>
      </c>
      <c r="DS65" s="319" t="s">
        <v>890</v>
      </c>
      <c r="DT65" s="438" t="s">
        <v>889</v>
      </c>
      <c r="DV65" s="350"/>
      <c r="DW65" s="351">
        <f t="array" ref="DW65">IF(ChoixRationComplèteDaims=OUI,0,IFERROR(IF(OR(AND(INDEX(Règles_daims[Specificite],MATCH(ChoixRationDaims&amp;DV65,Règles_daims[Ration]&amp;Règles_daims[Aliment],0))="s1",IF(DV65=Spécificité1Daims,1)),
AND(INDEX(Règles_daims[Specificite],MATCH(ChoixRationDaims&amp;DV65,Règles_daims[Ration]&amp;Règles_daims[Aliment],0))="s2",IF(DV65=Spécificité2Daims,1)),
INDEX(Règles_daims[Specificite],MATCH(ChoixRationDaims&amp;DV65,Règles_daims[Ration]&amp;Règles_daims[Aliment],0))="c"),
INDEX(Règles_daims[Valeur 36 et plus],MATCH(ChoixRationDaims&amp;DV65,Règles_daims[Ration]&amp;Règles_daims[Aliment],0)),0),0)*SUM(TotalDaimsAdultes)*NbreJoursNourrirBisonsDaims)</f>
        <v>0</v>
      </c>
      <c r="DX65" s="351">
        <f t="array" ref="DX65">IF(ChoixRationComplèteDaims=OUI,0,IFERROR(IF(OR(AND(INDEX(Règles_daims[Specificite],MATCH(ChoixRationDaims&amp;DV65,Règles_daims[Ration]&amp;Règles_daims[Aliment],0))="s1",IF(DV65=Spécificité1Daims,1)),
AND(INDEX(Règles_daims[Specificite],MATCH(ChoixRationDaims&amp;DV65,Règles_daims[Ration]&amp;Règles_daims[Aliment],0))="s2",IF(DV65=Spécificité2Daims,1)),
INDEX(Règles_daims[Specificite],MATCH(ChoixRationDaims&amp;DV65,Règles_daims[Ration]&amp;Règles_daims[Aliment],0))="c"),
INDEX(Règles_daims[Valeur 24-36],MATCH(ChoixRationDaims&amp;DV65,Règles_daims[Ration]&amp;Règles_daims[Aliment],0)),0),0)*SUM(TotalDaims24_36)*NbreJoursNourrirBisonsDaims)</f>
        <v>0</v>
      </c>
      <c r="DY65" s="351">
        <f t="array" ref="DY65">IF(ChoixRationComplèteDaims=OUI,0,IFERROR(IF(OR(AND(INDEX(Règles_daims[Specificite],MATCH(ChoixRationDaims&amp;DV65,Règles_daims[Ration]&amp;Règles_daims[Aliment],0))="s1",IF(DV65=Spécificité1Daims,1)),
AND(INDEX(Règles_daims[Specificite],MATCH(ChoixRationDaims&amp;DV65,Règles_daims[Ration]&amp;Règles_daims[Aliment],0))="s2",IF(DV65=Spécificité2Daims,1)),
INDEX(Règles_daims[Specificite],MATCH(ChoixRationDaims&amp;DV65,Règles_daims[Ration]&amp;Règles_daims[Aliment],0))="c"),
INDEX(Règles_daims[Valeur 18-24],MATCH(ChoixRationDaims&amp;DV65,Règles_daims[Ration]&amp;Règles_daims[Aliment],0)),0),0)*SUM(TotalDaims18_24)*NbreJoursNourrirBisonsDaims)</f>
        <v>0</v>
      </c>
      <c r="DZ65" s="441">
        <f t="array" ref="DZ65">IF(ChoixRationComplèteDaims=OUI,0,IFERROR(IF(OR(AND(INDEX(Règles_daims[Specificite],MATCH(ChoixRationDaims&amp;DV65,Règles_daims[Ration]&amp;Règles_daims[Aliment],0))="s1",IF(DV65=Spécificité1Daims,1)),
AND(INDEX(Règles_daims[Specificite],MATCH(ChoixRationDaims&amp;DV65,Règles_daims[Ration]&amp;Règles_daims[Aliment],0))="s2",IF(DV65=Spécificité2Daims,1)),
INDEX(Règles_daims[Specificite],MATCH(ChoixRationDaims&amp;DV65,Règles_daims[Ration]&amp;Règles_daims[Aliment],0))="c"),
INDEX(Règles_daims[Valeur 12-18],MATCH(ChoixRationDaims&amp;DV65,Règles_daims[Ration]&amp;Règles_daims[Aliment],0)),0),0)*SUM(TotalDaims12_18)*NbreJoursNourrirBisonsDaims)</f>
        <v>0</v>
      </c>
      <c r="EA65" s="441">
        <f t="array" ref="EA65">IF(ChoixRationComplèteDaims=OUI,0,IFERROR(IF(OR(AND(INDEX(Règles_daims[Specificite],MATCH(ChoixRationDaims&amp;DV65,Règles_daims[Ration]&amp;Règles_daims[Aliment],0))="s1",IF(DV65=Spécificité1Daims,1)),
AND(INDEX(Règles_daims[Specificite],MATCH(ChoixRationDaims&amp;DV65,Règles_daims[Ration]&amp;Règles_daims[Aliment],0))="s2",IF(DV65=Spécificité2Daims,1)),
INDEX(Règles_daims[Specificite],MATCH(ChoixRationDaims&amp;DV65,Règles_daims[Ration]&amp;Règles_daims[Aliment],0))="c"),
INDEX(Règles_daims[Valeur 6-12],MATCH(ChoixRationDaims&amp;DV65,Règles_daims[Ration]&amp;Règles_daims[Aliment],0)),0),0)*SUM(TotalDaims6_12)*NbreJoursNourrirBisonsDaims)</f>
        <v>0</v>
      </c>
      <c r="EB65" s="441">
        <f t="array" ref="EB65">IF(ChoixRationComplèteDaims=OUI,0,IFERROR(IF(OR(AND(INDEX(Règles_daims[Specificite],MATCH(ChoixRationDaims&amp;DV65,Règles_daims[Ration]&amp;Règles_daims[Aliment],0))="s1",IF(DV65=Spécificité1Daims,1)),
AND(INDEX(Règles_daims[Specificite],MATCH(ChoixRationDaims&amp;DV65,Règles_daims[Ration]&amp;Règles_daims[Aliment],0))="s2",IF(DV65=Spécificité2Daims,1)),
INDEX(Règles_daims[Specificite],MATCH(ChoixRationDaims&amp;DV65,Règles_daims[Ration]&amp;Règles_daims[Aliment],0))="c"),
INDEX(Règles_daims[Valeur 3-6],MATCH(ChoixRationDaims&amp;DV65,Règles_daims[Ration]&amp;Règles_daims[Aliment],0)),0),0)*SUM(TotalDaims3_6)*NbreJoursNourrirBisonsDaims)</f>
        <v>0</v>
      </c>
      <c r="EC65" s="441">
        <f t="array" ref="EC65">IF(ChoixRationComplèteDaims=OUI,0,IFERROR(IF(OR(AND(INDEX(Règles_daims[Specificite],MATCH(ChoixRationDaims&amp;DV65,Règles_daims[Ration]&amp;Règles_daims[Aliment],0))="s1",IF(DV65=Spécificité1Daims,1)),
AND(INDEX(Règles_daims[Specificite],MATCH(ChoixRationDaims&amp;DV65,Règles_daims[Ration]&amp;Règles_daims[Aliment],0))="s2",IF(DV65=Spécificité2Daims,1)),
INDEX(Règles_daims[Specificite],MATCH(ChoixRationDaims&amp;DV65,Règles_daims[Ration]&amp;Règles_daims[Aliment],0))="c"),
INDEX(Règles_daims[Valeur 0-3],MATCH(ChoixRationDaims&amp;DV65,Règles_daims[Ration]&amp;Règles_daims[Aliment],0)),0),0)*SUM(TotalDaims0_3)*NbreJoursNourrirBisonsDaims)</f>
        <v>0</v>
      </c>
      <c r="ED65" s="441">
        <f t="shared" si="9"/>
        <v>0</v>
      </c>
      <c r="EG65" s="420" t="s">
        <v>265</v>
      </c>
      <c r="EH65" s="433">
        <f t="array" ref="EH6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65" s="433">
        <f t="array" ref="EI6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65" s="433">
        <f t="array" ref="EJ6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65" s="434">
        <f>SUM(AlimentsRationOiesMâles[[#This Row],[Valeur 6 et plus]:[Valeur 0-3]])</f>
        <v>0</v>
      </c>
      <c r="EL65" s="316"/>
      <c r="EN65" s="420" t="s">
        <v>233</v>
      </c>
      <c r="EO65" s="433">
        <f t="array" ref="EO65">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65" s="433">
        <f t="array" ref="EP65">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65" s="433">
        <f t="array" ref="EQ65">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65" s="434">
        <f>SUM(Ration_canards_Mâles[[#This Row],[Valeur 6 et plus]:[Valeur 0-3]])</f>
        <v>0</v>
      </c>
      <c r="ES65" s="316"/>
      <c r="EU65" s="457" t="s">
        <v>500</v>
      </c>
      <c r="EV65" s="458">
        <f t="array" ref="EV65">IF(OR(ChoixRationComplèteEtéChevauxSelle=OUI,ChoixRationComplèteEtéChevauxSelle="",AND(ChoixChevauxSellePréHiver=OUI,ChoixChevauxSellePréEté=OUI)),0,IFERROR(IF(OR(AND(INDEX(Règles_chevaux_selle[Specificite],MATCH(RationEtéChevauxSelle&amp;$EU65,Règles_chevaux_selle[Ration]&amp;Règles_chevaux_selle[Aliment],0))="s1",IF($EU65=Spécificité1ChevauxSelle,1)),
AND(INDEX(Règles_chevaux_selle[Specificite],MATCH(RationEtéChevauxSelle&amp;$EU65,Règles_chevaux_selle[Ration]&amp;Règles_chevaux_selle[Aliment],0))="s2",IF($EU65=Spécificité2ChevauxSelle,1)),
INDEX(Règles_chevaux_selle[Specificite],MATCH(RationEtéChevauxSelle&amp;$EU65,Règles_chevaux_selle[Ration]&amp;Règles_chevaux_selle[Aliment],0))="c"),
INDEX(Règles_chevaux_selle[Valeur 36 et plus],MATCH(RationEtéChevauxSelle&amp;$EU65,Règles_chevaux_selle[Ration]&amp;Règles_chevaux_selle[Aliment],0)),0),0)*TotalEtalonSelle*NbreJoursNourrirChevauxSelle)</f>
        <v>0</v>
      </c>
      <c r="EW65" s="458">
        <f t="array" ref="EW65">IF(OR(ChoixRationComplèteEtéChevauxSelle=OUI,ChoixRationComplèteEtéChevauxSelle="",AND(ChoixChevauxSellePréHiver=OUI,ChoixChevauxSellePréEté=OUI)),0,IFERROR(IF(OR(AND(INDEX(Règles_chevaux_selle[Specificite],MATCH(RationEtéChevauxSelle&amp;$EU65,Règles_chevaux_selle[Ration]&amp;Règles_chevaux_selle[Aliment],0))="s1",IF($EU65=Spécificité1ChevauxSelle,1)),
AND(INDEX(Règles_chevaux_selle[Specificite],MATCH(RationEtéChevauxSelle&amp;$EU65,Règles_chevaux_selle[Ration]&amp;Règles_chevaux_selle[Aliment],0))="s2",IF($EU65=Spécificité2ChevauxSelle,1)),
INDEX(Règles_chevaux_selle[Specificite],MATCH(RationEtéChevauxSelle&amp;$EU65,Règles_chevaux_selle[Ration]&amp;Règles_chevaux_selle[Aliment],0))="c"),
INDEX(Règles_chevaux_selle[Valeur 24-36],MATCH(RationEtéChevauxSelle&amp;$EU65,Règles_chevaux_selle[Ration]&amp;Règles_chevaux_selle[Aliment],0)),0),0)*TotalJeuneEtalonSelle_24_36_mois*NbreJoursNourrirChevauxSelle)</f>
        <v>0</v>
      </c>
      <c r="EX65" s="458">
        <f t="array" ref="EX65">IF(OR(ChoixRationComplèteEtéChevauxSelle=OUI,ChoixRationComplèteEtéChevauxSelle="",AND(ChoixChevauxSellePréHiver=OUI,ChoixChevauxSellePréEté=OUI)),0,IFERROR(IF(OR(AND(INDEX(Règles_chevaux_selle[Specificite],MATCH(RationEtéChevauxSelle&amp;$EU65,Règles_chevaux_selle[Ration]&amp;Règles_chevaux_selle[Aliment],0))="s1",IF($EU65=Spécificité1ChevauxSelle,1)),
AND(INDEX(Règles_chevaux_selle[Specificite],MATCH(RationEtéChevauxSelle&amp;$EU65,Règles_chevaux_selle[Ration]&amp;Règles_chevaux_selle[Aliment],0))="s2",IF($EU65=Spécificité2ChevauxSelle,1)),
INDEX(Règles_chevaux_selle[Specificite],MATCH(RationEtéChevauxSelle&amp;$EU65,Règles_chevaux_selle[Ration]&amp;Règles_chevaux_selle[Aliment],0))="c"),
INDEX(Règles_chevaux_selle[Valeur 12-24],MATCH(RationEtéChevauxSelle&amp;$EU65,Règles_chevaux_selle[Ration]&amp;Règles_chevaux_selle[Aliment],0)),0),0)*TotalJeuneEtalonSelle_12_24_mois*NbreJoursNourrirChevauxSelle)</f>
        <v>0</v>
      </c>
      <c r="EY65" s="460">
        <f t="array" ref="EY65">IF(OR(ChoixRationComplèteEtéChevauxSelle=OUI,ChoixRationComplèteEtéChevauxSelle="",AND(ChoixChevauxSellePréHiver=OUI,ChoixChevauxSellePréEté=OUI)),0,IFERROR(IF(OR(AND(INDEX(Règles_chevaux_selle[Specificite],MATCH(RationEtéChevauxSelle&amp;$EU65,Règles_chevaux_selle[Ration]&amp;Règles_chevaux_selle[Aliment],0))="s1",IF($EU65=Spécificité1ChevauxSelle,1)),
AND(INDEX(Règles_chevaux_selle[Specificite],MATCH(RationEtéChevauxSelle&amp;$EU65,Règles_chevaux_selle[Ration]&amp;Règles_chevaux_selle[Aliment],0))="s2",IF($EU65=Spécificité2ChevauxSelle,1)),
INDEX(Règles_chevaux_selle[Specificite],MATCH(RationEtéChevauxSelle&amp;$EU65,Règles_chevaux_selle[Ration]&amp;Règles_chevaux_selle[Aliment],0))="c"),
INDEX(Règles_chevaux_selle[Valeur 0-12],MATCH(RationEtéChevauxSelle&amp;$EU65,Règles_chevaux_selle[Ration]&amp;Règles_chevaux_selle[Aliment],0)),0),0)*TotalPoulainSelle_0_12_mois*NbreJoursNourrirChevauxSelle)</f>
        <v>0</v>
      </c>
      <c r="EZ65" s="460">
        <f t="shared" si="16"/>
        <v>0</v>
      </c>
      <c r="FA65" s="298"/>
      <c r="FB65" s="298"/>
      <c r="FD65" s="457" t="s">
        <v>518</v>
      </c>
      <c r="FE65" s="458">
        <f t="array" ref="FE65">IF(OR(ChoixRationComplèteEtéChevauxTrait=OUI,ChoixRationComplèteEtéChevauxTrait="",AND(ChoixChevauxTraitPréHiver=OUI,ChoixChevauxTraitPréEté=OUI)),0,IFERROR(IF(OR(AND(INDEX(Règles_chevaux_trait[Specificite],MATCH(RationEtéChevauxTrait&amp;$FD65,Règles_chevaux_trait[Ration]&amp;Règles_chevaux_trait[Aliment],0))="s1",IF($FD65=Spécificité1ChevauxTrait,1)),
AND(INDEX(Règles_chevaux_trait[Specificite],MATCH(RationEtéChevauxTrait&amp;$FD65,Règles_chevaux_trait[Ration]&amp;Règles_chevaux_trait[Aliment],0))="s2",IF($FD65=Spécificité2ChevauxTrait,1)),
INDEX(Règles_chevaux_trait[Specificite],MATCH(RationEtéChevauxTrait&amp;$FD65,Règles_chevaux_trait[Ration]&amp;Règles_chevaux_trait[Aliment],0))="c"),
INDEX(Règles_chevaux_trait[Valeur 36 et plus],MATCH(RationEtéChevauxTrait&amp;$FD65,Règles_chevaux_trait[Ration]&amp;Règles_chevaux_trait[Aliment],0)),0),0)*TotalEtalonTrait*NbreJoursNourrirChevauxTrait)</f>
        <v>0</v>
      </c>
      <c r="FF65" s="458">
        <f t="array" ref="FF65">IF(OR(ChoixRationComplèteEtéChevauxTrait=OUI,ChoixRationComplèteEtéChevauxTrait="",AND(ChoixChevauxTraitPréHiver=OUI,ChoixChevauxTraitPréEté=OUI)),0,IFERROR(IF(OR(AND(INDEX(Règles_chevaux_trait[Specificite],MATCH(RationEtéChevauxTrait&amp;$FD65,Règles_chevaux_trait[Ration]&amp;Règles_chevaux_trait[Aliment],0))="s1",IF($FD65=Spécificité1ChevauxTrait,1)),
AND(INDEX(Règles_chevaux_trait[Specificite],MATCH(RationEtéChevauxTrait&amp;$FD65,Règles_chevaux_trait[Ration]&amp;Règles_chevaux_trait[Aliment],0))="s2",IF($FD65=Spécificité2ChevauxTrait,1)),
INDEX(Règles_chevaux_trait[Specificite],MATCH(RationEtéChevauxTrait&amp;$FD65,Règles_chevaux_trait[Ration]&amp;Règles_chevaux_trait[Aliment],0))="c"),
INDEX(Règles_chevaux_trait[Valeur 24-36],MATCH(RationEtéChevauxTrait&amp;$FD65,Règles_chevaux_trait[Ration]&amp;Règles_chevaux_trait[Aliment],0)),0),0)*TotalJeuneEtalonTrait_24_36_mois*NbreJoursNourrirChevauxTrait)</f>
        <v>0</v>
      </c>
      <c r="FG65" s="458">
        <f t="array" ref="FG65">IF(OR(ChoixRationComplèteEtéChevauxTrait=OUI,ChoixRationComplèteEtéChevauxTrait="",AND(ChoixChevauxTraitPréHiver=OUI,ChoixChevauxTraitPréEté=OUI)),0,IFERROR(IF(OR(AND(INDEX(Règles_chevaux_trait[Specificite],MATCH(RationEtéChevauxTrait&amp;$FD65,Règles_chevaux_trait[Ration]&amp;Règles_chevaux_trait[Aliment],0))="s1",IF($FD65=Spécificité1ChevauxTrait,1)),
AND(INDEX(Règles_chevaux_trait[Specificite],MATCH(RationEtéChevauxTrait&amp;$FD65,Règles_chevaux_trait[Ration]&amp;Règles_chevaux_trait[Aliment],0))="s2",IF($FD65=Spécificité2ChevauxTrait,1)),
INDEX(Règles_chevaux_trait[Specificite],MATCH(RationEtéChevauxTrait&amp;$FD65,Règles_chevaux_trait[Ration]&amp;Règles_chevaux_trait[Aliment],0))="c"),
INDEX(Règles_chevaux_trait[Valeur 12-24],MATCH(RationEtéChevauxTrait&amp;$FD65,Règles_chevaux_trait[Ration]&amp;Règles_chevaux_trait[Aliment],0)),0),0)*TotalJeuneEtalonTrait_12_24_mois*NbreJoursNourrirChevauxTrait)</f>
        <v>0</v>
      </c>
      <c r="FH65" s="460">
        <f t="array" ref="FH65">IF(OR(ChoixRationComplèteEtéChevauxTrait=OUI,ChoixRationComplèteEtéChevauxTrait="",AND(ChoixChevauxTraitPréHiver=OUI,ChoixChevauxTraitPréEté=OUI)),0,IFERROR(IF(OR(AND(INDEX(Règles_chevaux_trait[Specificite],MATCH(RationEtéChevauxTrait&amp;$FD65,Règles_chevaux_trait[Ration]&amp;Règles_chevaux_trait[Aliment],0))="s1",IF($FD65=Spécificité1ChevauxTrait,1)),
AND(INDEX(Règles_chevaux_trait[Specificite],MATCH(RationEtéChevauxTrait&amp;$FD65,Règles_chevaux_trait[Ration]&amp;Règles_chevaux_trait[Aliment],0))="s2",IF($FD65=Spécificité2ChevauxTrait,1)),
INDEX(Règles_chevaux_trait[Specificite],MATCH(RationEtéChevauxTrait&amp;$FD65,Règles_chevaux_trait[Ration]&amp;Règles_chevaux_trait[Aliment],0))="c"),
INDEX(Règles_chevaux_trait[Valeur 0-12],MATCH(RationEtéChevauxTrait&amp;$FD65,Règles_chevaux_trait[Ration]&amp;Règles_chevaux_trait[Aliment],0)),0),0)*TotalPoulainTrait_0_12_mois*NbreJoursNourrirChevauxTrait)</f>
        <v>0</v>
      </c>
      <c r="FI65" s="460">
        <f t="shared" si="15"/>
        <v>0</v>
      </c>
      <c r="FJ65" s="298"/>
      <c r="FK65" s="298"/>
      <c r="FL65" s="298"/>
      <c r="FM65" s="282"/>
      <c r="FN65" s="457" t="s">
        <v>265</v>
      </c>
      <c r="FO65" s="458">
        <f t="array" ref="FO65">IF(OR(ChoixRationComplèteEtéPoneys=OUI,ChoixRationComplèteEtéPoneys="",AND(ChoixPoneysPréHiver=OUI,ChoixPoneysPréEté=OUI)),0,IFERROR(IF(OR(AND(INDEX(Règles_poneys[Specificite],MATCH(RationEtéPoneys&amp;$FN65,Règles_poneys[Ration]&amp;Règles_poneys[Aliment],0))="s1",IF($FN65=Spécificité1Poneys,1)),
AND(INDEX(Règles_poneys[Specificite],MATCH(RationEtéPoneys&amp;$FN65,Règles_poneys[Ration]&amp;Règles_poneys[Aliment],0))="s2",IF($FN65=Spécificité2Poneys,1)),
INDEX(Règles_poneys[Specificite],MATCH(RationEtéPoneys&amp;$FN65,Règles_poneys[Ration]&amp;Règles_poneys[Aliment],0))="c"),
INDEX(Règles_poneys[Valeur 36 et plus],MATCH(RationEtéPoneys&amp;$FN65,Règles_poneys[Ration]&amp;Règles_poneys[Aliment],0)),0),0)*TotalEtalonPoney*NbreJoursNourrirPoneys)</f>
        <v>0</v>
      </c>
      <c r="FP65" s="458">
        <f t="array" ref="FP65">IF(OR(ChoixRationComplèteEtéPoneys=OUI,ChoixRationComplèteEtéPoneys="",AND(ChoixPoneysPréHiver=OUI,ChoixPoneysPréEté=OUI)),0,IFERROR(IF(OR(AND(INDEX(Règles_poneys[Specificite],MATCH(RationEtéPoneys&amp;$FN65,Règles_poneys[Ration]&amp;Règles_poneys[Aliment],0))="s1",IF($FN65=Spécificité1Poneys,1)),
AND(INDEX(Règles_poneys[Specificite],MATCH(RationEtéPoneys&amp;$FN65,Règles_poneys[Ration]&amp;Règles_poneys[Aliment],0))="s2",IF($FN65=Spécificité2Poneys,1)),
INDEX(Règles_poneys[Specificite],MATCH(RationEtéPoneys&amp;$FN65,Règles_poneys[Ration]&amp;Règles_poneys[Aliment],0))="c"),
INDEX(Règles_poneys[Valeur 36 et plus],MATCH(RationEtéPoneys&amp;$FN65,Règles_poneys[Ration]&amp;Règles_poneys[Aliment],0)),0),0)*TotalJeuneEtalonPoney_24_36_mois*NbreJoursNourrirPoneys)</f>
        <v>0</v>
      </c>
      <c r="FQ65" s="458">
        <f t="array" ref="FQ65">IF(OR(ChoixRationComplèteEtéPoneys=OUI,ChoixRationComplèteEtéPoneys="",AND(ChoixPoneysPréHiver=OUI,ChoixPoneysPréEté=OUI)),0,IFERROR(IF(OR(AND(INDEX(Règles_poneys[Specificite],MATCH(RationEtéPoneys&amp;$FN65,Règles_poneys[Ration]&amp;Règles_poneys[Aliment],0))="s1",IF($FN65=Spécificité1Poneys,1)),
AND(INDEX(Règles_poneys[Specificite],MATCH(RationEtéPoneys&amp;$FN65,Règles_poneys[Ration]&amp;Règles_poneys[Aliment],0))="s2",IF($FN65=Spécificité2Poneys,1)),
INDEX(Règles_poneys[Specificite],MATCH(RationEtéPoneys&amp;$FN65,Règles_poneys[Ration]&amp;Règles_poneys[Aliment],0))="c"),
INDEX(Règles_poneys[Valeur 36 et plus],MATCH(RationEtéPoneys&amp;$FN65,Règles_poneys[Ration]&amp;Règles_poneys[Aliment],0)),0),0)*TotalJeuneEtalonPoney_12_24_mois*NbreJoursNourrirPoneys)</f>
        <v>0</v>
      </c>
      <c r="FR65" s="460">
        <f t="array" ref="FR65">IF(OR(ChoixRationComplèteEtéPoneys=OUI,ChoixRationComplèteEtéPoneys="",AND(ChoixPoneysPréHiver=OUI,ChoixPoneysPréEté=OUI)),0,IFERROR(IF(OR(AND(INDEX(Règles_poneys[Specificite],MATCH(RationEtéPoneys&amp;$FN65,Règles_poneys[Ration]&amp;Règles_poneys[Aliment],0))="s1",IF($FN65=Spécificité1Poneys,1)),
AND(INDEX(Règles_poneys[Specificite],MATCH(RationEtéPoneys&amp;$FN65,Règles_poneys[Ration]&amp;Règles_poneys[Aliment],0))="s2",IF($FN65=Spécificité2Poneys,1)),
INDEX(Règles_poneys[Specificite],MATCH(RationEtéPoneys&amp;$FN65,Règles_poneys[Ration]&amp;Règles_poneys[Aliment],0))="c"),
INDEX(Règles_poneys[Valeur 36 et plus],MATCH(RationEtéPoneys&amp;$FN65,Règles_poneys[Ration]&amp;Règles_poneys[Aliment],0)),0),0)*TotalPoulainPoney_0_12_mois*NbreJoursNourrirPoneys)</f>
        <v>0</v>
      </c>
      <c r="FS65" s="460">
        <f t="shared" si="14"/>
        <v>0</v>
      </c>
      <c r="FT65" s="298"/>
      <c r="FU65" s="298"/>
      <c r="FV65" s="298"/>
      <c r="FW65" s="443" t="s">
        <v>232</v>
      </c>
      <c r="FX65" s="450">
        <f t="array" ref="FX65">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65" s="450">
        <f t="array" ref="FY65">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65" s="450">
        <f t="array" ref="FZ65">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65" s="450">
        <f t="array" ref="GA65">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65" s="451">
        <f>SUM(AlimentsGavageOies[[#This Row],[Valeur 6 et plus]:[Valeur 0-1]])</f>
        <v>0</v>
      </c>
      <c r="GC65" s="316"/>
      <c r="GE65" s="280" t="s">
        <v>76</v>
      </c>
      <c r="GF65" s="283"/>
      <c r="GG65" s="283" t="s">
        <v>955</v>
      </c>
      <c r="GH65" s="283" t="s">
        <v>955</v>
      </c>
      <c r="GI65" s="283" t="s">
        <v>955</v>
      </c>
      <c r="GJ65" s="283" t="s">
        <v>955</v>
      </c>
      <c r="GK65" s="283" t="s">
        <v>955</v>
      </c>
      <c r="GL65" s="283" t="s">
        <v>955</v>
      </c>
      <c r="GM65" s="283" t="s">
        <v>955</v>
      </c>
      <c r="GN65" s="283" t="s">
        <v>955</v>
      </c>
      <c r="GO65" s="283" t="s">
        <v>955</v>
      </c>
      <c r="GP65" s="283" t="s">
        <v>955</v>
      </c>
      <c r="GQ65" s="283" t="s">
        <v>955</v>
      </c>
      <c r="GR65" s="283" t="s">
        <v>955</v>
      </c>
      <c r="GS65" s="283" t="s">
        <v>955</v>
      </c>
      <c r="GT65" s="283" t="s">
        <v>955</v>
      </c>
      <c r="GU65" s="283" t="s">
        <v>955</v>
      </c>
      <c r="GV65" s="283" t="s">
        <v>955</v>
      </c>
      <c r="GY65" s="444" t="str">
        <f t="shared" si="11"/>
        <v>semences de maïs</v>
      </c>
      <c r="GZ65" s="444"/>
      <c r="HA65" s="342"/>
      <c r="HB65" s="342" t="e">
        <f>IF(COUNTIF(TypeArticleDansEntrepôt,GY65)=0,0,SUMIF(TypeArticleDansEntrepôt,GY65,QtéArticleDansEntrepôt)*VLOOKUP(GY65,#REF!,2,FALSE))</f>
        <v>#REF!</v>
      </c>
      <c r="HN65" s="342" t="e">
        <f>IF(#REF!="","",(VLOOKUP(#REF!,BDD!$HN$5:$HU$38,2,FALSE))*#REF!)</f>
        <v>#REF!</v>
      </c>
      <c r="HO65" s="342" t="e">
        <f>IF(#REF!="","",IF(OR(#REF!=Moutarde,#REF!=Phacélie),0,IF(#REF!=Luzerne,10*#REF!*VLOOKUP(#REF!,BDD!$HN$5:$HU$38,3,FALSE),IF(#REF!=Miscanthus,10.5*#REF!*VLOOKUP(#REF!,BDD!$HN$5:$HU$38,3,FALSE),INDEX(#REF!:#REF!,MATCH(#REF!,#REF!:#REF!,0),MATCH(#REF!,#REF!:#REF!,0))*#REF!*VLOOKUP(#REF!,BDD!$HN$5:$HU$38,3,FALSE)))))</f>
        <v>#REF!</v>
      </c>
      <c r="HP65" s="342" t="e">
        <f>IF(#REF!="","",IF(OR(#REF!=Moutarde,#REF!=Phacélie),0,IF(#REF!=Luzerne,10*#REF!*VLOOKUP(#REF!,BDD!$HN$5:$HU$38,4,FALSE),IF(#REF!=Miscanthus,10.5*#REF!*VLOOKUP(#REF!,BDD!$HN$5:$HU$38,4,FALSE),INDEX(#REF!:#REF!,MATCH(#REF!,#REF!:#REF!,0),MATCH(#REF!,#REF!:#REF!,0))*#REF!*VLOOKUP(#REF!,BDD!$HN$5:$HU$38,4,FALSE)))))</f>
        <v>#REF!</v>
      </c>
      <c r="HQ65" s="342" t="e">
        <f>IF(#REF!="","",IF(OR(#REF!=Moutarde,#REF!=Phacélie),0,IF(#REF!=Luzerne,10*#REF!*VLOOKUP(#REF!,BDD!$HN$5:$HU$38,5,FALSE),IF(#REF!=Miscanthus,10.5*#REF!*VLOOKUP(#REF!,BDD!$HN$5:$HU$38,5,FALSE),INDEX(#REF!:#REF!,MATCH(#REF!,#REF!:#REF!,0),MATCH(#REF!,#REF!:#REF!,0))*#REF!*VLOOKUP(#REF!,BDD!$HN$5:$HU$38,5,FALSE)))))</f>
        <v>#REF!</v>
      </c>
      <c r="HR65" s="342" t="e">
        <f>IF(#REF!="","",IF(OR(#REF!=Moutarde,#REF!=Phacélie),0,IF(#REF!=Luzerne,10*#REF!*VLOOKUP(#REF!,BDD!$HN$5:$HU$38,6,FALSE),IF(#REF!=Miscanthus,10.5*#REF!*VLOOKUP(#REF!,BDD!$HN$5:$HU$38,6,FALSE),INDEX(#REF!:#REF!,MATCH(#REF!,#REF!:#REF!,0),MATCH(#REF!,#REF!:#REF!,0))*#REF!*VLOOKUP(#REF!,BDD!$HN$5:$HU$38,6,FALSE)))))</f>
        <v>#REF!</v>
      </c>
      <c r="HS65" s="342" t="e">
        <f>IF(#REF!="","",IF(OR(#REF!=Moutarde,#REF!=Phacélie),0,IF(#REF!=Luzerne,10*#REF!*VLOOKUP(#REF!,BDD!$HN$5:$HU$38,7,FALSE),IF(#REF!=Miscanthus,10.5*#REF!*VLOOKUP(#REF!,BDD!$HN$5:$HU$38,7,FALSE),INDEX(#REF!:#REF!,MATCH(#REF!,#REF!:#REF!,0),MATCH(#REF!,#REF!:#REF!,0))*#REF!*VLOOKUP(#REF!,BDD!$HN$5:$HU$38,7,FALSE)))))</f>
        <v>#REF!</v>
      </c>
      <c r="HT65" s="342" t="e">
        <f>IF(#REF!="","",IF(OR(#REF!=Moutarde,#REF!=Phacélie),0,IF(#REF!=Luzerne,10*#REF!*VLOOKUP(#REF!,BDD!$HN$5:$HU$38,8,FALSE),IF(#REF!=Miscanthus,10.5*#REF!*VLOOKUP(#REF!,BDD!$HN$5:$HU$38,8,FALSE),INDEX(#REF!:#REF!,MATCH(#REF!,#REF!:#REF!,0),MATCH(#REF!,#REF!:#REF!,0))*#REF!*VLOOKUP(#REF!,BDD!$HN$5:$HU$38,8,FALSE)))))</f>
        <v>#REF!</v>
      </c>
      <c r="HU65" s="342" t="e">
        <f>IF(#REF!="","",IF(OR(#REF!=Moutarde,#REF!=Phacélie),0,1.6*#REF!))</f>
        <v>#REF!</v>
      </c>
      <c r="HV65" s="342" t="e">
        <f>IF(#REF!="","",IF(OR(#REF!=Moutarde,#REF!=Phacélie),0,1.6*#REF!))</f>
        <v>#REF!</v>
      </c>
      <c r="HW65" s="342" t="e">
        <f>IF(#REF!="","",IF(OR(#REF!=Moutarde,#REF!=Phacélie),0,1.6*#REF!))</f>
        <v>#REF!</v>
      </c>
      <c r="HX65" s="342" t="e">
        <f>IF(#REF!="","",(VLOOKUP(#REF!,BDD!$HN$5:$HU$38,2,FALSE))*#REF!)</f>
        <v>#REF!</v>
      </c>
      <c r="HY65" s="342" t="e">
        <f>IF(#REF!="","",IF(OR(#REF!=Moutarde,#REF!=Phacélie),0,IF(#REF!=Luzerne,10*#REF!*VLOOKUP(#REF!,BDD!$HN$5:$HU$38,3,FALSE),IF(#REF!=Miscanthus,10.5*#REF!*VLOOKUP(#REF!,BDD!$HN$5:$HU$38,3,FALSE),INDEX(#REF!:#REF!,MATCH(#REF!,#REF!:#REF!,0),MATCH(#REF!,#REF!:#REF!,0))*#REF!*VLOOKUP(#REF!,BDD!$HN$5:$HU$38,3,FALSE)))))</f>
        <v>#REF!</v>
      </c>
      <c r="HZ65" s="342" t="e">
        <f>IF(#REF!="","",IF(OR(#REF!=Moutarde,#REF!=Phacélie),0,IF(#REF!=Luzerne,10*#REF!*VLOOKUP(#REF!,BDD!$HN$5:$HU$38,4,FALSE),IF(#REF!=Miscanthus,10.5*#REF!*VLOOKUP(#REF!,BDD!$HN$5:$HU$38,4,FALSE),INDEX(#REF!:#REF!,MATCH(#REF!,#REF!:#REF!,0),MATCH(#REF!,#REF!:#REF!,0))*#REF!*VLOOKUP(#REF!,BDD!$HN$5:$HU$38,4,FALSE)))))</f>
        <v>#REF!</v>
      </c>
      <c r="IA65" s="342" t="e">
        <f>IF(#REF!="","",IF(OR(#REF!=Moutarde,#REF!=Phacélie),0,IF(#REF!=Luzerne,10*#REF!*VLOOKUP(#REF!,BDD!$HN$5:$HU$38,5,FALSE),IF(#REF!=Miscanthus,10.5*#REF!*VLOOKUP(#REF!,BDD!$HN$5:$HU$38,5,FALSE),INDEX(#REF!:#REF!,MATCH(#REF!,#REF!:#REF!,0),MATCH(#REF!,#REF!:#REF!,0))*#REF!*VLOOKUP(#REF!,BDD!$HN$5:$HU$38,5,FALSE)))))</f>
        <v>#REF!</v>
      </c>
      <c r="IB65" s="342" t="e">
        <f>IF(#REF!="","",IF(OR(#REF!=Moutarde,#REF!=Phacélie),0,IF(#REF!=Luzerne,10*#REF!*VLOOKUP(#REF!,BDD!$HN$5:$HU$38,6,FALSE),IF(#REF!=Miscanthus,10.5*#REF!*VLOOKUP(#REF!,BDD!$HN$5:$HU$38,6,FALSE),INDEX(#REF!:#REF!,MATCH(#REF!,#REF!:#REF!,0),MATCH(#REF!,#REF!:#REF!,0))*#REF!*VLOOKUP(#REF!,BDD!$HN$5:$HU$38,6,FALSE)))))</f>
        <v>#REF!</v>
      </c>
      <c r="IC65" s="342" t="e">
        <f>IF(#REF!="","",IF(OR(#REF!=Moutarde,#REF!=Phacélie),0,IF(#REF!=Luzerne,10*#REF!*VLOOKUP(#REF!,BDD!$HN$5:$HU$38,7,FALSE),IF(#REF!=Miscanthus,10.5*#REF!*VLOOKUP(#REF!,BDD!$HN$5:$HU$38,7,FALSE),INDEX(#REF!:#REF!,MATCH(#REF!,#REF!:#REF!,0),MATCH(#REF!,#REF!:#REF!,0))*#REF!*VLOOKUP(#REF!,BDD!$HN$5:$HU$38,7,FALSE)))))</f>
        <v>#REF!</v>
      </c>
      <c r="ID65" s="342" t="e">
        <f>IF(#REF!="","",IF(OR(#REF!=Moutarde,#REF!=Phacélie),0,IF(#REF!=Luzerne,10*#REF!*VLOOKUP(#REF!,BDD!$HN$5:$HU$38,8,FALSE),IF(#REF!=Miscanthus,10.5*#REF!*VLOOKUP(#REF!,BDD!$HN$5:$HU$38,8,FALSE),INDEX(#REF!:#REF!,MATCH(#REF!,#REF!:#REF!,0),MATCH(#REF!,#REF!:#REF!,0))*#REF!*VLOOKUP(#REF!,BDD!$HN$5:$HU$38,8,FALSE)))))</f>
        <v>#REF!</v>
      </c>
      <c r="IE65" s="342" t="e">
        <f>IF(#REF!="","",IF(OR(#REF!=Moutarde,#REF!=Phacélie),0,1.6*#REF!))</f>
        <v>#REF!</v>
      </c>
      <c r="IF65" s="342" t="e">
        <f>IF(#REF!="","",IF(OR(#REF!=Moutarde,#REF!=Phacélie),0,1.6*#REF!))</f>
        <v>#REF!</v>
      </c>
      <c r="IG65" s="342" t="e">
        <f>IF(#REF!="","",IF(OR(#REF!=Moutarde,#REF!=Phacélie),0,1.6*#REF!))</f>
        <v>#REF!</v>
      </c>
    </row>
    <row r="66" spans="1:241" ht="12.75" customHeight="1" x14ac:dyDescent="0.2">
      <c r="A66" s="373"/>
      <c r="B66" s="380"/>
      <c r="F66" s="280"/>
      <c r="G66" s="280"/>
      <c r="H66" s="280"/>
      <c r="I66" s="280"/>
      <c r="J66" s="280"/>
      <c r="K66" s="280"/>
      <c r="L66" s="280"/>
      <c r="M66" s="280"/>
      <c r="N66" s="277"/>
      <c r="O66" s="280" t="s">
        <v>48</v>
      </c>
      <c r="P66" s="280"/>
      <c r="Q66" s="280"/>
      <c r="R66" s="280"/>
      <c r="S66" s="280"/>
      <c r="T66" s="280"/>
      <c r="U66" s="280"/>
      <c r="V66" s="280"/>
      <c r="W66" s="280"/>
      <c r="X66" s="280"/>
      <c r="Y66" s="280"/>
      <c r="Z66" s="280"/>
      <c r="AA66" s="280"/>
      <c r="AB66" s="280"/>
      <c r="AC66" s="280"/>
      <c r="AD66" s="280"/>
      <c r="AE66" s="280"/>
      <c r="AF66" s="280"/>
      <c r="AG66" s="280"/>
      <c r="AH66" s="280"/>
      <c r="AI66" s="280"/>
      <c r="AJ66" s="280"/>
      <c r="AK66" s="280"/>
      <c r="AL66" s="280"/>
      <c r="AM66" s="280"/>
      <c r="AN66" s="280"/>
      <c r="AO66" s="280"/>
      <c r="AP66" s="280"/>
      <c r="AQ66" s="280"/>
      <c r="AR66" s="280"/>
      <c r="AS66" s="280"/>
      <c r="AT66" s="280"/>
      <c r="AU66" s="280"/>
      <c r="AV66" s="280"/>
      <c r="AW66" s="280"/>
      <c r="AX66" s="280"/>
      <c r="AY66" s="280"/>
      <c r="BB66" s="387" t="s">
        <v>509</v>
      </c>
      <c r="BC66" s="362" t="s">
        <v>500</v>
      </c>
      <c r="BD66" s="362" t="s">
        <v>888</v>
      </c>
      <c r="BE66" s="388">
        <v>4.8</v>
      </c>
      <c r="BF66" s="388">
        <v>4</v>
      </c>
      <c r="BG66" s="388">
        <v>4</v>
      </c>
      <c r="BH66" s="388">
        <v>4</v>
      </c>
      <c r="BI66" s="388">
        <v>2</v>
      </c>
      <c r="BJ66" s="388">
        <v>1.2</v>
      </c>
      <c r="BK66" s="389">
        <v>0</v>
      </c>
      <c r="BL66" s="312"/>
      <c r="BM66" s="350" t="s">
        <v>907</v>
      </c>
      <c r="BN66" s="350">
        <f t="array" ref="BN66">IF(Ration_hivernale_complète_bisons[somme]&gt;0,0,IFERROR(IF(OR(AND(INDEX(Règles_bison[Specificite],MATCH(ChoixRationBisons&amp;$BM66,Règles_bison[Ration]&amp;Règles_bison[Aliment],0))="s1",IF($BM66=ChoixSpécificité1Bisons,1)),
INDEX(Règles_bison[Specificite],MATCH(ChoixRationBisons&amp;$BM66,Règles_bison[Ration]&amp;Règles_bison[Aliment],0))="c"),
INDEX(Règles_bison[Valeur 36 et plus],MATCH(ChoixRationBisons&amp;$BM66,Règles_bison[Ration]&amp;Règles_bison[Aliment],0)),0),0)*TotalBisonsMalesAdultes*NbreJoursNourrirBisonsDaims)</f>
        <v>0</v>
      </c>
      <c r="BO66" s="350">
        <f t="array" ref="BO66">IF(Ration_hivernale_complète_bisons[somme]&gt;0,0,IFERROR(IF(OR(AND(INDEX(Règles_bison[Specificite],MATCH(ChoixRationBisons&amp;$BM66,Règles_bison[Ration]&amp;Règles_bison[Aliment],0))="s1",IF($BM66=ChoixSpécificité1Bisons,1)),
INDEX(Règles_bison[Specificite],MATCH(ChoixRationBisons&amp;$BM66,Règles_bison[Ration]&amp;Règles_bison[Aliment],0))="c"),
INDEX(Règles_bison[Valeur 24-36],MATCH(ChoixRationBisons&amp;$BM66,Règles_bison[Ration]&amp;Règles_bison[Aliment],0)),0),0)*TotalBisonsMales_24_36_mois*NbreJoursNourrirBisonsDaims)</f>
        <v>0</v>
      </c>
      <c r="BP66" s="350">
        <f t="array" ref="BP66">IF(Ration_hivernale_complète_bisons[somme]&gt;0,0,IFERROR(IF(OR(AND(INDEX(Règles_bison[Specificite],MATCH(ChoixRationBisons&amp;$BM66,Règles_bison[Ration]&amp;Règles_bison[Aliment],0))="s1",IF($BM66=ChoixSpécificité1Bisons,1)),
INDEX(Règles_bison[Specificite],MATCH(ChoixRationBisons&amp;$BM66,Règles_bison[Ration]&amp;Règles_bison[Aliment],0))="c"),
INDEX(Règles_bison[Valeur 18-24],MATCH(ChoixRationBisons&amp;$BM66,Règles_bison[Ration]&amp;Règles_bison[Aliment],0)),0),0)*TotalBisonsMales_18_24_mois*NbreJoursNourrirBisonsDaims)</f>
        <v>0</v>
      </c>
      <c r="BQ66" s="350">
        <f t="array" ref="BQ66">IF(Ration_hivernale_complète_bisons[somme]&gt;0,0,IFERROR(IF(OR(AND(INDEX(Règles_bison[Specificite],MATCH(ChoixRationBisons&amp;$BM66,Règles_bison[Ration]&amp;Règles_bison[Aliment],0))="s1",IF($BM66=ChoixSpécificité1Bisons,1)),
INDEX(Règles_bison[Specificite],MATCH(ChoixRationBisons&amp;$BM66,Règles_bison[Ration]&amp;Règles_bison[Aliment],0))="c"),
INDEX(Règles_bison[Valeur 12-18],MATCH(ChoixRationBisons&amp;$BM66,Règles_bison[Ration]&amp;Règles_bison[Aliment],0)),0),0)*TotalBisonsMales_12_18_mois*NbreJoursNourrirBisonsDaims)</f>
        <v>0</v>
      </c>
      <c r="BR66" s="350">
        <f t="array" ref="BR66">IF(Ration_hivernale_complète_bisons[somme]&gt;0,0,IFERROR(IF(OR(AND(INDEX(Règles_bison[Specificite],MATCH(ChoixRationBisons&amp;$BM66,Règles_bison[Ration]&amp;Règles_bison[Aliment],0))="s1",IF($BM66=ChoixSpécificité1Bisons,1)),
INDEX(Règles_bison[Specificite],MATCH(ChoixRationBisons&amp;$BM66,Règles_bison[Ration]&amp;Règles_bison[Aliment],0))="c"),
INDEX(Règles_bison[Valeur 6-12],MATCH(ChoixRationBisons&amp;$BM66,Règles_bison[Ration]&amp;Règles_bison[Aliment],0)),0),0)*TotalBisonsMales_6_12_mois*NbreJoursNourrirBisonsDaims)</f>
        <v>0</v>
      </c>
      <c r="BS66" s="350">
        <f t="array" ref="BS66">IF(Ration_hivernale_complète_bisons[somme]&gt;0,0,IFERROR(IF(OR(AND(INDEX(Règles_bison[Specificite],MATCH(ChoixRationBisons&amp;$BM66,Règles_bison[Ration]&amp;Règles_bison[Aliment],0))="s1",IF($BM66=ChoixSpécificité1Bisons,1)),
INDEX(Règles_bison[Specificite],MATCH(ChoixRationBisons&amp;$BM66,Règles_bison[Ration]&amp;Règles_bison[Aliment],0))="c"),
INDEX(Règles_bison[Valeur 3-6],MATCH(ChoixRationBisons&amp;$BM66,Règles_bison[Ration]&amp;Règles_bison[Aliment],0)),0),0)*TotalBisonsMales_3_6_mois*NbreJoursNourrirBisonsDaims)</f>
        <v>0</v>
      </c>
      <c r="BT66" s="350">
        <f t="array" ref="BT66">IF(Ration_hivernale_complète_bisons[somme]&gt;0,0,IFERROR(IF(OR(AND(INDEX(Règles_bison[Specificite],MATCH(ChoixRationBisons&amp;$BM66,Règles_bison[Ration]&amp;Règles_bison[Aliment],0))="s1",IF($BM66=ChoixSpécificité1Bisons,1)),
INDEX(Règles_bison[Specificite],MATCH(ChoixRationBisons&amp;$BM66,Règles_bison[Ration]&amp;Règles_bison[Aliment],0))="c"),
INDEX(Règles_bison[Valeur 0-3],MATCH(ChoixRationBisons&amp;$BM66,Règles_bison[Ration]&amp;Règles_bison[Aliment],0)),0),0)*TotalBisonsMales_0_3_mois*NbreJoursNourrirBisonsDaims)</f>
        <v>0</v>
      </c>
      <c r="BU66" s="350">
        <f t="shared" si="10"/>
        <v>0</v>
      </c>
      <c r="BX66" s="373" t="s">
        <v>168</v>
      </c>
      <c r="BY66" s="280" t="s">
        <v>168</v>
      </c>
      <c r="BZ66" s="280" t="s">
        <v>886</v>
      </c>
      <c r="CA66" s="280">
        <v>16</v>
      </c>
      <c r="CB66" s="280">
        <v>12</v>
      </c>
      <c r="CC66" s="280">
        <v>6</v>
      </c>
      <c r="CD66" s="410">
        <v>2.8</v>
      </c>
      <c r="CE66" s="304"/>
      <c r="CF66" s="304"/>
      <c r="CG66" s="304"/>
      <c r="CH66" s="304"/>
      <c r="CJ66" s="420" t="s">
        <v>267</v>
      </c>
      <c r="CK66" s="384">
        <f t="array" ref="CK6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66" s="384">
        <f t="array" ref="CL6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66" s="384">
        <f t="array" ref="CM6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66" s="384">
        <f t="array" ref="CN6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66" s="384">
        <f t="array" ref="CO6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66" s="426">
        <f>SUM(AlimentsRationPorcinsMâles[[#This Row],[Valeur 12 et plus]:[Valeur 0-1]])</f>
        <v>0</v>
      </c>
      <c r="CS66" s="420" t="s">
        <v>1165</v>
      </c>
      <c r="CT66" s="433">
        <f t="array" ref="CT66">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66" s="433">
        <f t="array" ref="CU66">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66" s="433">
        <f t="array" ref="CV66">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66" s="434">
        <f>SUM(AlimentsRationLapinsMâles[[#This Row],[Valeur 3 et plus]:[Valeur 0-1]])</f>
        <v>0</v>
      </c>
      <c r="CZ66" s="420" t="s">
        <v>1165</v>
      </c>
      <c r="DA66" s="433">
        <f t="array" ref="DA6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66" s="433">
        <f t="array" ref="DB6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66" s="433">
        <f t="array" ref="DC6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66" s="434">
        <f>SUM(AlimentsRationVolaillesMâles[[#This Row],[Valeur 6 et plus]:[Valeur 0-1]])</f>
        <v>0</v>
      </c>
      <c r="DE66" s="316"/>
      <c r="DF66" s="277"/>
      <c r="DG66" s="420" t="s">
        <v>268</v>
      </c>
      <c r="DH66" s="433">
        <f t="array" ref="DH6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66" s="433">
        <f t="array" ref="DI6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66" s="433">
        <f t="array" ref="DJ6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66" s="434">
        <f>SUM(AlimentsRationPintadesMâles[[#This Row],[Valeur 9 et plus]:[Valeur 0-1]])</f>
        <v>0</v>
      </c>
      <c r="DL66" s="316"/>
      <c r="DM66" s="316"/>
      <c r="DN66" s="373" t="s">
        <v>509</v>
      </c>
      <c r="DO66" s="280" t="s">
        <v>508</v>
      </c>
      <c r="DP66" s="280" t="s">
        <v>911</v>
      </c>
      <c r="DQ66" s="310"/>
      <c r="DR66" s="310"/>
      <c r="DS66" s="310"/>
      <c r="DT66" s="439"/>
      <c r="DV66" s="350"/>
      <c r="DW66" s="351">
        <f t="array" ref="DW66">IF(ChoixRationComplèteDaims=OUI,0,IFERROR(IF(OR(AND(INDEX(Règles_daims[Specificite],MATCH(ChoixRationDaims&amp;DV66,Règles_daims[Ration]&amp;Règles_daims[Aliment],0))="s1",IF(DV66=Spécificité1Daims,1)),
AND(INDEX(Règles_daims[Specificite],MATCH(ChoixRationDaims&amp;DV66,Règles_daims[Ration]&amp;Règles_daims[Aliment],0))="s2",IF(DV66=Spécificité2Daims,1)),
INDEX(Règles_daims[Specificite],MATCH(ChoixRationDaims&amp;DV66,Règles_daims[Ration]&amp;Règles_daims[Aliment],0))="c"),
INDEX(Règles_daims[Valeur 36 et plus],MATCH(ChoixRationDaims&amp;DV66,Règles_daims[Ration]&amp;Règles_daims[Aliment],0)),0),0)*SUM(TotalDaimsAdultes)*NbreJoursNourrirBisonsDaims)</f>
        <v>0</v>
      </c>
      <c r="DX66" s="351">
        <f t="array" ref="DX66">IF(ChoixRationComplèteDaims=OUI,0,IFERROR(IF(OR(AND(INDEX(Règles_daims[Specificite],MATCH(ChoixRationDaims&amp;DV66,Règles_daims[Ration]&amp;Règles_daims[Aliment],0))="s1",IF(DV66=Spécificité1Daims,1)),
AND(INDEX(Règles_daims[Specificite],MATCH(ChoixRationDaims&amp;DV66,Règles_daims[Ration]&amp;Règles_daims[Aliment],0))="s2",IF(DV66=Spécificité2Daims,1)),
INDEX(Règles_daims[Specificite],MATCH(ChoixRationDaims&amp;DV66,Règles_daims[Ration]&amp;Règles_daims[Aliment],0))="c"),
INDEX(Règles_daims[Valeur 24-36],MATCH(ChoixRationDaims&amp;DV66,Règles_daims[Ration]&amp;Règles_daims[Aliment],0)),0),0)*SUM(TotalDaims24_36)*NbreJoursNourrirBisonsDaims)</f>
        <v>0</v>
      </c>
      <c r="DY66" s="351">
        <f t="array" ref="DY66">IF(ChoixRationComplèteDaims=OUI,0,IFERROR(IF(OR(AND(INDEX(Règles_daims[Specificite],MATCH(ChoixRationDaims&amp;DV66,Règles_daims[Ration]&amp;Règles_daims[Aliment],0))="s1",IF(DV66=Spécificité1Daims,1)),
AND(INDEX(Règles_daims[Specificite],MATCH(ChoixRationDaims&amp;DV66,Règles_daims[Ration]&amp;Règles_daims[Aliment],0))="s2",IF(DV66=Spécificité2Daims,1)),
INDEX(Règles_daims[Specificite],MATCH(ChoixRationDaims&amp;DV66,Règles_daims[Ration]&amp;Règles_daims[Aliment],0))="c"),
INDEX(Règles_daims[Valeur 18-24],MATCH(ChoixRationDaims&amp;DV66,Règles_daims[Ration]&amp;Règles_daims[Aliment],0)),0),0)*SUM(TotalDaims18_24)*NbreJoursNourrirBisonsDaims)</f>
        <v>0</v>
      </c>
      <c r="DZ66" s="441">
        <f t="array" ref="DZ66">IF(ChoixRationComplèteDaims=OUI,0,IFERROR(IF(OR(AND(INDEX(Règles_daims[Specificite],MATCH(ChoixRationDaims&amp;DV66,Règles_daims[Ration]&amp;Règles_daims[Aliment],0))="s1",IF(DV66=Spécificité1Daims,1)),
AND(INDEX(Règles_daims[Specificite],MATCH(ChoixRationDaims&amp;DV66,Règles_daims[Ration]&amp;Règles_daims[Aliment],0))="s2",IF(DV66=Spécificité2Daims,1)),
INDEX(Règles_daims[Specificite],MATCH(ChoixRationDaims&amp;DV66,Règles_daims[Ration]&amp;Règles_daims[Aliment],0))="c"),
INDEX(Règles_daims[Valeur 12-18],MATCH(ChoixRationDaims&amp;DV66,Règles_daims[Ration]&amp;Règles_daims[Aliment],0)),0),0)*SUM(TotalDaims12_18)*NbreJoursNourrirBisonsDaims)</f>
        <v>0</v>
      </c>
      <c r="EA66" s="441">
        <f t="array" ref="EA66">IF(ChoixRationComplèteDaims=OUI,0,IFERROR(IF(OR(AND(INDEX(Règles_daims[Specificite],MATCH(ChoixRationDaims&amp;DV66,Règles_daims[Ration]&amp;Règles_daims[Aliment],0))="s1",IF(DV66=Spécificité1Daims,1)),
AND(INDEX(Règles_daims[Specificite],MATCH(ChoixRationDaims&amp;DV66,Règles_daims[Ration]&amp;Règles_daims[Aliment],0))="s2",IF(DV66=Spécificité2Daims,1)),
INDEX(Règles_daims[Specificite],MATCH(ChoixRationDaims&amp;DV66,Règles_daims[Ration]&amp;Règles_daims[Aliment],0))="c"),
INDEX(Règles_daims[Valeur 6-12],MATCH(ChoixRationDaims&amp;DV66,Règles_daims[Ration]&amp;Règles_daims[Aliment],0)),0),0)*SUM(TotalDaims6_12)*NbreJoursNourrirBisonsDaims)</f>
        <v>0</v>
      </c>
      <c r="EB66" s="441">
        <f t="array" ref="EB66">IF(ChoixRationComplèteDaims=OUI,0,IFERROR(IF(OR(AND(INDEX(Règles_daims[Specificite],MATCH(ChoixRationDaims&amp;DV66,Règles_daims[Ration]&amp;Règles_daims[Aliment],0))="s1",IF(DV66=Spécificité1Daims,1)),
AND(INDEX(Règles_daims[Specificite],MATCH(ChoixRationDaims&amp;DV66,Règles_daims[Ration]&amp;Règles_daims[Aliment],0))="s2",IF(DV66=Spécificité2Daims,1)),
INDEX(Règles_daims[Specificite],MATCH(ChoixRationDaims&amp;DV66,Règles_daims[Ration]&amp;Règles_daims[Aliment],0))="c"),
INDEX(Règles_daims[Valeur 3-6],MATCH(ChoixRationDaims&amp;DV66,Règles_daims[Ration]&amp;Règles_daims[Aliment],0)),0),0)*SUM(TotalDaims3_6)*NbreJoursNourrirBisonsDaims)</f>
        <v>0</v>
      </c>
      <c r="EC66" s="441">
        <f t="array" ref="EC66">IF(ChoixRationComplèteDaims=OUI,0,IFERROR(IF(OR(AND(INDEX(Règles_daims[Specificite],MATCH(ChoixRationDaims&amp;DV66,Règles_daims[Ration]&amp;Règles_daims[Aliment],0))="s1",IF(DV66=Spécificité1Daims,1)),
AND(INDEX(Règles_daims[Specificite],MATCH(ChoixRationDaims&amp;DV66,Règles_daims[Ration]&amp;Règles_daims[Aliment],0))="s2",IF(DV66=Spécificité2Daims,1)),
INDEX(Règles_daims[Specificite],MATCH(ChoixRationDaims&amp;DV66,Règles_daims[Ration]&amp;Règles_daims[Aliment],0))="c"),
INDEX(Règles_daims[Valeur 0-3],MATCH(ChoixRationDaims&amp;DV66,Règles_daims[Ration]&amp;Règles_daims[Aliment],0)),0),0)*SUM(TotalDaims0_3)*NbreJoursNourrirBisonsDaims)</f>
        <v>0</v>
      </c>
      <c r="ED66" s="441">
        <f t="shared" si="9"/>
        <v>0</v>
      </c>
      <c r="EG66" s="420" t="s">
        <v>233</v>
      </c>
      <c r="EH66" s="433">
        <f t="array" ref="EH6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66" s="433">
        <f t="array" ref="EI6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66" s="433">
        <f t="array" ref="EJ6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66" s="434">
        <f>SUM(AlimentsRationOiesMâles[[#This Row],[Valeur 6 et plus]:[Valeur 0-3]])</f>
        <v>0</v>
      </c>
      <c r="EL66" s="316"/>
      <c r="EN66" s="420" t="s">
        <v>168</v>
      </c>
      <c r="EO66" s="433">
        <f t="array" ref="EO66">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66" s="433">
        <f t="array" ref="EP66">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66" s="433">
        <f t="array" ref="EQ66">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66" s="434">
        <f>SUM(Ration_canards_Mâles[[#This Row],[Valeur 6 et plus]:[Valeur 0-3]])</f>
        <v>0</v>
      </c>
      <c r="ES66" s="316"/>
      <c r="EU66" s="457" t="s">
        <v>499</v>
      </c>
      <c r="EV66" s="458">
        <f t="array" ref="EV66">IF(OR(ChoixRationComplèteEtéChevauxSelle=OUI,ChoixRationComplèteEtéChevauxSelle="",AND(ChoixChevauxSellePréHiver=OUI,ChoixChevauxSellePréEté=OUI)),0,IFERROR(IF(OR(AND(INDEX(Règles_chevaux_selle[Specificite],MATCH(RationEtéChevauxSelle&amp;$EU66,Règles_chevaux_selle[Ration]&amp;Règles_chevaux_selle[Aliment],0))="s1",IF($EU66=Spécificité1ChevauxSelle,1)),
AND(INDEX(Règles_chevaux_selle[Specificite],MATCH(RationEtéChevauxSelle&amp;$EU66,Règles_chevaux_selle[Ration]&amp;Règles_chevaux_selle[Aliment],0))="s2",IF($EU66=Spécificité2ChevauxSelle,1)),
INDEX(Règles_chevaux_selle[Specificite],MATCH(RationEtéChevauxSelle&amp;$EU66,Règles_chevaux_selle[Ration]&amp;Règles_chevaux_selle[Aliment],0))="c"),
INDEX(Règles_chevaux_selle[Valeur 36 et plus],MATCH(RationEtéChevauxSelle&amp;$EU66,Règles_chevaux_selle[Ration]&amp;Règles_chevaux_selle[Aliment],0)),0),0)*TotalEtalonSelle*NbreJoursNourrirChevauxSelle)</f>
        <v>0</v>
      </c>
      <c r="EW66" s="458">
        <f t="array" ref="EW66">IF(OR(ChoixRationComplèteEtéChevauxSelle=OUI,ChoixRationComplèteEtéChevauxSelle="",AND(ChoixChevauxSellePréHiver=OUI,ChoixChevauxSellePréEté=OUI)),0,IFERROR(IF(OR(AND(INDEX(Règles_chevaux_selle[Specificite],MATCH(RationEtéChevauxSelle&amp;$EU66,Règles_chevaux_selle[Ration]&amp;Règles_chevaux_selle[Aliment],0))="s1",IF($EU66=Spécificité1ChevauxSelle,1)),
AND(INDEX(Règles_chevaux_selle[Specificite],MATCH(RationEtéChevauxSelle&amp;$EU66,Règles_chevaux_selle[Ration]&amp;Règles_chevaux_selle[Aliment],0))="s2",IF($EU66=Spécificité2ChevauxSelle,1)),
INDEX(Règles_chevaux_selle[Specificite],MATCH(RationEtéChevauxSelle&amp;$EU66,Règles_chevaux_selle[Ration]&amp;Règles_chevaux_selle[Aliment],0))="c"),
INDEX(Règles_chevaux_selle[Valeur 24-36],MATCH(RationEtéChevauxSelle&amp;$EU66,Règles_chevaux_selle[Ration]&amp;Règles_chevaux_selle[Aliment],0)),0),0)*TotalJeuneEtalonSelle_24_36_mois*NbreJoursNourrirChevauxSelle)</f>
        <v>0</v>
      </c>
      <c r="EX66" s="458">
        <f t="array" ref="EX66">IF(OR(ChoixRationComplèteEtéChevauxSelle=OUI,ChoixRationComplèteEtéChevauxSelle="",AND(ChoixChevauxSellePréHiver=OUI,ChoixChevauxSellePréEté=OUI)),0,IFERROR(IF(OR(AND(INDEX(Règles_chevaux_selle[Specificite],MATCH(RationEtéChevauxSelle&amp;$EU66,Règles_chevaux_selle[Ration]&amp;Règles_chevaux_selle[Aliment],0))="s1",IF($EU66=Spécificité1ChevauxSelle,1)),
AND(INDEX(Règles_chevaux_selle[Specificite],MATCH(RationEtéChevauxSelle&amp;$EU66,Règles_chevaux_selle[Ration]&amp;Règles_chevaux_selle[Aliment],0))="s2",IF($EU66=Spécificité2ChevauxSelle,1)),
INDEX(Règles_chevaux_selle[Specificite],MATCH(RationEtéChevauxSelle&amp;$EU66,Règles_chevaux_selle[Ration]&amp;Règles_chevaux_selle[Aliment],0))="c"),
INDEX(Règles_chevaux_selle[Valeur 12-24],MATCH(RationEtéChevauxSelle&amp;$EU66,Règles_chevaux_selle[Ration]&amp;Règles_chevaux_selle[Aliment],0)),0),0)*TotalJeuneEtalonSelle_12_24_mois*NbreJoursNourrirChevauxSelle)</f>
        <v>0</v>
      </c>
      <c r="EY66" s="460">
        <f t="array" ref="EY66">IF(OR(ChoixRationComplèteEtéChevauxSelle=OUI,ChoixRationComplèteEtéChevauxSelle="",AND(ChoixChevauxSellePréHiver=OUI,ChoixChevauxSellePréEté=OUI)),0,IFERROR(IF(OR(AND(INDEX(Règles_chevaux_selle[Specificite],MATCH(RationEtéChevauxSelle&amp;$EU66,Règles_chevaux_selle[Ration]&amp;Règles_chevaux_selle[Aliment],0))="s1",IF($EU66=Spécificité1ChevauxSelle,1)),
AND(INDEX(Règles_chevaux_selle[Specificite],MATCH(RationEtéChevauxSelle&amp;$EU66,Règles_chevaux_selle[Ration]&amp;Règles_chevaux_selle[Aliment],0))="s2",IF($EU66=Spécificité2ChevauxSelle,1)),
INDEX(Règles_chevaux_selle[Specificite],MATCH(RationEtéChevauxSelle&amp;$EU66,Règles_chevaux_selle[Ration]&amp;Règles_chevaux_selle[Aliment],0))="c"),
INDEX(Règles_chevaux_selle[Valeur 0-12],MATCH(RationEtéChevauxSelle&amp;$EU66,Règles_chevaux_selle[Ration]&amp;Règles_chevaux_selle[Aliment],0)),0),0)*TotalPoulainSelle_0_12_mois*NbreJoursNourrirChevauxSelle)</f>
        <v>0</v>
      </c>
      <c r="EZ66" s="460">
        <f t="shared" si="16"/>
        <v>0</v>
      </c>
      <c r="FA66" s="298"/>
      <c r="FB66" s="298"/>
      <c r="FD66" s="457" t="s">
        <v>265</v>
      </c>
      <c r="FE66" s="458">
        <f t="array" ref="FE66">IF(OR(ChoixRationComplèteEtéChevauxTrait=OUI,ChoixRationComplèteEtéChevauxTrait="",AND(ChoixChevauxTraitPréHiver=OUI,ChoixChevauxTraitPréEté=OUI)),0,IFERROR(IF(OR(AND(INDEX(Règles_chevaux_trait[Specificite],MATCH(RationEtéChevauxTrait&amp;$FD66,Règles_chevaux_trait[Ration]&amp;Règles_chevaux_trait[Aliment],0))="s1",IF($FD66=Spécificité1ChevauxTrait,1)),
AND(INDEX(Règles_chevaux_trait[Specificite],MATCH(RationEtéChevauxTrait&amp;$FD66,Règles_chevaux_trait[Ration]&amp;Règles_chevaux_trait[Aliment],0))="s2",IF($FD66=Spécificité2ChevauxTrait,1)),
INDEX(Règles_chevaux_trait[Specificite],MATCH(RationEtéChevauxTrait&amp;$FD66,Règles_chevaux_trait[Ration]&amp;Règles_chevaux_trait[Aliment],0))="c"),
INDEX(Règles_chevaux_trait[Valeur 36 et plus],MATCH(RationEtéChevauxTrait&amp;$FD66,Règles_chevaux_trait[Ration]&amp;Règles_chevaux_trait[Aliment],0)),0),0)*TotalEtalonTrait*NbreJoursNourrirChevauxTrait)</f>
        <v>0</v>
      </c>
      <c r="FF66" s="458">
        <f t="array" ref="FF66">IF(OR(ChoixRationComplèteEtéChevauxTrait=OUI,ChoixRationComplèteEtéChevauxTrait="",AND(ChoixChevauxTraitPréHiver=OUI,ChoixChevauxTraitPréEté=OUI)),0,IFERROR(IF(OR(AND(INDEX(Règles_chevaux_trait[Specificite],MATCH(RationEtéChevauxTrait&amp;$FD66,Règles_chevaux_trait[Ration]&amp;Règles_chevaux_trait[Aliment],0))="s1",IF($FD66=Spécificité1ChevauxTrait,1)),
AND(INDEX(Règles_chevaux_trait[Specificite],MATCH(RationEtéChevauxTrait&amp;$FD66,Règles_chevaux_trait[Ration]&amp;Règles_chevaux_trait[Aliment],0))="s2",IF($FD66=Spécificité2ChevauxTrait,1)),
INDEX(Règles_chevaux_trait[Specificite],MATCH(RationEtéChevauxTrait&amp;$FD66,Règles_chevaux_trait[Ration]&amp;Règles_chevaux_trait[Aliment],0))="c"),
INDEX(Règles_chevaux_trait[Valeur 24-36],MATCH(RationEtéChevauxTrait&amp;$FD66,Règles_chevaux_trait[Ration]&amp;Règles_chevaux_trait[Aliment],0)),0),0)*TotalJeuneEtalonTrait_24_36_mois*NbreJoursNourrirChevauxTrait)</f>
        <v>0</v>
      </c>
      <c r="FG66" s="458">
        <f t="array" ref="FG66">IF(OR(ChoixRationComplèteEtéChevauxTrait=OUI,ChoixRationComplèteEtéChevauxTrait="",AND(ChoixChevauxTraitPréHiver=OUI,ChoixChevauxTraitPréEté=OUI)),0,IFERROR(IF(OR(AND(INDEX(Règles_chevaux_trait[Specificite],MATCH(RationEtéChevauxTrait&amp;$FD66,Règles_chevaux_trait[Ration]&amp;Règles_chevaux_trait[Aliment],0))="s1",IF($FD66=Spécificité1ChevauxTrait,1)),
AND(INDEX(Règles_chevaux_trait[Specificite],MATCH(RationEtéChevauxTrait&amp;$FD66,Règles_chevaux_trait[Ration]&amp;Règles_chevaux_trait[Aliment],0))="s2",IF($FD66=Spécificité2ChevauxTrait,1)),
INDEX(Règles_chevaux_trait[Specificite],MATCH(RationEtéChevauxTrait&amp;$FD66,Règles_chevaux_trait[Ration]&amp;Règles_chevaux_trait[Aliment],0))="c"),
INDEX(Règles_chevaux_trait[Valeur 12-24],MATCH(RationEtéChevauxTrait&amp;$FD66,Règles_chevaux_trait[Ration]&amp;Règles_chevaux_trait[Aliment],0)),0),0)*TotalJeuneEtalonTrait_12_24_mois*NbreJoursNourrirChevauxTrait)</f>
        <v>0</v>
      </c>
      <c r="FH66" s="460">
        <f t="array" ref="FH66">IF(OR(ChoixRationComplèteEtéChevauxTrait=OUI,ChoixRationComplèteEtéChevauxTrait="",AND(ChoixChevauxTraitPréHiver=OUI,ChoixChevauxTraitPréEté=OUI)),0,IFERROR(IF(OR(AND(INDEX(Règles_chevaux_trait[Specificite],MATCH(RationEtéChevauxTrait&amp;$FD66,Règles_chevaux_trait[Ration]&amp;Règles_chevaux_trait[Aliment],0))="s1",IF($FD66=Spécificité1ChevauxTrait,1)),
AND(INDEX(Règles_chevaux_trait[Specificite],MATCH(RationEtéChevauxTrait&amp;$FD66,Règles_chevaux_trait[Ration]&amp;Règles_chevaux_trait[Aliment],0))="s2",IF($FD66=Spécificité2ChevauxTrait,1)),
INDEX(Règles_chevaux_trait[Specificite],MATCH(RationEtéChevauxTrait&amp;$FD66,Règles_chevaux_trait[Ration]&amp;Règles_chevaux_trait[Aliment],0))="c"),
INDEX(Règles_chevaux_trait[Valeur 0-12],MATCH(RationEtéChevauxTrait&amp;$FD66,Règles_chevaux_trait[Ration]&amp;Règles_chevaux_trait[Aliment],0)),0),0)*TotalPoulainTrait_0_12_mois*NbreJoursNourrirChevauxTrait)</f>
        <v>0</v>
      </c>
      <c r="FI66" s="460">
        <f t="shared" si="15"/>
        <v>0</v>
      </c>
      <c r="FJ66" s="298"/>
      <c r="FK66" s="298"/>
      <c r="FL66" s="298"/>
      <c r="FM66" s="282"/>
      <c r="FN66" s="457" t="s">
        <v>233</v>
      </c>
      <c r="FO66" s="458">
        <f t="array" ref="FO66">IF(OR(ChoixRationComplèteEtéPoneys=OUI,ChoixRationComplèteEtéPoneys="",AND(ChoixPoneysPréHiver=OUI,ChoixPoneysPréEté=OUI)),0,IFERROR(IF(OR(AND(INDEX(Règles_poneys[Specificite],MATCH(RationEtéPoneys&amp;$FN66,Règles_poneys[Ration]&amp;Règles_poneys[Aliment],0))="s1",IF($FN66=Spécificité1Poneys,1)),
AND(INDEX(Règles_poneys[Specificite],MATCH(RationEtéPoneys&amp;$FN66,Règles_poneys[Ration]&amp;Règles_poneys[Aliment],0))="s2",IF($FN66=Spécificité2Poneys,1)),
INDEX(Règles_poneys[Specificite],MATCH(RationEtéPoneys&amp;$FN66,Règles_poneys[Ration]&amp;Règles_poneys[Aliment],0))="c"),
INDEX(Règles_poneys[Valeur 36 et plus],MATCH(RationEtéPoneys&amp;$FN66,Règles_poneys[Ration]&amp;Règles_poneys[Aliment],0)),0),0)*TotalEtalonPoney*NbreJoursNourrirPoneys)</f>
        <v>0</v>
      </c>
      <c r="FP66" s="458">
        <f t="array" ref="FP66">IF(OR(ChoixRationComplèteEtéPoneys=OUI,ChoixRationComplèteEtéPoneys="",AND(ChoixPoneysPréHiver=OUI,ChoixPoneysPréEté=OUI)),0,IFERROR(IF(OR(AND(INDEX(Règles_poneys[Specificite],MATCH(RationEtéPoneys&amp;$FN66,Règles_poneys[Ration]&amp;Règles_poneys[Aliment],0))="s1",IF($FN66=Spécificité1Poneys,1)),
AND(INDEX(Règles_poneys[Specificite],MATCH(RationEtéPoneys&amp;$FN66,Règles_poneys[Ration]&amp;Règles_poneys[Aliment],0))="s2",IF($FN66=Spécificité2Poneys,1)),
INDEX(Règles_poneys[Specificite],MATCH(RationEtéPoneys&amp;$FN66,Règles_poneys[Ration]&amp;Règles_poneys[Aliment],0))="c"),
INDEX(Règles_poneys[Valeur 36 et plus],MATCH(RationEtéPoneys&amp;$FN66,Règles_poneys[Ration]&amp;Règles_poneys[Aliment],0)),0),0)*TotalJeuneEtalonPoney_24_36_mois*NbreJoursNourrirPoneys)</f>
        <v>0</v>
      </c>
      <c r="FQ66" s="458">
        <f t="array" ref="FQ66">IF(OR(ChoixRationComplèteEtéPoneys=OUI,ChoixRationComplèteEtéPoneys="",AND(ChoixPoneysPréHiver=OUI,ChoixPoneysPréEté=OUI)),0,IFERROR(IF(OR(AND(INDEX(Règles_poneys[Specificite],MATCH(RationEtéPoneys&amp;$FN66,Règles_poneys[Ration]&amp;Règles_poneys[Aliment],0))="s1",IF($FN66=Spécificité1Poneys,1)),
AND(INDEX(Règles_poneys[Specificite],MATCH(RationEtéPoneys&amp;$FN66,Règles_poneys[Ration]&amp;Règles_poneys[Aliment],0))="s2",IF($FN66=Spécificité2Poneys,1)),
INDEX(Règles_poneys[Specificite],MATCH(RationEtéPoneys&amp;$FN66,Règles_poneys[Ration]&amp;Règles_poneys[Aliment],0))="c"),
INDEX(Règles_poneys[Valeur 36 et plus],MATCH(RationEtéPoneys&amp;$FN66,Règles_poneys[Ration]&amp;Règles_poneys[Aliment],0)),0),0)*TotalJeuneEtalonPoney_12_24_mois*NbreJoursNourrirPoneys)</f>
        <v>0</v>
      </c>
      <c r="FR66" s="460">
        <f t="array" ref="FR66">IF(OR(ChoixRationComplèteEtéPoneys=OUI,ChoixRationComplèteEtéPoneys="",AND(ChoixPoneysPréHiver=OUI,ChoixPoneysPréEté=OUI)),0,IFERROR(IF(OR(AND(INDEX(Règles_poneys[Specificite],MATCH(RationEtéPoneys&amp;$FN66,Règles_poneys[Ration]&amp;Règles_poneys[Aliment],0))="s1",IF($FN66=Spécificité1Poneys,1)),
AND(INDEX(Règles_poneys[Specificite],MATCH(RationEtéPoneys&amp;$FN66,Règles_poneys[Ration]&amp;Règles_poneys[Aliment],0))="s2",IF($FN66=Spécificité2Poneys,1)),
INDEX(Règles_poneys[Specificite],MATCH(RationEtéPoneys&amp;$FN66,Règles_poneys[Ration]&amp;Règles_poneys[Aliment],0))="c"),
INDEX(Règles_poneys[Valeur 36 et plus],MATCH(RationEtéPoneys&amp;$FN66,Règles_poneys[Ration]&amp;Règles_poneys[Aliment],0)),0),0)*TotalPoulainPoney_0_12_mois*NbreJoursNourrirPoneys)</f>
        <v>0</v>
      </c>
      <c r="FS66" s="460">
        <f t="shared" si="14"/>
        <v>0</v>
      </c>
      <c r="FT66" s="298"/>
      <c r="FU66" s="298"/>
      <c r="FV66" s="298"/>
      <c r="FW66" s="443" t="s">
        <v>59</v>
      </c>
      <c r="FX66" s="450">
        <f t="array" ref="FX66">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66" s="450">
        <f t="array" ref="FY66">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66" s="450">
        <f t="array" ref="FZ66">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66" s="450">
        <f t="array" ref="GA66">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66" s="451">
        <f>SUM(AlimentsGavageOies[[#This Row],[Valeur 6 et plus]:[Valeur 0-1]])</f>
        <v>0</v>
      </c>
      <c r="GC66" s="316"/>
      <c r="GE66" s="280" t="s">
        <v>2</v>
      </c>
      <c r="GF66" s="283"/>
      <c r="GG66" s="283" t="s">
        <v>955</v>
      </c>
      <c r="GH66" s="283" t="s">
        <v>955</v>
      </c>
      <c r="GI66" s="283" t="s">
        <v>955</v>
      </c>
      <c r="GJ66" s="283" t="s">
        <v>955</v>
      </c>
      <c r="GK66" s="283" t="s">
        <v>955</v>
      </c>
      <c r="GL66" s="283" t="s">
        <v>955</v>
      </c>
      <c r="GM66" s="283" t="s">
        <v>955</v>
      </c>
      <c r="GN66" s="283" t="s">
        <v>955</v>
      </c>
      <c r="GO66" s="283" t="s">
        <v>955</v>
      </c>
      <c r="GP66" s="283" t="s">
        <v>955</v>
      </c>
      <c r="GQ66" s="283" t="s">
        <v>955</v>
      </c>
      <c r="GR66" s="283" t="s">
        <v>955</v>
      </c>
      <c r="GS66" s="283" t="s">
        <v>955</v>
      </c>
      <c r="GT66" s="283" t="s">
        <v>955</v>
      </c>
      <c r="GU66" s="283" t="s">
        <v>955</v>
      </c>
      <c r="GV66" s="283" t="s">
        <v>955</v>
      </c>
      <c r="GY66" s="444" t="str">
        <f t="shared" si="11"/>
        <v>semences de miscanthus</v>
      </c>
      <c r="GZ66" s="444"/>
      <c r="HA66" s="342"/>
      <c r="HB66" s="342" t="e">
        <f>IF(COUNTIF(TypeArticleDansEntrepôt,GY66)=0,0,SUMIF(TypeArticleDansEntrepôt,GY66,QtéArticleDansEntrepôt)*VLOOKUP(GY66,#REF!,2,FALSE))</f>
        <v>#REF!</v>
      </c>
      <c r="HN66" s="342" t="e">
        <f>IF(#REF!="","",(VLOOKUP(#REF!,BDD!$HN$5:$HU$38,2,FALSE))*#REF!)</f>
        <v>#REF!</v>
      </c>
      <c r="HO66" s="342" t="e">
        <f>IF(#REF!="","",IF(OR(#REF!=Moutarde,#REF!=Phacélie),0,IF(#REF!=Luzerne,10*#REF!*VLOOKUP(#REF!,BDD!$HN$5:$HU$38,3,FALSE),IF(#REF!=Miscanthus,10.5*#REF!*VLOOKUP(#REF!,BDD!$HN$5:$HU$38,3,FALSE),INDEX(#REF!:#REF!,MATCH(#REF!,#REF!:#REF!,0),MATCH(#REF!,#REF!:#REF!,0))*#REF!*VLOOKUP(#REF!,BDD!$HN$5:$HU$38,3,FALSE)))))</f>
        <v>#REF!</v>
      </c>
      <c r="HP66" s="342" t="e">
        <f>IF(#REF!="","",IF(OR(#REF!=Moutarde,#REF!=Phacélie),0,IF(#REF!=Luzerne,10*#REF!*VLOOKUP(#REF!,BDD!$HN$5:$HU$38,4,FALSE),IF(#REF!=Miscanthus,10.5*#REF!*VLOOKUP(#REF!,BDD!$HN$5:$HU$38,4,FALSE),INDEX(#REF!:#REF!,MATCH(#REF!,#REF!:#REF!,0),MATCH(#REF!,#REF!:#REF!,0))*#REF!*VLOOKUP(#REF!,BDD!$HN$5:$HU$38,4,FALSE)))))</f>
        <v>#REF!</v>
      </c>
      <c r="HQ66" s="342" t="e">
        <f>IF(#REF!="","",IF(OR(#REF!=Moutarde,#REF!=Phacélie),0,IF(#REF!=Luzerne,10*#REF!*VLOOKUP(#REF!,BDD!$HN$5:$HU$38,5,FALSE),IF(#REF!=Miscanthus,10.5*#REF!*VLOOKUP(#REF!,BDD!$HN$5:$HU$38,5,FALSE),INDEX(#REF!:#REF!,MATCH(#REF!,#REF!:#REF!,0),MATCH(#REF!,#REF!:#REF!,0))*#REF!*VLOOKUP(#REF!,BDD!$HN$5:$HU$38,5,FALSE)))))</f>
        <v>#REF!</v>
      </c>
      <c r="HR66" s="342" t="e">
        <f>IF(#REF!="","",IF(OR(#REF!=Moutarde,#REF!=Phacélie),0,IF(#REF!=Luzerne,10*#REF!*VLOOKUP(#REF!,BDD!$HN$5:$HU$38,6,FALSE),IF(#REF!=Miscanthus,10.5*#REF!*VLOOKUP(#REF!,BDD!$HN$5:$HU$38,6,FALSE),INDEX(#REF!:#REF!,MATCH(#REF!,#REF!:#REF!,0),MATCH(#REF!,#REF!:#REF!,0))*#REF!*VLOOKUP(#REF!,BDD!$HN$5:$HU$38,6,FALSE)))))</f>
        <v>#REF!</v>
      </c>
      <c r="HS66" s="342" t="e">
        <f>IF(#REF!="","",IF(OR(#REF!=Moutarde,#REF!=Phacélie),0,IF(#REF!=Luzerne,10*#REF!*VLOOKUP(#REF!,BDD!$HN$5:$HU$38,7,FALSE),IF(#REF!=Miscanthus,10.5*#REF!*VLOOKUP(#REF!,BDD!$HN$5:$HU$38,7,FALSE),INDEX(#REF!:#REF!,MATCH(#REF!,#REF!:#REF!,0),MATCH(#REF!,#REF!:#REF!,0))*#REF!*VLOOKUP(#REF!,BDD!$HN$5:$HU$38,7,FALSE)))))</f>
        <v>#REF!</v>
      </c>
      <c r="HT66" s="342" t="e">
        <f>IF(#REF!="","",IF(OR(#REF!=Moutarde,#REF!=Phacélie),0,IF(#REF!=Luzerne,10*#REF!*VLOOKUP(#REF!,BDD!$HN$5:$HU$38,8,FALSE),IF(#REF!=Miscanthus,10.5*#REF!*VLOOKUP(#REF!,BDD!$HN$5:$HU$38,8,FALSE),INDEX(#REF!:#REF!,MATCH(#REF!,#REF!:#REF!,0),MATCH(#REF!,#REF!:#REF!,0))*#REF!*VLOOKUP(#REF!,BDD!$HN$5:$HU$38,8,FALSE)))))</f>
        <v>#REF!</v>
      </c>
      <c r="HU66" s="342" t="e">
        <f>IF(#REF!="","",IF(OR(#REF!=Moutarde,#REF!=Phacélie),0,1.6*#REF!))</f>
        <v>#REF!</v>
      </c>
      <c r="HV66" s="342" t="e">
        <f>IF(#REF!="","",IF(OR(#REF!=Moutarde,#REF!=Phacélie),0,1.6*#REF!))</f>
        <v>#REF!</v>
      </c>
      <c r="HW66" s="342" t="e">
        <f>IF(#REF!="","",IF(OR(#REF!=Moutarde,#REF!=Phacélie),0,1.6*#REF!))</f>
        <v>#REF!</v>
      </c>
      <c r="HX66" s="342" t="e">
        <f>IF(#REF!="","",(VLOOKUP(#REF!,BDD!$HN$5:$HU$38,2,FALSE))*#REF!)</f>
        <v>#REF!</v>
      </c>
      <c r="HY66" s="342" t="e">
        <f>IF(#REF!="","",IF(OR(#REF!=Moutarde,#REF!=Phacélie),0,IF(#REF!=Luzerne,10*#REF!*VLOOKUP(#REF!,BDD!$HN$5:$HU$38,3,FALSE),IF(#REF!=Miscanthus,10.5*#REF!*VLOOKUP(#REF!,BDD!$HN$5:$HU$38,3,FALSE),INDEX(#REF!:#REF!,MATCH(#REF!,#REF!:#REF!,0),MATCH(#REF!,#REF!:#REF!,0))*#REF!*VLOOKUP(#REF!,BDD!$HN$5:$HU$38,3,FALSE)))))</f>
        <v>#REF!</v>
      </c>
      <c r="HZ66" s="342" t="e">
        <f>IF(#REF!="","",IF(OR(#REF!=Moutarde,#REF!=Phacélie),0,IF(#REF!=Luzerne,10*#REF!*VLOOKUP(#REF!,BDD!$HN$5:$HU$38,4,FALSE),IF(#REF!=Miscanthus,10.5*#REF!*VLOOKUP(#REF!,BDD!$HN$5:$HU$38,4,FALSE),INDEX(#REF!:#REF!,MATCH(#REF!,#REF!:#REF!,0),MATCH(#REF!,#REF!:#REF!,0))*#REF!*VLOOKUP(#REF!,BDD!$HN$5:$HU$38,4,FALSE)))))</f>
        <v>#REF!</v>
      </c>
      <c r="IA66" s="342" t="e">
        <f>IF(#REF!="","",IF(OR(#REF!=Moutarde,#REF!=Phacélie),0,IF(#REF!=Luzerne,10*#REF!*VLOOKUP(#REF!,BDD!$HN$5:$HU$38,5,FALSE),IF(#REF!=Miscanthus,10.5*#REF!*VLOOKUP(#REF!,BDD!$HN$5:$HU$38,5,FALSE),INDEX(#REF!:#REF!,MATCH(#REF!,#REF!:#REF!,0),MATCH(#REF!,#REF!:#REF!,0))*#REF!*VLOOKUP(#REF!,BDD!$HN$5:$HU$38,5,FALSE)))))</f>
        <v>#REF!</v>
      </c>
      <c r="IB66" s="342" t="e">
        <f>IF(#REF!="","",IF(OR(#REF!=Moutarde,#REF!=Phacélie),0,IF(#REF!=Luzerne,10*#REF!*VLOOKUP(#REF!,BDD!$HN$5:$HU$38,6,FALSE),IF(#REF!=Miscanthus,10.5*#REF!*VLOOKUP(#REF!,BDD!$HN$5:$HU$38,6,FALSE),INDEX(#REF!:#REF!,MATCH(#REF!,#REF!:#REF!,0),MATCH(#REF!,#REF!:#REF!,0))*#REF!*VLOOKUP(#REF!,BDD!$HN$5:$HU$38,6,FALSE)))))</f>
        <v>#REF!</v>
      </c>
      <c r="IC66" s="342" t="e">
        <f>IF(#REF!="","",IF(OR(#REF!=Moutarde,#REF!=Phacélie),0,IF(#REF!=Luzerne,10*#REF!*VLOOKUP(#REF!,BDD!$HN$5:$HU$38,7,FALSE),IF(#REF!=Miscanthus,10.5*#REF!*VLOOKUP(#REF!,BDD!$HN$5:$HU$38,7,FALSE),INDEX(#REF!:#REF!,MATCH(#REF!,#REF!:#REF!,0),MATCH(#REF!,#REF!:#REF!,0))*#REF!*VLOOKUP(#REF!,BDD!$HN$5:$HU$38,7,FALSE)))))</f>
        <v>#REF!</v>
      </c>
      <c r="ID66" s="342" t="e">
        <f>IF(#REF!="","",IF(OR(#REF!=Moutarde,#REF!=Phacélie),0,IF(#REF!=Luzerne,10*#REF!*VLOOKUP(#REF!,BDD!$HN$5:$HU$38,8,FALSE),IF(#REF!=Miscanthus,10.5*#REF!*VLOOKUP(#REF!,BDD!$HN$5:$HU$38,8,FALSE),INDEX(#REF!:#REF!,MATCH(#REF!,#REF!:#REF!,0),MATCH(#REF!,#REF!:#REF!,0))*#REF!*VLOOKUP(#REF!,BDD!$HN$5:$HU$38,8,FALSE)))))</f>
        <v>#REF!</v>
      </c>
      <c r="IE66" s="342" t="e">
        <f>IF(#REF!="","",IF(OR(#REF!=Moutarde,#REF!=Phacélie),0,1.6*#REF!))</f>
        <v>#REF!</v>
      </c>
      <c r="IF66" s="342" t="e">
        <f>IF(#REF!="","",IF(OR(#REF!=Moutarde,#REF!=Phacélie),0,1.6*#REF!))</f>
        <v>#REF!</v>
      </c>
      <c r="IG66" s="342" t="e">
        <f>IF(#REF!="","",IF(OR(#REF!=Moutarde,#REF!=Phacélie),0,1.6*#REF!))</f>
        <v>#REF!</v>
      </c>
    </row>
    <row r="67" spans="1:241" ht="12.75" customHeight="1" x14ac:dyDescent="0.2">
      <c r="A67" s="373"/>
      <c r="B67" s="380"/>
      <c r="N67" s="277"/>
      <c r="BB67" s="387" t="s">
        <v>509</v>
      </c>
      <c r="BC67" s="362" t="s">
        <v>57</v>
      </c>
      <c r="BD67" s="362" t="s">
        <v>888</v>
      </c>
      <c r="BE67" s="388">
        <v>4.8</v>
      </c>
      <c r="BF67" s="388">
        <v>4</v>
      </c>
      <c r="BG67" s="388">
        <v>4</v>
      </c>
      <c r="BH67" s="388">
        <v>4</v>
      </c>
      <c r="BI67" s="388">
        <v>2</v>
      </c>
      <c r="BJ67" s="388">
        <v>1.2</v>
      </c>
      <c r="BK67" s="389">
        <v>0</v>
      </c>
      <c r="BL67" s="312"/>
      <c r="BM67" s="350" t="s">
        <v>908</v>
      </c>
      <c r="BN67" s="350">
        <f t="array" ref="BN67">IF(Ration_hivernale_complète_bisons[somme]&gt;0,0,IFERROR(IF(OR(AND(INDEX(Règles_bison[Specificite],MATCH(ChoixRationBisons&amp;$BM67,Règles_bison[Ration]&amp;Règles_bison[Aliment],0))="s1",IF($BM67=ChoixSpécificité1Bisons,1)),
INDEX(Règles_bison[Specificite],MATCH(ChoixRationBisons&amp;$BM67,Règles_bison[Ration]&amp;Règles_bison[Aliment],0))="c"),
INDEX(Règles_bison[Valeur 36 et plus],MATCH(ChoixRationBisons&amp;$BM67,Règles_bison[Ration]&amp;Règles_bison[Aliment],0)),0),0)*TotalBisonsMalesAdultes*NbreJoursNourrirBisonsDaims)</f>
        <v>0</v>
      </c>
      <c r="BO67" s="350">
        <f t="array" ref="BO67">IF(Ration_hivernale_complète_bisons[somme]&gt;0,0,IFERROR(IF(OR(AND(INDEX(Règles_bison[Specificite],MATCH(ChoixRationBisons&amp;$BM67,Règles_bison[Ration]&amp;Règles_bison[Aliment],0))="s1",IF($BM67=ChoixSpécificité1Bisons,1)),
INDEX(Règles_bison[Specificite],MATCH(ChoixRationBisons&amp;$BM67,Règles_bison[Ration]&amp;Règles_bison[Aliment],0))="c"),
INDEX(Règles_bison[Valeur 24-36],MATCH(ChoixRationBisons&amp;$BM67,Règles_bison[Ration]&amp;Règles_bison[Aliment],0)),0),0)*TotalBisonsMales_24_36_mois*NbreJoursNourrirBisonsDaims)</f>
        <v>0</v>
      </c>
      <c r="BP67" s="350">
        <f t="array" ref="BP67">IF(Ration_hivernale_complète_bisons[somme]&gt;0,0,IFERROR(IF(OR(AND(INDEX(Règles_bison[Specificite],MATCH(ChoixRationBisons&amp;$BM67,Règles_bison[Ration]&amp;Règles_bison[Aliment],0))="s1",IF($BM67=ChoixSpécificité1Bisons,1)),
INDEX(Règles_bison[Specificite],MATCH(ChoixRationBisons&amp;$BM67,Règles_bison[Ration]&amp;Règles_bison[Aliment],0))="c"),
INDEX(Règles_bison[Valeur 18-24],MATCH(ChoixRationBisons&amp;$BM67,Règles_bison[Ration]&amp;Règles_bison[Aliment],0)),0),0)*TotalBisonsMales_18_24_mois*NbreJoursNourrirBisonsDaims)</f>
        <v>0</v>
      </c>
      <c r="BQ67" s="350">
        <f t="array" ref="BQ67">IF(Ration_hivernale_complète_bisons[somme]&gt;0,0,IFERROR(IF(OR(AND(INDEX(Règles_bison[Specificite],MATCH(ChoixRationBisons&amp;$BM67,Règles_bison[Ration]&amp;Règles_bison[Aliment],0))="s1",IF($BM67=ChoixSpécificité1Bisons,1)),
INDEX(Règles_bison[Specificite],MATCH(ChoixRationBisons&amp;$BM67,Règles_bison[Ration]&amp;Règles_bison[Aliment],0))="c"),
INDEX(Règles_bison[Valeur 12-18],MATCH(ChoixRationBisons&amp;$BM67,Règles_bison[Ration]&amp;Règles_bison[Aliment],0)),0),0)*TotalBisonsMales_12_18_mois*NbreJoursNourrirBisonsDaims)</f>
        <v>0</v>
      </c>
      <c r="BR67" s="350">
        <f t="array" ref="BR67">IF(Ration_hivernale_complète_bisons[somme]&gt;0,0,IFERROR(IF(OR(AND(INDEX(Règles_bison[Specificite],MATCH(ChoixRationBisons&amp;$BM67,Règles_bison[Ration]&amp;Règles_bison[Aliment],0))="s1",IF($BM67=ChoixSpécificité1Bisons,1)),
INDEX(Règles_bison[Specificite],MATCH(ChoixRationBisons&amp;$BM67,Règles_bison[Ration]&amp;Règles_bison[Aliment],0))="c"),
INDEX(Règles_bison[Valeur 6-12],MATCH(ChoixRationBisons&amp;$BM67,Règles_bison[Ration]&amp;Règles_bison[Aliment],0)),0),0)*TotalBisonsMales_6_12_mois*NbreJoursNourrirBisonsDaims)</f>
        <v>0</v>
      </c>
      <c r="BS67" s="350">
        <f t="array" ref="BS67">IF(Ration_hivernale_complète_bisons[somme]&gt;0,0,IFERROR(IF(OR(AND(INDEX(Règles_bison[Specificite],MATCH(ChoixRationBisons&amp;$BM67,Règles_bison[Ration]&amp;Règles_bison[Aliment],0))="s1",IF($BM67=ChoixSpécificité1Bisons,1)),
INDEX(Règles_bison[Specificite],MATCH(ChoixRationBisons&amp;$BM67,Règles_bison[Ration]&amp;Règles_bison[Aliment],0))="c"),
INDEX(Règles_bison[Valeur 3-6],MATCH(ChoixRationBisons&amp;$BM67,Règles_bison[Ration]&amp;Règles_bison[Aliment],0)),0),0)*TotalBisonsMales_3_6_mois*NbreJoursNourrirBisonsDaims)</f>
        <v>0</v>
      </c>
      <c r="BT67" s="350">
        <f t="array" ref="BT67">IF(Ration_hivernale_complète_bisons[somme]&gt;0,0,IFERROR(IF(OR(AND(INDEX(Règles_bison[Specificite],MATCH(ChoixRationBisons&amp;$BM67,Règles_bison[Ration]&amp;Règles_bison[Aliment],0))="s1",IF($BM67=ChoixSpécificité1Bisons,1)),
INDEX(Règles_bison[Specificite],MATCH(ChoixRationBisons&amp;$BM67,Règles_bison[Ration]&amp;Règles_bison[Aliment],0))="c"),
INDEX(Règles_bison[Valeur 0-3],MATCH(ChoixRationBisons&amp;$BM67,Règles_bison[Ration]&amp;Règles_bison[Aliment],0)),0),0)*TotalBisonsMales_0_3_mois*NbreJoursNourrirBisonsDaims)</f>
        <v>0</v>
      </c>
      <c r="BU67" s="356">
        <f t="shared" si="10"/>
        <v>0</v>
      </c>
      <c r="BX67" s="373" t="s">
        <v>168</v>
      </c>
      <c r="BY67" s="280" t="s">
        <v>489</v>
      </c>
      <c r="BZ67" s="280" t="s">
        <v>886</v>
      </c>
      <c r="CA67" s="280">
        <v>1.6</v>
      </c>
      <c r="CB67" s="280">
        <v>1.4</v>
      </c>
      <c r="CC67" s="280">
        <v>1.2</v>
      </c>
      <c r="CD67" s="410">
        <v>1</v>
      </c>
      <c r="CE67" s="304"/>
      <c r="CF67" s="304"/>
      <c r="CG67" s="304"/>
      <c r="CH67" s="304"/>
      <c r="CJ67" s="420" t="s">
        <v>269</v>
      </c>
      <c r="CK67" s="384">
        <f t="array" ref="CK6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67" s="384">
        <f t="array" ref="CL6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67" s="384">
        <f t="array" ref="CM6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67" s="384">
        <f t="array" ref="CN6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67" s="384">
        <f t="array" ref="CO6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67" s="426">
        <f>SUM(AlimentsRationPorcinsMâles[[#This Row],[Valeur 12 et plus]:[Valeur 0-1]])</f>
        <v>0</v>
      </c>
      <c r="CS67" s="420" t="s">
        <v>513</v>
      </c>
      <c r="CT67" s="433">
        <f t="array" ref="CT67">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67" s="433">
        <f t="array" ref="CU67">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67" s="433">
        <f t="array" ref="CV67">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67" s="434">
        <f>SUM(AlimentsRationLapinsMâles[[#This Row],[Valeur 3 et plus]:[Valeur 0-1]])</f>
        <v>0</v>
      </c>
      <c r="CZ67" s="420" t="s">
        <v>513</v>
      </c>
      <c r="DA67" s="433">
        <f t="array" ref="DA6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67" s="433">
        <f t="array" ref="DB6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67" s="433">
        <f t="array" ref="DC6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67" s="434">
        <f>SUM(AlimentsRationVolaillesMâles[[#This Row],[Valeur 6 et plus]:[Valeur 0-1]])</f>
        <v>0</v>
      </c>
      <c r="DE67" s="316"/>
      <c r="DF67" s="277"/>
      <c r="DG67" s="420" t="s">
        <v>905</v>
      </c>
      <c r="DH67" s="433">
        <f t="array" ref="DH6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67" s="433">
        <f t="array" ref="DI6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67" s="433">
        <f t="array" ref="DJ6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67" s="434">
        <f>SUM(AlimentsRationPintadesMâles[[#This Row],[Valeur 9 et plus]:[Valeur 0-1]])</f>
        <v>0</v>
      </c>
      <c r="DL67" s="316"/>
      <c r="DM67" s="316"/>
      <c r="DN67" s="373" t="s">
        <v>509</v>
      </c>
      <c r="DO67" s="280" t="s">
        <v>168</v>
      </c>
      <c r="DP67" s="280" t="s">
        <v>886</v>
      </c>
      <c r="DQ67" s="310">
        <v>8</v>
      </c>
      <c r="DR67" s="310">
        <v>6</v>
      </c>
      <c r="DS67" s="310">
        <v>4</v>
      </c>
      <c r="DT67" s="439">
        <v>0</v>
      </c>
      <c r="DV67" s="350"/>
      <c r="DW67" s="351">
        <f t="array" ref="DW67">IF(ChoixRationComplèteDaims=OUI,0,IFERROR(IF(OR(AND(INDEX(Règles_daims[Specificite],MATCH(ChoixRationDaims&amp;DV67,Règles_daims[Ration]&amp;Règles_daims[Aliment],0))="s1",IF(DV67=Spécificité1Daims,1)),
AND(INDEX(Règles_daims[Specificite],MATCH(ChoixRationDaims&amp;DV67,Règles_daims[Ration]&amp;Règles_daims[Aliment],0))="s2",IF(DV67=Spécificité2Daims,1)),
INDEX(Règles_daims[Specificite],MATCH(ChoixRationDaims&amp;DV67,Règles_daims[Ration]&amp;Règles_daims[Aliment],0))="c"),
INDEX(Règles_daims[Valeur 36 et plus],MATCH(ChoixRationDaims&amp;DV67,Règles_daims[Ration]&amp;Règles_daims[Aliment],0)),0),0)*SUM(TotalDaimsAdultes)*NbreJoursNourrirBisonsDaims)</f>
        <v>0</v>
      </c>
      <c r="DX67" s="351">
        <f t="array" ref="DX67">IF(ChoixRationComplèteDaims=OUI,0,IFERROR(IF(OR(AND(INDEX(Règles_daims[Specificite],MATCH(ChoixRationDaims&amp;DV67,Règles_daims[Ration]&amp;Règles_daims[Aliment],0))="s1",IF(DV67=Spécificité1Daims,1)),
AND(INDEX(Règles_daims[Specificite],MATCH(ChoixRationDaims&amp;DV67,Règles_daims[Ration]&amp;Règles_daims[Aliment],0))="s2",IF(DV67=Spécificité2Daims,1)),
INDEX(Règles_daims[Specificite],MATCH(ChoixRationDaims&amp;DV67,Règles_daims[Ration]&amp;Règles_daims[Aliment],0))="c"),
INDEX(Règles_daims[Valeur 24-36],MATCH(ChoixRationDaims&amp;DV67,Règles_daims[Ration]&amp;Règles_daims[Aliment],0)),0),0)*SUM(TotalDaims24_36)*NbreJoursNourrirBisonsDaims)</f>
        <v>0</v>
      </c>
      <c r="DY67" s="351">
        <f t="array" ref="DY67">IF(ChoixRationComplèteDaims=OUI,0,IFERROR(IF(OR(AND(INDEX(Règles_daims[Specificite],MATCH(ChoixRationDaims&amp;DV67,Règles_daims[Ration]&amp;Règles_daims[Aliment],0))="s1",IF(DV67=Spécificité1Daims,1)),
AND(INDEX(Règles_daims[Specificite],MATCH(ChoixRationDaims&amp;DV67,Règles_daims[Ration]&amp;Règles_daims[Aliment],0))="s2",IF(DV67=Spécificité2Daims,1)),
INDEX(Règles_daims[Specificite],MATCH(ChoixRationDaims&amp;DV67,Règles_daims[Ration]&amp;Règles_daims[Aliment],0))="c"),
INDEX(Règles_daims[Valeur 18-24],MATCH(ChoixRationDaims&amp;DV67,Règles_daims[Ration]&amp;Règles_daims[Aliment],0)),0),0)*SUM(TotalDaims18_24)*NbreJoursNourrirBisonsDaims)</f>
        <v>0</v>
      </c>
      <c r="DZ67" s="441">
        <f t="array" ref="DZ67">IF(ChoixRationComplèteDaims=OUI,0,IFERROR(IF(OR(AND(INDEX(Règles_daims[Specificite],MATCH(ChoixRationDaims&amp;DV67,Règles_daims[Ration]&amp;Règles_daims[Aliment],0))="s1",IF(DV67=Spécificité1Daims,1)),
AND(INDEX(Règles_daims[Specificite],MATCH(ChoixRationDaims&amp;DV67,Règles_daims[Ration]&amp;Règles_daims[Aliment],0))="s2",IF(DV67=Spécificité2Daims,1)),
INDEX(Règles_daims[Specificite],MATCH(ChoixRationDaims&amp;DV67,Règles_daims[Ration]&amp;Règles_daims[Aliment],0))="c"),
INDEX(Règles_daims[Valeur 12-18],MATCH(ChoixRationDaims&amp;DV67,Règles_daims[Ration]&amp;Règles_daims[Aliment],0)),0),0)*SUM(TotalDaims12_18)*NbreJoursNourrirBisonsDaims)</f>
        <v>0</v>
      </c>
      <c r="EA67" s="441">
        <f t="array" ref="EA67">IF(ChoixRationComplèteDaims=OUI,0,IFERROR(IF(OR(AND(INDEX(Règles_daims[Specificite],MATCH(ChoixRationDaims&amp;DV67,Règles_daims[Ration]&amp;Règles_daims[Aliment],0))="s1",IF(DV67=Spécificité1Daims,1)),
AND(INDEX(Règles_daims[Specificite],MATCH(ChoixRationDaims&amp;DV67,Règles_daims[Ration]&amp;Règles_daims[Aliment],0))="s2",IF(DV67=Spécificité2Daims,1)),
INDEX(Règles_daims[Specificite],MATCH(ChoixRationDaims&amp;DV67,Règles_daims[Ration]&amp;Règles_daims[Aliment],0))="c"),
INDEX(Règles_daims[Valeur 6-12],MATCH(ChoixRationDaims&amp;DV67,Règles_daims[Ration]&amp;Règles_daims[Aliment],0)),0),0)*SUM(TotalDaims6_12)*NbreJoursNourrirBisonsDaims)</f>
        <v>0</v>
      </c>
      <c r="EB67" s="441">
        <f t="array" ref="EB67">IF(ChoixRationComplèteDaims=OUI,0,IFERROR(IF(OR(AND(INDEX(Règles_daims[Specificite],MATCH(ChoixRationDaims&amp;DV67,Règles_daims[Ration]&amp;Règles_daims[Aliment],0))="s1",IF(DV67=Spécificité1Daims,1)),
AND(INDEX(Règles_daims[Specificite],MATCH(ChoixRationDaims&amp;DV67,Règles_daims[Ration]&amp;Règles_daims[Aliment],0))="s2",IF(DV67=Spécificité2Daims,1)),
INDEX(Règles_daims[Specificite],MATCH(ChoixRationDaims&amp;DV67,Règles_daims[Ration]&amp;Règles_daims[Aliment],0))="c"),
INDEX(Règles_daims[Valeur 3-6],MATCH(ChoixRationDaims&amp;DV67,Règles_daims[Ration]&amp;Règles_daims[Aliment],0)),0),0)*SUM(TotalDaims3_6)*NbreJoursNourrirBisonsDaims)</f>
        <v>0</v>
      </c>
      <c r="EC67" s="441">
        <f t="array" ref="EC67">IF(ChoixRationComplèteDaims=OUI,0,IFERROR(IF(OR(AND(INDEX(Règles_daims[Specificite],MATCH(ChoixRationDaims&amp;DV67,Règles_daims[Ration]&amp;Règles_daims[Aliment],0))="s1",IF(DV67=Spécificité1Daims,1)),
AND(INDEX(Règles_daims[Specificite],MATCH(ChoixRationDaims&amp;DV67,Règles_daims[Ration]&amp;Règles_daims[Aliment],0))="s2",IF(DV67=Spécificité2Daims,1)),
INDEX(Règles_daims[Specificite],MATCH(ChoixRationDaims&amp;DV67,Règles_daims[Ration]&amp;Règles_daims[Aliment],0))="c"),
INDEX(Règles_daims[Valeur 0-3],MATCH(ChoixRationDaims&amp;DV67,Règles_daims[Ration]&amp;Règles_daims[Aliment],0)),0),0)*SUM(TotalDaims0_3)*NbreJoursNourrirBisonsDaims)</f>
        <v>0</v>
      </c>
      <c r="ED67" s="441">
        <f t="shared" si="9"/>
        <v>0</v>
      </c>
      <c r="EG67" s="420" t="s">
        <v>168</v>
      </c>
      <c r="EH67" s="433">
        <f t="array" ref="EH6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67" s="433">
        <f t="array" ref="EI6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67" s="433">
        <f t="array" ref="EJ6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67" s="434">
        <f>SUM(AlimentsRationOiesMâles[[#This Row],[Valeur 6 et plus]:[Valeur 0-3]])</f>
        <v>0</v>
      </c>
      <c r="EL67" s="316"/>
      <c r="EN67" s="420" t="s">
        <v>266</v>
      </c>
      <c r="EO67" s="433">
        <f t="array" ref="EO67">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67" s="433">
        <f t="array" ref="EP67">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67" s="433">
        <f t="array" ref="EQ67">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67" s="434">
        <f>SUM(Ration_canards_Mâles[[#This Row],[Valeur 6 et plus]:[Valeur 0-3]])</f>
        <v>0</v>
      </c>
      <c r="ES67" s="316"/>
      <c r="EU67" s="457" t="s">
        <v>1166</v>
      </c>
      <c r="EV67" s="458">
        <f t="array" ref="EV67">IF(OR(ChoixRationComplèteEtéChevauxSelle=OUI,ChoixRationComplèteEtéChevauxSelle="",AND(ChoixChevauxSellePréHiver=OUI,ChoixChevauxSellePréEté=OUI)),0,IFERROR(IF(OR(AND(INDEX(Règles_chevaux_selle[Specificite],MATCH(RationEtéChevauxSelle&amp;$EU67,Règles_chevaux_selle[Ration]&amp;Règles_chevaux_selle[Aliment],0))="s1",IF($EU67=Spécificité1ChevauxSelle,1)),
AND(INDEX(Règles_chevaux_selle[Specificite],MATCH(RationEtéChevauxSelle&amp;$EU67,Règles_chevaux_selle[Ration]&amp;Règles_chevaux_selle[Aliment],0))="s2",IF($EU67=Spécificité2ChevauxSelle,1)),
INDEX(Règles_chevaux_selle[Specificite],MATCH(RationEtéChevauxSelle&amp;$EU67,Règles_chevaux_selle[Ration]&amp;Règles_chevaux_selle[Aliment],0))="c"),
INDEX(Règles_chevaux_selle[Valeur 36 et plus],MATCH(RationEtéChevauxSelle&amp;$EU67,Règles_chevaux_selle[Ration]&amp;Règles_chevaux_selle[Aliment],0)),0),0)*TotalEtalonSelle*NbreJoursNourrirChevauxSelle)</f>
        <v>0</v>
      </c>
      <c r="EW67" s="458">
        <f t="array" ref="EW67">IF(OR(ChoixRationComplèteEtéChevauxSelle=OUI,ChoixRationComplèteEtéChevauxSelle="",AND(ChoixChevauxSellePréHiver=OUI,ChoixChevauxSellePréEté=OUI)),0,IFERROR(IF(OR(AND(INDEX(Règles_chevaux_selle[Specificite],MATCH(RationEtéChevauxSelle&amp;$EU67,Règles_chevaux_selle[Ration]&amp;Règles_chevaux_selle[Aliment],0))="s1",IF($EU67=Spécificité1ChevauxSelle,1)),
AND(INDEX(Règles_chevaux_selle[Specificite],MATCH(RationEtéChevauxSelle&amp;$EU67,Règles_chevaux_selle[Ration]&amp;Règles_chevaux_selle[Aliment],0))="s2",IF($EU67=Spécificité2ChevauxSelle,1)),
INDEX(Règles_chevaux_selle[Specificite],MATCH(RationEtéChevauxSelle&amp;$EU67,Règles_chevaux_selle[Ration]&amp;Règles_chevaux_selle[Aliment],0))="c"),
INDEX(Règles_chevaux_selle[Valeur 24-36],MATCH(RationEtéChevauxSelle&amp;$EU67,Règles_chevaux_selle[Ration]&amp;Règles_chevaux_selle[Aliment],0)),0),0)*TotalJeuneEtalonSelle_24_36_mois*NbreJoursNourrirChevauxSelle)</f>
        <v>0</v>
      </c>
      <c r="EX67" s="458">
        <f t="array" ref="EX67">IF(OR(ChoixRationComplèteEtéChevauxSelle=OUI,ChoixRationComplèteEtéChevauxSelle="",AND(ChoixChevauxSellePréHiver=OUI,ChoixChevauxSellePréEté=OUI)),0,IFERROR(IF(OR(AND(INDEX(Règles_chevaux_selle[Specificite],MATCH(RationEtéChevauxSelle&amp;$EU67,Règles_chevaux_selle[Ration]&amp;Règles_chevaux_selle[Aliment],0))="s1",IF($EU67=Spécificité1ChevauxSelle,1)),
AND(INDEX(Règles_chevaux_selle[Specificite],MATCH(RationEtéChevauxSelle&amp;$EU67,Règles_chevaux_selle[Ration]&amp;Règles_chevaux_selle[Aliment],0))="s2",IF($EU67=Spécificité2ChevauxSelle,1)),
INDEX(Règles_chevaux_selle[Specificite],MATCH(RationEtéChevauxSelle&amp;$EU67,Règles_chevaux_selle[Ration]&amp;Règles_chevaux_selle[Aliment],0))="c"),
INDEX(Règles_chevaux_selle[Valeur 12-24],MATCH(RationEtéChevauxSelle&amp;$EU67,Règles_chevaux_selle[Ration]&amp;Règles_chevaux_selle[Aliment],0)),0),0)*TotalJeuneEtalonSelle_12_24_mois*NbreJoursNourrirChevauxSelle)</f>
        <v>0</v>
      </c>
      <c r="EY67" s="460">
        <f t="array" ref="EY67">IF(OR(ChoixRationComplèteEtéChevauxSelle=OUI,ChoixRationComplèteEtéChevauxSelle="",AND(ChoixChevauxSellePréHiver=OUI,ChoixChevauxSellePréEté=OUI)),0,IFERROR(IF(OR(AND(INDEX(Règles_chevaux_selle[Specificite],MATCH(RationEtéChevauxSelle&amp;$EU67,Règles_chevaux_selle[Ration]&amp;Règles_chevaux_selle[Aliment],0))="s1",IF($EU67=Spécificité1ChevauxSelle,1)),
AND(INDEX(Règles_chevaux_selle[Specificite],MATCH(RationEtéChevauxSelle&amp;$EU67,Règles_chevaux_selle[Ration]&amp;Règles_chevaux_selle[Aliment],0))="s2",IF($EU67=Spécificité2ChevauxSelle,1)),
INDEX(Règles_chevaux_selle[Specificite],MATCH(RationEtéChevauxSelle&amp;$EU67,Règles_chevaux_selle[Ration]&amp;Règles_chevaux_selle[Aliment],0))="c"),
INDEX(Règles_chevaux_selle[Valeur 0-12],MATCH(RationEtéChevauxSelle&amp;$EU67,Règles_chevaux_selle[Ration]&amp;Règles_chevaux_selle[Aliment],0)),0),0)*TotalPoulainSelle_0_12_mois*NbreJoursNourrirChevauxSelle)</f>
        <v>0</v>
      </c>
      <c r="EZ67" s="460">
        <f t="shared" si="16"/>
        <v>0</v>
      </c>
      <c r="FA67" s="298"/>
      <c r="FB67" s="298"/>
      <c r="FC67" s="282"/>
      <c r="FD67" s="457" t="s">
        <v>233</v>
      </c>
      <c r="FE67" s="458">
        <f t="array" ref="FE67">IF(OR(ChoixRationComplèteEtéChevauxTrait=OUI,ChoixRationComplèteEtéChevauxTrait="",AND(ChoixChevauxTraitPréHiver=OUI,ChoixChevauxTraitPréEté=OUI)),0,IFERROR(IF(OR(AND(INDEX(Règles_chevaux_trait[Specificite],MATCH(RationEtéChevauxTrait&amp;$FD67,Règles_chevaux_trait[Ration]&amp;Règles_chevaux_trait[Aliment],0))="s1",IF($FD67=Spécificité1ChevauxTrait,1)),
AND(INDEX(Règles_chevaux_trait[Specificite],MATCH(RationEtéChevauxTrait&amp;$FD67,Règles_chevaux_trait[Ration]&amp;Règles_chevaux_trait[Aliment],0))="s2",IF($FD67=Spécificité2ChevauxTrait,1)),
INDEX(Règles_chevaux_trait[Specificite],MATCH(RationEtéChevauxTrait&amp;$FD67,Règles_chevaux_trait[Ration]&amp;Règles_chevaux_trait[Aliment],0))="c"),
INDEX(Règles_chevaux_trait[Valeur 36 et plus],MATCH(RationEtéChevauxTrait&amp;$FD67,Règles_chevaux_trait[Ration]&amp;Règles_chevaux_trait[Aliment],0)),0),0)*TotalEtalonTrait*NbreJoursNourrirChevauxTrait)</f>
        <v>0</v>
      </c>
      <c r="FF67" s="458">
        <f t="array" ref="FF67">IF(OR(ChoixRationComplèteEtéChevauxTrait=OUI,ChoixRationComplèteEtéChevauxTrait="",AND(ChoixChevauxTraitPréHiver=OUI,ChoixChevauxTraitPréEté=OUI)),0,IFERROR(IF(OR(AND(INDEX(Règles_chevaux_trait[Specificite],MATCH(RationEtéChevauxTrait&amp;$FD67,Règles_chevaux_trait[Ration]&amp;Règles_chevaux_trait[Aliment],0))="s1",IF($FD67=Spécificité1ChevauxTrait,1)),
AND(INDEX(Règles_chevaux_trait[Specificite],MATCH(RationEtéChevauxTrait&amp;$FD67,Règles_chevaux_trait[Ration]&amp;Règles_chevaux_trait[Aliment],0))="s2",IF($FD67=Spécificité2ChevauxTrait,1)),
INDEX(Règles_chevaux_trait[Specificite],MATCH(RationEtéChevauxTrait&amp;$FD67,Règles_chevaux_trait[Ration]&amp;Règles_chevaux_trait[Aliment],0))="c"),
INDEX(Règles_chevaux_trait[Valeur 24-36],MATCH(RationEtéChevauxTrait&amp;$FD67,Règles_chevaux_trait[Ration]&amp;Règles_chevaux_trait[Aliment],0)),0),0)*TotalJeuneEtalonTrait_24_36_mois*NbreJoursNourrirChevauxTrait)</f>
        <v>0</v>
      </c>
      <c r="FG67" s="458">
        <f t="array" ref="FG67">IF(OR(ChoixRationComplèteEtéChevauxTrait=OUI,ChoixRationComplèteEtéChevauxTrait="",AND(ChoixChevauxTraitPréHiver=OUI,ChoixChevauxTraitPréEté=OUI)),0,IFERROR(IF(OR(AND(INDEX(Règles_chevaux_trait[Specificite],MATCH(RationEtéChevauxTrait&amp;$FD67,Règles_chevaux_trait[Ration]&amp;Règles_chevaux_trait[Aliment],0))="s1",IF($FD67=Spécificité1ChevauxTrait,1)),
AND(INDEX(Règles_chevaux_trait[Specificite],MATCH(RationEtéChevauxTrait&amp;$FD67,Règles_chevaux_trait[Ration]&amp;Règles_chevaux_trait[Aliment],0))="s2",IF($FD67=Spécificité2ChevauxTrait,1)),
INDEX(Règles_chevaux_trait[Specificite],MATCH(RationEtéChevauxTrait&amp;$FD67,Règles_chevaux_trait[Ration]&amp;Règles_chevaux_trait[Aliment],0))="c"),
INDEX(Règles_chevaux_trait[Valeur 12-24],MATCH(RationEtéChevauxTrait&amp;$FD67,Règles_chevaux_trait[Ration]&amp;Règles_chevaux_trait[Aliment],0)),0),0)*TotalJeuneEtalonTrait_12_24_mois*NbreJoursNourrirChevauxTrait)</f>
        <v>0</v>
      </c>
      <c r="FH67" s="460">
        <f t="array" ref="FH67">IF(OR(ChoixRationComplèteEtéChevauxTrait=OUI,ChoixRationComplèteEtéChevauxTrait="",AND(ChoixChevauxTraitPréHiver=OUI,ChoixChevauxTraitPréEté=OUI)),0,IFERROR(IF(OR(AND(INDEX(Règles_chevaux_trait[Specificite],MATCH(RationEtéChevauxTrait&amp;$FD67,Règles_chevaux_trait[Ration]&amp;Règles_chevaux_trait[Aliment],0))="s1",IF($FD67=Spécificité1ChevauxTrait,1)),
AND(INDEX(Règles_chevaux_trait[Specificite],MATCH(RationEtéChevauxTrait&amp;$FD67,Règles_chevaux_trait[Ration]&amp;Règles_chevaux_trait[Aliment],0))="s2",IF($FD67=Spécificité2ChevauxTrait,1)),
INDEX(Règles_chevaux_trait[Specificite],MATCH(RationEtéChevauxTrait&amp;$FD67,Règles_chevaux_trait[Ration]&amp;Règles_chevaux_trait[Aliment],0))="c"),
INDEX(Règles_chevaux_trait[Valeur 0-12],MATCH(RationEtéChevauxTrait&amp;$FD67,Règles_chevaux_trait[Ration]&amp;Règles_chevaux_trait[Aliment],0)),0),0)*TotalPoulainTrait_0_12_mois*NbreJoursNourrirChevauxTrait)</f>
        <v>0</v>
      </c>
      <c r="FI67" s="460">
        <f t="shared" si="15"/>
        <v>0</v>
      </c>
      <c r="FJ67" s="298"/>
      <c r="FK67" s="298"/>
      <c r="FL67" s="298"/>
      <c r="FM67" s="282"/>
      <c r="FN67" s="457" t="s">
        <v>168</v>
      </c>
      <c r="FO67" s="458">
        <f t="array" ref="FO67">IF(OR(ChoixRationComplèteEtéPoneys=OUI,ChoixRationComplèteEtéPoneys="",AND(ChoixPoneysPréHiver=OUI,ChoixPoneysPréEté=OUI)),0,IFERROR(IF(OR(AND(INDEX(Règles_poneys[Specificite],MATCH(RationEtéPoneys&amp;$FN67,Règles_poneys[Ration]&amp;Règles_poneys[Aliment],0))="s1",IF($FN67=Spécificité1Poneys,1)),
AND(INDEX(Règles_poneys[Specificite],MATCH(RationEtéPoneys&amp;$FN67,Règles_poneys[Ration]&amp;Règles_poneys[Aliment],0))="s2",IF($FN67=Spécificité2Poneys,1)),
INDEX(Règles_poneys[Specificite],MATCH(RationEtéPoneys&amp;$FN67,Règles_poneys[Ration]&amp;Règles_poneys[Aliment],0))="c"),
INDEX(Règles_poneys[Valeur 36 et plus],MATCH(RationEtéPoneys&amp;$FN67,Règles_poneys[Ration]&amp;Règles_poneys[Aliment],0)),0),0)*TotalEtalonPoney*NbreJoursNourrirPoneys)</f>
        <v>0</v>
      </c>
      <c r="FP67" s="458">
        <f t="array" ref="FP67">IF(OR(ChoixRationComplèteEtéPoneys=OUI,ChoixRationComplèteEtéPoneys="",AND(ChoixPoneysPréHiver=OUI,ChoixPoneysPréEté=OUI)),0,IFERROR(IF(OR(AND(INDEX(Règles_poneys[Specificite],MATCH(RationEtéPoneys&amp;$FN67,Règles_poneys[Ration]&amp;Règles_poneys[Aliment],0))="s1",IF($FN67=Spécificité1Poneys,1)),
AND(INDEX(Règles_poneys[Specificite],MATCH(RationEtéPoneys&amp;$FN67,Règles_poneys[Ration]&amp;Règles_poneys[Aliment],0))="s2",IF($FN67=Spécificité2Poneys,1)),
INDEX(Règles_poneys[Specificite],MATCH(RationEtéPoneys&amp;$FN67,Règles_poneys[Ration]&amp;Règles_poneys[Aliment],0))="c"),
INDEX(Règles_poneys[Valeur 36 et plus],MATCH(RationEtéPoneys&amp;$FN67,Règles_poneys[Ration]&amp;Règles_poneys[Aliment],0)),0),0)*TotalJeuneEtalonPoney_24_36_mois*NbreJoursNourrirPoneys)</f>
        <v>0</v>
      </c>
      <c r="FQ67" s="458">
        <f t="array" ref="FQ67">IF(OR(ChoixRationComplèteEtéPoneys=OUI,ChoixRationComplèteEtéPoneys="",AND(ChoixPoneysPréHiver=OUI,ChoixPoneysPréEté=OUI)),0,IFERROR(IF(OR(AND(INDEX(Règles_poneys[Specificite],MATCH(RationEtéPoneys&amp;$FN67,Règles_poneys[Ration]&amp;Règles_poneys[Aliment],0))="s1",IF($FN67=Spécificité1Poneys,1)),
AND(INDEX(Règles_poneys[Specificite],MATCH(RationEtéPoneys&amp;$FN67,Règles_poneys[Ration]&amp;Règles_poneys[Aliment],0))="s2",IF($FN67=Spécificité2Poneys,1)),
INDEX(Règles_poneys[Specificite],MATCH(RationEtéPoneys&amp;$FN67,Règles_poneys[Ration]&amp;Règles_poneys[Aliment],0))="c"),
INDEX(Règles_poneys[Valeur 36 et plus],MATCH(RationEtéPoneys&amp;$FN67,Règles_poneys[Ration]&amp;Règles_poneys[Aliment],0)),0),0)*TotalJeuneEtalonPoney_12_24_mois*NbreJoursNourrirPoneys)</f>
        <v>0</v>
      </c>
      <c r="FR67" s="460">
        <f t="array" ref="FR67">IF(OR(ChoixRationComplèteEtéPoneys=OUI,ChoixRationComplèteEtéPoneys="",AND(ChoixPoneysPréHiver=OUI,ChoixPoneysPréEté=OUI)),0,IFERROR(IF(OR(AND(INDEX(Règles_poneys[Specificite],MATCH(RationEtéPoneys&amp;$FN67,Règles_poneys[Ration]&amp;Règles_poneys[Aliment],0))="s1",IF($FN67=Spécificité1Poneys,1)),
AND(INDEX(Règles_poneys[Specificite],MATCH(RationEtéPoneys&amp;$FN67,Règles_poneys[Ration]&amp;Règles_poneys[Aliment],0))="s2",IF($FN67=Spécificité2Poneys,1)),
INDEX(Règles_poneys[Specificite],MATCH(RationEtéPoneys&amp;$FN67,Règles_poneys[Ration]&amp;Règles_poneys[Aliment],0))="c"),
INDEX(Règles_poneys[Valeur 36 et plus],MATCH(RationEtéPoneys&amp;$FN67,Règles_poneys[Ration]&amp;Règles_poneys[Aliment],0)),0),0)*TotalPoulainPoney_0_12_mois*NbreJoursNourrirPoneys)</f>
        <v>0</v>
      </c>
      <c r="FS67" s="460">
        <f t="shared" si="14"/>
        <v>0</v>
      </c>
      <c r="FT67" s="298"/>
      <c r="FU67" s="298"/>
      <c r="FV67" s="298"/>
      <c r="FW67" s="443" t="s">
        <v>906</v>
      </c>
      <c r="FX67" s="450">
        <f t="array" ref="FX67">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67" s="450">
        <f t="array" ref="FY67">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67" s="450">
        <f t="array" ref="FZ67">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67" s="450">
        <f t="array" ref="GA67">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67" s="451">
        <f>SUM(AlimentsGavageOies[[#This Row],[Valeur 6 et plus]:[Valeur 0-1]])</f>
        <v>0</v>
      </c>
      <c r="GC67" s="316"/>
      <c r="GE67" s="280" t="s">
        <v>8</v>
      </c>
      <c r="GF67" s="283"/>
      <c r="GG67" s="283" t="s">
        <v>955</v>
      </c>
      <c r="GH67" s="283" t="s">
        <v>955</v>
      </c>
      <c r="GI67" s="283" t="s">
        <v>955</v>
      </c>
      <c r="GJ67" s="283" t="s">
        <v>955</v>
      </c>
      <c r="GK67" s="283" t="s">
        <v>955</v>
      </c>
      <c r="GL67" s="283" t="s">
        <v>955</v>
      </c>
      <c r="GM67" s="283" t="s">
        <v>955</v>
      </c>
      <c r="GN67" s="283" t="s">
        <v>955</v>
      </c>
      <c r="GO67" s="283" t="s">
        <v>955</v>
      </c>
      <c r="GP67" s="283" t="s">
        <v>955</v>
      </c>
      <c r="GQ67" s="283" t="s">
        <v>955</v>
      </c>
      <c r="GR67" s="283" t="s">
        <v>955</v>
      </c>
      <c r="GS67" s="283" t="s">
        <v>955</v>
      </c>
      <c r="GT67" s="283" t="s">
        <v>955</v>
      </c>
      <c r="GU67" s="283" t="s">
        <v>955</v>
      </c>
      <c r="GV67" s="283" t="s">
        <v>955</v>
      </c>
      <c r="GY67" s="444" t="str">
        <f t="shared" si="11"/>
        <v>semences de moutarde</v>
      </c>
      <c r="GZ67" s="444"/>
      <c r="HA67" s="342"/>
      <c r="HB67" s="342" t="e">
        <f>IF(COUNTIF(TypeArticleDansEntrepôt,GY67)=0,0,SUMIF(TypeArticleDansEntrepôt,GY67,QtéArticleDansEntrepôt)*VLOOKUP(GY67,#REF!,2,FALSE))</f>
        <v>#REF!</v>
      </c>
      <c r="HN67" s="342" t="e">
        <f>IF(#REF!="","",(VLOOKUP(#REF!,BDD!$HN$5:$HU$38,2,FALSE))*#REF!)</f>
        <v>#REF!</v>
      </c>
      <c r="HO67" s="342" t="e">
        <f>IF(#REF!="","",IF(OR(#REF!=Moutarde,#REF!=Phacélie),0,IF(#REF!=Luzerne,10*#REF!*VLOOKUP(#REF!,BDD!$HN$5:$HU$38,3,FALSE),IF(#REF!=Miscanthus,10.5*#REF!*VLOOKUP(#REF!,BDD!$HN$5:$HU$38,3,FALSE),INDEX(#REF!:#REF!,MATCH(#REF!,#REF!:#REF!,0),MATCH(#REF!,#REF!:#REF!,0))*#REF!*VLOOKUP(#REF!,BDD!$HN$5:$HU$38,3,FALSE)))))</f>
        <v>#REF!</v>
      </c>
      <c r="HP67" s="342" t="e">
        <f>IF(#REF!="","",IF(OR(#REF!=Moutarde,#REF!=Phacélie),0,IF(#REF!=Luzerne,10*#REF!*VLOOKUP(#REF!,BDD!$HN$5:$HU$38,4,FALSE),IF(#REF!=Miscanthus,10.5*#REF!*VLOOKUP(#REF!,BDD!$HN$5:$HU$38,4,FALSE),INDEX(#REF!:#REF!,MATCH(#REF!,#REF!:#REF!,0),MATCH(#REF!,#REF!:#REF!,0))*#REF!*VLOOKUP(#REF!,BDD!$HN$5:$HU$38,4,FALSE)))))</f>
        <v>#REF!</v>
      </c>
      <c r="HQ67" s="342" t="e">
        <f>IF(#REF!="","",IF(OR(#REF!=Moutarde,#REF!=Phacélie),0,IF(#REF!=Luzerne,10*#REF!*VLOOKUP(#REF!,BDD!$HN$5:$HU$38,5,FALSE),IF(#REF!=Miscanthus,10.5*#REF!*VLOOKUP(#REF!,BDD!$HN$5:$HU$38,5,FALSE),INDEX(#REF!:#REF!,MATCH(#REF!,#REF!:#REF!,0),MATCH(#REF!,#REF!:#REF!,0))*#REF!*VLOOKUP(#REF!,BDD!$HN$5:$HU$38,5,FALSE)))))</f>
        <v>#REF!</v>
      </c>
      <c r="HR67" s="342" t="e">
        <f>IF(#REF!="","",IF(OR(#REF!=Moutarde,#REF!=Phacélie),0,IF(#REF!=Luzerne,10*#REF!*VLOOKUP(#REF!,BDD!$HN$5:$HU$38,6,FALSE),IF(#REF!=Miscanthus,10.5*#REF!*VLOOKUP(#REF!,BDD!$HN$5:$HU$38,6,FALSE),INDEX(#REF!:#REF!,MATCH(#REF!,#REF!:#REF!,0),MATCH(#REF!,#REF!:#REF!,0))*#REF!*VLOOKUP(#REF!,BDD!$HN$5:$HU$38,6,FALSE)))))</f>
        <v>#REF!</v>
      </c>
      <c r="HS67" s="342" t="e">
        <f>IF(#REF!="","",IF(OR(#REF!=Moutarde,#REF!=Phacélie),0,IF(#REF!=Luzerne,10*#REF!*VLOOKUP(#REF!,BDD!$HN$5:$HU$38,7,FALSE),IF(#REF!=Miscanthus,10.5*#REF!*VLOOKUP(#REF!,BDD!$HN$5:$HU$38,7,FALSE),INDEX(#REF!:#REF!,MATCH(#REF!,#REF!:#REF!,0),MATCH(#REF!,#REF!:#REF!,0))*#REF!*VLOOKUP(#REF!,BDD!$HN$5:$HU$38,7,FALSE)))))</f>
        <v>#REF!</v>
      </c>
      <c r="HT67" s="342" t="e">
        <f>IF(#REF!="","",IF(OR(#REF!=Moutarde,#REF!=Phacélie),0,IF(#REF!=Luzerne,10*#REF!*VLOOKUP(#REF!,BDD!$HN$5:$HU$38,8,FALSE),IF(#REF!=Miscanthus,10.5*#REF!*VLOOKUP(#REF!,BDD!$HN$5:$HU$38,8,FALSE),INDEX(#REF!:#REF!,MATCH(#REF!,#REF!:#REF!,0),MATCH(#REF!,#REF!:#REF!,0))*#REF!*VLOOKUP(#REF!,BDD!$HN$5:$HU$38,8,FALSE)))))</f>
        <v>#REF!</v>
      </c>
      <c r="HU67" s="342" t="e">
        <f>IF(#REF!="","",IF(OR(#REF!=Moutarde,#REF!=Phacélie),0,1.6*#REF!))</f>
        <v>#REF!</v>
      </c>
      <c r="HV67" s="342" t="e">
        <f>IF(#REF!="","",IF(OR(#REF!=Moutarde,#REF!=Phacélie),0,1.6*#REF!))</f>
        <v>#REF!</v>
      </c>
      <c r="HW67" s="342" t="e">
        <f>IF(#REF!="","",IF(OR(#REF!=Moutarde,#REF!=Phacélie),0,1.6*#REF!))</f>
        <v>#REF!</v>
      </c>
      <c r="HX67" s="342" t="e">
        <f>IF(#REF!="","",(VLOOKUP(#REF!,BDD!$HN$5:$HU$38,2,FALSE))*#REF!)</f>
        <v>#REF!</v>
      </c>
      <c r="HY67" s="342" t="e">
        <f>IF(#REF!="","",IF(OR(#REF!=Moutarde,#REF!=Phacélie),0,IF(#REF!=Luzerne,10*#REF!*VLOOKUP(#REF!,BDD!$HN$5:$HU$38,3,FALSE),IF(#REF!=Miscanthus,10.5*#REF!*VLOOKUP(#REF!,BDD!$HN$5:$HU$38,3,FALSE),INDEX(#REF!:#REF!,MATCH(#REF!,#REF!:#REF!,0),MATCH(#REF!,#REF!:#REF!,0))*#REF!*VLOOKUP(#REF!,BDD!$HN$5:$HU$38,3,FALSE)))))</f>
        <v>#REF!</v>
      </c>
      <c r="HZ67" s="342" t="e">
        <f>IF(#REF!="","",IF(OR(#REF!=Moutarde,#REF!=Phacélie),0,IF(#REF!=Luzerne,10*#REF!*VLOOKUP(#REF!,BDD!$HN$5:$HU$38,4,FALSE),IF(#REF!=Miscanthus,10.5*#REF!*VLOOKUP(#REF!,BDD!$HN$5:$HU$38,4,FALSE),INDEX(#REF!:#REF!,MATCH(#REF!,#REF!:#REF!,0),MATCH(#REF!,#REF!:#REF!,0))*#REF!*VLOOKUP(#REF!,BDD!$HN$5:$HU$38,4,FALSE)))))</f>
        <v>#REF!</v>
      </c>
      <c r="IA67" s="342" t="e">
        <f>IF(#REF!="","",IF(OR(#REF!=Moutarde,#REF!=Phacélie),0,IF(#REF!=Luzerne,10*#REF!*VLOOKUP(#REF!,BDD!$HN$5:$HU$38,5,FALSE),IF(#REF!=Miscanthus,10.5*#REF!*VLOOKUP(#REF!,BDD!$HN$5:$HU$38,5,FALSE),INDEX(#REF!:#REF!,MATCH(#REF!,#REF!:#REF!,0),MATCH(#REF!,#REF!:#REF!,0))*#REF!*VLOOKUP(#REF!,BDD!$HN$5:$HU$38,5,FALSE)))))</f>
        <v>#REF!</v>
      </c>
      <c r="IB67" s="342" t="e">
        <f>IF(#REF!="","",IF(OR(#REF!=Moutarde,#REF!=Phacélie),0,IF(#REF!=Luzerne,10*#REF!*VLOOKUP(#REF!,BDD!$HN$5:$HU$38,6,FALSE),IF(#REF!=Miscanthus,10.5*#REF!*VLOOKUP(#REF!,BDD!$HN$5:$HU$38,6,FALSE),INDEX(#REF!:#REF!,MATCH(#REF!,#REF!:#REF!,0),MATCH(#REF!,#REF!:#REF!,0))*#REF!*VLOOKUP(#REF!,BDD!$HN$5:$HU$38,6,FALSE)))))</f>
        <v>#REF!</v>
      </c>
      <c r="IC67" s="342" t="e">
        <f>IF(#REF!="","",IF(OR(#REF!=Moutarde,#REF!=Phacélie),0,IF(#REF!=Luzerne,10*#REF!*VLOOKUP(#REF!,BDD!$HN$5:$HU$38,7,FALSE),IF(#REF!=Miscanthus,10.5*#REF!*VLOOKUP(#REF!,BDD!$HN$5:$HU$38,7,FALSE),INDEX(#REF!:#REF!,MATCH(#REF!,#REF!:#REF!,0),MATCH(#REF!,#REF!:#REF!,0))*#REF!*VLOOKUP(#REF!,BDD!$HN$5:$HU$38,7,FALSE)))))</f>
        <v>#REF!</v>
      </c>
      <c r="ID67" s="342" t="e">
        <f>IF(#REF!="","",IF(OR(#REF!=Moutarde,#REF!=Phacélie),0,IF(#REF!=Luzerne,10*#REF!*VLOOKUP(#REF!,BDD!$HN$5:$HU$38,8,FALSE),IF(#REF!=Miscanthus,10.5*#REF!*VLOOKUP(#REF!,BDD!$HN$5:$HU$38,8,FALSE),INDEX(#REF!:#REF!,MATCH(#REF!,#REF!:#REF!,0),MATCH(#REF!,#REF!:#REF!,0))*#REF!*VLOOKUP(#REF!,BDD!$HN$5:$HU$38,8,FALSE)))))</f>
        <v>#REF!</v>
      </c>
      <c r="IE67" s="342" t="e">
        <f>IF(#REF!="","",IF(OR(#REF!=Moutarde,#REF!=Phacélie),0,1.6*#REF!))</f>
        <v>#REF!</v>
      </c>
      <c r="IF67" s="342" t="e">
        <f>IF(#REF!="","",IF(OR(#REF!=Moutarde,#REF!=Phacélie),0,1.6*#REF!))</f>
        <v>#REF!</v>
      </c>
      <c r="IG67" s="342" t="e">
        <f>IF(#REF!="","",IF(OR(#REF!=Moutarde,#REF!=Phacélie),0,1.6*#REF!))</f>
        <v>#REF!</v>
      </c>
    </row>
    <row r="68" spans="1:241" ht="12.75" customHeight="1" x14ac:dyDescent="0.2">
      <c r="A68" s="373"/>
      <c r="B68" s="380"/>
      <c r="F68" s="283"/>
      <c r="N68" s="277"/>
      <c r="O68" s="283" t="s">
        <v>850</v>
      </c>
      <c r="P68" s="283" t="str">
        <f t="shared" ref="P68:U68" si="19">P64</f>
        <v>Blé</v>
      </c>
      <c r="Q68" s="283" t="str">
        <f t="shared" si="19"/>
        <v>Orge</v>
      </c>
      <c r="R68" s="283" t="str">
        <f t="shared" si="19"/>
        <v>Orge de printemps</v>
      </c>
      <c r="S68" s="283" t="str">
        <f t="shared" si="19"/>
        <v>Avoine</v>
      </c>
      <c r="T68" s="283" t="str">
        <f t="shared" si="19"/>
        <v>Avoine de printemps</v>
      </c>
      <c r="U68" s="283" t="str">
        <f t="shared" si="19"/>
        <v>Triticale</v>
      </c>
      <c r="V68" s="283"/>
      <c r="W68" s="283" t="str">
        <f t="shared" ref="W68:AG68" si="20">W64</f>
        <v>Maïs grain</v>
      </c>
      <c r="X68" s="283" t="str">
        <f t="shared" si="20"/>
        <v>Maïs ensilé</v>
      </c>
      <c r="Y68" s="283" t="str">
        <f t="shared" si="20"/>
        <v>Betterave</v>
      </c>
      <c r="Z68" s="283" t="str">
        <f t="shared" si="20"/>
        <v>Colza</v>
      </c>
      <c r="AA68" s="283" t="str">
        <f t="shared" si="20"/>
        <v>Tournesol</v>
      </c>
      <c r="AB68" s="283" t="str">
        <f t="shared" si="20"/>
        <v>Pois</v>
      </c>
      <c r="AC68" s="283" t="str">
        <f t="shared" si="20"/>
        <v>Féverole</v>
      </c>
      <c r="AD68" s="283" t="str">
        <f t="shared" si="20"/>
        <v>Soja</v>
      </c>
      <c r="AE68" s="283" t="str">
        <f t="shared" si="20"/>
        <v>Lin</v>
      </c>
      <c r="AF68" s="283" t="str">
        <f t="shared" si="20"/>
        <v>Pomme de terre</v>
      </c>
      <c r="AG68" s="516" t="str">
        <f t="shared" si="20"/>
        <v>Chanvre Industriel</v>
      </c>
      <c r="AH68" s="516"/>
      <c r="AI68" s="283" t="str">
        <f>AI64</f>
        <v>Epinard</v>
      </c>
      <c r="AJ68" s="283" t="str">
        <f>AJ64</f>
        <v>Haricot vert</v>
      </c>
      <c r="AK68" s="283" t="str">
        <f>AK64</f>
        <v>Lentille</v>
      </c>
      <c r="AL68" s="283" t="str">
        <f>AL64</f>
        <v>Sorgho ensilé</v>
      </c>
      <c r="AM68" s="283"/>
      <c r="AN68" s="283" t="str">
        <f>AN64</f>
        <v>Tabac</v>
      </c>
      <c r="AO68" s="295" t="s">
        <v>1058</v>
      </c>
      <c r="AP68" s="295" t="s">
        <v>1059</v>
      </c>
      <c r="AQ68" s="295" t="s">
        <v>1060</v>
      </c>
      <c r="AR68" s="295" t="s">
        <v>1061</v>
      </c>
      <c r="AS68" s="295" t="s">
        <v>1062</v>
      </c>
      <c r="AT68" s="295" t="s">
        <v>1063</v>
      </c>
      <c r="AU68" s="295" t="s">
        <v>1085</v>
      </c>
      <c r="AV68" s="295" t="s">
        <v>1086</v>
      </c>
      <c r="AW68" s="295" t="s">
        <v>1087</v>
      </c>
      <c r="AX68" s="295" t="s">
        <v>1088</v>
      </c>
      <c r="AY68" s="295" t="s">
        <v>1089</v>
      </c>
      <c r="BB68" s="387" t="s">
        <v>509</v>
      </c>
      <c r="BC68" s="362" t="s">
        <v>905</v>
      </c>
      <c r="BD68" s="362" t="s">
        <v>886</v>
      </c>
      <c r="BE68" s="388">
        <v>1</v>
      </c>
      <c r="BF68" s="388">
        <v>0.8</v>
      </c>
      <c r="BG68" s="388">
        <v>0.6</v>
      </c>
      <c r="BH68" s="388">
        <v>0.4</v>
      </c>
      <c r="BI68" s="388">
        <v>0.4</v>
      </c>
      <c r="BJ68" s="388">
        <v>0.4</v>
      </c>
      <c r="BK68" s="389">
        <v>0</v>
      </c>
      <c r="BL68" s="312"/>
      <c r="BM68" s="350" t="s">
        <v>70</v>
      </c>
      <c r="BN68" s="350">
        <f t="array" ref="BN68">IF(Ration_hivernale_complète_bisons[somme]&gt;0,0,IFERROR(IF(OR(AND(INDEX(Règles_bison[Specificite],MATCH(ChoixRationBisons&amp;$BM68,Règles_bison[Ration]&amp;Règles_bison[Aliment],0))="s1",IF($BM68=ChoixSpécificité1Bisons,1)),
INDEX(Règles_bison[Specificite],MATCH(ChoixRationBisons&amp;$BM68,Règles_bison[Ration]&amp;Règles_bison[Aliment],0))="c"),
INDEX(Règles_bison[Valeur 36 et plus],MATCH(ChoixRationBisons&amp;$BM68,Règles_bison[Ration]&amp;Règles_bison[Aliment],0)),0),0)*TotalBisonsMalesAdultes*NbreJoursNourrirBisonsDaims)</f>
        <v>0</v>
      </c>
      <c r="BO68" s="350">
        <f t="array" ref="BO68">IF(Ration_hivernale_complète_bisons[somme]&gt;0,0,IFERROR(IF(OR(AND(INDEX(Règles_bison[Specificite],MATCH(ChoixRationBisons&amp;$BM68,Règles_bison[Ration]&amp;Règles_bison[Aliment],0))="s1",IF($BM68=ChoixSpécificité1Bisons,1)),
INDEX(Règles_bison[Specificite],MATCH(ChoixRationBisons&amp;$BM68,Règles_bison[Ration]&amp;Règles_bison[Aliment],0))="c"),
INDEX(Règles_bison[Valeur 24-36],MATCH(ChoixRationBisons&amp;$BM68,Règles_bison[Ration]&amp;Règles_bison[Aliment],0)),0),0)*TotalBisonsMales_24_36_mois*NbreJoursNourrirBisonsDaims)</f>
        <v>0</v>
      </c>
      <c r="BP68" s="350">
        <f t="array" ref="BP68">IF(Ration_hivernale_complète_bisons[somme]&gt;0,0,IFERROR(IF(OR(AND(INDEX(Règles_bison[Specificite],MATCH(ChoixRationBisons&amp;$BM68,Règles_bison[Ration]&amp;Règles_bison[Aliment],0))="s1",IF($BM68=ChoixSpécificité1Bisons,1)),
INDEX(Règles_bison[Specificite],MATCH(ChoixRationBisons&amp;$BM68,Règles_bison[Ration]&amp;Règles_bison[Aliment],0))="c"),
INDEX(Règles_bison[Valeur 18-24],MATCH(ChoixRationBisons&amp;$BM68,Règles_bison[Ration]&amp;Règles_bison[Aliment],0)),0),0)*TotalBisonsMales_18_24_mois*NbreJoursNourrirBisonsDaims)</f>
        <v>0</v>
      </c>
      <c r="BQ68" s="350">
        <f t="array" ref="BQ68">IF(Ration_hivernale_complète_bisons[somme]&gt;0,0,IFERROR(IF(OR(AND(INDEX(Règles_bison[Specificite],MATCH(ChoixRationBisons&amp;$BM68,Règles_bison[Ration]&amp;Règles_bison[Aliment],0))="s1",IF($BM68=ChoixSpécificité1Bisons,1)),
INDEX(Règles_bison[Specificite],MATCH(ChoixRationBisons&amp;$BM68,Règles_bison[Ration]&amp;Règles_bison[Aliment],0))="c"),
INDEX(Règles_bison[Valeur 12-18],MATCH(ChoixRationBisons&amp;$BM68,Règles_bison[Ration]&amp;Règles_bison[Aliment],0)),0),0)*TotalBisonsMales_12_18_mois*NbreJoursNourrirBisonsDaims)</f>
        <v>0</v>
      </c>
      <c r="BR68" s="350">
        <f t="array" ref="BR68">IF(Ration_hivernale_complète_bisons[somme]&gt;0,0,IFERROR(IF(OR(AND(INDEX(Règles_bison[Specificite],MATCH(ChoixRationBisons&amp;$BM68,Règles_bison[Ration]&amp;Règles_bison[Aliment],0))="s1",IF($BM68=ChoixSpécificité1Bisons,1)),
INDEX(Règles_bison[Specificite],MATCH(ChoixRationBisons&amp;$BM68,Règles_bison[Ration]&amp;Règles_bison[Aliment],0))="c"),
INDEX(Règles_bison[Valeur 6-12],MATCH(ChoixRationBisons&amp;$BM68,Règles_bison[Ration]&amp;Règles_bison[Aliment],0)),0),0)*TotalBisonsMales_6_12_mois*NbreJoursNourrirBisonsDaims)</f>
        <v>0</v>
      </c>
      <c r="BS68" s="350">
        <f t="array" ref="BS68">IF(Ration_hivernale_complète_bisons[somme]&gt;0,0,IFERROR(IF(OR(AND(INDEX(Règles_bison[Specificite],MATCH(ChoixRationBisons&amp;$BM68,Règles_bison[Ration]&amp;Règles_bison[Aliment],0))="s1",IF($BM68=ChoixSpécificité1Bisons,1)),
INDEX(Règles_bison[Specificite],MATCH(ChoixRationBisons&amp;$BM68,Règles_bison[Ration]&amp;Règles_bison[Aliment],0))="c"),
INDEX(Règles_bison[Valeur 3-6],MATCH(ChoixRationBisons&amp;$BM68,Règles_bison[Ration]&amp;Règles_bison[Aliment],0)),0),0)*TotalBisonsMales_3_6_mois*NbreJoursNourrirBisonsDaims)</f>
        <v>0</v>
      </c>
      <c r="BT68" s="350">
        <f t="array" ref="BT68">IF(Ration_hivernale_complète_bisons[somme]&gt;0,0,IFERROR(IF(OR(AND(INDEX(Règles_bison[Specificite],MATCH(ChoixRationBisons&amp;$BM68,Règles_bison[Ration]&amp;Règles_bison[Aliment],0))="s1",IF($BM68=ChoixSpécificité1Bisons,1)),
INDEX(Règles_bison[Specificite],MATCH(ChoixRationBisons&amp;$BM68,Règles_bison[Ration]&amp;Règles_bison[Aliment],0))="c"),
INDEX(Règles_bison[Valeur 0-3],MATCH(ChoixRationBisons&amp;$BM68,Règles_bison[Ration]&amp;Règles_bison[Aliment],0)),0),0)*TotalBisonsMales_0_3_mois*NbreJoursNourrirBisonsDaims)</f>
        <v>0</v>
      </c>
      <c r="BU68" s="356">
        <f t="shared" si="10"/>
        <v>0</v>
      </c>
      <c r="BX68" s="373" t="s">
        <v>168</v>
      </c>
      <c r="BY68" s="280" t="s">
        <v>220</v>
      </c>
      <c r="BZ68" s="280" t="s">
        <v>887</v>
      </c>
      <c r="CA68" s="280">
        <v>1.6</v>
      </c>
      <c r="CB68" s="280">
        <v>1.4</v>
      </c>
      <c r="CC68" s="280">
        <v>1.2</v>
      </c>
      <c r="CD68" s="410">
        <v>1</v>
      </c>
      <c r="CE68" s="304"/>
      <c r="CF68" s="304"/>
      <c r="CG68" s="304"/>
      <c r="CH68" s="304"/>
      <c r="CJ68" s="420" t="s">
        <v>268</v>
      </c>
      <c r="CK68" s="384">
        <f t="array" ref="CK6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68" s="384">
        <f t="array" ref="CL6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68" s="384">
        <f t="array" ref="CM6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68" s="384">
        <f t="array" ref="CN6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68" s="384">
        <f t="array" ref="CO6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68" s="426">
        <f>SUM(AlimentsRationPorcinsMâles[[#This Row],[Valeur 12 et plus]:[Valeur 0-1]])</f>
        <v>0</v>
      </c>
      <c r="CS68" s="420" t="s">
        <v>518</v>
      </c>
      <c r="CT68" s="433">
        <f t="array" ref="CT68">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68" s="433">
        <f t="array" ref="CU68">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68" s="433">
        <f t="array" ref="CV68">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68" s="434">
        <f>SUM(AlimentsRationLapinsMâles[[#This Row],[Valeur 3 et plus]:[Valeur 0-1]])</f>
        <v>0</v>
      </c>
      <c r="CZ68" s="420" t="s">
        <v>518</v>
      </c>
      <c r="DA68" s="433">
        <f t="array" ref="DA6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68" s="433">
        <f t="array" ref="DB6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68" s="433">
        <f t="array" ref="DC6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68" s="434">
        <f>SUM(AlimentsRationVolaillesMâles[[#This Row],[Valeur 6 et plus]:[Valeur 0-1]])</f>
        <v>0</v>
      </c>
      <c r="DE68" s="316"/>
      <c r="DF68" s="277"/>
      <c r="DG68" s="420" t="s">
        <v>489</v>
      </c>
      <c r="DH68" s="433">
        <f t="array" ref="DH6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68" s="433">
        <f t="array" ref="DI6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68" s="433">
        <f t="array" ref="DJ6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68" s="434">
        <f>SUM(AlimentsRationPintadesMâles[[#This Row],[Valeur 9 et plus]:[Valeur 0-1]])</f>
        <v>0</v>
      </c>
      <c r="DL68" s="316"/>
      <c r="DM68" s="316"/>
      <c r="DN68" s="373" t="s">
        <v>509</v>
      </c>
      <c r="DO68" s="280" t="s">
        <v>269</v>
      </c>
      <c r="DP68" s="280" t="s">
        <v>886</v>
      </c>
      <c r="DQ68" s="310">
        <v>16</v>
      </c>
      <c r="DR68" s="310">
        <v>12</v>
      </c>
      <c r="DS68" s="310">
        <v>8</v>
      </c>
      <c r="DT68" s="439">
        <v>0</v>
      </c>
      <c r="DV68" s="350"/>
      <c r="DW68" s="351">
        <f t="array" ref="DW68">IF(ChoixRationComplèteDaims=OUI,0,IFERROR(IF(OR(AND(INDEX(Règles_daims[Specificite],MATCH(ChoixRationDaims&amp;DV68,Règles_daims[Ration]&amp;Règles_daims[Aliment],0))="s1",IF(DV68=Spécificité1Daims,1)),
AND(INDEX(Règles_daims[Specificite],MATCH(ChoixRationDaims&amp;DV68,Règles_daims[Ration]&amp;Règles_daims[Aliment],0))="s2",IF(DV68=Spécificité2Daims,1)),
INDEX(Règles_daims[Specificite],MATCH(ChoixRationDaims&amp;DV68,Règles_daims[Ration]&amp;Règles_daims[Aliment],0))="c"),
INDEX(Règles_daims[Valeur 36 et plus],MATCH(ChoixRationDaims&amp;DV68,Règles_daims[Ration]&amp;Règles_daims[Aliment],0)),0),0)*SUM(TotalDaimsAdultes)*NbreJoursNourrirBisonsDaims)</f>
        <v>0</v>
      </c>
      <c r="DX68" s="351">
        <f t="array" ref="DX68">IF(ChoixRationComplèteDaims=OUI,0,IFERROR(IF(OR(AND(INDEX(Règles_daims[Specificite],MATCH(ChoixRationDaims&amp;DV68,Règles_daims[Ration]&amp;Règles_daims[Aliment],0))="s1",IF(DV68=Spécificité1Daims,1)),
AND(INDEX(Règles_daims[Specificite],MATCH(ChoixRationDaims&amp;DV68,Règles_daims[Ration]&amp;Règles_daims[Aliment],0))="s2",IF(DV68=Spécificité2Daims,1)),
INDEX(Règles_daims[Specificite],MATCH(ChoixRationDaims&amp;DV68,Règles_daims[Ration]&amp;Règles_daims[Aliment],0))="c"),
INDEX(Règles_daims[Valeur 24-36],MATCH(ChoixRationDaims&amp;DV68,Règles_daims[Ration]&amp;Règles_daims[Aliment],0)),0),0)*SUM(TotalDaims24_36)*NbreJoursNourrirBisonsDaims)</f>
        <v>0</v>
      </c>
      <c r="DY68" s="351">
        <f t="array" ref="DY68">IF(ChoixRationComplèteDaims=OUI,0,IFERROR(IF(OR(AND(INDEX(Règles_daims[Specificite],MATCH(ChoixRationDaims&amp;DV68,Règles_daims[Ration]&amp;Règles_daims[Aliment],0))="s1",IF(DV68=Spécificité1Daims,1)),
AND(INDEX(Règles_daims[Specificite],MATCH(ChoixRationDaims&amp;DV68,Règles_daims[Ration]&amp;Règles_daims[Aliment],0))="s2",IF(DV68=Spécificité2Daims,1)),
INDEX(Règles_daims[Specificite],MATCH(ChoixRationDaims&amp;DV68,Règles_daims[Ration]&amp;Règles_daims[Aliment],0))="c"),
INDEX(Règles_daims[Valeur 18-24],MATCH(ChoixRationDaims&amp;DV68,Règles_daims[Ration]&amp;Règles_daims[Aliment],0)),0),0)*SUM(TotalDaims18_24)*NbreJoursNourrirBisonsDaims)</f>
        <v>0</v>
      </c>
      <c r="DZ68" s="441">
        <f t="array" ref="DZ68">IF(ChoixRationComplèteDaims=OUI,0,IFERROR(IF(OR(AND(INDEX(Règles_daims[Specificite],MATCH(ChoixRationDaims&amp;DV68,Règles_daims[Ration]&amp;Règles_daims[Aliment],0))="s1",IF(DV68=Spécificité1Daims,1)),
AND(INDEX(Règles_daims[Specificite],MATCH(ChoixRationDaims&amp;DV68,Règles_daims[Ration]&amp;Règles_daims[Aliment],0))="s2",IF(DV68=Spécificité2Daims,1)),
INDEX(Règles_daims[Specificite],MATCH(ChoixRationDaims&amp;DV68,Règles_daims[Ration]&amp;Règles_daims[Aliment],0))="c"),
INDEX(Règles_daims[Valeur 12-18],MATCH(ChoixRationDaims&amp;DV68,Règles_daims[Ration]&amp;Règles_daims[Aliment],0)),0),0)*SUM(TotalDaims12_18)*NbreJoursNourrirBisonsDaims)</f>
        <v>0</v>
      </c>
      <c r="EA68" s="441">
        <f t="array" ref="EA68">IF(ChoixRationComplèteDaims=OUI,0,IFERROR(IF(OR(AND(INDEX(Règles_daims[Specificite],MATCH(ChoixRationDaims&amp;DV68,Règles_daims[Ration]&amp;Règles_daims[Aliment],0))="s1",IF(DV68=Spécificité1Daims,1)),
AND(INDEX(Règles_daims[Specificite],MATCH(ChoixRationDaims&amp;DV68,Règles_daims[Ration]&amp;Règles_daims[Aliment],0))="s2",IF(DV68=Spécificité2Daims,1)),
INDEX(Règles_daims[Specificite],MATCH(ChoixRationDaims&amp;DV68,Règles_daims[Ration]&amp;Règles_daims[Aliment],0))="c"),
INDEX(Règles_daims[Valeur 6-12],MATCH(ChoixRationDaims&amp;DV68,Règles_daims[Ration]&amp;Règles_daims[Aliment],0)),0),0)*SUM(TotalDaims6_12)*NbreJoursNourrirBisonsDaims)</f>
        <v>0</v>
      </c>
      <c r="EB68" s="441">
        <f t="array" ref="EB68">IF(ChoixRationComplèteDaims=OUI,0,IFERROR(IF(OR(AND(INDEX(Règles_daims[Specificite],MATCH(ChoixRationDaims&amp;DV68,Règles_daims[Ration]&amp;Règles_daims[Aliment],0))="s1",IF(DV68=Spécificité1Daims,1)),
AND(INDEX(Règles_daims[Specificite],MATCH(ChoixRationDaims&amp;DV68,Règles_daims[Ration]&amp;Règles_daims[Aliment],0))="s2",IF(DV68=Spécificité2Daims,1)),
INDEX(Règles_daims[Specificite],MATCH(ChoixRationDaims&amp;DV68,Règles_daims[Ration]&amp;Règles_daims[Aliment],0))="c"),
INDEX(Règles_daims[Valeur 3-6],MATCH(ChoixRationDaims&amp;DV68,Règles_daims[Ration]&amp;Règles_daims[Aliment],0)),0),0)*SUM(TotalDaims3_6)*NbreJoursNourrirBisonsDaims)</f>
        <v>0</v>
      </c>
      <c r="EC68" s="441">
        <f t="array" ref="EC68">IF(ChoixRationComplèteDaims=OUI,0,IFERROR(IF(OR(AND(INDEX(Règles_daims[Specificite],MATCH(ChoixRationDaims&amp;DV68,Règles_daims[Ration]&amp;Règles_daims[Aliment],0))="s1",IF(DV68=Spécificité1Daims,1)),
AND(INDEX(Règles_daims[Specificite],MATCH(ChoixRationDaims&amp;DV68,Règles_daims[Ration]&amp;Règles_daims[Aliment],0))="s2",IF(DV68=Spécificité2Daims,1)),
INDEX(Règles_daims[Specificite],MATCH(ChoixRationDaims&amp;DV68,Règles_daims[Ration]&amp;Règles_daims[Aliment],0))="c"),
INDEX(Règles_daims[Valeur 0-3],MATCH(ChoixRationDaims&amp;DV68,Règles_daims[Ration]&amp;Règles_daims[Aliment],0)),0),0)*SUM(TotalDaims0_3)*NbreJoursNourrirBisonsDaims)</f>
        <v>0</v>
      </c>
      <c r="ED68" s="441">
        <f t="shared" si="9"/>
        <v>0</v>
      </c>
      <c r="EG68" s="420" t="s">
        <v>266</v>
      </c>
      <c r="EH68" s="433">
        <f t="array" ref="EH6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68" s="433">
        <f t="array" ref="EI6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68" s="433">
        <f t="array" ref="EJ6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68" s="434">
        <f>SUM(AlimentsRationOiesMâles[[#This Row],[Valeur 6 et plus]:[Valeur 0-3]])</f>
        <v>0</v>
      </c>
      <c r="EL68" s="316"/>
      <c r="EN68" s="420" t="s">
        <v>267</v>
      </c>
      <c r="EO68" s="433">
        <f t="array" ref="EO68">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68" s="433">
        <f t="array" ref="EP68">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68" s="433">
        <f t="array" ref="EQ68">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68" s="434">
        <f>SUM(Ration_canards_Mâles[[#This Row],[Valeur 6 et plus]:[Valeur 0-3]])</f>
        <v>0</v>
      </c>
      <c r="ES68" s="316"/>
      <c r="EU68" s="457" t="s">
        <v>1167</v>
      </c>
      <c r="EV68" s="458">
        <f t="array" ref="EV68">IF(OR(ChoixRationComplèteEtéChevauxSelle=OUI,ChoixRationComplèteEtéChevauxSelle="",AND(ChoixChevauxSellePréHiver=OUI,ChoixChevauxSellePréEté=OUI)),0,IFERROR(IF(OR(AND(INDEX(Règles_chevaux_selle[Specificite],MATCH(RationEtéChevauxSelle&amp;$EU68,Règles_chevaux_selle[Ration]&amp;Règles_chevaux_selle[Aliment],0))="s1",IF($EU68=Spécificité1ChevauxSelle,1)),
AND(INDEX(Règles_chevaux_selle[Specificite],MATCH(RationEtéChevauxSelle&amp;$EU68,Règles_chevaux_selle[Ration]&amp;Règles_chevaux_selle[Aliment],0))="s2",IF($EU68=Spécificité2ChevauxSelle,1)),
INDEX(Règles_chevaux_selle[Specificite],MATCH(RationEtéChevauxSelle&amp;$EU68,Règles_chevaux_selle[Ration]&amp;Règles_chevaux_selle[Aliment],0))="c"),
INDEX(Règles_chevaux_selle[Valeur 36 et plus],MATCH(RationEtéChevauxSelle&amp;$EU68,Règles_chevaux_selle[Ration]&amp;Règles_chevaux_selle[Aliment],0)),0),0)*TotalEtalonSelle*NbreJoursNourrirChevauxSelle)</f>
        <v>0</v>
      </c>
      <c r="EW68" s="458">
        <f t="array" ref="EW68">IF(OR(ChoixRationComplèteEtéChevauxSelle=OUI,ChoixRationComplèteEtéChevauxSelle="",AND(ChoixChevauxSellePréHiver=OUI,ChoixChevauxSellePréEté=OUI)),0,IFERROR(IF(OR(AND(INDEX(Règles_chevaux_selle[Specificite],MATCH(RationEtéChevauxSelle&amp;$EU68,Règles_chevaux_selle[Ration]&amp;Règles_chevaux_selle[Aliment],0))="s1",IF($EU68=Spécificité1ChevauxSelle,1)),
AND(INDEX(Règles_chevaux_selle[Specificite],MATCH(RationEtéChevauxSelle&amp;$EU68,Règles_chevaux_selle[Ration]&amp;Règles_chevaux_selle[Aliment],0))="s2",IF($EU68=Spécificité2ChevauxSelle,1)),
INDEX(Règles_chevaux_selle[Specificite],MATCH(RationEtéChevauxSelle&amp;$EU68,Règles_chevaux_selle[Ration]&amp;Règles_chevaux_selle[Aliment],0))="c"),
INDEX(Règles_chevaux_selle[Valeur 24-36],MATCH(RationEtéChevauxSelle&amp;$EU68,Règles_chevaux_selle[Ration]&amp;Règles_chevaux_selle[Aliment],0)),0),0)*TotalJeuneEtalonSelle_24_36_mois*NbreJoursNourrirChevauxSelle)</f>
        <v>0</v>
      </c>
      <c r="EX68" s="458">
        <f t="array" ref="EX68">IF(OR(ChoixRationComplèteEtéChevauxSelle=OUI,ChoixRationComplèteEtéChevauxSelle="",AND(ChoixChevauxSellePréHiver=OUI,ChoixChevauxSellePréEté=OUI)),0,IFERROR(IF(OR(AND(INDEX(Règles_chevaux_selle[Specificite],MATCH(RationEtéChevauxSelle&amp;$EU68,Règles_chevaux_selle[Ration]&amp;Règles_chevaux_selle[Aliment],0))="s1",IF($EU68=Spécificité1ChevauxSelle,1)),
AND(INDEX(Règles_chevaux_selle[Specificite],MATCH(RationEtéChevauxSelle&amp;$EU68,Règles_chevaux_selle[Ration]&amp;Règles_chevaux_selle[Aliment],0))="s2",IF($EU68=Spécificité2ChevauxSelle,1)),
INDEX(Règles_chevaux_selle[Specificite],MATCH(RationEtéChevauxSelle&amp;$EU68,Règles_chevaux_selle[Ration]&amp;Règles_chevaux_selle[Aliment],0))="c"),
INDEX(Règles_chevaux_selle[Valeur 12-24],MATCH(RationEtéChevauxSelle&amp;$EU68,Règles_chevaux_selle[Ration]&amp;Règles_chevaux_selle[Aliment],0)),0),0)*TotalJeuneEtalonSelle_12_24_mois*NbreJoursNourrirChevauxSelle)</f>
        <v>0</v>
      </c>
      <c r="EY68" s="460">
        <f t="array" ref="EY68">IF(OR(ChoixRationComplèteEtéChevauxSelle=OUI,ChoixRationComplèteEtéChevauxSelle="",AND(ChoixChevauxSellePréHiver=OUI,ChoixChevauxSellePréEté=OUI)),0,IFERROR(IF(OR(AND(INDEX(Règles_chevaux_selle[Specificite],MATCH(RationEtéChevauxSelle&amp;$EU68,Règles_chevaux_selle[Ration]&amp;Règles_chevaux_selle[Aliment],0))="s1",IF($EU68=Spécificité1ChevauxSelle,1)),
AND(INDEX(Règles_chevaux_selle[Specificite],MATCH(RationEtéChevauxSelle&amp;$EU68,Règles_chevaux_selle[Ration]&amp;Règles_chevaux_selle[Aliment],0))="s2",IF($EU68=Spécificité2ChevauxSelle,1)),
INDEX(Règles_chevaux_selle[Specificite],MATCH(RationEtéChevauxSelle&amp;$EU68,Règles_chevaux_selle[Ration]&amp;Règles_chevaux_selle[Aliment],0))="c"),
INDEX(Règles_chevaux_selle[Valeur 0-12],MATCH(RationEtéChevauxSelle&amp;$EU68,Règles_chevaux_selle[Ration]&amp;Règles_chevaux_selle[Aliment],0)),0),0)*TotalPoulainSelle_0_12_mois*NbreJoursNourrirChevauxSelle)</f>
        <v>0</v>
      </c>
      <c r="EZ68" s="460">
        <f t="shared" si="16"/>
        <v>0</v>
      </c>
      <c r="FA68" s="298"/>
      <c r="FB68" s="298"/>
      <c r="FC68" s="282"/>
      <c r="FD68" s="457" t="s">
        <v>168</v>
      </c>
      <c r="FE68" s="458">
        <f t="array" ref="FE68">IF(OR(ChoixRationComplèteEtéChevauxTrait=OUI,ChoixRationComplèteEtéChevauxTrait="",AND(ChoixChevauxTraitPréHiver=OUI,ChoixChevauxTraitPréEté=OUI)),0,IFERROR(IF(OR(AND(INDEX(Règles_chevaux_trait[Specificite],MATCH(RationEtéChevauxTrait&amp;$FD68,Règles_chevaux_trait[Ration]&amp;Règles_chevaux_trait[Aliment],0))="s1",IF($FD68=Spécificité1ChevauxTrait,1)),
AND(INDEX(Règles_chevaux_trait[Specificite],MATCH(RationEtéChevauxTrait&amp;$FD68,Règles_chevaux_trait[Ration]&amp;Règles_chevaux_trait[Aliment],0))="s2",IF($FD68=Spécificité2ChevauxTrait,1)),
INDEX(Règles_chevaux_trait[Specificite],MATCH(RationEtéChevauxTrait&amp;$FD68,Règles_chevaux_trait[Ration]&amp;Règles_chevaux_trait[Aliment],0))="c"),
INDEX(Règles_chevaux_trait[Valeur 36 et plus],MATCH(RationEtéChevauxTrait&amp;$FD68,Règles_chevaux_trait[Ration]&amp;Règles_chevaux_trait[Aliment],0)),0),0)*TotalEtalonTrait*NbreJoursNourrirChevauxTrait)</f>
        <v>0</v>
      </c>
      <c r="FF68" s="458">
        <f t="array" ref="FF68">IF(OR(ChoixRationComplèteEtéChevauxTrait=OUI,ChoixRationComplèteEtéChevauxTrait="",AND(ChoixChevauxTraitPréHiver=OUI,ChoixChevauxTraitPréEté=OUI)),0,IFERROR(IF(OR(AND(INDEX(Règles_chevaux_trait[Specificite],MATCH(RationEtéChevauxTrait&amp;$FD68,Règles_chevaux_trait[Ration]&amp;Règles_chevaux_trait[Aliment],0))="s1",IF($FD68=Spécificité1ChevauxTrait,1)),
AND(INDEX(Règles_chevaux_trait[Specificite],MATCH(RationEtéChevauxTrait&amp;$FD68,Règles_chevaux_trait[Ration]&amp;Règles_chevaux_trait[Aliment],0))="s2",IF($FD68=Spécificité2ChevauxTrait,1)),
INDEX(Règles_chevaux_trait[Specificite],MATCH(RationEtéChevauxTrait&amp;$FD68,Règles_chevaux_trait[Ration]&amp;Règles_chevaux_trait[Aliment],0))="c"),
INDEX(Règles_chevaux_trait[Valeur 24-36],MATCH(RationEtéChevauxTrait&amp;$FD68,Règles_chevaux_trait[Ration]&amp;Règles_chevaux_trait[Aliment],0)),0),0)*TotalJeuneEtalonTrait_24_36_mois*NbreJoursNourrirChevauxTrait)</f>
        <v>0</v>
      </c>
      <c r="FG68" s="458">
        <f t="array" ref="FG68">IF(OR(ChoixRationComplèteEtéChevauxTrait=OUI,ChoixRationComplèteEtéChevauxTrait="",AND(ChoixChevauxTraitPréHiver=OUI,ChoixChevauxTraitPréEté=OUI)),0,IFERROR(IF(OR(AND(INDEX(Règles_chevaux_trait[Specificite],MATCH(RationEtéChevauxTrait&amp;$FD68,Règles_chevaux_trait[Ration]&amp;Règles_chevaux_trait[Aliment],0))="s1",IF($FD68=Spécificité1ChevauxTrait,1)),
AND(INDEX(Règles_chevaux_trait[Specificite],MATCH(RationEtéChevauxTrait&amp;$FD68,Règles_chevaux_trait[Ration]&amp;Règles_chevaux_trait[Aliment],0))="s2",IF($FD68=Spécificité2ChevauxTrait,1)),
INDEX(Règles_chevaux_trait[Specificite],MATCH(RationEtéChevauxTrait&amp;$FD68,Règles_chevaux_trait[Ration]&amp;Règles_chevaux_trait[Aliment],0))="c"),
INDEX(Règles_chevaux_trait[Valeur 12-24],MATCH(RationEtéChevauxTrait&amp;$FD68,Règles_chevaux_trait[Ration]&amp;Règles_chevaux_trait[Aliment],0)),0),0)*TotalJeuneEtalonTrait_12_24_mois*NbreJoursNourrirChevauxTrait)</f>
        <v>0</v>
      </c>
      <c r="FH68" s="460">
        <f t="array" ref="FH68">IF(OR(ChoixRationComplèteEtéChevauxTrait=OUI,ChoixRationComplèteEtéChevauxTrait="",AND(ChoixChevauxTraitPréHiver=OUI,ChoixChevauxTraitPréEté=OUI)),0,IFERROR(IF(OR(AND(INDEX(Règles_chevaux_trait[Specificite],MATCH(RationEtéChevauxTrait&amp;$FD68,Règles_chevaux_trait[Ration]&amp;Règles_chevaux_trait[Aliment],0))="s1",IF($FD68=Spécificité1ChevauxTrait,1)),
AND(INDEX(Règles_chevaux_trait[Specificite],MATCH(RationEtéChevauxTrait&amp;$FD68,Règles_chevaux_trait[Ration]&amp;Règles_chevaux_trait[Aliment],0))="s2",IF($FD68=Spécificité2ChevauxTrait,1)),
INDEX(Règles_chevaux_trait[Specificite],MATCH(RationEtéChevauxTrait&amp;$FD68,Règles_chevaux_trait[Ration]&amp;Règles_chevaux_trait[Aliment],0))="c"),
INDEX(Règles_chevaux_trait[Valeur 0-12],MATCH(RationEtéChevauxTrait&amp;$FD68,Règles_chevaux_trait[Ration]&amp;Règles_chevaux_trait[Aliment],0)),0),0)*TotalPoulainTrait_0_12_mois*NbreJoursNourrirChevauxTrait)</f>
        <v>0</v>
      </c>
      <c r="FI68" s="460">
        <f t="shared" si="15"/>
        <v>0</v>
      </c>
      <c r="FJ68" s="298"/>
      <c r="FK68" s="298"/>
      <c r="FL68" s="298"/>
      <c r="FM68" s="282"/>
      <c r="FN68" s="457" t="s">
        <v>266</v>
      </c>
      <c r="FO68" s="458">
        <f t="array" ref="FO68">IF(OR(ChoixRationComplèteEtéPoneys=OUI,ChoixRationComplèteEtéPoneys="",AND(ChoixPoneysPréHiver=OUI,ChoixPoneysPréEté=OUI)),0,IFERROR(IF(OR(AND(INDEX(Règles_poneys[Specificite],MATCH(RationEtéPoneys&amp;$FN68,Règles_poneys[Ration]&amp;Règles_poneys[Aliment],0))="s1",IF($FN68=Spécificité1Poneys,1)),
AND(INDEX(Règles_poneys[Specificite],MATCH(RationEtéPoneys&amp;$FN68,Règles_poneys[Ration]&amp;Règles_poneys[Aliment],0))="s2",IF($FN68=Spécificité2Poneys,1)),
INDEX(Règles_poneys[Specificite],MATCH(RationEtéPoneys&amp;$FN68,Règles_poneys[Ration]&amp;Règles_poneys[Aliment],0))="c"),
INDEX(Règles_poneys[Valeur 36 et plus],MATCH(RationEtéPoneys&amp;$FN68,Règles_poneys[Ration]&amp;Règles_poneys[Aliment],0)),0),0)*TotalEtalonPoney*NbreJoursNourrirPoneys)</f>
        <v>0</v>
      </c>
      <c r="FP68" s="458">
        <f t="array" ref="FP68">IF(OR(ChoixRationComplèteEtéPoneys=OUI,ChoixRationComplèteEtéPoneys="",AND(ChoixPoneysPréHiver=OUI,ChoixPoneysPréEté=OUI)),0,IFERROR(IF(OR(AND(INDEX(Règles_poneys[Specificite],MATCH(RationEtéPoneys&amp;$FN68,Règles_poneys[Ration]&amp;Règles_poneys[Aliment],0))="s1",IF($FN68=Spécificité1Poneys,1)),
AND(INDEX(Règles_poneys[Specificite],MATCH(RationEtéPoneys&amp;$FN68,Règles_poneys[Ration]&amp;Règles_poneys[Aliment],0))="s2",IF($FN68=Spécificité2Poneys,1)),
INDEX(Règles_poneys[Specificite],MATCH(RationEtéPoneys&amp;$FN68,Règles_poneys[Ration]&amp;Règles_poneys[Aliment],0))="c"),
INDEX(Règles_poneys[Valeur 36 et plus],MATCH(RationEtéPoneys&amp;$FN68,Règles_poneys[Ration]&amp;Règles_poneys[Aliment],0)),0),0)*TotalJeuneEtalonPoney_24_36_mois*NbreJoursNourrirPoneys)</f>
        <v>0</v>
      </c>
      <c r="FQ68" s="458">
        <f t="array" ref="FQ68">IF(OR(ChoixRationComplèteEtéPoneys=OUI,ChoixRationComplèteEtéPoneys="",AND(ChoixPoneysPréHiver=OUI,ChoixPoneysPréEté=OUI)),0,IFERROR(IF(OR(AND(INDEX(Règles_poneys[Specificite],MATCH(RationEtéPoneys&amp;$FN68,Règles_poneys[Ration]&amp;Règles_poneys[Aliment],0))="s1",IF($FN68=Spécificité1Poneys,1)),
AND(INDEX(Règles_poneys[Specificite],MATCH(RationEtéPoneys&amp;$FN68,Règles_poneys[Ration]&amp;Règles_poneys[Aliment],0))="s2",IF($FN68=Spécificité2Poneys,1)),
INDEX(Règles_poneys[Specificite],MATCH(RationEtéPoneys&amp;$FN68,Règles_poneys[Ration]&amp;Règles_poneys[Aliment],0))="c"),
INDEX(Règles_poneys[Valeur 36 et plus],MATCH(RationEtéPoneys&amp;$FN68,Règles_poneys[Ration]&amp;Règles_poneys[Aliment],0)),0),0)*TotalJeuneEtalonPoney_12_24_mois*NbreJoursNourrirPoneys)</f>
        <v>0</v>
      </c>
      <c r="FR68" s="460">
        <f t="array" ref="FR68">IF(OR(ChoixRationComplèteEtéPoneys=OUI,ChoixRationComplèteEtéPoneys="",AND(ChoixPoneysPréHiver=OUI,ChoixPoneysPréEté=OUI)),0,IFERROR(IF(OR(AND(INDEX(Règles_poneys[Specificite],MATCH(RationEtéPoneys&amp;$FN68,Règles_poneys[Ration]&amp;Règles_poneys[Aliment],0))="s1",IF($FN68=Spécificité1Poneys,1)),
AND(INDEX(Règles_poneys[Specificite],MATCH(RationEtéPoneys&amp;$FN68,Règles_poneys[Ration]&amp;Règles_poneys[Aliment],0))="s2",IF($FN68=Spécificité2Poneys,1)),
INDEX(Règles_poneys[Specificite],MATCH(RationEtéPoneys&amp;$FN68,Règles_poneys[Ration]&amp;Règles_poneys[Aliment],0))="c"),
INDEX(Règles_poneys[Valeur 36 et plus],MATCH(RationEtéPoneys&amp;$FN68,Règles_poneys[Ration]&amp;Règles_poneys[Aliment],0)),0),0)*TotalPoulainPoney_0_12_mois*NbreJoursNourrirPoneys)</f>
        <v>0</v>
      </c>
      <c r="FS68" s="460">
        <f t="shared" si="14"/>
        <v>0</v>
      </c>
      <c r="FT68" s="298"/>
      <c r="FU68" s="298"/>
      <c r="FV68" s="298"/>
      <c r="FW68" s="443" t="s">
        <v>508</v>
      </c>
      <c r="FX68" s="450">
        <f t="array" ref="FX68">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68" s="450">
        <f t="array" ref="FY68">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68" s="450">
        <f t="array" ref="FZ68">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68" s="450">
        <f t="array" ref="GA68">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68" s="451">
        <f>SUM(AlimentsGavageOies[[#This Row],[Valeur 6 et plus]:[Valeur 0-1]])</f>
        <v>0</v>
      </c>
      <c r="GC68" s="316"/>
      <c r="GE68" s="280" t="s">
        <v>195</v>
      </c>
      <c r="GF68" s="283"/>
      <c r="GG68" s="283" t="s">
        <v>955</v>
      </c>
      <c r="GH68" s="283" t="s">
        <v>955</v>
      </c>
      <c r="GI68" s="283" t="s">
        <v>955</v>
      </c>
      <c r="GJ68" s="283" t="s">
        <v>955</v>
      </c>
      <c r="GK68" s="283" t="s">
        <v>955</v>
      </c>
      <c r="GL68" s="283" t="s">
        <v>955</v>
      </c>
      <c r="GM68" s="283" t="s">
        <v>955</v>
      </c>
      <c r="GN68" s="283" t="s">
        <v>955</v>
      </c>
      <c r="GO68" s="283" t="s">
        <v>955</v>
      </c>
      <c r="GP68" s="283" t="s">
        <v>955</v>
      </c>
      <c r="GQ68" s="283" t="s">
        <v>955</v>
      </c>
      <c r="GR68" s="283" t="s">
        <v>955</v>
      </c>
      <c r="GS68" s="283" t="s">
        <v>955</v>
      </c>
      <c r="GT68" s="283" t="s">
        <v>955</v>
      </c>
      <c r="GU68" s="283" t="s">
        <v>955</v>
      </c>
      <c r="GV68" s="283" t="s">
        <v>955</v>
      </c>
      <c r="GY68" s="444" t="str">
        <f t="shared" si="11"/>
        <v>semences de phacélie</v>
      </c>
      <c r="GZ68" s="444"/>
      <c r="HA68" s="342"/>
      <c r="HB68" s="342" t="e">
        <f>IF(COUNTIF(TypeArticleDansEntrepôt,GY68)=0,0,SUMIF(TypeArticleDansEntrepôt,GY68,QtéArticleDansEntrepôt)*VLOOKUP(GY68,#REF!,2,FALSE))</f>
        <v>#REF!</v>
      </c>
      <c r="HN68" s="342" t="e">
        <f>IF(#REF!="","",(VLOOKUP(#REF!,BDD!$HN$5:$HU$38,2,FALSE))*#REF!)</f>
        <v>#REF!</v>
      </c>
      <c r="HO68" s="342" t="e">
        <f>IF(#REF!="","",IF(OR(#REF!=Moutarde,#REF!=Phacélie),0,IF(#REF!=Luzerne,10*#REF!*VLOOKUP(#REF!,BDD!$HN$5:$HU$38,3,FALSE),IF(#REF!=Miscanthus,10.5*#REF!*VLOOKUP(#REF!,BDD!$HN$5:$HU$38,3,FALSE),INDEX(#REF!:#REF!,MATCH(#REF!,#REF!:#REF!,0),MATCH(#REF!,#REF!:#REF!,0))*#REF!*VLOOKUP(#REF!,BDD!$HN$5:$HU$38,3,FALSE)))))</f>
        <v>#REF!</v>
      </c>
      <c r="HP68" s="342" t="e">
        <f>IF(#REF!="","",IF(OR(#REF!=Moutarde,#REF!=Phacélie),0,IF(#REF!=Luzerne,10*#REF!*VLOOKUP(#REF!,BDD!$HN$5:$HU$38,4,FALSE),IF(#REF!=Miscanthus,10.5*#REF!*VLOOKUP(#REF!,BDD!$HN$5:$HU$38,4,FALSE),INDEX(#REF!:#REF!,MATCH(#REF!,#REF!:#REF!,0),MATCH(#REF!,#REF!:#REF!,0))*#REF!*VLOOKUP(#REF!,BDD!$HN$5:$HU$38,4,FALSE)))))</f>
        <v>#REF!</v>
      </c>
      <c r="HQ68" s="342" t="e">
        <f>IF(#REF!="","",IF(OR(#REF!=Moutarde,#REF!=Phacélie),0,IF(#REF!=Luzerne,10*#REF!*VLOOKUP(#REF!,BDD!$HN$5:$HU$38,5,FALSE),IF(#REF!=Miscanthus,10.5*#REF!*VLOOKUP(#REF!,BDD!$HN$5:$HU$38,5,FALSE),INDEX(#REF!:#REF!,MATCH(#REF!,#REF!:#REF!,0),MATCH(#REF!,#REF!:#REF!,0))*#REF!*VLOOKUP(#REF!,BDD!$HN$5:$HU$38,5,FALSE)))))</f>
        <v>#REF!</v>
      </c>
      <c r="HR68" s="342" t="e">
        <f>IF(#REF!="","",IF(OR(#REF!=Moutarde,#REF!=Phacélie),0,IF(#REF!=Luzerne,10*#REF!*VLOOKUP(#REF!,BDD!$HN$5:$HU$38,6,FALSE),IF(#REF!=Miscanthus,10.5*#REF!*VLOOKUP(#REF!,BDD!$HN$5:$HU$38,6,FALSE),INDEX(#REF!:#REF!,MATCH(#REF!,#REF!:#REF!,0),MATCH(#REF!,#REF!:#REF!,0))*#REF!*VLOOKUP(#REF!,BDD!$HN$5:$HU$38,6,FALSE)))))</f>
        <v>#REF!</v>
      </c>
      <c r="HS68" s="342" t="e">
        <f>IF(#REF!="","",IF(OR(#REF!=Moutarde,#REF!=Phacélie),0,IF(#REF!=Luzerne,10*#REF!*VLOOKUP(#REF!,BDD!$HN$5:$HU$38,7,FALSE),IF(#REF!=Miscanthus,10.5*#REF!*VLOOKUP(#REF!,BDD!$HN$5:$HU$38,7,FALSE),INDEX(#REF!:#REF!,MATCH(#REF!,#REF!:#REF!,0),MATCH(#REF!,#REF!:#REF!,0))*#REF!*VLOOKUP(#REF!,BDD!$HN$5:$HU$38,7,FALSE)))))</f>
        <v>#REF!</v>
      </c>
      <c r="HT68" s="342" t="e">
        <f>IF(#REF!="","",IF(OR(#REF!=Moutarde,#REF!=Phacélie),0,IF(#REF!=Luzerne,10*#REF!*VLOOKUP(#REF!,BDD!$HN$5:$HU$38,8,FALSE),IF(#REF!=Miscanthus,10.5*#REF!*VLOOKUP(#REF!,BDD!$HN$5:$HU$38,8,FALSE),INDEX(#REF!:#REF!,MATCH(#REF!,#REF!:#REF!,0),MATCH(#REF!,#REF!:#REF!,0))*#REF!*VLOOKUP(#REF!,BDD!$HN$5:$HU$38,8,FALSE)))))</f>
        <v>#REF!</v>
      </c>
      <c r="HU68" s="342" t="e">
        <f>IF(#REF!="","",IF(OR(#REF!=Moutarde,#REF!=Phacélie),0,1.6*#REF!))</f>
        <v>#REF!</v>
      </c>
      <c r="HV68" s="342" t="e">
        <f>IF(#REF!="","",IF(OR(#REF!=Moutarde,#REF!=Phacélie),0,1.6*#REF!))</f>
        <v>#REF!</v>
      </c>
      <c r="HW68" s="342" t="e">
        <f>IF(#REF!="","",IF(OR(#REF!=Moutarde,#REF!=Phacélie),0,1.6*#REF!))</f>
        <v>#REF!</v>
      </c>
      <c r="HX68" s="342" t="e">
        <f>IF(#REF!="","",(VLOOKUP(#REF!,BDD!$HN$5:$HU$38,2,FALSE))*#REF!)</f>
        <v>#REF!</v>
      </c>
      <c r="HY68" s="342" t="e">
        <f>IF(#REF!="","",IF(OR(#REF!=Moutarde,#REF!=Phacélie),0,IF(#REF!=Luzerne,10*#REF!*VLOOKUP(#REF!,BDD!$HN$5:$HU$38,3,FALSE),IF(#REF!=Miscanthus,10.5*#REF!*VLOOKUP(#REF!,BDD!$HN$5:$HU$38,3,FALSE),INDEX(#REF!:#REF!,MATCH(#REF!,#REF!:#REF!,0),MATCH(#REF!,#REF!:#REF!,0))*#REF!*VLOOKUP(#REF!,BDD!$HN$5:$HU$38,3,FALSE)))))</f>
        <v>#REF!</v>
      </c>
      <c r="HZ68" s="342" t="e">
        <f>IF(#REF!="","",IF(OR(#REF!=Moutarde,#REF!=Phacélie),0,IF(#REF!=Luzerne,10*#REF!*VLOOKUP(#REF!,BDD!$HN$5:$HU$38,4,FALSE),IF(#REF!=Miscanthus,10.5*#REF!*VLOOKUP(#REF!,BDD!$HN$5:$HU$38,4,FALSE),INDEX(#REF!:#REF!,MATCH(#REF!,#REF!:#REF!,0),MATCH(#REF!,#REF!:#REF!,0))*#REF!*VLOOKUP(#REF!,BDD!$HN$5:$HU$38,4,FALSE)))))</f>
        <v>#REF!</v>
      </c>
      <c r="IA68" s="342" t="e">
        <f>IF(#REF!="","",IF(OR(#REF!=Moutarde,#REF!=Phacélie),0,IF(#REF!=Luzerne,10*#REF!*VLOOKUP(#REF!,BDD!$HN$5:$HU$38,5,FALSE),IF(#REF!=Miscanthus,10.5*#REF!*VLOOKUP(#REF!,BDD!$HN$5:$HU$38,5,FALSE),INDEX(#REF!:#REF!,MATCH(#REF!,#REF!:#REF!,0),MATCH(#REF!,#REF!:#REF!,0))*#REF!*VLOOKUP(#REF!,BDD!$HN$5:$HU$38,5,FALSE)))))</f>
        <v>#REF!</v>
      </c>
      <c r="IB68" s="342" t="e">
        <f>IF(#REF!="","",IF(OR(#REF!=Moutarde,#REF!=Phacélie),0,IF(#REF!=Luzerne,10*#REF!*VLOOKUP(#REF!,BDD!$HN$5:$HU$38,6,FALSE),IF(#REF!=Miscanthus,10.5*#REF!*VLOOKUP(#REF!,BDD!$HN$5:$HU$38,6,FALSE),INDEX(#REF!:#REF!,MATCH(#REF!,#REF!:#REF!,0),MATCH(#REF!,#REF!:#REF!,0))*#REF!*VLOOKUP(#REF!,BDD!$HN$5:$HU$38,6,FALSE)))))</f>
        <v>#REF!</v>
      </c>
      <c r="IC68" s="342" t="e">
        <f>IF(#REF!="","",IF(OR(#REF!=Moutarde,#REF!=Phacélie),0,IF(#REF!=Luzerne,10*#REF!*VLOOKUP(#REF!,BDD!$HN$5:$HU$38,7,FALSE),IF(#REF!=Miscanthus,10.5*#REF!*VLOOKUP(#REF!,BDD!$HN$5:$HU$38,7,FALSE),INDEX(#REF!:#REF!,MATCH(#REF!,#REF!:#REF!,0),MATCH(#REF!,#REF!:#REF!,0))*#REF!*VLOOKUP(#REF!,BDD!$HN$5:$HU$38,7,FALSE)))))</f>
        <v>#REF!</v>
      </c>
      <c r="ID68" s="342" t="e">
        <f>IF(#REF!="","",IF(OR(#REF!=Moutarde,#REF!=Phacélie),0,IF(#REF!=Luzerne,10*#REF!*VLOOKUP(#REF!,BDD!$HN$5:$HU$38,8,FALSE),IF(#REF!=Miscanthus,10.5*#REF!*VLOOKUP(#REF!,BDD!$HN$5:$HU$38,8,FALSE),INDEX(#REF!:#REF!,MATCH(#REF!,#REF!:#REF!,0),MATCH(#REF!,#REF!:#REF!,0))*#REF!*VLOOKUP(#REF!,BDD!$HN$5:$HU$38,8,FALSE)))))</f>
        <v>#REF!</v>
      </c>
      <c r="IE68" s="342" t="e">
        <f>IF(#REF!="","",IF(OR(#REF!=Moutarde,#REF!=Phacélie),0,1.6*#REF!))</f>
        <v>#REF!</v>
      </c>
      <c r="IF68" s="342" t="e">
        <f>IF(#REF!="","",IF(OR(#REF!=Moutarde,#REF!=Phacélie),0,1.6*#REF!))</f>
        <v>#REF!</v>
      </c>
      <c r="IG68" s="342" t="e">
        <f>IF(#REF!="","",IF(OR(#REF!=Moutarde,#REF!=Phacélie),0,1.6*#REF!))</f>
        <v>#REF!</v>
      </c>
    </row>
    <row r="69" spans="1:241" ht="12.75" customHeight="1" x14ac:dyDescent="0.2">
      <c r="A69" s="373"/>
      <c r="B69" s="380"/>
      <c r="F69" s="280"/>
      <c r="G69" s="280"/>
      <c r="H69" s="280"/>
      <c r="I69" s="280"/>
      <c r="J69" s="280"/>
      <c r="K69" s="280"/>
      <c r="L69" s="280"/>
      <c r="N69" s="277"/>
      <c r="O69" s="280" t="s">
        <v>317</v>
      </c>
      <c r="P69" s="280"/>
      <c r="Q69" s="280"/>
      <c r="R69" s="280"/>
      <c r="S69" s="280"/>
      <c r="T69" s="280"/>
      <c r="U69" s="280"/>
      <c r="V69" s="280"/>
      <c r="W69" s="280"/>
      <c r="X69" s="280"/>
      <c r="Y69" s="280"/>
      <c r="Z69" s="280"/>
      <c r="AA69" s="280"/>
      <c r="AB69" s="280"/>
      <c r="AC69" s="280"/>
      <c r="AD69" s="280"/>
      <c r="AE69" s="280"/>
      <c r="AF69" s="280"/>
      <c r="AG69" s="280"/>
      <c r="AH69" s="280"/>
      <c r="AI69" s="280"/>
      <c r="AJ69" s="280"/>
      <c r="AK69" s="280"/>
      <c r="AL69" s="280"/>
      <c r="AM69" s="280"/>
      <c r="AN69" s="280"/>
      <c r="AO69" s="280"/>
      <c r="AP69" s="280"/>
      <c r="AQ69" s="280"/>
      <c r="AR69" s="280"/>
      <c r="AS69" s="280"/>
      <c r="AT69" s="280"/>
      <c r="AU69" s="280"/>
      <c r="AV69" s="280"/>
      <c r="AW69" s="280"/>
      <c r="AX69" s="280"/>
      <c r="AY69" s="280"/>
      <c r="BB69" s="387" t="s">
        <v>509</v>
      </c>
      <c r="BC69" s="362" t="s">
        <v>1166</v>
      </c>
      <c r="BD69" s="362" t="s">
        <v>886</v>
      </c>
      <c r="BE69" s="388">
        <v>0</v>
      </c>
      <c r="BF69" s="388">
        <v>0</v>
      </c>
      <c r="BG69" s="388">
        <v>0</v>
      </c>
      <c r="BH69" s="388">
        <v>0</v>
      </c>
      <c r="BI69" s="388">
        <v>0</v>
      </c>
      <c r="BJ69" s="388">
        <v>0</v>
      </c>
      <c r="BK69" s="389">
        <v>8</v>
      </c>
      <c r="BL69" s="312"/>
      <c r="BM69" s="357"/>
      <c r="BN69" s="350">
        <f t="array" ref="BN69">IF(Ration_hivernale_complète_bisons[somme]&gt;0,0,IFERROR(IF(OR(AND(INDEX(Règles_bison[Specificite],MATCH(ChoixRationBisons&amp;$BM69,Règles_bison[Ration]&amp;Règles_bison[Aliment],0))="s1",IF($BM69=ChoixSpécificité1Bisons,1)),
INDEX(Règles_bison[Specificite],MATCH(ChoixRationBisons&amp;$BM69,Règles_bison[Ration]&amp;Règles_bison[Aliment],0))="c"),
INDEX(Règles_bison[Valeur 36 et plus],MATCH(ChoixRationBisons&amp;$BM69,Règles_bison[Ration]&amp;Règles_bison[Aliment],0)),0),0)*TotalBisonsMalesAdultes*NbreJoursNourrirBisonsDaims)</f>
        <v>0</v>
      </c>
      <c r="BO69" s="350">
        <f t="array" ref="BO69">IF(Ration_hivernale_complète_bisons[somme]&gt;0,0,IFERROR(IF(OR(AND(INDEX(Règles_bison[Specificite],MATCH(ChoixRationBisons&amp;$BM69,Règles_bison[Ration]&amp;Règles_bison[Aliment],0))="s1",IF($BM69=ChoixSpécificité1Bisons,1)),
INDEX(Règles_bison[Specificite],MATCH(ChoixRationBisons&amp;$BM69,Règles_bison[Ration]&amp;Règles_bison[Aliment],0))="c"),
INDEX(Règles_bison[Valeur 24-36],MATCH(ChoixRationBisons&amp;$BM69,Règles_bison[Ration]&amp;Règles_bison[Aliment],0)),0),0)*TotalBisonsMales_24_36_mois*NbreJoursNourrirBisonsDaims)</f>
        <v>0</v>
      </c>
      <c r="BP69" s="350">
        <f t="array" ref="BP69">IF(Ration_hivernale_complète_bisons[somme]&gt;0,0,IFERROR(IF(OR(AND(INDEX(Règles_bison[Specificite],MATCH(ChoixRationBisons&amp;$BM69,Règles_bison[Ration]&amp;Règles_bison[Aliment],0))="s1",IF($BM69=ChoixSpécificité1Bisons,1)),
INDEX(Règles_bison[Specificite],MATCH(ChoixRationBisons&amp;$BM69,Règles_bison[Ration]&amp;Règles_bison[Aliment],0))="c"),
INDEX(Règles_bison[Valeur 18-24],MATCH(ChoixRationBisons&amp;$BM69,Règles_bison[Ration]&amp;Règles_bison[Aliment],0)),0),0)*TotalBisonsMales_18_24_mois*NbreJoursNourrirBisonsDaims)</f>
        <v>0</v>
      </c>
      <c r="BQ69" s="350">
        <f t="array" ref="BQ69">IF(Ration_hivernale_complète_bisons[somme]&gt;0,0,IFERROR(IF(OR(AND(INDEX(Règles_bison[Specificite],MATCH(ChoixRationBisons&amp;$BM69,Règles_bison[Ration]&amp;Règles_bison[Aliment],0))="s1",IF($BM69=ChoixSpécificité1Bisons,1)),
INDEX(Règles_bison[Specificite],MATCH(ChoixRationBisons&amp;$BM69,Règles_bison[Ration]&amp;Règles_bison[Aliment],0))="c"),
INDEX(Règles_bison[Valeur 12-18],MATCH(ChoixRationBisons&amp;$BM69,Règles_bison[Ration]&amp;Règles_bison[Aliment],0)),0),0)*TotalBisonsMales_12_18_mois*NbreJoursNourrirBisonsDaims)</f>
        <v>0</v>
      </c>
      <c r="BR69" s="350">
        <f t="array" ref="BR69">IF(Ration_hivernale_complète_bisons[somme]&gt;0,0,IFERROR(IF(OR(AND(INDEX(Règles_bison[Specificite],MATCH(ChoixRationBisons&amp;$BM69,Règles_bison[Ration]&amp;Règles_bison[Aliment],0))="s1",IF($BM69=ChoixSpécificité1Bisons,1)),
INDEX(Règles_bison[Specificite],MATCH(ChoixRationBisons&amp;$BM69,Règles_bison[Ration]&amp;Règles_bison[Aliment],0))="c"),
INDEX(Règles_bison[Valeur 6-12],MATCH(ChoixRationBisons&amp;$BM69,Règles_bison[Ration]&amp;Règles_bison[Aliment],0)),0),0)*TotalBisonsMales_6_12_mois*NbreJoursNourrirBisonsDaims)</f>
        <v>0</v>
      </c>
      <c r="BS69" s="350">
        <f t="array" ref="BS69">IF(Ration_hivernale_complète_bisons[somme]&gt;0,0,IFERROR(IF(OR(AND(INDEX(Règles_bison[Specificite],MATCH(ChoixRationBisons&amp;$BM69,Règles_bison[Ration]&amp;Règles_bison[Aliment],0))="s1",IF($BM69=ChoixSpécificité1Bisons,1)),
INDEX(Règles_bison[Specificite],MATCH(ChoixRationBisons&amp;$BM69,Règles_bison[Ration]&amp;Règles_bison[Aliment],0))="c"),
INDEX(Règles_bison[Valeur 3-6],MATCH(ChoixRationBisons&amp;$BM69,Règles_bison[Ration]&amp;Règles_bison[Aliment],0)),0),0)*TotalBisonsMales_3_6_mois*NbreJoursNourrirBisonsDaims)</f>
        <v>0</v>
      </c>
      <c r="BT69" s="350">
        <f t="array" ref="BT69">IF(Ration_hivernale_complète_bisons[somme]&gt;0,0,IFERROR(IF(OR(AND(INDEX(Règles_bison[Specificite],MATCH(ChoixRationBisons&amp;$BM69,Règles_bison[Ration]&amp;Règles_bison[Aliment],0))="s1",IF($BM69=ChoixSpécificité1Bisons,1)),
INDEX(Règles_bison[Specificite],MATCH(ChoixRationBisons&amp;$BM69,Règles_bison[Ration]&amp;Règles_bison[Aliment],0))="c"),
INDEX(Règles_bison[Valeur 0-3],MATCH(ChoixRationBisons&amp;$BM69,Règles_bison[Ration]&amp;Règles_bison[Aliment],0)),0),0)*TotalBisonsMales_0_3_mois*NbreJoursNourrirBisonsDaims)</f>
        <v>0</v>
      </c>
      <c r="BU69" s="356">
        <f t="shared" si="10"/>
        <v>0</v>
      </c>
      <c r="BX69" s="373" t="s">
        <v>168</v>
      </c>
      <c r="BY69" s="280" t="s">
        <v>70</v>
      </c>
      <c r="BZ69" s="280" t="s">
        <v>887</v>
      </c>
      <c r="CA69" s="280">
        <v>1.6</v>
      </c>
      <c r="CB69" s="280">
        <v>1.4</v>
      </c>
      <c r="CC69" s="280">
        <v>1.2</v>
      </c>
      <c r="CD69" s="410">
        <v>1</v>
      </c>
      <c r="CE69" s="304"/>
      <c r="CF69" s="304"/>
      <c r="CG69" s="304"/>
      <c r="CH69" s="304"/>
      <c r="CJ69" s="420" t="s">
        <v>905</v>
      </c>
      <c r="CK69" s="384">
        <f t="array" ref="CK6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69" s="384">
        <f t="array" ref="CL6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69" s="384">
        <f t="array" ref="CM6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69" s="384">
        <f t="array" ref="CN6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69" s="384">
        <f t="array" ref="CO6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69" s="426">
        <f>SUM(AlimentsRationPorcinsMâles[[#This Row],[Valeur 12 et plus]:[Valeur 0-1]])</f>
        <v>0</v>
      </c>
      <c r="CS69" s="420" t="s">
        <v>265</v>
      </c>
      <c r="CT69" s="433">
        <f t="array" ref="CT69">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69" s="433">
        <f t="array" ref="CU69">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69" s="433">
        <f t="array" ref="CV69">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69" s="434">
        <f>SUM(AlimentsRationLapinsMâles[[#This Row],[Valeur 3 et plus]:[Valeur 0-1]])</f>
        <v>0</v>
      </c>
      <c r="CZ69" s="420" t="s">
        <v>265</v>
      </c>
      <c r="DA69" s="433">
        <f t="array" ref="DA6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69" s="433">
        <f t="array" ref="DB6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69" s="433">
        <f t="array" ref="DC6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69" s="434">
        <f>SUM(AlimentsRationVolaillesMâles[[#This Row],[Valeur 6 et plus]:[Valeur 0-1]])</f>
        <v>0</v>
      </c>
      <c r="DE69" s="316"/>
      <c r="DF69" s="277"/>
      <c r="DG69" s="420" t="s">
        <v>510</v>
      </c>
      <c r="DH69" s="433">
        <f t="array" ref="DH6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69" s="433">
        <f t="array" ref="DI6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69" s="433">
        <f t="array" ref="DJ6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69" s="434">
        <f>SUM(AlimentsRationPintadesMâles[[#This Row],[Valeur 9 et plus]:[Valeur 0-1]])</f>
        <v>0</v>
      </c>
      <c r="DL69" s="316"/>
      <c r="DM69" s="316"/>
      <c r="DN69" s="373" t="s">
        <v>509</v>
      </c>
      <c r="DO69" s="280" t="s">
        <v>489</v>
      </c>
      <c r="DP69" s="280" t="s">
        <v>887</v>
      </c>
      <c r="DQ69" s="310">
        <v>1.6</v>
      </c>
      <c r="DR69" s="310">
        <v>1.4</v>
      </c>
      <c r="DS69" s="310">
        <v>1.2</v>
      </c>
      <c r="DT69" s="439">
        <v>1</v>
      </c>
      <c r="DV69" s="350"/>
      <c r="DW69" s="351">
        <f t="array" ref="DW69">IF(ChoixRationComplèteDaims=OUI,0,IFERROR(IF(OR(AND(INDEX(Règles_daims[Specificite],MATCH(ChoixRationDaims&amp;DV69,Règles_daims[Ration]&amp;Règles_daims[Aliment],0))="s1",IF(DV69=Spécificité1Daims,1)),
AND(INDEX(Règles_daims[Specificite],MATCH(ChoixRationDaims&amp;DV69,Règles_daims[Ration]&amp;Règles_daims[Aliment],0))="s2",IF(DV69=Spécificité2Daims,1)),
INDEX(Règles_daims[Specificite],MATCH(ChoixRationDaims&amp;DV69,Règles_daims[Ration]&amp;Règles_daims[Aliment],0))="c"),
INDEX(Règles_daims[Valeur 36 et plus],MATCH(ChoixRationDaims&amp;DV69,Règles_daims[Ration]&amp;Règles_daims[Aliment],0)),0),0)*SUM(TotalDaimsAdultes)*NbreJoursNourrirBisonsDaims)</f>
        <v>0</v>
      </c>
      <c r="DX69" s="351">
        <f t="array" ref="DX69">IF(ChoixRationComplèteDaims=OUI,0,IFERROR(IF(OR(AND(INDEX(Règles_daims[Specificite],MATCH(ChoixRationDaims&amp;DV69,Règles_daims[Ration]&amp;Règles_daims[Aliment],0))="s1",IF(DV69=Spécificité1Daims,1)),
AND(INDEX(Règles_daims[Specificite],MATCH(ChoixRationDaims&amp;DV69,Règles_daims[Ration]&amp;Règles_daims[Aliment],0))="s2",IF(DV69=Spécificité2Daims,1)),
INDEX(Règles_daims[Specificite],MATCH(ChoixRationDaims&amp;DV69,Règles_daims[Ration]&amp;Règles_daims[Aliment],0))="c"),
INDEX(Règles_daims[Valeur 24-36],MATCH(ChoixRationDaims&amp;DV69,Règles_daims[Ration]&amp;Règles_daims[Aliment],0)),0),0)*SUM(TotalDaims24_36)*NbreJoursNourrirBisonsDaims)</f>
        <v>0</v>
      </c>
      <c r="DY69" s="351">
        <f t="array" ref="DY69">IF(ChoixRationComplèteDaims=OUI,0,IFERROR(IF(OR(AND(INDEX(Règles_daims[Specificite],MATCH(ChoixRationDaims&amp;DV69,Règles_daims[Ration]&amp;Règles_daims[Aliment],0))="s1",IF(DV69=Spécificité1Daims,1)),
AND(INDEX(Règles_daims[Specificite],MATCH(ChoixRationDaims&amp;DV69,Règles_daims[Ration]&amp;Règles_daims[Aliment],0))="s2",IF(DV69=Spécificité2Daims,1)),
INDEX(Règles_daims[Specificite],MATCH(ChoixRationDaims&amp;DV69,Règles_daims[Ration]&amp;Règles_daims[Aliment],0))="c"),
INDEX(Règles_daims[Valeur 18-24],MATCH(ChoixRationDaims&amp;DV69,Règles_daims[Ration]&amp;Règles_daims[Aliment],0)),0),0)*SUM(TotalDaims18_24)*NbreJoursNourrirBisonsDaims)</f>
        <v>0</v>
      </c>
      <c r="DZ69" s="441">
        <f t="array" ref="DZ69">IF(ChoixRationComplèteDaims=OUI,0,IFERROR(IF(OR(AND(INDEX(Règles_daims[Specificite],MATCH(ChoixRationDaims&amp;DV69,Règles_daims[Ration]&amp;Règles_daims[Aliment],0))="s1",IF(DV69=Spécificité1Daims,1)),
AND(INDEX(Règles_daims[Specificite],MATCH(ChoixRationDaims&amp;DV69,Règles_daims[Ration]&amp;Règles_daims[Aliment],0))="s2",IF(DV69=Spécificité2Daims,1)),
INDEX(Règles_daims[Specificite],MATCH(ChoixRationDaims&amp;DV69,Règles_daims[Ration]&amp;Règles_daims[Aliment],0))="c"),
INDEX(Règles_daims[Valeur 12-18],MATCH(ChoixRationDaims&amp;DV69,Règles_daims[Ration]&amp;Règles_daims[Aliment],0)),0),0)*SUM(TotalDaims12_18)*NbreJoursNourrirBisonsDaims)</f>
        <v>0</v>
      </c>
      <c r="EA69" s="441">
        <f t="array" ref="EA69">IF(ChoixRationComplèteDaims=OUI,0,IFERROR(IF(OR(AND(INDEX(Règles_daims[Specificite],MATCH(ChoixRationDaims&amp;DV69,Règles_daims[Ration]&amp;Règles_daims[Aliment],0))="s1",IF(DV69=Spécificité1Daims,1)),
AND(INDEX(Règles_daims[Specificite],MATCH(ChoixRationDaims&amp;DV69,Règles_daims[Ration]&amp;Règles_daims[Aliment],0))="s2",IF(DV69=Spécificité2Daims,1)),
INDEX(Règles_daims[Specificite],MATCH(ChoixRationDaims&amp;DV69,Règles_daims[Ration]&amp;Règles_daims[Aliment],0))="c"),
INDEX(Règles_daims[Valeur 6-12],MATCH(ChoixRationDaims&amp;DV69,Règles_daims[Ration]&amp;Règles_daims[Aliment],0)),0),0)*SUM(TotalDaims6_12)*NbreJoursNourrirBisonsDaims)</f>
        <v>0</v>
      </c>
      <c r="EB69" s="441">
        <f t="array" ref="EB69">IF(ChoixRationComplèteDaims=OUI,0,IFERROR(IF(OR(AND(INDEX(Règles_daims[Specificite],MATCH(ChoixRationDaims&amp;DV69,Règles_daims[Ration]&amp;Règles_daims[Aliment],0))="s1",IF(DV69=Spécificité1Daims,1)),
AND(INDEX(Règles_daims[Specificite],MATCH(ChoixRationDaims&amp;DV69,Règles_daims[Ration]&amp;Règles_daims[Aliment],0))="s2",IF(DV69=Spécificité2Daims,1)),
INDEX(Règles_daims[Specificite],MATCH(ChoixRationDaims&amp;DV69,Règles_daims[Ration]&amp;Règles_daims[Aliment],0))="c"),
INDEX(Règles_daims[Valeur 3-6],MATCH(ChoixRationDaims&amp;DV69,Règles_daims[Ration]&amp;Règles_daims[Aliment],0)),0),0)*SUM(TotalDaims3_6)*NbreJoursNourrirBisonsDaims)</f>
        <v>0</v>
      </c>
      <c r="EC69" s="441">
        <f t="array" ref="EC69">IF(ChoixRationComplèteDaims=OUI,0,IFERROR(IF(OR(AND(INDEX(Règles_daims[Specificite],MATCH(ChoixRationDaims&amp;DV69,Règles_daims[Ration]&amp;Règles_daims[Aliment],0))="s1",IF(DV69=Spécificité1Daims,1)),
AND(INDEX(Règles_daims[Specificite],MATCH(ChoixRationDaims&amp;DV69,Règles_daims[Ration]&amp;Règles_daims[Aliment],0))="s2",IF(DV69=Spécificité2Daims,1)),
INDEX(Règles_daims[Specificite],MATCH(ChoixRationDaims&amp;DV69,Règles_daims[Ration]&amp;Règles_daims[Aliment],0))="c"),
INDEX(Règles_daims[Valeur 0-3],MATCH(ChoixRationDaims&amp;DV69,Règles_daims[Ration]&amp;Règles_daims[Aliment],0)),0),0)*SUM(TotalDaims0_3)*NbreJoursNourrirBisonsDaims)</f>
        <v>0</v>
      </c>
      <c r="ED69" s="441">
        <f t="shared" si="9"/>
        <v>0</v>
      </c>
      <c r="EG69" s="420" t="s">
        <v>267</v>
      </c>
      <c r="EH69" s="433">
        <f t="array" ref="EH6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69" s="433">
        <f t="array" ref="EI6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69" s="433">
        <f t="array" ref="EJ6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69" s="434">
        <f>SUM(AlimentsRationOiesMâles[[#This Row],[Valeur 6 et plus]:[Valeur 0-3]])</f>
        <v>0</v>
      </c>
      <c r="EL69" s="316"/>
      <c r="EN69" s="420" t="s">
        <v>269</v>
      </c>
      <c r="EO69" s="433">
        <f t="array" ref="EO69">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69" s="433">
        <f t="array" ref="EP69">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69" s="433">
        <f t="array" ref="EQ69">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69" s="434">
        <f>SUM(Ration_canards_Mâles[[#This Row],[Valeur 6 et plus]:[Valeur 0-3]])</f>
        <v>0</v>
      </c>
      <c r="ES69" s="316"/>
      <c r="EU69" s="457" t="s">
        <v>1165</v>
      </c>
      <c r="EV69" s="458">
        <f t="array" ref="EV69">IF(OR(ChoixRationComplèteEtéChevauxSelle=OUI,ChoixRationComplèteEtéChevauxSelle="",AND(ChoixChevauxSellePréHiver=OUI,ChoixChevauxSellePréEté=OUI)),0,IFERROR(IF(OR(AND(INDEX(Règles_chevaux_selle[Specificite],MATCH(RationEtéChevauxSelle&amp;$EU69,Règles_chevaux_selle[Ration]&amp;Règles_chevaux_selle[Aliment],0))="s1",IF($EU69=Spécificité1ChevauxSelle,1)),
AND(INDEX(Règles_chevaux_selle[Specificite],MATCH(RationEtéChevauxSelle&amp;$EU69,Règles_chevaux_selle[Ration]&amp;Règles_chevaux_selle[Aliment],0))="s2",IF($EU69=Spécificité2ChevauxSelle,1)),
INDEX(Règles_chevaux_selle[Specificite],MATCH(RationEtéChevauxSelle&amp;$EU69,Règles_chevaux_selle[Ration]&amp;Règles_chevaux_selle[Aliment],0))="c"),
INDEX(Règles_chevaux_selle[Valeur 36 et plus],MATCH(RationEtéChevauxSelle&amp;$EU69,Règles_chevaux_selle[Ration]&amp;Règles_chevaux_selle[Aliment],0)),0),0)*TotalEtalonSelle*NbreJoursNourrirChevauxSelle)</f>
        <v>0</v>
      </c>
      <c r="EW69" s="458">
        <f t="array" ref="EW69">IF(OR(ChoixRationComplèteEtéChevauxSelle=OUI,ChoixRationComplèteEtéChevauxSelle="",AND(ChoixChevauxSellePréHiver=OUI,ChoixChevauxSellePréEté=OUI)),0,IFERROR(IF(OR(AND(INDEX(Règles_chevaux_selle[Specificite],MATCH(RationEtéChevauxSelle&amp;$EU69,Règles_chevaux_selle[Ration]&amp;Règles_chevaux_selle[Aliment],0))="s1",IF($EU69=Spécificité1ChevauxSelle,1)),
AND(INDEX(Règles_chevaux_selle[Specificite],MATCH(RationEtéChevauxSelle&amp;$EU69,Règles_chevaux_selle[Ration]&amp;Règles_chevaux_selle[Aliment],0))="s2",IF($EU69=Spécificité2ChevauxSelle,1)),
INDEX(Règles_chevaux_selle[Specificite],MATCH(RationEtéChevauxSelle&amp;$EU69,Règles_chevaux_selle[Ration]&amp;Règles_chevaux_selle[Aliment],0))="c"),
INDEX(Règles_chevaux_selle[Valeur 24-36],MATCH(RationEtéChevauxSelle&amp;$EU69,Règles_chevaux_selle[Ration]&amp;Règles_chevaux_selle[Aliment],0)),0),0)*TotalJeuneEtalonSelle_24_36_mois*NbreJoursNourrirChevauxSelle)</f>
        <v>0</v>
      </c>
      <c r="EX69" s="458">
        <f t="array" ref="EX69">IF(OR(ChoixRationComplèteEtéChevauxSelle=OUI,ChoixRationComplèteEtéChevauxSelle="",AND(ChoixChevauxSellePréHiver=OUI,ChoixChevauxSellePréEté=OUI)),0,IFERROR(IF(OR(AND(INDEX(Règles_chevaux_selle[Specificite],MATCH(RationEtéChevauxSelle&amp;$EU69,Règles_chevaux_selle[Ration]&amp;Règles_chevaux_selle[Aliment],0))="s1",IF($EU69=Spécificité1ChevauxSelle,1)),
AND(INDEX(Règles_chevaux_selle[Specificite],MATCH(RationEtéChevauxSelle&amp;$EU69,Règles_chevaux_selle[Ration]&amp;Règles_chevaux_selle[Aliment],0))="s2",IF($EU69=Spécificité2ChevauxSelle,1)),
INDEX(Règles_chevaux_selle[Specificite],MATCH(RationEtéChevauxSelle&amp;$EU69,Règles_chevaux_selle[Ration]&amp;Règles_chevaux_selle[Aliment],0))="c"),
INDEX(Règles_chevaux_selle[Valeur 12-24],MATCH(RationEtéChevauxSelle&amp;$EU69,Règles_chevaux_selle[Ration]&amp;Règles_chevaux_selle[Aliment],0)),0),0)*TotalJeuneEtalonSelle_12_24_mois*NbreJoursNourrirChevauxSelle)</f>
        <v>0</v>
      </c>
      <c r="EY69" s="460">
        <f t="array" ref="EY69">IF(OR(ChoixRationComplèteEtéChevauxSelle=OUI,ChoixRationComplèteEtéChevauxSelle="",AND(ChoixChevauxSellePréHiver=OUI,ChoixChevauxSellePréEté=OUI)),0,IFERROR(IF(OR(AND(INDEX(Règles_chevaux_selle[Specificite],MATCH(RationEtéChevauxSelle&amp;$EU69,Règles_chevaux_selle[Ration]&amp;Règles_chevaux_selle[Aliment],0))="s1",IF($EU69=Spécificité1ChevauxSelle,1)),
AND(INDEX(Règles_chevaux_selle[Specificite],MATCH(RationEtéChevauxSelle&amp;$EU69,Règles_chevaux_selle[Ration]&amp;Règles_chevaux_selle[Aliment],0))="s2",IF($EU69=Spécificité2ChevauxSelle,1)),
INDEX(Règles_chevaux_selle[Specificite],MATCH(RationEtéChevauxSelle&amp;$EU69,Règles_chevaux_selle[Ration]&amp;Règles_chevaux_selle[Aliment],0))="c"),
INDEX(Règles_chevaux_selle[Valeur 0-12],MATCH(RationEtéChevauxSelle&amp;$EU69,Règles_chevaux_selle[Ration]&amp;Règles_chevaux_selle[Aliment],0)),0),0)*TotalPoulainSelle_0_12_mois*NbreJoursNourrirChevauxSelle)</f>
        <v>0</v>
      </c>
      <c r="EZ69" s="460">
        <f t="shared" si="16"/>
        <v>0</v>
      </c>
      <c r="FA69" s="298"/>
      <c r="FB69" s="298"/>
      <c r="FC69" s="282"/>
      <c r="FD69" s="457" t="s">
        <v>266</v>
      </c>
      <c r="FE69" s="458">
        <f t="array" ref="FE69">IF(OR(ChoixRationComplèteEtéChevauxTrait=OUI,ChoixRationComplèteEtéChevauxTrait="",AND(ChoixChevauxTraitPréHiver=OUI,ChoixChevauxTraitPréEté=OUI)),0,IFERROR(IF(OR(AND(INDEX(Règles_chevaux_trait[Specificite],MATCH(RationEtéChevauxTrait&amp;$FD69,Règles_chevaux_trait[Ration]&amp;Règles_chevaux_trait[Aliment],0))="s1",IF($FD69=Spécificité1ChevauxTrait,1)),
AND(INDEX(Règles_chevaux_trait[Specificite],MATCH(RationEtéChevauxTrait&amp;$FD69,Règles_chevaux_trait[Ration]&amp;Règles_chevaux_trait[Aliment],0))="s2",IF($FD69=Spécificité2ChevauxTrait,1)),
INDEX(Règles_chevaux_trait[Specificite],MATCH(RationEtéChevauxTrait&amp;$FD69,Règles_chevaux_trait[Ration]&amp;Règles_chevaux_trait[Aliment],0))="c"),
INDEX(Règles_chevaux_trait[Valeur 36 et plus],MATCH(RationEtéChevauxTrait&amp;$FD69,Règles_chevaux_trait[Ration]&amp;Règles_chevaux_trait[Aliment],0)),0),0)*TotalEtalonTrait*NbreJoursNourrirChevauxTrait)</f>
        <v>0</v>
      </c>
      <c r="FF69" s="458">
        <f t="array" ref="FF69">IF(OR(ChoixRationComplèteEtéChevauxTrait=OUI,ChoixRationComplèteEtéChevauxTrait="",AND(ChoixChevauxTraitPréHiver=OUI,ChoixChevauxTraitPréEté=OUI)),0,IFERROR(IF(OR(AND(INDEX(Règles_chevaux_trait[Specificite],MATCH(RationEtéChevauxTrait&amp;$FD69,Règles_chevaux_trait[Ration]&amp;Règles_chevaux_trait[Aliment],0))="s1",IF($FD69=Spécificité1ChevauxTrait,1)),
AND(INDEX(Règles_chevaux_trait[Specificite],MATCH(RationEtéChevauxTrait&amp;$FD69,Règles_chevaux_trait[Ration]&amp;Règles_chevaux_trait[Aliment],0))="s2",IF($FD69=Spécificité2ChevauxTrait,1)),
INDEX(Règles_chevaux_trait[Specificite],MATCH(RationEtéChevauxTrait&amp;$FD69,Règles_chevaux_trait[Ration]&amp;Règles_chevaux_trait[Aliment],0))="c"),
INDEX(Règles_chevaux_trait[Valeur 24-36],MATCH(RationEtéChevauxTrait&amp;$FD69,Règles_chevaux_trait[Ration]&amp;Règles_chevaux_trait[Aliment],0)),0),0)*TotalJeuneEtalonTrait_24_36_mois*NbreJoursNourrirChevauxTrait)</f>
        <v>0</v>
      </c>
      <c r="FG69" s="458">
        <f t="array" ref="FG69">IF(OR(ChoixRationComplèteEtéChevauxTrait=OUI,ChoixRationComplèteEtéChevauxTrait="",AND(ChoixChevauxTraitPréHiver=OUI,ChoixChevauxTraitPréEté=OUI)),0,IFERROR(IF(OR(AND(INDEX(Règles_chevaux_trait[Specificite],MATCH(RationEtéChevauxTrait&amp;$FD69,Règles_chevaux_trait[Ration]&amp;Règles_chevaux_trait[Aliment],0))="s1",IF($FD69=Spécificité1ChevauxTrait,1)),
AND(INDEX(Règles_chevaux_trait[Specificite],MATCH(RationEtéChevauxTrait&amp;$FD69,Règles_chevaux_trait[Ration]&amp;Règles_chevaux_trait[Aliment],0))="s2",IF($FD69=Spécificité2ChevauxTrait,1)),
INDEX(Règles_chevaux_trait[Specificite],MATCH(RationEtéChevauxTrait&amp;$FD69,Règles_chevaux_trait[Ration]&amp;Règles_chevaux_trait[Aliment],0))="c"),
INDEX(Règles_chevaux_trait[Valeur 12-24],MATCH(RationEtéChevauxTrait&amp;$FD69,Règles_chevaux_trait[Ration]&amp;Règles_chevaux_trait[Aliment],0)),0),0)*TotalJeuneEtalonTrait_12_24_mois*NbreJoursNourrirChevauxTrait)</f>
        <v>0</v>
      </c>
      <c r="FH69" s="460">
        <f t="array" ref="FH69">IF(OR(ChoixRationComplèteEtéChevauxTrait=OUI,ChoixRationComplèteEtéChevauxTrait="",AND(ChoixChevauxTraitPréHiver=OUI,ChoixChevauxTraitPréEté=OUI)),0,IFERROR(IF(OR(AND(INDEX(Règles_chevaux_trait[Specificite],MATCH(RationEtéChevauxTrait&amp;$FD69,Règles_chevaux_trait[Ration]&amp;Règles_chevaux_trait[Aliment],0))="s1",IF($FD69=Spécificité1ChevauxTrait,1)),
AND(INDEX(Règles_chevaux_trait[Specificite],MATCH(RationEtéChevauxTrait&amp;$FD69,Règles_chevaux_trait[Ration]&amp;Règles_chevaux_trait[Aliment],0))="s2",IF($FD69=Spécificité2ChevauxTrait,1)),
INDEX(Règles_chevaux_trait[Specificite],MATCH(RationEtéChevauxTrait&amp;$FD69,Règles_chevaux_trait[Ration]&amp;Règles_chevaux_trait[Aliment],0))="c"),
INDEX(Règles_chevaux_trait[Valeur 0-12],MATCH(RationEtéChevauxTrait&amp;$FD69,Règles_chevaux_trait[Ration]&amp;Règles_chevaux_trait[Aliment],0)),0),0)*TotalPoulainTrait_0_12_mois*NbreJoursNourrirChevauxTrait)</f>
        <v>0</v>
      </c>
      <c r="FI69" s="460">
        <f t="shared" si="15"/>
        <v>0</v>
      </c>
      <c r="FJ69" s="298"/>
      <c r="FK69" s="298"/>
      <c r="FL69" s="298"/>
      <c r="FM69" s="282"/>
      <c r="FN69" s="457" t="s">
        <v>267</v>
      </c>
      <c r="FO69" s="458">
        <f t="array" ref="FO69">IF(OR(ChoixRationComplèteEtéPoneys=OUI,ChoixRationComplèteEtéPoneys="",AND(ChoixPoneysPréHiver=OUI,ChoixPoneysPréEté=OUI)),0,IFERROR(IF(OR(AND(INDEX(Règles_poneys[Specificite],MATCH(RationEtéPoneys&amp;$FN69,Règles_poneys[Ration]&amp;Règles_poneys[Aliment],0))="s1",IF($FN69=Spécificité1Poneys,1)),
AND(INDEX(Règles_poneys[Specificite],MATCH(RationEtéPoneys&amp;$FN69,Règles_poneys[Ration]&amp;Règles_poneys[Aliment],0))="s2",IF($FN69=Spécificité2Poneys,1)),
INDEX(Règles_poneys[Specificite],MATCH(RationEtéPoneys&amp;$FN69,Règles_poneys[Ration]&amp;Règles_poneys[Aliment],0))="c"),
INDEX(Règles_poneys[Valeur 36 et plus],MATCH(RationEtéPoneys&amp;$FN69,Règles_poneys[Ration]&amp;Règles_poneys[Aliment],0)),0),0)*TotalEtalonPoney*NbreJoursNourrirPoneys)</f>
        <v>0</v>
      </c>
      <c r="FP69" s="458">
        <f t="array" ref="FP69">IF(OR(ChoixRationComplèteEtéPoneys=OUI,ChoixRationComplèteEtéPoneys="",AND(ChoixPoneysPréHiver=OUI,ChoixPoneysPréEté=OUI)),0,IFERROR(IF(OR(AND(INDEX(Règles_poneys[Specificite],MATCH(RationEtéPoneys&amp;$FN69,Règles_poneys[Ration]&amp;Règles_poneys[Aliment],0))="s1",IF($FN69=Spécificité1Poneys,1)),
AND(INDEX(Règles_poneys[Specificite],MATCH(RationEtéPoneys&amp;$FN69,Règles_poneys[Ration]&amp;Règles_poneys[Aliment],0))="s2",IF($FN69=Spécificité2Poneys,1)),
INDEX(Règles_poneys[Specificite],MATCH(RationEtéPoneys&amp;$FN69,Règles_poneys[Ration]&amp;Règles_poneys[Aliment],0))="c"),
INDEX(Règles_poneys[Valeur 36 et plus],MATCH(RationEtéPoneys&amp;$FN69,Règles_poneys[Ration]&amp;Règles_poneys[Aliment],0)),0),0)*TotalJeuneEtalonPoney_24_36_mois*NbreJoursNourrirPoneys)</f>
        <v>0</v>
      </c>
      <c r="FQ69" s="458">
        <f t="array" ref="FQ69">IF(OR(ChoixRationComplèteEtéPoneys=OUI,ChoixRationComplèteEtéPoneys="",AND(ChoixPoneysPréHiver=OUI,ChoixPoneysPréEté=OUI)),0,IFERROR(IF(OR(AND(INDEX(Règles_poneys[Specificite],MATCH(RationEtéPoneys&amp;$FN69,Règles_poneys[Ration]&amp;Règles_poneys[Aliment],0))="s1",IF($FN69=Spécificité1Poneys,1)),
AND(INDEX(Règles_poneys[Specificite],MATCH(RationEtéPoneys&amp;$FN69,Règles_poneys[Ration]&amp;Règles_poneys[Aliment],0))="s2",IF($FN69=Spécificité2Poneys,1)),
INDEX(Règles_poneys[Specificite],MATCH(RationEtéPoneys&amp;$FN69,Règles_poneys[Ration]&amp;Règles_poneys[Aliment],0))="c"),
INDEX(Règles_poneys[Valeur 36 et plus],MATCH(RationEtéPoneys&amp;$FN69,Règles_poneys[Ration]&amp;Règles_poneys[Aliment],0)),0),0)*TotalJeuneEtalonPoney_12_24_mois*NbreJoursNourrirPoneys)</f>
        <v>0</v>
      </c>
      <c r="FR69" s="460">
        <f t="array" ref="FR69">IF(OR(ChoixRationComplèteEtéPoneys=OUI,ChoixRationComplèteEtéPoneys="",AND(ChoixPoneysPréHiver=OUI,ChoixPoneysPréEté=OUI)),0,IFERROR(IF(OR(AND(INDEX(Règles_poneys[Specificite],MATCH(RationEtéPoneys&amp;$FN69,Règles_poneys[Ration]&amp;Règles_poneys[Aliment],0))="s1",IF($FN69=Spécificité1Poneys,1)),
AND(INDEX(Règles_poneys[Specificite],MATCH(RationEtéPoneys&amp;$FN69,Règles_poneys[Ration]&amp;Règles_poneys[Aliment],0))="s2",IF($FN69=Spécificité2Poneys,1)),
INDEX(Règles_poneys[Specificite],MATCH(RationEtéPoneys&amp;$FN69,Règles_poneys[Ration]&amp;Règles_poneys[Aliment],0))="c"),
INDEX(Règles_poneys[Valeur 36 et plus],MATCH(RationEtéPoneys&amp;$FN69,Règles_poneys[Ration]&amp;Règles_poneys[Aliment],0)),0),0)*TotalPoulainPoney_0_12_mois*NbreJoursNourrirPoneys)</f>
        <v>0</v>
      </c>
      <c r="FS69" s="460">
        <f t="shared" si="14"/>
        <v>0</v>
      </c>
      <c r="FT69" s="298"/>
      <c r="FU69" s="298"/>
      <c r="FV69" s="298"/>
      <c r="FW69" s="443" t="s">
        <v>378</v>
      </c>
      <c r="FX69" s="450">
        <f t="array" ref="FX69">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69" s="450">
        <f t="array" ref="FY69">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69" s="450">
        <f t="array" ref="FZ69">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69" s="450">
        <f t="array" ref="GA69">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69" s="451">
        <f>SUM(AlimentsGavageOies[[#This Row],[Valeur 6 et plus]:[Valeur 0-1]])</f>
        <v>0</v>
      </c>
      <c r="GC69" s="316"/>
      <c r="GE69" s="280" t="s">
        <v>237</v>
      </c>
      <c r="GF69" s="283"/>
      <c r="GG69" s="283" t="s">
        <v>955</v>
      </c>
      <c r="GH69" s="283" t="s">
        <v>955</v>
      </c>
      <c r="GI69" s="283" t="s">
        <v>955</v>
      </c>
      <c r="GJ69" s="283" t="s">
        <v>955</v>
      </c>
      <c r="GK69" s="283" t="s">
        <v>955</v>
      </c>
      <c r="GL69" s="283" t="s">
        <v>955</v>
      </c>
      <c r="GM69" s="283" t="s">
        <v>955</v>
      </c>
      <c r="GN69" s="283" t="s">
        <v>955</v>
      </c>
      <c r="GO69" s="283" t="s">
        <v>955</v>
      </c>
      <c r="GP69" s="283" t="s">
        <v>955</v>
      </c>
      <c r="GQ69" s="283" t="s">
        <v>955</v>
      </c>
      <c r="GR69" s="283" t="s">
        <v>955</v>
      </c>
      <c r="GS69" s="283" t="s">
        <v>955</v>
      </c>
      <c r="GT69" s="283" t="s">
        <v>955</v>
      </c>
      <c r="GU69" s="283" t="s">
        <v>955</v>
      </c>
      <c r="GV69" s="283" t="s">
        <v>955</v>
      </c>
      <c r="GY69" s="444" t="str">
        <f t="shared" si="11"/>
        <v>semences de pois (G)</v>
      </c>
      <c r="GZ69" s="444"/>
      <c r="HA69" s="342"/>
      <c r="HB69" s="342" t="e">
        <f>IF(COUNTIF(TypeArticleDansEntrepôt,GY69)=0,0,SUMIF(TypeArticleDansEntrepôt,GY69,QtéArticleDansEntrepôt)*VLOOKUP(GY69,#REF!,2,FALSE))</f>
        <v>#REF!</v>
      </c>
      <c r="HN69" s="342" t="e">
        <f>IF(#REF!="","",(VLOOKUP(#REF!,BDD!$HN$5:$HU$38,2,FALSE))*#REF!)</f>
        <v>#REF!</v>
      </c>
      <c r="HO69" s="342" t="e">
        <f>IF(#REF!="","",IF(OR(#REF!=Moutarde,#REF!=Phacélie),0,IF(#REF!=Luzerne,10*#REF!*VLOOKUP(#REF!,BDD!$HN$5:$HU$38,3,FALSE),IF(#REF!=Miscanthus,10.5*#REF!*VLOOKUP(#REF!,BDD!$HN$5:$HU$38,3,FALSE),INDEX(#REF!:#REF!,MATCH(#REF!,#REF!:#REF!,0),MATCH(#REF!,#REF!:#REF!,0))*#REF!*VLOOKUP(#REF!,BDD!$HN$5:$HU$38,3,FALSE)))))</f>
        <v>#REF!</v>
      </c>
      <c r="HP69" s="342" t="e">
        <f>IF(#REF!="","",IF(OR(#REF!=Moutarde,#REF!=Phacélie),0,IF(#REF!=Luzerne,10*#REF!*VLOOKUP(#REF!,BDD!$HN$5:$HU$38,4,FALSE),IF(#REF!=Miscanthus,10.5*#REF!*VLOOKUP(#REF!,BDD!$HN$5:$HU$38,4,FALSE),INDEX(#REF!:#REF!,MATCH(#REF!,#REF!:#REF!,0),MATCH(#REF!,#REF!:#REF!,0))*#REF!*VLOOKUP(#REF!,BDD!$HN$5:$HU$38,4,FALSE)))))</f>
        <v>#REF!</v>
      </c>
      <c r="HQ69" s="342" t="e">
        <f>IF(#REF!="","",IF(OR(#REF!=Moutarde,#REF!=Phacélie),0,IF(#REF!=Luzerne,10*#REF!*VLOOKUP(#REF!,BDD!$HN$5:$HU$38,5,FALSE),IF(#REF!=Miscanthus,10.5*#REF!*VLOOKUP(#REF!,BDD!$HN$5:$HU$38,5,FALSE),INDEX(#REF!:#REF!,MATCH(#REF!,#REF!:#REF!,0),MATCH(#REF!,#REF!:#REF!,0))*#REF!*VLOOKUP(#REF!,BDD!$HN$5:$HU$38,5,FALSE)))))</f>
        <v>#REF!</v>
      </c>
      <c r="HR69" s="342" t="e">
        <f>IF(#REF!="","",IF(OR(#REF!=Moutarde,#REF!=Phacélie),0,IF(#REF!=Luzerne,10*#REF!*VLOOKUP(#REF!,BDD!$HN$5:$HU$38,6,FALSE),IF(#REF!=Miscanthus,10.5*#REF!*VLOOKUP(#REF!,BDD!$HN$5:$HU$38,6,FALSE),INDEX(#REF!:#REF!,MATCH(#REF!,#REF!:#REF!,0),MATCH(#REF!,#REF!:#REF!,0))*#REF!*VLOOKUP(#REF!,BDD!$HN$5:$HU$38,6,FALSE)))))</f>
        <v>#REF!</v>
      </c>
      <c r="HS69" s="342" t="e">
        <f>IF(#REF!="","",IF(OR(#REF!=Moutarde,#REF!=Phacélie),0,IF(#REF!=Luzerne,10*#REF!*VLOOKUP(#REF!,BDD!$HN$5:$HU$38,7,FALSE),IF(#REF!=Miscanthus,10.5*#REF!*VLOOKUP(#REF!,BDD!$HN$5:$HU$38,7,FALSE),INDEX(#REF!:#REF!,MATCH(#REF!,#REF!:#REF!,0),MATCH(#REF!,#REF!:#REF!,0))*#REF!*VLOOKUP(#REF!,BDD!$HN$5:$HU$38,7,FALSE)))))</f>
        <v>#REF!</v>
      </c>
      <c r="HT69" s="342" t="e">
        <f>IF(#REF!="","",IF(OR(#REF!=Moutarde,#REF!=Phacélie),0,IF(#REF!=Luzerne,10*#REF!*VLOOKUP(#REF!,BDD!$HN$5:$HU$38,8,FALSE),IF(#REF!=Miscanthus,10.5*#REF!*VLOOKUP(#REF!,BDD!$HN$5:$HU$38,8,FALSE),INDEX(#REF!:#REF!,MATCH(#REF!,#REF!:#REF!,0),MATCH(#REF!,#REF!:#REF!,0))*#REF!*VLOOKUP(#REF!,BDD!$HN$5:$HU$38,8,FALSE)))))</f>
        <v>#REF!</v>
      </c>
      <c r="HU69" s="342" t="e">
        <f>IF(#REF!="","",IF(OR(#REF!=Moutarde,#REF!=Phacélie),0,1.6*#REF!))</f>
        <v>#REF!</v>
      </c>
      <c r="HV69" s="342" t="e">
        <f>IF(#REF!="","",IF(OR(#REF!=Moutarde,#REF!=Phacélie),0,1.6*#REF!))</f>
        <v>#REF!</v>
      </c>
      <c r="HW69" s="342" t="e">
        <f>IF(#REF!="","",IF(OR(#REF!=Moutarde,#REF!=Phacélie),0,1.6*#REF!))</f>
        <v>#REF!</v>
      </c>
      <c r="HX69" s="342" t="e">
        <f>IF(#REF!="","",(VLOOKUP(#REF!,BDD!$HN$5:$HU$38,2,FALSE))*#REF!)</f>
        <v>#REF!</v>
      </c>
      <c r="HY69" s="342" t="e">
        <f>IF(#REF!="","",IF(OR(#REF!=Moutarde,#REF!=Phacélie),0,IF(#REF!=Luzerne,10*#REF!*VLOOKUP(#REF!,BDD!$HN$5:$HU$38,3,FALSE),IF(#REF!=Miscanthus,10.5*#REF!*VLOOKUP(#REF!,BDD!$HN$5:$HU$38,3,FALSE),INDEX(#REF!:#REF!,MATCH(#REF!,#REF!:#REF!,0),MATCH(#REF!,#REF!:#REF!,0))*#REF!*VLOOKUP(#REF!,BDD!$HN$5:$HU$38,3,FALSE)))))</f>
        <v>#REF!</v>
      </c>
      <c r="HZ69" s="342" t="e">
        <f>IF(#REF!="","",IF(OR(#REF!=Moutarde,#REF!=Phacélie),0,IF(#REF!=Luzerne,10*#REF!*VLOOKUP(#REF!,BDD!$HN$5:$HU$38,4,FALSE),IF(#REF!=Miscanthus,10.5*#REF!*VLOOKUP(#REF!,BDD!$HN$5:$HU$38,4,FALSE),INDEX(#REF!:#REF!,MATCH(#REF!,#REF!:#REF!,0),MATCH(#REF!,#REF!:#REF!,0))*#REF!*VLOOKUP(#REF!,BDD!$HN$5:$HU$38,4,FALSE)))))</f>
        <v>#REF!</v>
      </c>
      <c r="IA69" s="342" t="e">
        <f>IF(#REF!="","",IF(OR(#REF!=Moutarde,#REF!=Phacélie),0,IF(#REF!=Luzerne,10*#REF!*VLOOKUP(#REF!,BDD!$HN$5:$HU$38,5,FALSE),IF(#REF!=Miscanthus,10.5*#REF!*VLOOKUP(#REF!,BDD!$HN$5:$HU$38,5,FALSE),INDEX(#REF!:#REF!,MATCH(#REF!,#REF!:#REF!,0),MATCH(#REF!,#REF!:#REF!,0))*#REF!*VLOOKUP(#REF!,BDD!$HN$5:$HU$38,5,FALSE)))))</f>
        <v>#REF!</v>
      </c>
      <c r="IB69" s="342" t="e">
        <f>IF(#REF!="","",IF(OR(#REF!=Moutarde,#REF!=Phacélie),0,IF(#REF!=Luzerne,10*#REF!*VLOOKUP(#REF!,BDD!$HN$5:$HU$38,6,FALSE),IF(#REF!=Miscanthus,10.5*#REF!*VLOOKUP(#REF!,BDD!$HN$5:$HU$38,6,FALSE),INDEX(#REF!:#REF!,MATCH(#REF!,#REF!:#REF!,0),MATCH(#REF!,#REF!:#REF!,0))*#REF!*VLOOKUP(#REF!,BDD!$HN$5:$HU$38,6,FALSE)))))</f>
        <v>#REF!</v>
      </c>
      <c r="IC69" s="342" t="e">
        <f>IF(#REF!="","",IF(OR(#REF!=Moutarde,#REF!=Phacélie),0,IF(#REF!=Luzerne,10*#REF!*VLOOKUP(#REF!,BDD!$HN$5:$HU$38,7,FALSE),IF(#REF!=Miscanthus,10.5*#REF!*VLOOKUP(#REF!,BDD!$HN$5:$HU$38,7,FALSE),INDEX(#REF!:#REF!,MATCH(#REF!,#REF!:#REF!,0),MATCH(#REF!,#REF!:#REF!,0))*#REF!*VLOOKUP(#REF!,BDD!$HN$5:$HU$38,7,FALSE)))))</f>
        <v>#REF!</v>
      </c>
      <c r="ID69" s="342" t="e">
        <f>IF(#REF!="","",IF(OR(#REF!=Moutarde,#REF!=Phacélie),0,IF(#REF!=Luzerne,10*#REF!*VLOOKUP(#REF!,BDD!$HN$5:$HU$38,8,FALSE),IF(#REF!=Miscanthus,10.5*#REF!*VLOOKUP(#REF!,BDD!$HN$5:$HU$38,8,FALSE),INDEX(#REF!:#REF!,MATCH(#REF!,#REF!:#REF!,0),MATCH(#REF!,#REF!:#REF!,0))*#REF!*VLOOKUP(#REF!,BDD!$HN$5:$HU$38,8,FALSE)))))</f>
        <v>#REF!</v>
      </c>
      <c r="IE69" s="342" t="e">
        <f>IF(#REF!="","",IF(OR(#REF!=Moutarde,#REF!=Phacélie),0,1.6*#REF!))</f>
        <v>#REF!</v>
      </c>
      <c r="IF69" s="342" t="e">
        <f>IF(#REF!="","",IF(OR(#REF!=Moutarde,#REF!=Phacélie),0,1.6*#REF!))</f>
        <v>#REF!</v>
      </c>
      <c r="IG69" s="342" t="e">
        <f>IF(#REF!="","",IF(OR(#REF!=Moutarde,#REF!=Phacélie),0,1.6*#REF!))</f>
        <v>#REF!</v>
      </c>
    </row>
    <row r="70" spans="1:241" ht="12.75" customHeight="1" x14ac:dyDescent="0.2">
      <c r="A70" s="373"/>
      <c r="B70" s="380"/>
      <c r="F70" s="280"/>
      <c r="G70" s="280"/>
      <c r="H70" s="280"/>
      <c r="I70" s="280"/>
      <c r="J70" s="280"/>
      <c r="K70" s="280"/>
      <c r="L70" s="280"/>
      <c r="N70" s="277"/>
      <c r="O70" s="280" t="s">
        <v>851</v>
      </c>
      <c r="P70" s="280"/>
      <c r="Q70" s="280"/>
      <c r="R70" s="280"/>
      <c r="S70" s="280"/>
      <c r="T70" s="280"/>
      <c r="U70" s="280"/>
      <c r="V70" s="280"/>
      <c r="W70" s="280"/>
      <c r="X70" s="280"/>
      <c r="Y70" s="280"/>
      <c r="Z70" s="280"/>
      <c r="AA70" s="280"/>
      <c r="AB70" s="280"/>
      <c r="AC70" s="280"/>
      <c r="AD70" s="280"/>
      <c r="AE70" s="280"/>
      <c r="AF70" s="280"/>
      <c r="AG70" s="280"/>
      <c r="AH70" s="280"/>
      <c r="AI70" s="280"/>
      <c r="AJ70" s="280"/>
      <c r="AK70" s="280"/>
      <c r="AL70" s="280"/>
      <c r="AM70" s="280"/>
      <c r="AN70" s="280"/>
      <c r="AO70" s="280"/>
      <c r="AP70" s="280"/>
      <c r="AQ70" s="280"/>
      <c r="AR70" s="280"/>
      <c r="AS70" s="280"/>
      <c r="AT70" s="280"/>
      <c r="AU70" s="280"/>
      <c r="AV70" s="280"/>
      <c r="AW70" s="280"/>
      <c r="AX70" s="280"/>
      <c r="AY70" s="280"/>
      <c r="BB70" s="387" t="s">
        <v>509</v>
      </c>
      <c r="BC70" s="362" t="s">
        <v>518</v>
      </c>
      <c r="BD70" s="362" t="s">
        <v>886</v>
      </c>
      <c r="BE70" s="388">
        <v>200</v>
      </c>
      <c r="BF70" s="388">
        <v>100</v>
      </c>
      <c r="BG70" s="388">
        <v>80</v>
      </c>
      <c r="BH70" s="388">
        <v>60</v>
      </c>
      <c r="BI70" s="388">
        <v>40</v>
      </c>
      <c r="BJ70" s="388">
        <v>28</v>
      </c>
      <c r="BK70" s="389">
        <v>12</v>
      </c>
      <c r="BL70" s="312"/>
      <c r="BM70" s="313"/>
      <c r="BQ70" s="277"/>
      <c r="BU70" s="317"/>
      <c r="BX70" s="373" t="s">
        <v>168</v>
      </c>
      <c r="BY70" s="280" t="s">
        <v>905</v>
      </c>
      <c r="BZ70" s="280" t="s">
        <v>886</v>
      </c>
      <c r="CA70" s="280">
        <v>0.08</v>
      </c>
      <c r="CB70" s="280">
        <v>0.04</v>
      </c>
      <c r="CC70" s="280">
        <v>0.04</v>
      </c>
      <c r="CD70" s="410">
        <v>0.04</v>
      </c>
      <c r="CE70" s="304"/>
      <c r="CF70" s="304"/>
      <c r="CG70" s="304"/>
      <c r="CH70" s="304"/>
      <c r="CJ70" s="420" t="s">
        <v>489</v>
      </c>
      <c r="CK70" s="384">
        <f t="array" ref="CK7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70" s="384">
        <f t="array" ref="CL7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70" s="384">
        <f t="array" ref="CM7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70" s="384">
        <f t="array" ref="CN7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70" s="384">
        <f t="array" ref="CO7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70" s="426">
        <f>SUM(AlimentsRationPorcinsMâles[[#This Row],[Valeur 12 et plus]:[Valeur 0-1]])</f>
        <v>0</v>
      </c>
      <c r="CS70" s="420" t="s">
        <v>233</v>
      </c>
      <c r="CT70" s="433">
        <f t="array" ref="CT70">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70" s="433">
        <f t="array" ref="CU70">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70" s="433">
        <f t="array" ref="CV70">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70" s="434">
        <f>SUM(AlimentsRationLapinsMâles[[#This Row],[Valeur 3 et plus]:[Valeur 0-1]])</f>
        <v>0</v>
      </c>
      <c r="CZ70" s="420" t="s">
        <v>233</v>
      </c>
      <c r="DA70" s="433">
        <f t="array" ref="DA7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70" s="433">
        <f t="array" ref="DB7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70" s="433">
        <f t="array" ref="DC7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70" s="434">
        <f>SUM(AlimentsRationVolaillesMâles[[#This Row],[Valeur 6 et plus]:[Valeur 0-1]])</f>
        <v>0</v>
      </c>
      <c r="DE70" s="316"/>
      <c r="DF70" s="277"/>
      <c r="DG70" s="420" t="s">
        <v>232</v>
      </c>
      <c r="DH70" s="433">
        <f t="array" ref="DH7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70" s="433">
        <f t="array" ref="DI7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70" s="433">
        <f t="array" ref="DJ7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70" s="434">
        <f>SUM(AlimentsRationPintadesMâles[[#This Row],[Valeur 9 et plus]:[Valeur 0-1]])</f>
        <v>0</v>
      </c>
      <c r="DL70" s="316"/>
      <c r="DM70" s="316"/>
      <c r="DN70" s="373" t="s">
        <v>509</v>
      </c>
      <c r="DO70" s="280" t="s">
        <v>220</v>
      </c>
      <c r="DP70" s="280" t="s">
        <v>887</v>
      </c>
      <c r="DQ70" s="310">
        <v>1.6</v>
      </c>
      <c r="DR70" s="310">
        <v>1.4</v>
      </c>
      <c r="DS70" s="310">
        <v>1.2</v>
      </c>
      <c r="DT70" s="439">
        <v>1</v>
      </c>
      <c r="DV70" s="350"/>
      <c r="DW70" s="351">
        <f t="array" ref="DW70">IF(ChoixRationComplèteDaims=OUI,0,IFERROR(IF(OR(AND(INDEX(Règles_daims[Specificite],MATCH(ChoixRationDaims&amp;DV70,Règles_daims[Ration]&amp;Règles_daims[Aliment],0))="s1",IF(DV70=Spécificité1Daims,1)),
AND(INDEX(Règles_daims[Specificite],MATCH(ChoixRationDaims&amp;DV70,Règles_daims[Ration]&amp;Règles_daims[Aliment],0))="s2",IF(DV70=Spécificité2Daims,1)),
INDEX(Règles_daims[Specificite],MATCH(ChoixRationDaims&amp;DV70,Règles_daims[Ration]&amp;Règles_daims[Aliment],0))="c"),
INDEX(Règles_daims[Valeur 36 et plus],MATCH(ChoixRationDaims&amp;DV70,Règles_daims[Ration]&amp;Règles_daims[Aliment],0)),0),0)*SUM(TotalDaimsAdultes)*NbreJoursNourrirBisonsDaims)</f>
        <v>0</v>
      </c>
      <c r="DX70" s="351">
        <f t="array" ref="DX70">IF(ChoixRationComplèteDaims=OUI,0,IFERROR(IF(OR(AND(INDEX(Règles_daims[Specificite],MATCH(ChoixRationDaims&amp;DV70,Règles_daims[Ration]&amp;Règles_daims[Aliment],0))="s1",IF(DV70=Spécificité1Daims,1)),
AND(INDEX(Règles_daims[Specificite],MATCH(ChoixRationDaims&amp;DV70,Règles_daims[Ration]&amp;Règles_daims[Aliment],0))="s2",IF(DV70=Spécificité2Daims,1)),
INDEX(Règles_daims[Specificite],MATCH(ChoixRationDaims&amp;DV70,Règles_daims[Ration]&amp;Règles_daims[Aliment],0))="c"),
INDEX(Règles_daims[Valeur 24-36],MATCH(ChoixRationDaims&amp;DV70,Règles_daims[Ration]&amp;Règles_daims[Aliment],0)),0),0)*SUM(TotalDaims24_36)*NbreJoursNourrirBisonsDaims)</f>
        <v>0</v>
      </c>
      <c r="DY70" s="351">
        <f t="array" ref="DY70">IF(ChoixRationComplèteDaims=OUI,0,IFERROR(IF(OR(AND(INDEX(Règles_daims[Specificite],MATCH(ChoixRationDaims&amp;DV70,Règles_daims[Ration]&amp;Règles_daims[Aliment],0))="s1",IF(DV70=Spécificité1Daims,1)),
AND(INDEX(Règles_daims[Specificite],MATCH(ChoixRationDaims&amp;DV70,Règles_daims[Ration]&amp;Règles_daims[Aliment],0))="s2",IF(DV70=Spécificité2Daims,1)),
INDEX(Règles_daims[Specificite],MATCH(ChoixRationDaims&amp;DV70,Règles_daims[Ration]&amp;Règles_daims[Aliment],0))="c"),
INDEX(Règles_daims[Valeur 18-24],MATCH(ChoixRationDaims&amp;DV70,Règles_daims[Ration]&amp;Règles_daims[Aliment],0)),0),0)*SUM(TotalDaims18_24)*NbreJoursNourrirBisonsDaims)</f>
        <v>0</v>
      </c>
      <c r="DZ70" s="441">
        <f t="array" ref="DZ70">IF(ChoixRationComplèteDaims=OUI,0,IFERROR(IF(OR(AND(INDEX(Règles_daims[Specificite],MATCH(ChoixRationDaims&amp;DV70,Règles_daims[Ration]&amp;Règles_daims[Aliment],0))="s1",IF(DV70=Spécificité1Daims,1)),
AND(INDEX(Règles_daims[Specificite],MATCH(ChoixRationDaims&amp;DV70,Règles_daims[Ration]&amp;Règles_daims[Aliment],0))="s2",IF(DV70=Spécificité2Daims,1)),
INDEX(Règles_daims[Specificite],MATCH(ChoixRationDaims&amp;DV70,Règles_daims[Ration]&amp;Règles_daims[Aliment],0))="c"),
INDEX(Règles_daims[Valeur 12-18],MATCH(ChoixRationDaims&amp;DV70,Règles_daims[Ration]&amp;Règles_daims[Aliment],0)),0),0)*SUM(TotalDaims12_18)*NbreJoursNourrirBisonsDaims)</f>
        <v>0</v>
      </c>
      <c r="EA70" s="441">
        <f t="array" ref="EA70">IF(ChoixRationComplèteDaims=OUI,0,IFERROR(IF(OR(AND(INDEX(Règles_daims[Specificite],MATCH(ChoixRationDaims&amp;DV70,Règles_daims[Ration]&amp;Règles_daims[Aliment],0))="s1",IF(DV70=Spécificité1Daims,1)),
AND(INDEX(Règles_daims[Specificite],MATCH(ChoixRationDaims&amp;DV70,Règles_daims[Ration]&amp;Règles_daims[Aliment],0))="s2",IF(DV70=Spécificité2Daims,1)),
INDEX(Règles_daims[Specificite],MATCH(ChoixRationDaims&amp;DV70,Règles_daims[Ration]&amp;Règles_daims[Aliment],0))="c"),
INDEX(Règles_daims[Valeur 6-12],MATCH(ChoixRationDaims&amp;DV70,Règles_daims[Ration]&amp;Règles_daims[Aliment],0)),0),0)*SUM(TotalDaims6_12)*NbreJoursNourrirBisonsDaims)</f>
        <v>0</v>
      </c>
      <c r="EB70" s="441">
        <f t="array" ref="EB70">IF(ChoixRationComplèteDaims=OUI,0,IFERROR(IF(OR(AND(INDEX(Règles_daims[Specificite],MATCH(ChoixRationDaims&amp;DV70,Règles_daims[Ration]&amp;Règles_daims[Aliment],0))="s1",IF(DV70=Spécificité1Daims,1)),
AND(INDEX(Règles_daims[Specificite],MATCH(ChoixRationDaims&amp;DV70,Règles_daims[Ration]&amp;Règles_daims[Aliment],0))="s2",IF(DV70=Spécificité2Daims,1)),
INDEX(Règles_daims[Specificite],MATCH(ChoixRationDaims&amp;DV70,Règles_daims[Ration]&amp;Règles_daims[Aliment],0))="c"),
INDEX(Règles_daims[Valeur 3-6],MATCH(ChoixRationDaims&amp;DV70,Règles_daims[Ration]&amp;Règles_daims[Aliment],0)),0),0)*SUM(TotalDaims3_6)*NbreJoursNourrirBisonsDaims)</f>
        <v>0</v>
      </c>
      <c r="EC70" s="441">
        <f t="array" ref="EC70">IF(ChoixRationComplèteDaims=OUI,0,IFERROR(IF(OR(AND(INDEX(Règles_daims[Specificite],MATCH(ChoixRationDaims&amp;DV70,Règles_daims[Ration]&amp;Règles_daims[Aliment],0))="s1",IF(DV70=Spécificité1Daims,1)),
AND(INDEX(Règles_daims[Specificite],MATCH(ChoixRationDaims&amp;DV70,Règles_daims[Ration]&amp;Règles_daims[Aliment],0))="s2",IF(DV70=Spécificité2Daims,1)),
INDEX(Règles_daims[Specificite],MATCH(ChoixRationDaims&amp;DV70,Règles_daims[Ration]&amp;Règles_daims[Aliment],0))="c"),
INDEX(Règles_daims[Valeur 0-3],MATCH(ChoixRationDaims&amp;DV70,Règles_daims[Ration]&amp;Règles_daims[Aliment],0)),0),0)*SUM(TotalDaims0_3)*NbreJoursNourrirBisonsDaims)</f>
        <v>0</v>
      </c>
      <c r="ED70" s="441">
        <f t="shared" si="9"/>
        <v>0</v>
      </c>
      <c r="EG70" s="420" t="s">
        <v>269</v>
      </c>
      <c r="EH70" s="433">
        <f t="array" ref="EH7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70" s="433">
        <f t="array" ref="EI7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70" s="433">
        <f t="array" ref="EJ7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70" s="434">
        <f>SUM(AlimentsRationOiesMâles[[#This Row],[Valeur 6 et plus]:[Valeur 0-3]])</f>
        <v>0</v>
      </c>
      <c r="EL70" s="316"/>
      <c r="EN70" s="420" t="s">
        <v>268</v>
      </c>
      <c r="EO70" s="433">
        <f t="array" ref="EO70">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70" s="433">
        <f t="array" ref="EP70">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70" s="433">
        <f t="array" ref="EQ70">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70" s="434">
        <f>SUM(Ration_canards_Mâles[[#This Row],[Valeur 6 et plus]:[Valeur 0-3]])</f>
        <v>0</v>
      </c>
      <c r="ES70" s="316"/>
      <c r="EU70" s="457" t="s">
        <v>513</v>
      </c>
      <c r="EV70" s="458">
        <f t="array" ref="EV70">IF(OR(ChoixRationComplèteEtéChevauxSelle=OUI,ChoixRationComplèteEtéChevauxSelle="",AND(ChoixChevauxSellePréHiver=OUI,ChoixChevauxSellePréEté=OUI)),0,IFERROR(IF(OR(AND(INDEX(Règles_chevaux_selle[Specificite],MATCH(RationEtéChevauxSelle&amp;$EU70,Règles_chevaux_selle[Ration]&amp;Règles_chevaux_selle[Aliment],0))="s1",IF($EU70=Spécificité1ChevauxSelle,1)),
AND(INDEX(Règles_chevaux_selle[Specificite],MATCH(RationEtéChevauxSelle&amp;$EU70,Règles_chevaux_selle[Ration]&amp;Règles_chevaux_selle[Aliment],0))="s2",IF($EU70=Spécificité2ChevauxSelle,1)),
INDEX(Règles_chevaux_selle[Specificite],MATCH(RationEtéChevauxSelle&amp;$EU70,Règles_chevaux_selle[Ration]&amp;Règles_chevaux_selle[Aliment],0))="c"),
INDEX(Règles_chevaux_selle[Valeur 36 et plus],MATCH(RationEtéChevauxSelle&amp;$EU70,Règles_chevaux_selle[Ration]&amp;Règles_chevaux_selle[Aliment],0)),0),0)*TotalEtalonSelle*NbreJoursNourrirChevauxSelle)</f>
        <v>0</v>
      </c>
      <c r="EW70" s="458">
        <f t="array" ref="EW70">IF(OR(ChoixRationComplèteEtéChevauxSelle=OUI,ChoixRationComplèteEtéChevauxSelle="",AND(ChoixChevauxSellePréHiver=OUI,ChoixChevauxSellePréEté=OUI)),0,IFERROR(IF(OR(AND(INDEX(Règles_chevaux_selle[Specificite],MATCH(RationEtéChevauxSelle&amp;$EU70,Règles_chevaux_selle[Ration]&amp;Règles_chevaux_selle[Aliment],0))="s1",IF($EU70=Spécificité1ChevauxSelle,1)),
AND(INDEX(Règles_chevaux_selle[Specificite],MATCH(RationEtéChevauxSelle&amp;$EU70,Règles_chevaux_selle[Ration]&amp;Règles_chevaux_selle[Aliment],0))="s2",IF($EU70=Spécificité2ChevauxSelle,1)),
INDEX(Règles_chevaux_selle[Specificite],MATCH(RationEtéChevauxSelle&amp;$EU70,Règles_chevaux_selle[Ration]&amp;Règles_chevaux_selle[Aliment],0))="c"),
INDEX(Règles_chevaux_selle[Valeur 24-36],MATCH(RationEtéChevauxSelle&amp;$EU70,Règles_chevaux_selle[Ration]&amp;Règles_chevaux_selle[Aliment],0)),0),0)*TotalJeuneEtalonSelle_24_36_mois*NbreJoursNourrirChevauxSelle)</f>
        <v>0</v>
      </c>
      <c r="EX70" s="458">
        <f t="array" ref="EX70">IF(OR(ChoixRationComplèteEtéChevauxSelle=OUI,ChoixRationComplèteEtéChevauxSelle="",AND(ChoixChevauxSellePréHiver=OUI,ChoixChevauxSellePréEté=OUI)),0,IFERROR(IF(OR(AND(INDEX(Règles_chevaux_selle[Specificite],MATCH(RationEtéChevauxSelle&amp;$EU70,Règles_chevaux_selle[Ration]&amp;Règles_chevaux_selle[Aliment],0))="s1",IF($EU70=Spécificité1ChevauxSelle,1)),
AND(INDEX(Règles_chevaux_selle[Specificite],MATCH(RationEtéChevauxSelle&amp;$EU70,Règles_chevaux_selle[Ration]&amp;Règles_chevaux_selle[Aliment],0))="s2",IF($EU70=Spécificité2ChevauxSelle,1)),
INDEX(Règles_chevaux_selle[Specificite],MATCH(RationEtéChevauxSelle&amp;$EU70,Règles_chevaux_selle[Ration]&amp;Règles_chevaux_selle[Aliment],0))="c"),
INDEX(Règles_chevaux_selle[Valeur 12-24],MATCH(RationEtéChevauxSelle&amp;$EU70,Règles_chevaux_selle[Ration]&amp;Règles_chevaux_selle[Aliment],0)),0),0)*TotalJeuneEtalonSelle_12_24_mois*NbreJoursNourrirChevauxSelle)</f>
        <v>0</v>
      </c>
      <c r="EY70" s="460">
        <f t="array" ref="EY70">IF(OR(ChoixRationComplèteEtéChevauxSelle=OUI,ChoixRationComplèteEtéChevauxSelle="",AND(ChoixChevauxSellePréHiver=OUI,ChoixChevauxSellePréEté=OUI)),0,IFERROR(IF(OR(AND(INDEX(Règles_chevaux_selle[Specificite],MATCH(RationEtéChevauxSelle&amp;$EU70,Règles_chevaux_selle[Ration]&amp;Règles_chevaux_selle[Aliment],0))="s1",IF($EU70=Spécificité1ChevauxSelle,1)),
AND(INDEX(Règles_chevaux_selle[Specificite],MATCH(RationEtéChevauxSelle&amp;$EU70,Règles_chevaux_selle[Ration]&amp;Règles_chevaux_selle[Aliment],0))="s2",IF($EU70=Spécificité2ChevauxSelle,1)),
INDEX(Règles_chevaux_selle[Specificite],MATCH(RationEtéChevauxSelle&amp;$EU70,Règles_chevaux_selle[Ration]&amp;Règles_chevaux_selle[Aliment],0))="c"),
INDEX(Règles_chevaux_selle[Valeur 0-12],MATCH(RationEtéChevauxSelle&amp;$EU70,Règles_chevaux_selle[Ration]&amp;Règles_chevaux_selle[Aliment],0)),0),0)*TotalPoulainSelle_0_12_mois*NbreJoursNourrirChevauxSelle)</f>
        <v>0</v>
      </c>
      <c r="EZ70" s="460">
        <f t="shared" si="16"/>
        <v>0</v>
      </c>
      <c r="FC70" s="282"/>
      <c r="FD70" s="457" t="s">
        <v>267</v>
      </c>
      <c r="FE70" s="458">
        <f t="array" ref="FE70">IF(OR(ChoixRationComplèteEtéChevauxTrait=OUI,ChoixRationComplèteEtéChevauxTrait="",AND(ChoixChevauxTraitPréHiver=OUI,ChoixChevauxTraitPréEté=OUI)),0,IFERROR(IF(OR(AND(INDEX(Règles_chevaux_trait[Specificite],MATCH(RationEtéChevauxTrait&amp;$FD70,Règles_chevaux_trait[Ration]&amp;Règles_chevaux_trait[Aliment],0))="s1",IF($FD70=Spécificité1ChevauxTrait,1)),
AND(INDEX(Règles_chevaux_trait[Specificite],MATCH(RationEtéChevauxTrait&amp;$FD70,Règles_chevaux_trait[Ration]&amp;Règles_chevaux_trait[Aliment],0))="s2",IF($FD70=Spécificité2ChevauxTrait,1)),
INDEX(Règles_chevaux_trait[Specificite],MATCH(RationEtéChevauxTrait&amp;$FD70,Règles_chevaux_trait[Ration]&amp;Règles_chevaux_trait[Aliment],0))="c"),
INDEX(Règles_chevaux_trait[Valeur 36 et plus],MATCH(RationEtéChevauxTrait&amp;$FD70,Règles_chevaux_trait[Ration]&amp;Règles_chevaux_trait[Aliment],0)),0),0)*TotalEtalonTrait*NbreJoursNourrirChevauxTrait)</f>
        <v>0</v>
      </c>
      <c r="FF70" s="458">
        <f t="array" ref="FF70">IF(OR(ChoixRationComplèteEtéChevauxTrait=OUI,ChoixRationComplèteEtéChevauxTrait="",AND(ChoixChevauxTraitPréHiver=OUI,ChoixChevauxTraitPréEté=OUI)),0,IFERROR(IF(OR(AND(INDEX(Règles_chevaux_trait[Specificite],MATCH(RationEtéChevauxTrait&amp;$FD70,Règles_chevaux_trait[Ration]&amp;Règles_chevaux_trait[Aliment],0))="s1",IF($FD70=Spécificité1ChevauxTrait,1)),
AND(INDEX(Règles_chevaux_trait[Specificite],MATCH(RationEtéChevauxTrait&amp;$FD70,Règles_chevaux_trait[Ration]&amp;Règles_chevaux_trait[Aliment],0))="s2",IF($FD70=Spécificité2ChevauxTrait,1)),
INDEX(Règles_chevaux_trait[Specificite],MATCH(RationEtéChevauxTrait&amp;$FD70,Règles_chevaux_trait[Ration]&amp;Règles_chevaux_trait[Aliment],0))="c"),
INDEX(Règles_chevaux_trait[Valeur 24-36],MATCH(RationEtéChevauxTrait&amp;$FD70,Règles_chevaux_trait[Ration]&amp;Règles_chevaux_trait[Aliment],0)),0),0)*TotalJeuneEtalonTrait_24_36_mois*NbreJoursNourrirChevauxTrait)</f>
        <v>0</v>
      </c>
      <c r="FG70" s="458">
        <f t="array" ref="FG70">IF(OR(ChoixRationComplèteEtéChevauxTrait=OUI,ChoixRationComplèteEtéChevauxTrait="",AND(ChoixChevauxTraitPréHiver=OUI,ChoixChevauxTraitPréEté=OUI)),0,IFERROR(IF(OR(AND(INDEX(Règles_chevaux_trait[Specificite],MATCH(RationEtéChevauxTrait&amp;$FD70,Règles_chevaux_trait[Ration]&amp;Règles_chevaux_trait[Aliment],0))="s1",IF($FD70=Spécificité1ChevauxTrait,1)),
AND(INDEX(Règles_chevaux_trait[Specificite],MATCH(RationEtéChevauxTrait&amp;$FD70,Règles_chevaux_trait[Ration]&amp;Règles_chevaux_trait[Aliment],0))="s2",IF($FD70=Spécificité2ChevauxTrait,1)),
INDEX(Règles_chevaux_trait[Specificite],MATCH(RationEtéChevauxTrait&amp;$FD70,Règles_chevaux_trait[Ration]&amp;Règles_chevaux_trait[Aliment],0))="c"),
INDEX(Règles_chevaux_trait[Valeur 12-24],MATCH(RationEtéChevauxTrait&amp;$FD70,Règles_chevaux_trait[Ration]&amp;Règles_chevaux_trait[Aliment],0)),0),0)*TotalJeuneEtalonTrait_12_24_mois*NbreJoursNourrirChevauxTrait)</f>
        <v>0</v>
      </c>
      <c r="FH70" s="460">
        <f t="array" ref="FH70">IF(OR(ChoixRationComplèteEtéChevauxTrait=OUI,ChoixRationComplèteEtéChevauxTrait="",AND(ChoixChevauxTraitPréHiver=OUI,ChoixChevauxTraitPréEté=OUI)),0,IFERROR(IF(OR(AND(INDEX(Règles_chevaux_trait[Specificite],MATCH(RationEtéChevauxTrait&amp;$FD70,Règles_chevaux_trait[Ration]&amp;Règles_chevaux_trait[Aliment],0))="s1",IF($FD70=Spécificité1ChevauxTrait,1)),
AND(INDEX(Règles_chevaux_trait[Specificite],MATCH(RationEtéChevauxTrait&amp;$FD70,Règles_chevaux_trait[Ration]&amp;Règles_chevaux_trait[Aliment],0))="s2",IF($FD70=Spécificité2ChevauxTrait,1)),
INDEX(Règles_chevaux_trait[Specificite],MATCH(RationEtéChevauxTrait&amp;$FD70,Règles_chevaux_trait[Ration]&amp;Règles_chevaux_trait[Aliment],0))="c"),
INDEX(Règles_chevaux_trait[Valeur 0-12],MATCH(RationEtéChevauxTrait&amp;$FD70,Règles_chevaux_trait[Ration]&amp;Règles_chevaux_trait[Aliment],0)),0),0)*TotalPoulainTrait_0_12_mois*NbreJoursNourrirChevauxTrait)</f>
        <v>0</v>
      </c>
      <c r="FI70" s="460">
        <f t="shared" si="15"/>
        <v>0</v>
      </c>
      <c r="FJ70" s="298"/>
      <c r="FK70" s="298"/>
      <c r="FL70" s="298"/>
      <c r="FM70" s="282"/>
      <c r="FN70" s="457" t="s">
        <v>269</v>
      </c>
      <c r="FO70" s="458">
        <f t="array" ref="FO70">IF(OR(ChoixRationComplèteEtéPoneys=OUI,ChoixRationComplèteEtéPoneys="",AND(ChoixPoneysPréHiver=OUI,ChoixPoneysPréEté=OUI)),0,IFERROR(IF(OR(AND(INDEX(Règles_poneys[Specificite],MATCH(RationEtéPoneys&amp;$FN70,Règles_poneys[Ration]&amp;Règles_poneys[Aliment],0))="s1",IF($FN70=Spécificité1Poneys,1)),
AND(INDEX(Règles_poneys[Specificite],MATCH(RationEtéPoneys&amp;$FN70,Règles_poneys[Ration]&amp;Règles_poneys[Aliment],0))="s2",IF($FN70=Spécificité2Poneys,1)),
INDEX(Règles_poneys[Specificite],MATCH(RationEtéPoneys&amp;$FN70,Règles_poneys[Ration]&amp;Règles_poneys[Aliment],0))="c"),
INDEX(Règles_poneys[Valeur 36 et plus],MATCH(RationEtéPoneys&amp;$FN70,Règles_poneys[Ration]&amp;Règles_poneys[Aliment],0)),0),0)*TotalEtalonPoney*NbreJoursNourrirPoneys)</f>
        <v>0</v>
      </c>
      <c r="FP70" s="458">
        <f t="array" ref="FP70">IF(OR(ChoixRationComplèteEtéPoneys=OUI,ChoixRationComplèteEtéPoneys="",AND(ChoixPoneysPréHiver=OUI,ChoixPoneysPréEté=OUI)),0,IFERROR(IF(OR(AND(INDEX(Règles_poneys[Specificite],MATCH(RationEtéPoneys&amp;$FN70,Règles_poneys[Ration]&amp;Règles_poneys[Aliment],0))="s1",IF($FN70=Spécificité1Poneys,1)),
AND(INDEX(Règles_poneys[Specificite],MATCH(RationEtéPoneys&amp;$FN70,Règles_poneys[Ration]&amp;Règles_poneys[Aliment],0))="s2",IF($FN70=Spécificité2Poneys,1)),
INDEX(Règles_poneys[Specificite],MATCH(RationEtéPoneys&amp;$FN70,Règles_poneys[Ration]&amp;Règles_poneys[Aliment],0))="c"),
INDEX(Règles_poneys[Valeur 36 et plus],MATCH(RationEtéPoneys&amp;$FN70,Règles_poneys[Ration]&amp;Règles_poneys[Aliment],0)),0),0)*TotalJeuneEtalonPoney_24_36_mois*NbreJoursNourrirPoneys)</f>
        <v>0</v>
      </c>
      <c r="FQ70" s="458">
        <f t="array" ref="FQ70">IF(OR(ChoixRationComplèteEtéPoneys=OUI,ChoixRationComplèteEtéPoneys="",AND(ChoixPoneysPréHiver=OUI,ChoixPoneysPréEté=OUI)),0,IFERROR(IF(OR(AND(INDEX(Règles_poneys[Specificite],MATCH(RationEtéPoneys&amp;$FN70,Règles_poneys[Ration]&amp;Règles_poneys[Aliment],0))="s1",IF($FN70=Spécificité1Poneys,1)),
AND(INDEX(Règles_poneys[Specificite],MATCH(RationEtéPoneys&amp;$FN70,Règles_poneys[Ration]&amp;Règles_poneys[Aliment],0))="s2",IF($FN70=Spécificité2Poneys,1)),
INDEX(Règles_poneys[Specificite],MATCH(RationEtéPoneys&amp;$FN70,Règles_poneys[Ration]&amp;Règles_poneys[Aliment],0))="c"),
INDEX(Règles_poneys[Valeur 36 et plus],MATCH(RationEtéPoneys&amp;$FN70,Règles_poneys[Ration]&amp;Règles_poneys[Aliment],0)),0),0)*TotalJeuneEtalonPoney_12_24_mois*NbreJoursNourrirPoneys)</f>
        <v>0</v>
      </c>
      <c r="FR70" s="460">
        <f t="array" ref="FR70">IF(OR(ChoixRationComplèteEtéPoneys=OUI,ChoixRationComplèteEtéPoneys="",AND(ChoixPoneysPréHiver=OUI,ChoixPoneysPréEté=OUI)),0,IFERROR(IF(OR(AND(INDEX(Règles_poneys[Specificite],MATCH(RationEtéPoneys&amp;$FN70,Règles_poneys[Ration]&amp;Règles_poneys[Aliment],0))="s1",IF($FN70=Spécificité1Poneys,1)),
AND(INDEX(Règles_poneys[Specificite],MATCH(RationEtéPoneys&amp;$FN70,Règles_poneys[Ration]&amp;Règles_poneys[Aliment],0))="s2",IF($FN70=Spécificité2Poneys,1)),
INDEX(Règles_poneys[Specificite],MATCH(RationEtéPoneys&amp;$FN70,Règles_poneys[Ration]&amp;Règles_poneys[Aliment],0))="c"),
INDEX(Règles_poneys[Valeur 36 et plus],MATCH(RationEtéPoneys&amp;$FN70,Règles_poneys[Ration]&amp;Règles_poneys[Aliment],0)),0),0)*TotalPoulainPoney_0_12_mois*NbreJoursNourrirPoneys)</f>
        <v>0</v>
      </c>
      <c r="FS70" s="460">
        <f t="shared" si="14"/>
        <v>0</v>
      </c>
      <c r="FT70" s="298"/>
      <c r="FU70" s="298"/>
      <c r="FV70" s="298"/>
      <c r="FW70" s="443" t="s">
        <v>57</v>
      </c>
      <c r="FX70" s="450">
        <f t="array" ref="FX70">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70" s="450">
        <f t="array" ref="FY70">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70" s="450">
        <f t="array" ref="FZ70">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70" s="450">
        <f t="array" ref="GA70">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70" s="451">
        <f>SUM(AlimentsGavageOies[[#This Row],[Valeur 6 et plus]:[Valeur 0-1]])</f>
        <v>0</v>
      </c>
      <c r="GC70" s="316"/>
      <c r="GE70" s="280" t="s">
        <v>189</v>
      </c>
      <c r="GF70" s="283"/>
      <c r="GG70" s="283" t="s">
        <v>955</v>
      </c>
      <c r="GH70" s="283" t="s">
        <v>955</v>
      </c>
      <c r="GI70" s="283" t="s">
        <v>955</v>
      </c>
      <c r="GJ70" s="283" t="s">
        <v>955</v>
      </c>
      <c r="GK70" s="283" t="s">
        <v>955</v>
      </c>
      <c r="GL70" s="283" t="s">
        <v>955</v>
      </c>
      <c r="GM70" s="283" t="s">
        <v>955</v>
      </c>
      <c r="GN70" s="283" t="s">
        <v>955</v>
      </c>
      <c r="GO70" s="283" t="s">
        <v>955</v>
      </c>
      <c r="GP70" s="283" t="s">
        <v>955</v>
      </c>
      <c r="GQ70" s="283" t="s">
        <v>955</v>
      </c>
      <c r="GR70" s="283" t="s">
        <v>955</v>
      </c>
      <c r="GS70" s="283" t="s">
        <v>955</v>
      </c>
      <c r="GT70" s="283" t="s">
        <v>955</v>
      </c>
      <c r="GU70" s="283" t="s">
        <v>955</v>
      </c>
      <c r="GV70" s="283" t="s">
        <v>955</v>
      </c>
      <c r="GY70" s="444" t="str">
        <f t="shared" si="11"/>
        <v>semences de pois (GP)</v>
      </c>
      <c r="GZ70" s="444"/>
      <c r="HA70" s="342"/>
      <c r="HB70" s="342" t="e">
        <f>IF(COUNTIF(TypeArticleDansEntrepôt,GY70)=0,0,SUMIF(TypeArticleDansEntrepôt,GY70,QtéArticleDansEntrepôt)*VLOOKUP(GY70,#REF!,2,FALSE))</f>
        <v>#REF!</v>
      </c>
      <c r="HN70" s="342" t="e">
        <f>IF(#REF!="","",(VLOOKUP(#REF!,BDD!$HN$5:$HU$38,2,FALSE))*#REF!)</f>
        <v>#REF!</v>
      </c>
      <c r="HO70" s="342" t="e">
        <f>IF(#REF!="","",IF(OR(#REF!=Moutarde,#REF!=Phacélie),0,IF(#REF!=Luzerne,10*#REF!*VLOOKUP(#REF!,BDD!$HN$5:$HU$38,3,FALSE),IF(#REF!=Miscanthus,10.5*#REF!*VLOOKUP(#REF!,BDD!$HN$5:$HU$38,3,FALSE),INDEX(#REF!:#REF!,MATCH(#REF!,#REF!:#REF!,0),MATCH(#REF!,#REF!:#REF!,0))*#REF!*VLOOKUP(#REF!,BDD!$HN$5:$HU$38,3,FALSE)))))</f>
        <v>#REF!</v>
      </c>
      <c r="HP70" s="342" t="e">
        <f>IF(#REF!="","",IF(OR(#REF!=Moutarde,#REF!=Phacélie),0,IF(#REF!=Luzerne,10*#REF!*VLOOKUP(#REF!,BDD!$HN$5:$HU$38,4,FALSE),IF(#REF!=Miscanthus,10.5*#REF!*VLOOKUP(#REF!,BDD!$HN$5:$HU$38,4,FALSE),INDEX(#REF!:#REF!,MATCH(#REF!,#REF!:#REF!,0),MATCH(#REF!,#REF!:#REF!,0))*#REF!*VLOOKUP(#REF!,BDD!$HN$5:$HU$38,4,FALSE)))))</f>
        <v>#REF!</v>
      </c>
      <c r="HQ70" s="342" t="e">
        <f>IF(#REF!="","",IF(OR(#REF!=Moutarde,#REF!=Phacélie),0,IF(#REF!=Luzerne,10*#REF!*VLOOKUP(#REF!,BDD!$HN$5:$HU$38,5,FALSE),IF(#REF!=Miscanthus,10.5*#REF!*VLOOKUP(#REF!,BDD!$HN$5:$HU$38,5,FALSE),INDEX(#REF!:#REF!,MATCH(#REF!,#REF!:#REF!,0),MATCH(#REF!,#REF!:#REF!,0))*#REF!*VLOOKUP(#REF!,BDD!$HN$5:$HU$38,5,FALSE)))))</f>
        <v>#REF!</v>
      </c>
      <c r="HR70" s="342" t="e">
        <f>IF(#REF!="","",IF(OR(#REF!=Moutarde,#REF!=Phacélie),0,IF(#REF!=Luzerne,10*#REF!*VLOOKUP(#REF!,BDD!$HN$5:$HU$38,6,FALSE),IF(#REF!=Miscanthus,10.5*#REF!*VLOOKUP(#REF!,BDD!$HN$5:$HU$38,6,FALSE),INDEX(#REF!:#REF!,MATCH(#REF!,#REF!:#REF!,0),MATCH(#REF!,#REF!:#REF!,0))*#REF!*VLOOKUP(#REF!,BDD!$HN$5:$HU$38,6,FALSE)))))</f>
        <v>#REF!</v>
      </c>
      <c r="HS70" s="342" t="e">
        <f>IF(#REF!="","",IF(OR(#REF!=Moutarde,#REF!=Phacélie),0,IF(#REF!=Luzerne,10*#REF!*VLOOKUP(#REF!,BDD!$HN$5:$HU$38,7,FALSE),IF(#REF!=Miscanthus,10.5*#REF!*VLOOKUP(#REF!,BDD!$HN$5:$HU$38,7,FALSE),INDEX(#REF!:#REF!,MATCH(#REF!,#REF!:#REF!,0),MATCH(#REF!,#REF!:#REF!,0))*#REF!*VLOOKUP(#REF!,BDD!$HN$5:$HU$38,7,FALSE)))))</f>
        <v>#REF!</v>
      </c>
      <c r="HT70" s="342" t="e">
        <f>IF(#REF!="","",IF(OR(#REF!=Moutarde,#REF!=Phacélie),0,IF(#REF!=Luzerne,10*#REF!*VLOOKUP(#REF!,BDD!$HN$5:$HU$38,8,FALSE),IF(#REF!=Miscanthus,10.5*#REF!*VLOOKUP(#REF!,BDD!$HN$5:$HU$38,8,FALSE),INDEX(#REF!:#REF!,MATCH(#REF!,#REF!:#REF!,0),MATCH(#REF!,#REF!:#REF!,0))*#REF!*VLOOKUP(#REF!,BDD!$HN$5:$HU$38,8,FALSE)))))</f>
        <v>#REF!</v>
      </c>
      <c r="HU70" s="342" t="e">
        <f>IF(#REF!="","",IF(OR(#REF!=Moutarde,#REF!=Phacélie),0,1.6*#REF!))</f>
        <v>#REF!</v>
      </c>
      <c r="HV70" s="342" t="e">
        <f>IF(#REF!="","",IF(OR(#REF!=Moutarde,#REF!=Phacélie),0,1.6*#REF!))</f>
        <v>#REF!</v>
      </c>
      <c r="HW70" s="342" t="e">
        <f>IF(#REF!="","",IF(OR(#REF!=Moutarde,#REF!=Phacélie),0,1.6*#REF!))</f>
        <v>#REF!</v>
      </c>
      <c r="HX70" s="342" t="e">
        <f>IF(#REF!="","",(VLOOKUP(#REF!,BDD!$HN$5:$HU$38,2,FALSE))*#REF!)</f>
        <v>#REF!</v>
      </c>
      <c r="HY70" s="342" t="e">
        <f>IF(#REF!="","",IF(OR(#REF!=Moutarde,#REF!=Phacélie),0,IF(#REF!=Luzerne,10*#REF!*VLOOKUP(#REF!,BDD!$HN$5:$HU$38,3,FALSE),IF(#REF!=Miscanthus,10.5*#REF!*VLOOKUP(#REF!,BDD!$HN$5:$HU$38,3,FALSE),INDEX(#REF!:#REF!,MATCH(#REF!,#REF!:#REF!,0),MATCH(#REF!,#REF!:#REF!,0))*#REF!*VLOOKUP(#REF!,BDD!$HN$5:$HU$38,3,FALSE)))))</f>
        <v>#REF!</v>
      </c>
      <c r="HZ70" s="342" t="e">
        <f>IF(#REF!="","",IF(OR(#REF!=Moutarde,#REF!=Phacélie),0,IF(#REF!=Luzerne,10*#REF!*VLOOKUP(#REF!,BDD!$HN$5:$HU$38,4,FALSE),IF(#REF!=Miscanthus,10.5*#REF!*VLOOKUP(#REF!,BDD!$HN$5:$HU$38,4,FALSE),INDEX(#REF!:#REF!,MATCH(#REF!,#REF!:#REF!,0),MATCH(#REF!,#REF!:#REF!,0))*#REF!*VLOOKUP(#REF!,BDD!$HN$5:$HU$38,4,FALSE)))))</f>
        <v>#REF!</v>
      </c>
      <c r="IA70" s="342" t="e">
        <f>IF(#REF!="","",IF(OR(#REF!=Moutarde,#REF!=Phacélie),0,IF(#REF!=Luzerne,10*#REF!*VLOOKUP(#REF!,BDD!$HN$5:$HU$38,5,FALSE),IF(#REF!=Miscanthus,10.5*#REF!*VLOOKUP(#REF!,BDD!$HN$5:$HU$38,5,FALSE),INDEX(#REF!:#REF!,MATCH(#REF!,#REF!:#REF!,0),MATCH(#REF!,#REF!:#REF!,0))*#REF!*VLOOKUP(#REF!,BDD!$HN$5:$HU$38,5,FALSE)))))</f>
        <v>#REF!</v>
      </c>
      <c r="IB70" s="342" t="e">
        <f>IF(#REF!="","",IF(OR(#REF!=Moutarde,#REF!=Phacélie),0,IF(#REF!=Luzerne,10*#REF!*VLOOKUP(#REF!,BDD!$HN$5:$HU$38,6,FALSE),IF(#REF!=Miscanthus,10.5*#REF!*VLOOKUP(#REF!,BDD!$HN$5:$HU$38,6,FALSE),INDEX(#REF!:#REF!,MATCH(#REF!,#REF!:#REF!,0),MATCH(#REF!,#REF!:#REF!,0))*#REF!*VLOOKUP(#REF!,BDD!$HN$5:$HU$38,6,FALSE)))))</f>
        <v>#REF!</v>
      </c>
      <c r="IC70" s="342" t="e">
        <f>IF(#REF!="","",IF(OR(#REF!=Moutarde,#REF!=Phacélie),0,IF(#REF!=Luzerne,10*#REF!*VLOOKUP(#REF!,BDD!$HN$5:$HU$38,7,FALSE),IF(#REF!=Miscanthus,10.5*#REF!*VLOOKUP(#REF!,BDD!$HN$5:$HU$38,7,FALSE),INDEX(#REF!:#REF!,MATCH(#REF!,#REF!:#REF!,0),MATCH(#REF!,#REF!:#REF!,0))*#REF!*VLOOKUP(#REF!,BDD!$HN$5:$HU$38,7,FALSE)))))</f>
        <v>#REF!</v>
      </c>
      <c r="ID70" s="342" t="e">
        <f>IF(#REF!="","",IF(OR(#REF!=Moutarde,#REF!=Phacélie),0,IF(#REF!=Luzerne,10*#REF!*VLOOKUP(#REF!,BDD!$HN$5:$HU$38,8,FALSE),IF(#REF!=Miscanthus,10.5*#REF!*VLOOKUP(#REF!,BDD!$HN$5:$HU$38,8,FALSE),INDEX(#REF!:#REF!,MATCH(#REF!,#REF!:#REF!,0),MATCH(#REF!,#REF!:#REF!,0))*#REF!*VLOOKUP(#REF!,BDD!$HN$5:$HU$38,8,FALSE)))))</f>
        <v>#REF!</v>
      </c>
      <c r="IE70" s="342" t="e">
        <f>IF(#REF!="","",IF(OR(#REF!=Moutarde,#REF!=Phacélie),0,1.6*#REF!))</f>
        <v>#REF!</v>
      </c>
      <c r="IF70" s="342" t="e">
        <f>IF(#REF!="","",IF(OR(#REF!=Moutarde,#REF!=Phacélie),0,1.6*#REF!))</f>
        <v>#REF!</v>
      </c>
      <c r="IG70" s="342" t="e">
        <f>IF(#REF!="","",IF(OR(#REF!=Moutarde,#REF!=Phacélie),0,1.6*#REF!))</f>
        <v>#REF!</v>
      </c>
    </row>
    <row r="71" spans="1:241" ht="12.75" customHeight="1" x14ac:dyDescent="0.2">
      <c r="A71" s="373"/>
      <c r="B71" s="380"/>
      <c r="N71" s="277"/>
      <c r="O71" s="280" t="s">
        <v>169</v>
      </c>
      <c r="P71" s="280"/>
      <c r="Q71" s="280"/>
      <c r="R71" s="280"/>
      <c r="S71" s="280"/>
      <c r="T71" s="280"/>
      <c r="U71" s="280"/>
      <c r="V71" s="280"/>
      <c r="W71" s="280"/>
      <c r="X71" s="280"/>
      <c r="Y71" s="280"/>
      <c r="Z71" s="280"/>
      <c r="AA71" s="280"/>
      <c r="AB71" s="280"/>
      <c r="AC71" s="280"/>
      <c r="AD71" s="280"/>
      <c r="AE71" s="280"/>
      <c r="AF71" s="280"/>
      <c r="AG71" s="280"/>
      <c r="AH71" s="280"/>
      <c r="AI71" s="280"/>
      <c r="AJ71" s="280"/>
      <c r="AK71" s="280"/>
      <c r="AL71" s="280"/>
      <c r="AM71" s="280"/>
      <c r="AN71" s="280"/>
      <c r="AO71" s="280"/>
      <c r="AP71" s="280"/>
      <c r="AQ71" s="280"/>
      <c r="AR71" s="280"/>
      <c r="AS71" s="280"/>
      <c r="AT71" s="280"/>
      <c r="AU71" s="280"/>
      <c r="AV71" s="280"/>
      <c r="AW71" s="280"/>
      <c r="AX71" s="280"/>
      <c r="AY71" s="280"/>
      <c r="BB71" s="387" t="s">
        <v>511</v>
      </c>
      <c r="BC71" s="362" t="s">
        <v>508</v>
      </c>
      <c r="BD71" s="362" t="s">
        <v>911</v>
      </c>
      <c r="BE71" s="388">
        <v>137</v>
      </c>
      <c r="BF71" s="388">
        <v>117</v>
      </c>
      <c r="BG71" s="388">
        <v>91</v>
      </c>
      <c r="BH71" s="388">
        <v>69</v>
      </c>
      <c r="BI71" s="388">
        <v>47</v>
      </c>
      <c r="BJ71" s="388">
        <v>23</v>
      </c>
      <c r="BK71" s="389">
        <v>0</v>
      </c>
      <c r="BL71" s="312"/>
      <c r="BM71" s="338" t="s">
        <v>1153</v>
      </c>
      <c r="BN71" s="229"/>
      <c r="BO71" s="229"/>
      <c r="BP71" s="229"/>
      <c r="BQ71" s="339"/>
      <c r="BR71" s="229"/>
      <c r="BS71" s="229"/>
      <c r="BT71" s="229"/>
      <c r="BU71" s="229"/>
      <c r="BX71" s="373" t="s">
        <v>168</v>
      </c>
      <c r="BY71" s="280" t="s">
        <v>518</v>
      </c>
      <c r="BZ71" s="280" t="s">
        <v>886</v>
      </c>
      <c r="CA71" s="280">
        <v>20</v>
      </c>
      <c r="CB71" s="280">
        <v>12</v>
      </c>
      <c r="CC71" s="280">
        <v>8</v>
      </c>
      <c r="CD71" s="410">
        <v>4</v>
      </c>
      <c r="CE71" s="304"/>
      <c r="CF71" s="304"/>
      <c r="CG71" s="304"/>
      <c r="CH71" s="304"/>
      <c r="CJ71" s="420" t="s">
        <v>510</v>
      </c>
      <c r="CK71" s="384">
        <f t="array" ref="CK7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71" s="384">
        <f t="array" ref="CL7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71" s="384">
        <f t="array" ref="CM7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71" s="384">
        <f t="array" ref="CN7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71" s="384">
        <f t="array" ref="CO7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71" s="426">
        <f>SUM(AlimentsRationPorcinsMâles[[#This Row],[Valeur 12 et plus]:[Valeur 0-1]])</f>
        <v>0</v>
      </c>
      <c r="CS71" s="420" t="s">
        <v>168</v>
      </c>
      <c r="CT71" s="433">
        <f t="array" ref="CT71">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71" s="433">
        <f t="array" ref="CU71">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71" s="433">
        <f t="array" ref="CV71">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71" s="434">
        <f>SUM(AlimentsRationLapinsMâles[[#This Row],[Valeur 3 et plus]:[Valeur 0-1]])</f>
        <v>0</v>
      </c>
      <c r="CZ71" s="420" t="s">
        <v>168</v>
      </c>
      <c r="DA71" s="433">
        <f t="array" ref="DA7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71" s="433">
        <f t="array" ref="DB7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71" s="433">
        <f t="array" ref="DC7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71" s="434">
        <f>SUM(AlimentsRationVolaillesMâles[[#This Row],[Valeur 6 et plus]:[Valeur 0-1]])</f>
        <v>0</v>
      </c>
      <c r="DE71" s="316"/>
      <c r="DF71" s="277"/>
      <c r="DG71" s="420" t="s">
        <v>59</v>
      </c>
      <c r="DH71" s="433">
        <f t="array" ref="DH7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71" s="433">
        <f t="array" ref="DI7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71" s="433">
        <f t="array" ref="DJ7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71" s="434">
        <f>SUM(AlimentsRationPintadesMâles[[#This Row],[Valeur 9 et plus]:[Valeur 0-1]])</f>
        <v>0</v>
      </c>
      <c r="DL71" s="316"/>
      <c r="DM71" s="316"/>
      <c r="DN71" s="373" t="s">
        <v>509</v>
      </c>
      <c r="DO71" s="280" t="s">
        <v>70</v>
      </c>
      <c r="DP71" s="280" t="s">
        <v>887</v>
      </c>
      <c r="DQ71" s="310">
        <v>1.6</v>
      </c>
      <c r="DR71" s="310">
        <v>1.4</v>
      </c>
      <c r="DS71" s="310">
        <v>1.2</v>
      </c>
      <c r="DT71" s="439">
        <v>1</v>
      </c>
      <c r="EG71" s="420" t="s">
        <v>268</v>
      </c>
      <c r="EH71" s="433">
        <f t="array" ref="EH7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71" s="433">
        <f t="array" ref="EI7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71" s="433">
        <f t="array" ref="EJ7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71" s="434">
        <f>SUM(AlimentsRationOiesMâles[[#This Row],[Valeur 6 et plus]:[Valeur 0-3]])</f>
        <v>0</v>
      </c>
      <c r="EL71" s="316"/>
      <c r="EN71" s="420" t="s">
        <v>905</v>
      </c>
      <c r="EO71" s="433">
        <f t="array" ref="EO71">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71" s="433">
        <f t="array" ref="EP71">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71" s="433">
        <f t="array" ref="EQ71">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71" s="434">
        <f>SUM(Ration_canards_Mâles[[#This Row],[Valeur 6 et plus]:[Valeur 0-3]])</f>
        <v>0</v>
      </c>
      <c r="ES71" s="316"/>
      <c r="EU71" s="457" t="s">
        <v>518</v>
      </c>
      <c r="EV71" s="458">
        <f t="array" ref="EV71">IF(OR(ChoixRationComplèteEtéChevauxSelle=OUI,ChoixRationComplèteEtéChevauxSelle="",AND(ChoixChevauxSellePréHiver=OUI,ChoixChevauxSellePréEté=OUI)),0,IFERROR(IF(OR(AND(INDEX(Règles_chevaux_selle[Specificite],MATCH(RationEtéChevauxSelle&amp;$EU71,Règles_chevaux_selle[Ration]&amp;Règles_chevaux_selle[Aliment],0))="s1",IF($EU71=Spécificité1ChevauxSelle,1)),
AND(INDEX(Règles_chevaux_selle[Specificite],MATCH(RationEtéChevauxSelle&amp;$EU71,Règles_chevaux_selle[Ration]&amp;Règles_chevaux_selle[Aliment],0))="s2",IF($EU71=Spécificité2ChevauxSelle,1)),
INDEX(Règles_chevaux_selle[Specificite],MATCH(RationEtéChevauxSelle&amp;$EU71,Règles_chevaux_selle[Ration]&amp;Règles_chevaux_selle[Aliment],0))="c"),
INDEX(Règles_chevaux_selle[Valeur 36 et plus],MATCH(RationEtéChevauxSelle&amp;$EU71,Règles_chevaux_selle[Ration]&amp;Règles_chevaux_selle[Aliment],0)),0),0)*TotalEtalonSelle*NbreJoursNourrirChevauxSelle)</f>
        <v>0</v>
      </c>
      <c r="EW71" s="458">
        <f t="array" ref="EW71">IF(OR(ChoixRationComplèteEtéChevauxSelle=OUI,ChoixRationComplèteEtéChevauxSelle="",AND(ChoixChevauxSellePréHiver=OUI,ChoixChevauxSellePréEté=OUI)),0,IFERROR(IF(OR(AND(INDEX(Règles_chevaux_selle[Specificite],MATCH(RationEtéChevauxSelle&amp;$EU71,Règles_chevaux_selle[Ration]&amp;Règles_chevaux_selle[Aliment],0))="s1",IF($EU71=Spécificité1ChevauxSelle,1)),
AND(INDEX(Règles_chevaux_selle[Specificite],MATCH(RationEtéChevauxSelle&amp;$EU71,Règles_chevaux_selle[Ration]&amp;Règles_chevaux_selle[Aliment],0))="s2",IF($EU71=Spécificité2ChevauxSelle,1)),
INDEX(Règles_chevaux_selle[Specificite],MATCH(RationEtéChevauxSelle&amp;$EU71,Règles_chevaux_selle[Ration]&amp;Règles_chevaux_selle[Aliment],0))="c"),
INDEX(Règles_chevaux_selle[Valeur 24-36],MATCH(RationEtéChevauxSelle&amp;$EU71,Règles_chevaux_selle[Ration]&amp;Règles_chevaux_selle[Aliment],0)),0),0)*TotalJeuneEtalonSelle_24_36_mois*NbreJoursNourrirChevauxSelle)</f>
        <v>0</v>
      </c>
      <c r="EX71" s="458">
        <f t="array" ref="EX71">IF(OR(ChoixRationComplèteEtéChevauxSelle=OUI,ChoixRationComplèteEtéChevauxSelle="",AND(ChoixChevauxSellePréHiver=OUI,ChoixChevauxSellePréEté=OUI)),0,IFERROR(IF(OR(AND(INDEX(Règles_chevaux_selle[Specificite],MATCH(RationEtéChevauxSelle&amp;$EU71,Règles_chevaux_selle[Ration]&amp;Règles_chevaux_selle[Aliment],0))="s1",IF($EU71=Spécificité1ChevauxSelle,1)),
AND(INDEX(Règles_chevaux_selle[Specificite],MATCH(RationEtéChevauxSelle&amp;$EU71,Règles_chevaux_selle[Ration]&amp;Règles_chevaux_selle[Aliment],0))="s2",IF($EU71=Spécificité2ChevauxSelle,1)),
INDEX(Règles_chevaux_selle[Specificite],MATCH(RationEtéChevauxSelle&amp;$EU71,Règles_chevaux_selle[Ration]&amp;Règles_chevaux_selle[Aliment],0))="c"),
INDEX(Règles_chevaux_selle[Valeur 12-24],MATCH(RationEtéChevauxSelle&amp;$EU71,Règles_chevaux_selle[Ration]&amp;Règles_chevaux_selle[Aliment],0)),0),0)*TotalJeuneEtalonSelle_12_24_mois*NbreJoursNourrirChevauxSelle)</f>
        <v>0</v>
      </c>
      <c r="EY71" s="460">
        <f t="array" ref="EY71">IF(OR(ChoixRationComplèteEtéChevauxSelle=OUI,ChoixRationComplèteEtéChevauxSelle="",AND(ChoixChevauxSellePréHiver=OUI,ChoixChevauxSellePréEté=OUI)),0,IFERROR(IF(OR(AND(INDEX(Règles_chevaux_selle[Specificite],MATCH(RationEtéChevauxSelle&amp;$EU71,Règles_chevaux_selle[Ration]&amp;Règles_chevaux_selle[Aliment],0))="s1",IF($EU71=Spécificité1ChevauxSelle,1)),
AND(INDEX(Règles_chevaux_selle[Specificite],MATCH(RationEtéChevauxSelle&amp;$EU71,Règles_chevaux_selle[Ration]&amp;Règles_chevaux_selle[Aliment],0))="s2",IF($EU71=Spécificité2ChevauxSelle,1)),
INDEX(Règles_chevaux_selle[Specificite],MATCH(RationEtéChevauxSelle&amp;$EU71,Règles_chevaux_selle[Ration]&amp;Règles_chevaux_selle[Aliment],0))="c"),
INDEX(Règles_chevaux_selle[Valeur 0-12],MATCH(RationEtéChevauxSelle&amp;$EU71,Règles_chevaux_selle[Ration]&amp;Règles_chevaux_selle[Aliment],0)),0),0)*TotalPoulainSelle_0_12_mois*NbreJoursNourrirChevauxSelle)</f>
        <v>0</v>
      </c>
      <c r="EZ71" s="460">
        <f t="shared" si="16"/>
        <v>0</v>
      </c>
      <c r="FA71" s="298"/>
      <c r="FB71" s="298"/>
      <c r="FC71" s="282"/>
      <c r="FD71" s="457" t="s">
        <v>269</v>
      </c>
      <c r="FE71" s="458">
        <f t="array" ref="FE71">IF(OR(ChoixRationComplèteEtéChevauxTrait=OUI,ChoixRationComplèteEtéChevauxTrait="",AND(ChoixChevauxTraitPréHiver=OUI,ChoixChevauxTraitPréEté=OUI)),0,IFERROR(IF(OR(AND(INDEX(Règles_chevaux_trait[Specificite],MATCH(RationEtéChevauxTrait&amp;$FD71,Règles_chevaux_trait[Ration]&amp;Règles_chevaux_trait[Aliment],0))="s1",IF($FD71=Spécificité1ChevauxTrait,1)),
AND(INDEX(Règles_chevaux_trait[Specificite],MATCH(RationEtéChevauxTrait&amp;$FD71,Règles_chevaux_trait[Ration]&amp;Règles_chevaux_trait[Aliment],0))="s2",IF($FD71=Spécificité2ChevauxTrait,1)),
INDEX(Règles_chevaux_trait[Specificite],MATCH(RationEtéChevauxTrait&amp;$FD71,Règles_chevaux_trait[Ration]&amp;Règles_chevaux_trait[Aliment],0))="c"),
INDEX(Règles_chevaux_trait[Valeur 36 et plus],MATCH(RationEtéChevauxTrait&amp;$FD71,Règles_chevaux_trait[Ration]&amp;Règles_chevaux_trait[Aliment],0)),0),0)*TotalEtalonTrait*NbreJoursNourrirChevauxTrait)</f>
        <v>0</v>
      </c>
      <c r="FF71" s="458">
        <f t="array" ref="FF71">IF(OR(ChoixRationComplèteEtéChevauxTrait=OUI,ChoixRationComplèteEtéChevauxTrait="",AND(ChoixChevauxTraitPréHiver=OUI,ChoixChevauxTraitPréEté=OUI)),0,IFERROR(IF(OR(AND(INDEX(Règles_chevaux_trait[Specificite],MATCH(RationEtéChevauxTrait&amp;$FD71,Règles_chevaux_trait[Ration]&amp;Règles_chevaux_trait[Aliment],0))="s1",IF($FD71=Spécificité1ChevauxTrait,1)),
AND(INDEX(Règles_chevaux_trait[Specificite],MATCH(RationEtéChevauxTrait&amp;$FD71,Règles_chevaux_trait[Ration]&amp;Règles_chevaux_trait[Aliment],0))="s2",IF($FD71=Spécificité2ChevauxTrait,1)),
INDEX(Règles_chevaux_trait[Specificite],MATCH(RationEtéChevauxTrait&amp;$FD71,Règles_chevaux_trait[Ration]&amp;Règles_chevaux_trait[Aliment],0))="c"),
INDEX(Règles_chevaux_trait[Valeur 24-36],MATCH(RationEtéChevauxTrait&amp;$FD71,Règles_chevaux_trait[Ration]&amp;Règles_chevaux_trait[Aliment],0)),0),0)*TotalJeuneEtalonTrait_24_36_mois*NbreJoursNourrirChevauxTrait)</f>
        <v>0</v>
      </c>
      <c r="FG71" s="458">
        <f t="array" ref="FG71">IF(OR(ChoixRationComplèteEtéChevauxTrait=OUI,ChoixRationComplèteEtéChevauxTrait="",AND(ChoixChevauxTraitPréHiver=OUI,ChoixChevauxTraitPréEté=OUI)),0,IFERROR(IF(OR(AND(INDEX(Règles_chevaux_trait[Specificite],MATCH(RationEtéChevauxTrait&amp;$FD71,Règles_chevaux_trait[Ration]&amp;Règles_chevaux_trait[Aliment],0))="s1",IF($FD71=Spécificité1ChevauxTrait,1)),
AND(INDEX(Règles_chevaux_trait[Specificite],MATCH(RationEtéChevauxTrait&amp;$FD71,Règles_chevaux_trait[Ration]&amp;Règles_chevaux_trait[Aliment],0))="s2",IF($FD71=Spécificité2ChevauxTrait,1)),
INDEX(Règles_chevaux_trait[Specificite],MATCH(RationEtéChevauxTrait&amp;$FD71,Règles_chevaux_trait[Ration]&amp;Règles_chevaux_trait[Aliment],0))="c"),
INDEX(Règles_chevaux_trait[Valeur 12-24],MATCH(RationEtéChevauxTrait&amp;$FD71,Règles_chevaux_trait[Ration]&amp;Règles_chevaux_trait[Aliment],0)),0),0)*TotalJeuneEtalonTrait_12_24_mois*NbreJoursNourrirChevauxTrait)</f>
        <v>0</v>
      </c>
      <c r="FH71" s="460">
        <f t="array" ref="FH71">IF(OR(ChoixRationComplèteEtéChevauxTrait=OUI,ChoixRationComplèteEtéChevauxTrait="",AND(ChoixChevauxTraitPréHiver=OUI,ChoixChevauxTraitPréEté=OUI)),0,IFERROR(IF(OR(AND(INDEX(Règles_chevaux_trait[Specificite],MATCH(RationEtéChevauxTrait&amp;$FD71,Règles_chevaux_trait[Ration]&amp;Règles_chevaux_trait[Aliment],0))="s1",IF($FD71=Spécificité1ChevauxTrait,1)),
AND(INDEX(Règles_chevaux_trait[Specificite],MATCH(RationEtéChevauxTrait&amp;$FD71,Règles_chevaux_trait[Ration]&amp;Règles_chevaux_trait[Aliment],0))="s2",IF($FD71=Spécificité2ChevauxTrait,1)),
INDEX(Règles_chevaux_trait[Specificite],MATCH(RationEtéChevauxTrait&amp;$FD71,Règles_chevaux_trait[Ration]&amp;Règles_chevaux_trait[Aliment],0))="c"),
INDEX(Règles_chevaux_trait[Valeur 0-12],MATCH(RationEtéChevauxTrait&amp;$FD71,Règles_chevaux_trait[Ration]&amp;Règles_chevaux_trait[Aliment],0)),0),0)*TotalPoulainTrait_0_12_mois*NbreJoursNourrirChevauxTrait)</f>
        <v>0</v>
      </c>
      <c r="FI71" s="460">
        <f t="shared" si="15"/>
        <v>0</v>
      </c>
      <c r="FJ71" s="298"/>
      <c r="FK71" s="298"/>
      <c r="FL71" s="298"/>
      <c r="FM71" s="282"/>
      <c r="FN71" s="457" t="s">
        <v>268</v>
      </c>
      <c r="FO71" s="458">
        <f t="array" ref="FO71">IF(OR(ChoixRationComplèteEtéPoneys=OUI,ChoixRationComplèteEtéPoneys="",AND(ChoixPoneysPréHiver=OUI,ChoixPoneysPréEté=OUI)),0,IFERROR(IF(OR(AND(INDEX(Règles_poneys[Specificite],MATCH(RationEtéPoneys&amp;$FN71,Règles_poneys[Ration]&amp;Règles_poneys[Aliment],0))="s1",IF($FN71=Spécificité1Poneys,1)),
AND(INDEX(Règles_poneys[Specificite],MATCH(RationEtéPoneys&amp;$FN71,Règles_poneys[Ration]&amp;Règles_poneys[Aliment],0))="s2",IF($FN71=Spécificité2Poneys,1)),
INDEX(Règles_poneys[Specificite],MATCH(RationEtéPoneys&amp;$FN71,Règles_poneys[Ration]&amp;Règles_poneys[Aliment],0))="c"),
INDEX(Règles_poneys[Valeur 36 et plus],MATCH(RationEtéPoneys&amp;$FN71,Règles_poneys[Ration]&amp;Règles_poneys[Aliment],0)),0),0)*TotalEtalonPoney*NbreJoursNourrirPoneys)</f>
        <v>0</v>
      </c>
      <c r="FP71" s="458">
        <f t="array" ref="FP71">IF(OR(ChoixRationComplèteEtéPoneys=OUI,ChoixRationComplèteEtéPoneys="",AND(ChoixPoneysPréHiver=OUI,ChoixPoneysPréEté=OUI)),0,IFERROR(IF(OR(AND(INDEX(Règles_poneys[Specificite],MATCH(RationEtéPoneys&amp;$FN71,Règles_poneys[Ration]&amp;Règles_poneys[Aliment],0))="s1",IF($FN71=Spécificité1Poneys,1)),
AND(INDEX(Règles_poneys[Specificite],MATCH(RationEtéPoneys&amp;$FN71,Règles_poneys[Ration]&amp;Règles_poneys[Aliment],0))="s2",IF($FN71=Spécificité2Poneys,1)),
INDEX(Règles_poneys[Specificite],MATCH(RationEtéPoneys&amp;$FN71,Règles_poneys[Ration]&amp;Règles_poneys[Aliment],0))="c"),
INDEX(Règles_poneys[Valeur 36 et plus],MATCH(RationEtéPoneys&amp;$FN71,Règles_poneys[Ration]&amp;Règles_poneys[Aliment],0)),0),0)*TotalJeuneEtalonPoney_24_36_mois*NbreJoursNourrirPoneys)</f>
        <v>0</v>
      </c>
      <c r="FQ71" s="458">
        <f t="array" ref="FQ71">IF(OR(ChoixRationComplèteEtéPoneys=OUI,ChoixRationComplèteEtéPoneys="",AND(ChoixPoneysPréHiver=OUI,ChoixPoneysPréEté=OUI)),0,IFERROR(IF(OR(AND(INDEX(Règles_poneys[Specificite],MATCH(RationEtéPoneys&amp;$FN71,Règles_poneys[Ration]&amp;Règles_poneys[Aliment],0))="s1",IF($FN71=Spécificité1Poneys,1)),
AND(INDEX(Règles_poneys[Specificite],MATCH(RationEtéPoneys&amp;$FN71,Règles_poneys[Ration]&amp;Règles_poneys[Aliment],0))="s2",IF($FN71=Spécificité2Poneys,1)),
INDEX(Règles_poneys[Specificite],MATCH(RationEtéPoneys&amp;$FN71,Règles_poneys[Ration]&amp;Règles_poneys[Aliment],0))="c"),
INDEX(Règles_poneys[Valeur 36 et plus],MATCH(RationEtéPoneys&amp;$FN71,Règles_poneys[Ration]&amp;Règles_poneys[Aliment],0)),0),0)*TotalJeuneEtalonPoney_12_24_mois*NbreJoursNourrirPoneys)</f>
        <v>0</v>
      </c>
      <c r="FR71" s="460">
        <f t="array" ref="FR71">IF(OR(ChoixRationComplèteEtéPoneys=OUI,ChoixRationComplèteEtéPoneys="",AND(ChoixPoneysPréHiver=OUI,ChoixPoneysPréEté=OUI)),0,IFERROR(IF(OR(AND(INDEX(Règles_poneys[Specificite],MATCH(RationEtéPoneys&amp;$FN71,Règles_poneys[Ration]&amp;Règles_poneys[Aliment],0))="s1",IF($FN71=Spécificité1Poneys,1)),
AND(INDEX(Règles_poneys[Specificite],MATCH(RationEtéPoneys&amp;$FN71,Règles_poneys[Ration]&amp;Règles_poneys[Aliment],0))="s2",IF($FN71=Spécificité2Poneys,1)),
INDEX(Règles_poneys[Specificite],MATCH(RationEtéPoneys&amp;$FN71,Règles_poneys[Ration]&amp;Règles_poneys[Aliment],0))="c"),
INDEX(Règles_poneys[Valeur 36 et plus],MATCH(RationEtéPoneys&amp;$FN71,Règles_poneys[Ration]&amp;Règles_poneys[Aliment],0)),0),0)*TotalPoulainPoney_0_12_mois*NbreJoursNourrirPoneys)</f>
        <v>0</v>
      </c>
      <c r="FS71" s="460">
        <f t="shared" si="14"/>
        <v>0</v>
      </c>
      <c r="FT71" s="298"/>
      <c r="FU71" s="298"/>
      <c r="FV71" s="298"/>
      <c r="FW71" s="443" t="s">
        <v>488</v>
      </c>
      <c r="FX71" s="450">
        <f t="array" ref="FX71">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71" s="450">
        <f t="array" ref="FY71">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71" s="450">
        <f t="array" ref="FZ71">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71" s="450">
        <f t="array" ref="GA71">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71" s="451">
        <f>SUM(AlimentsGavageOies[[#This Row],[Valeur 6 et plus]:[Valeur 0-1]])</f>
        <v>0</v>
      </c>
      <c r="GC71" s="316"/>
      <c r="GE71" s="280" t="s">
        <v>192</v>
      </c>
      <c r="GF71" s="283"/>
      <c r="GG71" s="283" t="s">
        <v>955</v>
      </c>
      <c r="GH71" s="283" t="s">
        <v>955</v>
      </c>
      <c r="GI71" s="283" t="s">
        <v>955</v>
      </c>
      <c r="GJ71" s="283" t="s">
        <v>955</v>
      </c>
      <c r="GK71" s="283" t="s">
        <v>955</v>
      </c>
      <c r="GL71" s="283" t="s">
        <v>955</v>
      </c>
      <c r="GM71" s="283" t="s">
        <v>955</v>
      </c>
      <c r="GN71" s="283" t="s">
        <v>955</v>
      </c>
      <c r="GO71" s="283" t="s">
        <v>955</v>
      </c>
      <c r="GP71" s="283" t="s">
        <v>955</v>
      </c>
      <c r="GQ71" s="283" t="s">
        <v>955</v>
      </c>
      <c r="GR71" s="283" t="s">
        <v>955</v>
      </c>
      <c r="GS71" s="283" t="s">
        <v>955</v>
      </c>
      <c r="GT71" s="283" t="s">
        <v>955</v>
      </c>
      <c r="GU71" s="283" t="s">
        <v>955</v>
      </c>
      <c r="GV71" s="283" t="s">
        <v>955</v>
      </c>
      <c r="GY71" s="444" t="str">
        <f t="shared" si="11"/>
        <v>semences de pois (P)</v>
      </c>
      <c r="GZ71" s="444"/>
      <c r="HA71" s="342"/>
      <c r="HB71" s="342" t="e">
        <f>IF(COUNTIF(TypeArticleDansEntrepôt,GY71)=0,0,SUMIF(TypeArticleDansEntrepôt,GY71,QtéArticleDansEntrepôt)*VLOOKUP(GY71,#REF!,2,FALSE))</f>
        <v>#REF!</v>
      </c>
      <c r="HN71" s="342" t="e">
        <f>IF(#REF!="","",(VLOOKUP(#REF!,BDD!$HN$5:$HU$38,2,FALSE))*#REF!)</f>
        <v>#REF!</v>
      </c>
      <c r="HO71" s="342" t="e">
        <f>IF(#REF!="","",IF(OR(#REF!=Moutarde,#REF!=Phacélie),0,IF(#REF!=Luzerne,10*#REF!*VLOOKUP(#REF!,BDD!$HN$5:$HU$38,3,FALSE),IF(#REF!=Miscanthus,10.5*#REF!*VLOOKUP(#REF!,BDD!$HN$5:$HU$38,3,FALSE),INDEX(#REF!:#REF!,MATCH(#REF!,#REF!:#REF!,0),MATCH(#REF!,#REF!:#REF!,0))*#REF!*VLOOKUP(#REF!,BDD!$HN$5:$HU$38,3,FALSE)))))</f>
        <v>#REF!</v>
      </c>
      <c r="HP71" s="342" t="e">
        <f>IF(#REF!="","",IF(OR(#REF!=Moutarde,#REF!=Phacélie),0,IF(#REF!=Luzerne,10*#REF!*VLOOKUP(#REF!,BDD!$HN$5:$HU$38,4,FALSE),IF(#REF!=Miscanthus,10.5*#REF!*VLOOKUP(#REF!,BDD!$HN$5:$HU$38,4,FALSE),INDEX(#REF!:#REF!,MATCH(#REF!,#REF!:#REF!,0),MATCH(#REF!,#REF!:#REF!,0))*#REF!*VLOOKUP(#REF!,BDD!$HN$5:$HU$38,4,FALSE)))))</f>
        <v>#REF!</v>
      </c>
      <c r="HQ71" s="342" t="e">
        <f>IF(#REF!="","",IF(OR(#REF!=Moutarde,#REF!=Phacélie),0,IF(#REF!=Luzerne,10*#REF!*VLOOKUP(#REF!,BDD!$HN$5:$HU$38,5,FALSE),IF(#REF!=Miscanthus,10.5*#REF!*VLOOKUP(#REF!,BDD!$HN$5:$HU$38,5,FALSE),INDEX(#REF!:#REF!,MATCH(#REF!,#REF!:#REF!,0),MATCH(#REF!,#REF!:#REF!,0))*#REF!*VLOOKUP(#REF!,BDD!$HN$5:$HU$38,5,FALSE)))))</f>
        <v>#REF!</v>
      </c>
      <c r="HR71" s="342" t="e">
        <f>IF(#REF!="","",IF(OR(#REF!=Moutarde,#REF!=Phacélie),0,IF(#REF!=Luzerne,10*#REF!*VLOOKUP(#REF!,BDD!$HN$5:$HU$38,6,FALSE),IF(#REF!=Miscanthus,10.5*#REF!*VLOOKUP(#REF!,BDD!$HN$5:$HU$38,6,FALSE),INDEX(#REF!:#REF!,MATCH(#REF!,#REF!:#REF!,0),MATCH(#REF!,#REF!:#REF!,0))*#REF!*VLOOKUP(#REF!,BDD!$HN$5:$HU$38,6,FALSE)))))</f>
        <v>#REF!</v>
      </c>
      <c r="HS71" s="342" t="e">
        <f>IF(#REF!="","",IF(OR(#REF!=Moutarde,#REF!=Phacélie),0,IF(#REF!=Luzerne,10*#REF!*VLOOKUP(#REF!,BDD!$HN$5:$HU$38,7,FALSE),IF(#REF!=Miscanthus,10.5*#REF!*VLOOKUP(#REF!,BDD!$HN$5:$HU$38,7,FALSE),INDEX(#REF!:#REF!,MATCH(#REF!,#REF!:#REF!,0),MATCH(#REF!,#REF!:#REF!,0))*#REF!*VLOOKUP(#REF!,BDD!$HN$5:$HU$38,7,FALSE)))))</f>
        <v>#REF!</v>
      </c>
      <c r="HT71" s="342" t="e">
        <f>IF(#REF!="","",IF(OR(#REF!=Moutarde,#REF!=Phacélie),0,IF(#REF!=Luzerne,10*#REF!*VLOOKUP(#REF!,BDD!$HN$5:$HU$38,8,FALSE),IF(#REF!=Miscanthus,10.5*#REF!*VLOOKUP(#REF!,BDD!$HN$5:$HU$38,8,FALSE),INDEX(#REF!:#REF!,MATCH(#REF!,#REF!:#REF!,0),MATCH(#REF!,#REF!:#REF!,0))*#REF!*VLOOKUP(#REF!,BDD!$HN$5:$HU$38,8,FALSE)))))</f>
        <v>#REF!</v>
      </c>
      <c r="HU71" s="342" t="e">
        <f>IF(#REF!="","",IF(OR(#REF!=Moutarde,#REF!=Phacélie),0,1.6*#REF!))</f>
        <v>#REF!</v>
      </c>
      <c r="HV71" s="342" t="e">
        <f>IF(#REF!="","",IF(OR(#REF!=Moutarde,#REF!=Phacélie),0,1.6*#REF!))</f>
        <v>#REF!</v>
      </c>
      <c r="HW71" s="342" t="e">
        <f>IF(#REF!="","",IF(OR(#REF!=Moutarde,#REF!=Phacélie),0,1.6*#REF!))</f>
        <v>#REF!</v>
      </c>
      <c r="HX71" s="342" t="e">
        <f>IF(#REF!="","",(VLOOKUP(#REF!,BDD!$HN$5:$HU$38,2,FALSE))*#REF!)</f>
        <v>#REF!</v>
      </c>
      <c r="HY71" s="342" t="e">
        <f>IF(#REF!="","",IF(OR(#REF!=Moutarde,#REF!=Phacélie),0,IF(#REF!=Luzerne,10*#REF!*VLOOKUP(#REF!,BDD!$HN$5:$HU$38,3,FALSE),IF(#REF!=Miscanthus,10.5*#REF!*VLOOKUP(#REF!,BDD!$HN$5:$HU$38,3,FALSE),INDEX(#REF!:#REF!,MATCH(#REF!,#REF!:#REF!,0),MATCH(#REF!,#REF!:#REF!,0))*#REF!*VLOOKUP(#REF!,BDD!$HN$5:$HU$38,3,FALSE)))))</f>
        <v>#REF!</v>
      </c>
      <c r="HZ71" s="342" t="e">
        <f>IF(#REF!="","",IF(OR(#REF!=Moutarde,#REF!=Phacélie),0,IF(#REF!=Luzerne,10*#REF!*VLOOKUP(#REF!,BDD!$HN$5:$HU$38,4,FALSE),IF(#REF!=Miscanthus,10.5*#REF!*VLOOKUP(#REF!,BDD!$HN$5:$HU$38,4,FALSE),INDEX(#REF!:#REF!,MATCH(#REF!,#REF!:#REF!,0),MATCH(#REF!,#REF!:#REF!,0))*#REF!*VLOOKUP(#REF!,BDD!$HN$5:$HU$38,4,FALSE)))))</f>
        <v>#REF!</v>
      </c>
      <c r="IA71" s="342" t="e">
        <f>IF(#REF!="","",IF(OR(#REF!=Moutarde,#REF!=Phacélie),0,IF(#REF!=Luzerne,10*#REF!*VLOOKUP(#REF!,BDD!$HN$5:$HU$38,5,FALSE),IF(#REF!=Miscanthus,10.5*#REF!*VLOOKUP(#REF!,BDD!$HN$5:$HU$38,5,FALSE),INDEX(#REF!:#REF!,MATCH(#REF!,#REF!:#REF!,0),MATCH(#REF!,#REF!:#REF!,0))*#REF!*VLOOKUP(#REF!,BDD!$HN$5:$HU$38,5,FALSE)))))</f>
        <v>#REF!</v>
      </c>
      <c r="IB71" s="342" t="e">
        <f>IF(#REF!="","",IF(OR(#REF!=Moutarde,#REF!=Phacélie),0,IF(#REF!=Luzerne,10*#REF!*VLOOKUP(#REF!,BDD!$HN$5:$HU$38,6,FALSE),IF(#REF!=Miscanthus,10.5*#REF!*VLOOKUP(#REF!,BDD!$HN$5:$HU$38,6,FALSE),INDEX(#REF!:#REF!,MATCH(#REF!,#REF!:#REF!,0),MATCH(#REF!,#REF!:#REF!,0))*#REF!*VLOOKUP(#REF!,BDD!$HN$5:$HU$38,6,FALSE)))))</f>
        <v>#REF!</v>
      </c>
      <c r="IC71" s="342" t="e">
        <f>IF(#REF!="","",IF(OR(#REF!=Moutarde,#REF!=Phacélie),0,IF(#REF!=Luzerne,10*#REF!*VLOOKUP(#REF!,BDD!$HN$5:$HU$38,7,FALSE),IF(#REF!=Miscanthus,10.5*#REF!*VLOOKUP(#REF!,BDD!$HN$5:$HU$38,7,FALSE),INDEX(#REF!:#REF!,MATCH(#REF!,#REF!:#REF!,0),MATCH(#REF!,#REF!:#REF!,0))*#REF!*VLOOKUP(#REF!,BDD!$HN$5:$HU$38,7,FALSE)))))</f>
        <v>#REF!</v>
      </c>
      <c r="ID71" s="342" t="e">
        <f>IF(#REF!="","",IF(OR(#REF!=Moutarde,#REF!=Phacélie),0,IF(#REF!=Luzerne,10*#REF!*VLOOKUP(#REF!,BDD!$HN$5:$HU$38,8,FALSE),IF(#REF!=Miscanthus,10.5*#REF!*VLOOKUP(#REF!,BDD!$HN$5:$HU$38,8,FALSE),INDEX(#REF!:#REF!,MATCH(#REF!,#REF!:#REF!,0),MATCH(#REF!,#REF!:#REF!,0))*#REF!*VLOOKUP(#REF!,BDD!$HN$5:$HU$38,8,FALSE)))))</f>
        <v>#REF!</v>
      </c>
      <c r="IE71" s="342" t="e">
        <f>IF(#REF!="","",IF(OR(#REF!=Moutarde,#REF!=Phacélie),0,1.6*#REF!))</f>
        <v>#REF!</v>
      </c>
      <c r="IF71" s="342" t="e">
        <f>IF(#REF!="","",IF(OR(#REF!=Moutarde,#REF!=Phacélie),0,1.6*#REF!))</f>
        <v>#REF!</v>
      </c>
      <c r="IG71" s="342" t="e">
        <f>IF(#REF!="","",IF(OR(#REF!=Moutarde,#REF!=Phacélie),0,1.6*#REF!))</f>
        <v>#REF!</v>
      </c>
    </row>
    <row r="72" spans="1:241" ht="12.75" customHeight="1" x14ac:dyDescent="0.2">
      <c r="A72" s="373"/>
      <c r="B72" s="380"/>
      <c r="F72" s="283"/>
      <c r="N72" s="277"/>
      <c r="BB72" s="387" t="s">
        <v>511</v>
      </c>
      <c r="BC72" s="362" t="s">
        <v>510</v>
      </c>
      <c r="BD72" s="362" t="s">
        <v>886</v>
      </c>
      <c r="BE72" s="388">
        <v>28</v>
      </c>
      <c r="BF72" s="388">
        <v>24</v>
      </c>
      <c r="BG72" s="388">
        <v>20</v>
      </c>
      <c r="BH72" s="388">
        <v>16</v>
      </c>
      <c r="BI72" s="388">
        <v>8</v>
      </c>
      <c r="BJ72" s="388">
        <v>4</v>
      </c>
      <c r="BK72" s="389">
        <v>0</v>
      </c>
      <c r="BL72" s="312"/>
      <c r="BM72" s="354" t="s">
        <v>910</v>
      </c>
      <c r="BN72" s="349" t="s">
        <v>895</v>
      </c>
      <c r="BO72" s="349" t="s">
        <v>894</v>
      </c>
      <c r="BP72" s="349" t="s">
        <v>893</v>
      </c>
      <c r="BQ72" s="349" t="s">
        <v>892</v>
      </c>
      <c r="BR72" s="349" t="s">
        <v>891</v>
      </c>
      <c r="BS72" s="349" t="s">
        <v>890</v>
      </c>
      <c r="BT72" s="355" t="s">
        <v>889</v>
      </c>
      <c r="BU72" s="349" t="s">
        <v>903</v>
      </c>
      <c r="BX72" s="373" t="s">
        <v>514</v>
      </c>
      <c r="BY72" s="280" t="s">
        <v>508</v>
      </c>
      <c r="BZ72" s="280" t="s">
        <v>911</v>
      </c>
      <c r="CA72" s="280">
        <v>0</v>
      </c>
      <c r="CB72" s="280">
        <v>0</v>
      </c>
      <c r="CC72" s="280">
        <v>0</v>
      </c>
      <c r="CD72" s="410">
        <v>3</v>
      </c>
      <c r="CE72" s="304"/>
      <c r="CF72" s="304"/>
      <c r="CG72" s="304"/>
      <c r="CH72" s="304"/>
      <c r="CJ72" s="420" t="s">
        <v>232</v>
      </c>
      <c r="CK72" s="384">
        <f t="array" ref="CK7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72" s="384">
        <f t="array" ref="CL7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72" s="384">
        <f t="array" ref="CM7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72" s="384">
        <f t="array" ref="CN7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72" s="384">
        <f t="array" ref="CO7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72" s="426">
        <f>SUM(AlimentsRationPorcinsMâles[[#This Row],[Valeur 12 et plus]:[Valeur 0-1]])</f>
        <v>0</v>
      </c>
      <c r="CS72" s="420" t="s">
        <v>266</v>
      </c>
      <c r="CT72" s="433">
        <f t="array" ref="CT72">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72" s="433">
        <f t="array" ref="CU72">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72" s="433">
        <f t="array" ref="CV72">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72" s="434">
        <f>SUM(AlimentsRationLapinsMâles[[#This Row],[Valeur 3 et plus]:[Valeur 0-1]])</f>
        <v>0</v>
      </c>
      <c r="CZ72" s="420" t="s">
        <v>266</v>
      </c>
      <c r="DA72" s="433">
        <f t="array" ref="DA7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72" s="433">
        <f t="array" ref="DB7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72" s="433">
        <f t="array" ref="DC7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72" s="434">
        <f>SUM(AlimentsRationVolaillesMâles[[#This Row],[Valeur 6 et plus]:[Valeur 0-1]])</f>
        <v>0</v>
      </c>
      <c r="DE72" s="316"/>
      <c r="DF72" s="277"/>
      <c r="DG72" s="420" t="s">
        <v>906</v>
      </c>
      <c r="DH72" s="433">
        <f t="array" ref="DH7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72" s="433">
        <f t="array" ref="DI7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72" s="433">
        <f t="array" ref="DJ7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72" s="434">
        <f>SUM(AlimentsRationPintadesMâles[[#This Row],[Valeur 9 et plus]:[Valeur 0-1]])</f>
        <v>0</v>
      </c>
      <c r="DL72" s="316"/>
      <c r="DM72" s="316"/>
      <c r="DN72" s="373" t="s">
        <v>509</v>
      </c>
      <c r="DO72" s="280" t="s">
        <v>907</v>
      </c>
      <c r="DP72" s="280" t="s">
        <v>886</v>
      </c>
      <c r="DQ72" s="310">
        <v>1.2</v>
      </c>
      <c r="DR72" s="310">
        <v>0.8</v>
      </c>
      <c r="DS72" s="310">
        <v>0.6</v>
      </c>
      <c r="DT72" s="439">
        <v>0.4</v>
      </c>
      <c r="DV72" s="229" t="s">
        <v>912</v>
      </c>
      <c r="DW72" s="344"/>
      <c r="DX72" s="344"/>
      <c r="DY72" s="344"/>
      <c r="DZ72" s="229"/>
      <c r="EA72" s="229"/>
      <c r="EB72" s="229"/>
      <c r="EC72" s="229"/>
      <c r="ED72" s="337"/>
      <c r="EG72" s="420" t="s">
        <v>905</v>
      </c>
      <c r="EH72" s="433">
        <f t="array" ref="EH7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72" s="433">
        <f t="array" ref="EI7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72" s="433">
        <f t="array" ref="EJ7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72" s="434">
        <f>SUM(AlimentsRationOiesMâles[[#This Row],[Valeur 6 et plus]:[Valeur 0-3]])</f>
        <v>0</v>
      </c>
      <c r="EL72" s="316"/>
      <c r="EN72" s="420" t="s">
        <v>489</v>
      </c>
      <c r="EO72" s="433">
        <f t="array" ref="EO72">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72" s="433">
        <f t="array" ref="EP72">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72" s="433">
        <f t="array" ref="EQ72">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72" s="434">
        <f>SUM(Ration_canards_Mâles[[#This Row],[Valeur 6 et plus]:[Valeur 0-3]])</f>
        <v>0</v>
      </c>
      <c r="ES72" s="316"/>
      <c r="ET72" s="282"/>
      <c r="EU72" s="457" t="s">
        <v>265</v>
      </c>
      <c r="EV72" s="458">
        <f t="array" ref="EV72">IF(OR(ChoixRationComplèteEtéChevauxSelle=OUI,ChoixRationComplèteEtéChevauxSelle="",AND(ChoixChevauxSellePréHiver=OUI,ChoixChevauxSellePréEté=OUI)),0,IFERROR(IF(OR(AND(INDEX(Règles_chevaux_selle[Specificite],MATCH(RationEtéChevauxSelle&amp;$EU72,Règles_chevaux_selle[Ration]&amp;Règles_chevaux_selle[Aliment],0))="s1",IF($EU72=Spécificité1ChevauxSelle,1)),
AND(INDEX(Règles_chevaux_selle[Specificite],MATCH(RationEtéChevauxSelle&amp;$EU72,Règles_chevaux_selle[Ration]&amp;Règles_chevaux_selle[Aliment],0))="s2",IF($EU72=Spécificité2ChevauxSelle,1)),
INDEX(Règles_chevaux_selle[Specificite],MATCH(RationEtéChevauxSelle&amp;$EU72,Règles_chevaux_selle[Ration]&amp;Règles_chevaux_selle[Aliment],0))="c"),
INDEX(Règles_chevaux_selle[Valeur 36 et plus],MATCH(RationEtéChevauxSelle&amp;$EU72,Règles_chevaux_selle[Ration]&amp;Règles_chevaux_selle[Aliment],0)),0),0)*TotalEtalonSelle*NbreJoursNourrirChevauxSelle)</f>
        <v>0</v>
      </c>
      <c r="EW72" s="458">
        <f t="array" ref="EW72">IF(OR(ChoixRationComplèteEtéChevauxSelle=OUI,ChoixRationComplèteEtéChevauxSelle="",AND(ChoixChevauxSellePréHiver=OUI,ChoixChevauxSellePréEté=OUI)),0,IFERROR(IF(OR(AND(INDEX(Règles_chevaux_selle[Specificite],MATCH(RationEtéChevauxSelle&amp;$EU72,Règles_chevaux_selle[Ration]&amp;Règles_chevaux_selle[Aliment],0))="s1",IF($EU72=Spécificité1ChevauxSelle,1)),
AND(INDEX(Règles_chevaux_selle[Specificite],MATCH(RationEtéChevauxSelle&amp;$EU72,Règles_chevaux_selle[Ration]&amp;Règles_chevaux_selle[Aliment],0))="s2",IF($EU72=Spécificité2ChevauxSelle,1)),
INDEX(Règles_chevaux_selle[Specificite],MATCH(RationEtéChevauxSelle&amp;$EU72,Règles_chevaux_selle[Ration]&amp;Règles_chevaux_selle[Aliment],0))="c"),
INDEX(Règles_chevaux_selle[Valeur 24-36],MATCH(RationEtéChevauxSelle&amp;$EU72,Règles_chevaux_selle[Ration]&amp;Règles_chevaux_selle[Aliment],0)),0),0)*TotalJeuneEtalonSelle_24_36_mois*NbreJoursNourrirChevauxSelle)</f>
        <v>0</v>
      </c>
      <c r="EX72" s="458">
        <f t="array" ref="EX72">IF(OR(ChoixRationComplèteEtéChevauxSelle=OUI,ChoixRationComplèteEtéChevauxSelle="",AND(ChoixChevauxSellePréHiver=OUI,ChoixChevauxSellePréEté=OUI)),0,IFERROR(IF(OR(AND(INDEX(Règles_chevaux_selle[Specificite],MATCH(RationEtéChevauxSelle&amp;$EU72,Règles_chevaux_selle[Ration]&amp;Règles_chevaux_selle[Aliment],0))="s1",IF($EU72=Spécificité1ChevauxSelle,1)),
AND(INDEX(Règles_chevaux_selle[Specificite],MATCH(RationEtéChevauxSelle&amp;$EU72,Règles_chevaux_selle[Ration]&amp;Règles_chevaux_selle[Aliment],0))="s2",IF($EU72=Spécificité2ChevauxSelle,1)),
INDEX(Règles_chevaux_selle[Specificite],MATCH(RationEtéChevauxSelle&amp;$EU72,Règles_chevaux_selle[Ration]&amp;Règles_chevaux_selle[Aliment],0))="c"),
INDEX(Règles_chevaux_selle[Valeur 12-24],MATCH(RationEtéChevauxSelle&amp;$EU72,Règles_chevaux_selle[Ration]&amp;Règles_chevaux_selle[Aliment],0)),0),0)*TotalJeuneEtalonSelle_12_24_mois*NbreJoursNourrirChevauxSelle)</f>
        <v>0</v>
      </c>
      <c r="EY72" s="460">
        <f t="array" ref="EY72">IF(OR(ChoixRationComplèteEtéChevauxSelle=OUI,ChoixRationComplèteEtéChevauxSelle="",AND(ChoixChevauxSellePréHiver=OUI,ChoixChevauxSellePréEté=OUI)),0,IFERROR(IF(OR(AND(INDEX(Règles_chevaux_selle[Specificite],MATCH(RationEtéChevauxSelle&amp;$EU72,Règles_chevaux_selle[Ration]&amp;Règles_chevaux_selle[Aliment],0))="s1",IF($EU72=Spécificité1ChevauxSelle,1)),
AND(INDEX(Règles_chevaux_selle[Specificite],MATCH(RationEtéChevauxSelle&amp;$EU72,Règles_chevaux_selle[Ration]&amp;Règles_chevaux_selle[Aliment],0))="s2",IF($EU72=Spécificité2ChevauxSelle,1)),
INDEX(Règles_chevaux_selle[Specificite],MATCH(RationEtéChevauxSelle&amp;$EU72,Règles_chevaux_selle[Ration]&amp;Règles_chevaux_selle[Aliment],0))="c"),
INDEX(Règles_chevaux_selle[Valeur 0-12],MATCH(RationEtéChevauxSelle&amp;$EU72,Règles_chevaux_selle[Ration]&amp;Règles_chevaux_selle[Aliment],0)),0),0)*TotalPoulainSelle_0_12_mois*NbreJoursNourrirChevauxSelle)</f>
        <v>0</v>
      </c>
      <c r="EZ72" s="460">
        <f t="shared" si="16"/>
        <v>0</v>
      </c>
      <c r="FA72" s="298"/>
      <c r="FB72" s="298"/>
      <c r="FC72" s="282"/>
      <c r="FD72" s="457" t="s">
        <v>268</v>
      </c>
      <c r="FE72" s="458">
        <f t="array" ref="FE72">IF(OR(ChoixRationComplèteEtéChevauxTrait=OUI,ChoixRationComplèteEtéChevauxTrait="",AND(ChoixChevauxTraitPréHiver=OUI,ChoixChevauxTraitPréEté=OUI)),0,IFERROR(IF(OR(AND(INDEX(Règles_chevaux_trait[Specificite],MATCH(RationEtéChevauxTrait&amp;$FD72,Règles_chevaux_trait[Ration]&amp;Règles_chevaux_trait[Aliment],0))="s1",IF($FD72=Spécificité1ChevauxTrait,1)),
AND(INDEX(Règles_chevaux_trait[Specificite],MATCH(RationEtéChevauxTrait&amp;$FD72,Règles_chevaux_trait[Ration]&amp;Règles_chevaux_trait[Aliment],0))="s2",IF($FD72=Spécificité2ChevauxTrait,1)),
INDEX(Règles_chevaux_trait[Specificite],MATCH(RationEtéChevauxTrait&amp;$FD72,Règles_chevaux_trait[Ration]&amp;Règles_chevaux_trait[Aliment],0))="c"),
INDEX(Règles_chevaux_trait[Valeur 36 et plus],MATCH(RationEtéChevauxTrait&amp;$FD72,Règles_chevaux_trait[Ration]&amp;Règles_chevaux_trait[Aliment],0)),0),0)*TotalEtalonTrait*NbreJoursNourrirChevauxTrait)</f>
        <v>0</v>
      </c>
      <c r="FF72" s="458">
        <f t="array" ref="FF72">IF(OR(ChoixRationComplèteEtéChevauxTrait=OUI,ChoixRationComplèteEtéChevauxTrait="",AND(ChoixChevauxTraitPréHiver=OUI,ChoixChevauxTraitPréEté=OUI)),0,IFERROR(IF(OR(AND(INDEX(Règles_chevaux_trait[Specificite],MATCH(RationEtéChevauxTrait&amp;$FD72,Règles_chevaux_trait[Ration]&amp;Règles_chevaux_trait[Aliment],0))="s1",IF($FD72=Spécificité1ChevauxTrait,1)),
AND(INDEX(Règles_chevaux_trait[Specificite],MATCH(RationEtéChevauxTrait&amp;$FD72,Règles_chevaux_trait[Ration]&amp;Règles_chevaux_trait[Aliment],0))="s2",IF($FD72=Spécificité2ChevauxTrait,1)),
INDEX(Règles_chevaux_trait[Specificite],MATCH(RationEtéChevauxTrait&amp;$FD72,Règles_chevaux_trait[Ration]&amp;Règles_chevaux_trait[Aliment],0))="c"),
INDEX(Règles_chevaux_trait[Valeur 24-36],MATCH(RationEtéChevauxTrait&amp;$FD72,Règles_chevaux_trait[Ration]&amp;Règles_chevaux_trait[Aliment],0)),0),0)*TotalJeuneEtalonTrait_24_36_mois*NbreJoursNourrirChevauxTrait)</f>
        <v>0</v>
      </c>
      <c r="FG72" s="458">
        <f t="array" ref="FG72">IF(OR(ChoixRationComplèteEtéChevauxTrait=OUI,ChoixRationComplèteEtéChevauxTrait="",AND(ChoixChevauxTraitPréHiver=OUI,ChoixChevauxTraitPréEté=OUI)),0,IFERROR(IF(OR(AND(INDEX(Règles_chevaux_trait[Specificite],MATCH(RationEtéChevauxTrait&amp;$FD72,Règles_chevaux_trait[Ration]&amp;Règles_chevaux_trait[Aliment],0))="s1",IF($FD72=Spécificité1ChevauxTrait,1)),
AND(INDEX(Règles_chevaux_trait[Specificite],MATCH(RationEtéChevauxTrait&amp;$FD72,Règles_chevaux_trait[Ration]&amp;Règles_chevaux_trait[Aliment],0))="s2",IF($FD72=Spécificité2ChevauxTrait,1)),
INDEX(Règles_chevaux_trait[Specificite],MATCH(RationEtéChevauxTrait&amp;$FD72,Règles_chevaux_trait[Ration]&amp;Règles_chevaux_trait[Aliment],0))="c"),
INDEX(Règles_chevaux_trait[Valeur 12-24],MATCH(RationEtéChevauxTrait&amp;$FD72,Règles_chevaux_trait[Ration]&amp;Règles_chevaux_trait[Aliment],0)),0),0)*TotalJeuneEtalonTrait_12_24_mois*NbreJoursNourrirChevauxTrait)</f>
        <v>0</v>
      </c>
      <c r="FH72" s="460">
        <f t="array" ref="FH72">IF(OR(ChoixRationComplèteEtéChevauxTrait=OUI,ChoixRationComplèteEtéChevauxTrait="",AND(ChoixChevauxTraitPréHiver=OUI,ChoixChevauxTraitPréEté=OUI)),0,IFERROR(IF(OR(AND(INDEX(Règles_chevaux_trait[Specificite],MATCH(RationEtéChevauxTrait&amp;$FD72,Règles_chevaux_trait[Ration]&amp;Règles_chevaux_trait[Aliment],0))="s1",IF($FD72=Spécificité1ChevauxTrait,1)),
AND(INDEX(Règles_chevaux_trait[Specificite],MATCH(RationEtéChevauxTrait&amp;$FD72,Règles_chevaux_trait[Ration]&amp;Règles_chevaux_trait[Aliment],0))="s2",IF($FD72=Spécificité2ChevauxTrait,1)),
INDEX(Règles_chevaux_trait[Specificite],MATCH(RationEtéChevauxTrait&amp;$FD72,Règles_chevaux_trait[Ration]&amp;Règles_chevaux_trait[Aliment],0))="c"),
INDEX(Règles_chevaux_trait[Valeur 0-12],MATCH(RationEtéChevauxTrait&amp;$FD72,Règles_chevaux_trait[Ration]&amp;Règles_chevaux_trait[Aliment],0)),0),0)*TotalPoulainTrait_0_12_mois*NbreJoursNourrirChevauxTrait)</f>
        <v>0</v>
      </c>
      <c r="FI72" s="460">
        <f t="shared" si="15"/>
        <v>0</v>
      </c>
      <c r="FJ72" s="298"/>
      <c r="FK72" s="298"/>
      <c r="FL72" s="298"/>
      <c r="FM72" s="282"/>
      <c r="FN72" s="457" t="s">
        <v>905</v>
      </c>
      <c r="FO72" s="458">
        <f t="array" ref="FO72">IF(OR(ChoixRationComplèteEtéPoneys=OUI,ChoixRationComplèteEtéPoneys="",AND(ChoixPoneysPréHiver=OUI,ChoixPoneysPréEté=OUI)),0,IFERROR(IF(OR(AND(INDEX(Règles_poneys[Specificite],MATCH(RationEtéPoneys&amp;$FN72,Règles_poneys[Ration]&amp;Règles_poneys[Aliment],0))="s1",IF($FN72=Spécificité1Poneys,1)),
AND(INDEX(Règles_poneys[Specificite],MATCH(RationEtéPoneys&amp;$FN72,Règles_poneys[Ration]&amp;Règles_poneys[Aliment],0))="s2",IF($FN72=Spécificité2Poneys,1)),
INDEX(Règles_poneys[Specificite],MATCH(RationEtéPoneys&amp;$FN72,Règles_poneys[Ration]&amp;Règles_poneys[Aliment],0))="c"),
INDEX(Règles_poneys[Valeur 36 et plus],MATCH(RationEtéPoneys&amp;$FN72,Règles_poneys[Ration]&amp;Règles_poneys[Aliment],0)),0),0)*TotalEtalonPoney*NbreJoursNourrirPoneys)</f>
        <v>0</v>
      </c>
      <c r="FP72" s="458">
        <f t="array" ref="FP72">IF(OR(ChoixRationComplèteEtéPoneys=OUI,ChoixRationComplèteEtéPoneys="",AND(ChoixPoneysPréHiver=OUI,ChoixPoneysPréEté=OUI)),0,IFERROR(IF(OR(AND(INDEX(Règles_poneys[Specificite],MATCH(RationEtéPoneys&amp;$FN72,Règles_poneys[Ration]&amp;Règles_poneys[Aliment],0))="s1",IF($FN72=Spécificité1Poneys,1)),
AND(INDEX(Règles_poneys[Specificite],MATCH(RationEtéPoneys&amp;$FN72,Règles_poneys[Ration]&amp;Règles_poneys[Aliment],0))="s2",IF($FN72=Spécificité2Poneys,1)),
INDEX(Règles_poneys[Specificite],MATCH(RationEtéPoneys&amp;$FN72,Règles_poneys[Ration]&amp;Règles_poneys[Aliment],0))="c"),
INDEX(Règles_poneys[Valeur 36 et plus],MATCH(RationEtéPoneys&amp;$FN72,Règles_poneys[Ration]&amp;Règles_poneys[Aliment],0)),0),0)*TotalJeuneEtalonPoney_24_36_mois*NbreJoursNourrirPoneys)</f>
        <v>0</v>
      </c>
      <c r="FQ72" s="458">
        <f t="array" ref="FQ72">IF(OR(ChoixRationComplèteEtéPoneys=OUI,ChoixRationComplèteEtéPoneys="",AND(ChoixPoneysPréHiver=OUI,ChoixPoneysPréEté=OUI)),0,IFERROR(IF(OR(AND(INDEX(Règles_poneys[Specificite],MATCH(RationEtéPoneys&amp;$FN72,Règles_poneys[Ration]&amp;Règles_poneys[Aliment],0))="s1",IF($FN72=Spécificité1Poneys,1)),
AND(INDEX(Règles_poneys[Specificite],MATCH(RationEtéPoneys&amp;$FN72,Règles_poneys[Ration]&amp;Règles_poneys[Aliment],0))="s2",IF($FN72=Spécificité2Poneys,1)),
INDEX(Règles_poneys[Specificite],MATCH(RationEtéPoneys&amp;$FN72,Règles_poneys[Ration]&amp;Règles_poneys[Aliment],0))="c"),
INDEX(Règles_poneys[Valeur 36 et plus],MATCH(RationEtéPoneys&amp;$FN72,Règles_poneys[Ration]&amp;Règles_poneys[Aliment],0)),0),0)*TotalJeuneEtalonPoney_12_24_mois*NbreJoursNourrirPoneys)</f>
        <v>0</v>
      </c>
      <c r="FR72" s="460">
        <f t="array" ref="FR72">IF(OR(ChoixRationComplèteEtéPoneys=OUI,ChoixRationComplèteEtéPoneys="",AND(ChoixPoneysPréHiver=OUI,ChoixPoneysPréEté=OUI)),0,IFERROR(IF(OR(AND(INDEX(Règles_poneys[Specificite],MATCH(RationEtéPoneys&amp;$FN72,Règles_poneys[Ration]&amp;Règles_poneys[Aliment],0))="s1",IF($FN72=Spécificité1Poneys,1)),
AND(INDEX(Règles_poneys[Specificite],MATCH(RationEtéPoneys&amp;$FN72,Règles_poneys[Ration]&amp;Règles_poneys[Aliment],0))="s2",IF($FN72=Spécificité2Poneys,1)),
INDEX(Règles_poneys[Specificite],MATCH(RationEtéPoneys&amp;$FN72,Règles_poneys[Ration]&amp;Règles_poneys[Aliment],0))="c"),
INDEX(Règles_poneys[Valeur 36 et plus],MATCH(RationEtéPoneys&amp;$FN72,Règles_poneys[Ration]&amp;Règles_poneys[Aliment],0)),0),0)*TotalPoulainPoney_0_12_mois*NbreJoursNourrirPoneys)</f>
        <v>0</v>
      </c>
      <c r="FS72" s="460">
        <f t="shared" si="14"/>
        <v>0</v>
      </c>
      <c r="FT72" s="298"/>
      <c r="FU72" s="298"/>
      <c r="FV72" s="298"/>
      <c r="FW72" s="443" t="s">
        <v>231</v>
      </c>
      <c r="FX72" s="450">
        <f t="array" ref="FX72">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72" s="450">
        <f t="array" ref="FY72">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72" s="450">
        <f t="array" ref="FZ72">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72" s="450">
        <f t="array" ref="GA72">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72" s="451">
        <f>SUM(AlimentsGavageOies[[#This Row],[Valeur 6 et plus]:[Valeur 0-1]])</f>
        <v>0</v>
      </c>
      <c r="GC72" s="316"/>
      <c r="GE72" s="280" t="s">
        <v>239</v>
      </c>
      <c r="GF72" s="283"/>
      <c r="GG72" s="283" t="s">
        <v>955</v>
      </c>
      <c r="GH72" s="283" t="s">
        <v>955</v>
      </c>
      <c r="GI72" s="283" t="s">
        <v>955</v>
      </c>
      <c r="GJ72" s="283" t="s">
        <v>955</v>
      </c>
      <c r="GK72" s="283" t="s">
        <v>955</v>
      </c>
      <c r="GL72" s="283" t="s">
        <v>955</v>
      </c>
      <c r="GM72" s="283" t="s">
        <v>955</v>
      </c>
      <c r="GN72" s="283" t="s">
        <v>955</v>
      </c>
      <c r="GO72" s="283" t="s">
        <v>955</v>
      </c>
      <c r="GP72" s="283" t="s">
        <v>955</v>
      </c>
      <c r="GQ72" s="283" t="s">
        <v>955</v>
      </c>
      <c r="GR72" s="283" t="s">
        <v>955</v>
      </c>
      <c r="GS72" s="283" t="s">
        <v>955</v>
      </c>
      <c r="GT72" s="283" t="s">
        <v>955</v>
      </c>
      <c r="GU72" s="283" t="s">
        <v>955</v>
      </c>
      <c r="GV72" s="283" t="s">
        <v>955</v>
      </c>
      <c r="GY72" s="444" t="str">
        <f t="shared" si="11"/>
        <v>semences de seigle (G)</v>
      </c>
      <c r="GZ72" s="444"/>
      <c r="HA72" s="342"/>
      <c r="HB72" s="342" t="e">
        <f>IF(COUNTIF(TypeArticleDansEntrepôt,GY72)=0,0,SUMIF(TypeArticleDansEntrepôt,GY72,QtéArticleDansEntrepôt)*VLOOKUP(GY72,#REF!,2,FALSE))</f>
        <v>#REF!</v>
      </c>
      <c r="HN72" s="342" t="e">
        <f>IF(#REF!="","",(VLOOKUP(#REF!,BDD!$HN$5:$HU$38,2,FALSE))*#REF!)</f>
        <v>#REF!</v>
      </c>
      <c r="HO72" s="342" t="e">
        <f>IF(#REF!="","",IF(OR(#REF!=Moutarde,#REF!=Phacélie),0,IF(#REF!=Luzerne,10*#REF!*VLOOKUP(#REF!,BDD!$HN$5:$HU$38,3,FALSE),IF(#REF!=Miscanthus,10.5*#REF!*VLOOKUP(#REF!,BDD!$HN$5:$HU$38,3,FALSE),INDEX(#REF!:#REF!,MATCH(#REF!,#REF!:#REF!,0),MATCH(#REF!,#REF!:#REF!,0))*#REF!*VLOOKUP(#REF!,BDD!$HN$5:$HU$38,3,FALSE)))))</f>
        <v>#REF!</v>
      </c>
      <c r="HP72" s="342" t="e">
        <f>IF(#REF!="","",IF(OR(#REF!=Moutarde,#REF!=Phacélie),0,IF(#REF!=Luzerne,10*#REF!*VLOOKUP(#REF!,BDD!$HN$5:$HU$38,4,FALSE),IF(#REF!=Miscanthus,10.5*#REF!*VLOOKUP(#REF!,BDD!$HN$5:$HU$38,4,FALSE),INDEX(#REF!:#REF!,MATCH(#REF!,#REF!:#REF!,0),MATCH(#REF!,#REF!:#REF!,0))*#REF!*VLOOKUP(#REF!,BDD!$HN$5:$HU$38,4,FALSE)))))</f>
        <v>#REF!</v>
      </c>
      <c r="HQ72" s="342" t="e">
        <f>IF(#REF!="","",IF(OR(#REF!=Moutarde,#REF!=Phacélie),0,IF(#REF!=Luzerne,10*#REF!*VLOOKUP(#REF!,BDD!$HN$5:$HU$38,5,FALSE),IF(#REF!=Miscanthus,10.5*#REF!*VLOOKUP(#REF!,BDD!$HN$5:$HU$38,5,FALSE),INDEX(#REF!:#REF!,MATCH(#REF!,#REF!:#REF!,0),MATCH(#REF!,#REF!:#REF!,0))*#REF!*VLOOKUP(#REF!,BDD!$HN$5:$HU$38,5,FALSE)))))</f>
        <v>#REF!</v>
      </c>
      <c r="HR72" s="342" t="e">
        <f>IF(#REF!="","",IF(OR(#REF!=Moutarde,#REF!=Phacélie),0,IF(#REF!=Luzerne,10*#REF!*VLOOKUP(#REF!,BDD!$HN$5:$HU$38,6,FALSE),IF(#REF!=Miscanthus,10.5*#REF!*VLOOKUP(#REF!,BDD!$HN$5:$HU$38,6,FALSE),INDEX(#REF!:#REF!,MATCH(#REF!,#REF!:#REF!,0),MATCH(#REF!,#REF!:#REF!,0))*#REF!*VLOOKUP(#REF!,BDD!$HN$5:$HU$38,6,FALSE)))))</f>
        <v>#REF!</v>
      </c>
      <c r="HS72" s="342" t="e">
        <f>IF(#REF!="","",IF(OR(#REF!=Moutarde,#REF!=Phacélie),0,IF(#REF!=Luzerne,10*#REF!*VLOOKUP(#REF!,BDD!$HN$5:$HU$38,7,FALSE),IF(#REF!=Miscanthus,10.5*#REF!*VLOOKUP(#REF!,BDD!$HN$5:$HU$38,7,FALSE),INDEX(#REF!:#REF!,MATCH(#REF!,#REF!:#REF!,0),MATCH(#REF!,#REF!:#REF!,0))*#REF!*VLOOKUP(#REF!,BDD!$HN$5:$HU$38,7,FALSE)))))</f>
        <v>#REF!</v>
      </c>
      <c r="HT72" s="342" t="e">
        <f>IF(#REF!="","",IF(OR(#REF!=Moutarde,#REF!=Phacélie),0,IF(#REF!=Luzerne,10*#REF!*VLOOKUP(#REF!,BDD!$HN$5:$HU$38,8,FALSE),IF(#REF!=Miscanthus,10.5*#REF!*VLOOKUP(#REF!,BDD!$HN$5:$HU$38,8,FALSE),INDEX(#REF!:#REF!,MATCH(#REF!,#REF!:#REF!,0),MATCH(#REF!,#REF!:#REF!,0))*#REF!*VLOOKUP(#REF!,BDD!$HN$5:$HU$38,8,FALSE)))))</f>
        <v>#REF!</v>
      </c>
      <c r="HU72" s="342" t="e">
        <f>IF(#REF!="","",IF(OR(#REF!=Moutarde,#REF!=Phacélie),0,1.6*#REF!))</f>
        <v>#REF!</v>
      </c>
      <c r="HV72" s="342" t="e">
        <f>IF(#REF!="","",IF(OR(#REF!=Moutarde,#REF!=Phacélie),0,1.6*#REF!))</f>
        <v>#REF!</v>
      </c>
      <c r="HW72" s="342" t="e">
        <f>IF(#REF!="","",IF(OR(#REF!=Moutarde,#REF!=Phacélie),0,1.6*#REF!))</f>
        <v>#REF!</v>
      </c>
      <c r="HX72" s="342" t="e">
        <f>IF(#REF!="","",(VLOOKUP(#REF!,BDD!$HN$5:$HU$38,2,FALSE))*#REF!)</f>
        <v>#REF!</v>
      </c>
      <c r="HY72" s="342" t="e">
        <f>IF(#REF!="","",IF(OR(#REF!=Moutarde,#REF!=Phacélie),0,IF(#REF!=Luzerne,10*#REF!*VLOOKUP(#REF!,BDD!$HN$5:$HU$38,3,FALSE),IF(#REF!=Miscanthus,10.5*#REF!*VLOOKUP(#REF!,BDD!$HN$5:$HU$38,3,FALSE),INDEX(#REF!:#REF!,MATCH(#REF!,#REF!:#REF!,0),MATCH(#REF!,#REF!:#REF!,0))*#REF!*VLOOKUP(#REF!,BDD!$HN$5:$HU$38,3,FALSE)))))</f>
        <v>#REF!</v>
      </c>
      <c r="HZ72" s="342" t="e">
        <f>IF(#REF!="","",IF(OR(#REF!=Moutarde,#REF!=Phacélie),0,IF(#REF!=Luzerne,10*#REF!*VLOOKUP(#REF!,BDD!$HN$5:$HU$38,4,FALSE),IF(#REF!=Miscanthus,10.5*#REF!*VLOOKUP(#REF!,BDD!$HN$5:$HU$38,4,FALSE),INDEX(#REF!:#REF!,MATCH(#REF!,#REF!:#REF!,0),MATCH(#REF!,#REF!:#REF!,0))*#REF!*VLOOKUP(#REF!,BDD!$HN$5:$HU$38,4,FALSE)))))</f>
        <v>#REF!</v>
      </c>
      <c r="IA72" s="342" t="e">
        <f>IF(#REF!="","",IF(OR(#REF!=Moutarde,#REF!=Phacélie),0,IF(#REF!=Luzerne,10*#REF!*VLOOKUP(#REF!,BDD!$HN$5:$HU$38,5,FALSE),IF(#REF!=Miscanthus,10.5*#REF!*VLOOKUP(#REF!,BDD!$HN$5:$HU$38,5,FALSE),INDEX(#REF!:#REF!,MATCH(#REF!,#REF!:#REF!,0),MATCH(#REF!,#REF!:#REF!,0))*#REF!*VLOOKUP(#REF!,BDD!$HN$5:$HU$38,5,FALSE)))))</f>
        <v>#REF!</v>
      </c>
      <c r="IB72" s="342" t="e">
        <f>IF(#REF!="","",IF(OR(#REF!=Moutarde,#REF!=Phacélie),0,IF(#REF!=Luzerne,10*#REF!*VLOOKUP(#REF!,BDD!$HN$5:$HU$38,6,FALSE),IF(#REF!=Miscanthus,10.5*#REF!*VLOOKUP(#REF!,BDD!$HN$5:$HU$38,6,FALSE),INDEX(#REF!:#REF!,MATCH(#REF!,#REF!:#REF!,0),MATCH(#REF!,#REF!:#REF!,0))*#REF!*VLOOKUP(#REF!,BDD!$HN$5:$HU$38,6,FALSE)))))</f>
        <v>#REF!</v>
      </c>
      <c r="IC72" s="342" t="e">
        <f>IF(#REF!="","",IF(OR(#REF!=Moutarde,#REF!=Phacélie),0,IF(#REF!=Luzerne,10*#REF!*VLOOKUP(#REF!,BDD!$HN$5:$HU$38,7,FALSE),IF(#REF!=Miscanthus,10.5*#REF!*VLOOKUP(#REF!,BDD!$HN$5:$HU$38,7,FALSE),INDEX(#REF!:#REF!,MATCH(#REF!,#REF!:#REF!,0),MATCH(#REF!,#REF!:#REF!,0))*#REF!*VLOOKUP(#REF!,BDD!$HN$5:$HU$38,7,FALSE)))))</f>
        <v>#REF!</v>
      </c>
      <c r="ID72" s="342" t="e">
        <f>IF(#REF!="","",IF(OR(#REF!=Moutarde,#REF!=Phacélie),0,IF(#REF!=Luzerne,10*#REF!*VLOOKUP(#REF!,BDD!$HN$5:$HU$38,8,FALSE),IF(#REF!=Miscanthus,10.5*#REF!*VLOOKUP(#REF!,BDD!$HN$5:$HU$38,8,FALSE),INDEX(#REF!:#REF!,MATCH(#REF!,#REF!:#REF!,0),MATCH(#REF!,#REF!:#REF!,0))*#REF!*VLOOKUP(#REF!,BDD!$HN$5:$HU$38,8,FALSE)))))</f>
        <v>#REF!</v>
      </c>
      <c r="IE72" s="342" t="e">
        <f>IF(#REF!="","",IF(OR(#REF!=Moutarde,#REF!=Phacélie),0,1.6*#REF!))</f>
        <v>#REF!</v>
      </c>
      <c r="IF72" s="342" t="e">
        <f>IF(#REF!="","",IF(OR(#REF!=Moutarde,#REF!=Phacélie),0,1.6*#REF!))</f>
        <v>#REF!</v>
      </c>
      <c r="IG72" s="342" t="e">
        <f>IF(#REF!="","",IF(OR(#REF!=Moutarde,#REF!=Phacélie),0,1.6*#REF!))</f>
        <v>#REF!</v>
      </c>
    </row>
    <row r="73" spans="1:241" ht="12.75" customHeight="1" x14ac:dyDescent="0.2">
      <c r="A73" s="373"/>
      <c r="B73" s="380"/>
      <c r="F73" s="280"/>
      <c r="G73" s="280"/>
      <c r="H73" s="280"/>
      <c r="I73" s="280"/>
      <c r="J73" s="280"/>
      <c r="K73" s="280"/>
      <c r="L73" s="280"/>
      <c r="AZ73" s="277"/>
      <c r="BA73" s="277"/>
      <c r="BB73" s="387" t="s">
        <v>511</v>
      </c>
      <c r="BC73" s="362" t="s">
        <v>269</v>
      </c>
      <c r="BD73" s="362" t="s">
        <v>886</v>
      </c>
      <c r="BE73" s="388">
        <v>96</v>
      </c>
      <c r="BF73" s="388">
        <v>80</v>
      </c>
      <c r="BG73" s="388">
        <v>60</v>
      </c>
      <c r="BH73" s="388">
        <v>44</v>
      </c>
      <c r="BI73" s="388">
        <v>28</v>
      </c>
      <c r="BJ73" s="388">
        <v>12</v>
      </c>
      <c r="BK73" s="389">
        <v>0</v>
      </c>
      <c r="BL73" s="312"/>
      <c r="BM73" s="350" t="str">
        <f>BM36</f>
        <v>Avoine</v>
      </c>
      <c r="BN73" s="350">
        <f t="array" ref="BN73">IF(Ration_hivernale_complète_bisons[somme]&gt;0,0,IFERROR(IF(OR(AND(INDEX(Règles_bison[Specificite],MATCH(ChoixRationBisons&amp;$BM73,Règles_bison[Ration]&amp;Règles_bison[Aliment],0))="s1",IF($BM73=ChoixSpécificité1Bisons,1)),
INDEX(Règles_bison[Specificite],MATCH(ChoixRationBisons&amp;$BM73,Règles_bison[Ration]&amp;Règles_bison[Aliment],0))="c"),
INDEX(Règles_bison[Valeur 36 et plus],MATCH(ChoixRationBisons&amp;$BM73,Règles_bison[Ration]&amp;Règles_bison[Aliment],0)),0),0)*TotalBisonnes*NbreJoursNourrirBisonsDaims)</f>
        <v>0</v>
      </c>
      <c r="BO73" s="350">
        <f t="array" ref="BO73">IF(Ration_hivernale_complète_bisons[somme]&gt;0,0,IFERROR(IF(OR(AND(INDEX(Règles_bison[Specificite],MATCH(ChoixRationBisons&amp;$BM73,Règles_bison[Ration]&amp;Règles_bison[Aliment],0))="s1",IF($BM73=ChoixSpécificité1Bisons,1)),
INDEX(Règles_bison[Specificite],MATCH(ChoixRationBisons&amp;$BM73,Règles_bison[Ration]&amp;Règles_bison[Aliment],0))="c"),
INDEX(Règles_bison[Valeur 24-36],MATCH(ChoixRationBisons&amp;$BM73,Règles_bison[Ration]&amp;Règles_bison[Aliment],0)),0),0)*TotalBisonsFemelles_24_36_mois*NbreJoursNourrirBisonsDaims)</f>
        <v>0</v>
      </c>
      <c r="BP73" s="350">
        <f t="array" ref="BP73">IF(Ration_hivernale_complète_bisons[somme]&gt;0,0,IFERROR(IF(OR(AND(INDEX(Règles_bison[Specificite],MATCH(ChoixRationBisons&amp;$BM73,Règles_bison[Ration]&amp;Règles_bison[Aliment],0))="s1",IF($BM73=ChoixSpécificité1Bisons,1)),
INDEX(Règles_bison[Specificite],MATCH(ChoixRationBisons&amp;$BM73,Règles_bison[Ration]&amp;Règles_bison[Aliment],0))="c"),
INDEX(Règles_bison[Valeur 18-24],MATCH(ChoixRationBisons&amp;$BM73,Règles_bison[Ration]&amp;Règles_bison[Aliment],0)),0),0)*TotalBisonsFemelles_18_24_mois*NbreJoursNourrirBisonsDaims)</f>
        <v>0</v>
      </c>
      <c r="BQ73" s="350">
        <f t="array" ref="BQ73">IF(Ration_hivernale_complète_bisons[somme]&gt;0,0,IFERROR(IF(OR(AND(INDEX(Règles_bison[Specificite],MATCH(ChoixRationBisons&amp;$BM73,Règles_bison[Ration]&amp;Règles_bison[Aliment],0))="s1",IF($BM73=ChoixSpécificité1Bisons,1)),
INDEX(Règles_bison[Specificite],MATCH(ChoixRationBisons&amp;$BM73,Règles_bison[Ration]&amp;Règles_bison[Aliment],0))="c"),
INDEX(Règles_bison[Valeur 12-18],MATCH(ChoixRationBisons&amp;$BM73,Règles_bison[Ration]&amp;Règles_bison[Aliment],0)),0),0)*TotalBisonsFemelles_12_18_mois*NbreJoursNourrirBisonsDaims)</f>
        <v>0</v>
      </c>
      <c r="BR73" s="350">
        <f t="array" ref="BR73">IF(Ration_hivernale_complète_bisons[somme]&gt;0,0,IFERROR(IF(OR(AND(INDEX(Règles_bison[Specificite],MATCH(ChoixRationBisons&amp;$BM73,Règles_bison[Ration]&amp;Règles_bison[Aliment],0))="s1",IF($BM73=ChoixSpécificité1Bisons,1)),
INDEX(Règles_bison[Specificite],MATCH(ChoixRationBisons&amp;$BM73,Règles_bison[Ration]&amp;Règles_bison[Aliment],0))="c"),
INDEX(Règles_bison[Valeur 6-12],MATCH(ChoixRationBisons&amp;$BM73,Règles_bison[Ration]&amp;Règles_bison[Aliment],0)),0),0)*TotalBisonsFemelles_6_12_mois*NbreJoursNourrirBisonsDaims)</f>
        <v>0</v>
      </c>
      <c r="BS73" s="350">
        <f t="array" ref="BS73">IF(Ration_hivernale_complète_bisons[somme]&gt;0,0,IFERROR(IF(OR(AND(INDEX(Règles_bison[Specificite],MATCH(ChoixRationBisons&amp;$BM73,Règles_bison[Ration]&amp;Règles_bison[Aliment],0))="s1",IF($BM73=ChoixSpécificité1Bisons,1)),
INDEX(Règles_bison[Specificite],MATCH(ChoixRationBisons&amp;$BM73,Règles_bison[Ration]&amp;Règles_bison[Aliment],0))="c"),
INDEX(Règles_bison[Valeur 3-6],MATCH(ChoixRationBisons&amp;$BM73,Règles_bison[Ration]&amp;Règles_bison[Aliment],0)),0),0)*TotalBisonsFemelles_3_6_mois*NbreJoursNourrirBisonsDaims)</f>
        <v>0</v>
      </c>
      <c r="BT73" s="350">
        <f t="array" ref="BT73">IF(Ration_hivernale_complète_bisons[somme]&gt;0,0,IFERROR(IF(OR(AND(INDEX(Règles_bison[Specificite],MATCH(ChoixRationBisons&amp;$BM73,Règles_bison[Ration]&amp;Règles_bison[Aliment],0))="s1",IF($BM73=ChoixSpécificité1Bisons,1)),
INDEX(Règles_bison[Specificite],MATCH(ChoixRationBisons&amp;$BM73,Règles_bison[Ration]&amp;Règles_bison[Aliment],0))="c"),
INDEX(Règles_bison[Valeur 0-3],MATCH(ChoixRationBisons&amp;$BM73,Règles_bison[Ration]&amp;Règles_bison[Aliment],0)),0),0)*TotalBisonsFemelles_0_3_mois*NbreJoursNourrirBisonsDaims)</f>
        <v>0</v>
      </c>
      <c r="BU73" s="350">
        <f t="shared" ref="BU73:BU106" si="21">SUM($BN73:$BT73)</f>
        <v>0</v>
      </c>
      <c r="BX73" s="373" t="s">
        <v>514</v>
      </c>
      <c r="BY73" s="280" t="s">
        <v>168</v>
      </c>
      <c r="BZ73" s="280" t="s">
        <v>886</v>
      </c>
      <c r="CA73" s="280">
        <v>1.2</v>
      </c>
      <c r="CB73" s="280">
        <v>1.2</v>
      </c>
      <c r="CC73" s="280">
        <v>0.8</v>
      </c>
      <c r="CD73" s="410">
        <v>2.8</v>
      </c>
      <c r="CE73" s="304"/>
      <c r="CF73" s="304"/>
      <c r="CG73" s="304"/>
      <c r="CH73" s="304"/>
      <c r="CJ73" s="420" t="s">
        <v>59</v>
      </c>
      <c r="CK73" s="384">
        <f t="array" ref="CK7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73" s="384">
        <f t="array" ref="CL7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73" s="384">
        <f t="array" ref="CM7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73" s="384">
        <f t="array" ref="CN7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73" s="384">
        <f t="array" ref="CO7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73" s="426">
        <f>SUM(AlimentsRationPorcinsMâles[[#This Row],[Valeur 12 et plus]:[Valeur 0-1]])</f>
        <v>0</v>
      </c>
      <c r="CS73" s="420" t="s">
        <v>267</v>
      </c>
      <c r="CT73" s="433">
        <f t="array" ref="CT73">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73" s="433">
        <f t="array" ref="CU73">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73" s="433">
        <f t="array" ref="CV73">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73" s="434">
        <f>SUM(AlimentsRationLapinsMâles[[#This Row],[Valeur 3 et plus]:[Valeur 0-1]])</f>
        <v>0</v>
      </c>
      <c r="CZ73" s="420" t="s">
        <v>267</v>
      </c>
      <c r="DA73" s="433">
        <f t="array" ref="DA7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73" s="433">
        <f t="array" ref="DB7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73" s="433">
        <f t="array" ref="DC7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73" s="434">
        <f>SUM(AlimentsRationVolaillesMâles[[#This Row],[Valeur 6 et plus]:[Valeur 0-1]])</f>
        <v>0</v>
      </c>
      <c r="DE73" s="316"/>
      <c r="DF73" s="277"/>
      <c r="DG73" s="420" t="s">
        <v>508</v>
      </c>
      <c r="DH73" s="433">
        <f t="array" ref="DH7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73" s="433">
        <f t="array" ref="DI7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73" s="433">
        <f t="array" ref="DJ7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73" s="434">
        <f>SUM(AlimentsRationPintadesMâles[[#This Row],[Valeur 9 et plus]:[Valeur 0-1]])</f>
        <v>0</v>
      </c>
      <c r="DL73" s="316"/>
      <c r="DM73" s="316"/>
      <c r="DN73" s="373" t="s">
        <v>509</v>
      </c>
      <c r="DO73" s="280" t="s">
        <v>500</v>
      </c>
      <c r="DP73" s="280" t="s">
        <v>886</v>
      </c>
      <c r="DQ73" s="310">
        <v>1.2</v>
      </c>
      <c r="DR73" s="310">
        <v>0.8</v>
      </c>
      <c r="DS73" s="310">
        <v>0.6</v>
      </c>
      <c r="DT73" s="439">
        <v>0.4</v>
      </c>
      <c r="DV73" s="394" t="s">
        <v>910</v>
      </c>
      <c r="DW73" s="395" t="s">
        <v>895</v>
      </c>
      <c r="DX73" s="395" t="s">
        <v>894</v>
      </c>
      <c r="DY73" s="395" t="s">
        <v>893</v>
      </c>
      <c r="DZ73" s="395" t="s">
        <v>892</v>
      </c>
      <c r="EA73" s="395" t="s">
        <v>891</v>
      </c>
      <c r="EB73" s="449" t="s">
        <v>890</v>
      </c>
      <c r="EC73" s="449" t="s">
        <v>889</v>
      </c>
      <c r="ED73" s="396" t="s">
        <v>903</v>
      </c>
      <c r="EG73" s="420" t="s">
        <v>489</v>
      </c>
      <c r="EH73" s="433">
        <f t="array" ref="EH7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73" s="433">
        <f t="array" ref="EI7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73" s="433">
        <f t="array" ref="EJ7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73" s="434">
        <f>SUM(AlimentsRationOiesMâles[[#This Row],[Valeur 6 et plus]:[Valeur 0-3]])</f>
        <v>0</v>
      </c>
      <c r="EL73" s="316"/>
      <c r="EN73" s="420" t="s">
        <v>510</v>
      </c>
      <c r="EO73" s="433">
        <f t="array" ref="EO73">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73" s="433">
        <f t="array" ref="EP73">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73" s="433">
        <f t="array" ref="EQ73">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73" s="434">
        <f>SUM(Ration_canards_Mâles[[#This Row],[Valeur 6 et plus]:[Valeur 0-3]])</f>
        <v>0</v>
      </c>
      <c r="ES73" s="316"/>
      <c r="ET73" s="282"/>
      <c r="EU73" s="457" t="s">
        <v>233</v>
      </c>
      <c r="EV73" s="458">
        <f t="array" ref="EV73">IF(OR(ChoixRationComplèteEtéChevauxSelle=OUI,ChoixRationComplèteEtéChevauxSelle="",AND(ChoixChevauxSellePréHiver=OUI,ChoixChevauxSellePréEté=OUI)),0,IFERROR(IF(OR(AND(INDEX(Règles_chevaux_selle[Specificite],MATCH(RationEtéChevauxSelle&amp;$EU73,Règles_chevaux_selle[Ration]&amp;Règles_chevaux_selle[Aliment],0))="s1",IF($EU73=Spécificité1ChevauxSelle,1)),
AND(INDEX(Règles_chevaux_selle[Specificite],MATCH(RationEtéChevauxSelle&amp;$EU73,Règles_chevaux_selle[Ration]&amp;Règles_chevaux_selle[Aliment],0))="s2",IF($EU73=Spécificité2ChevauxSelle,1)),
INDEX(Règles_chevaux_selle[Specificite],MATCH(RationEtéChevauxSelle&amp;$EU73,Règles_chevaux_selle[Ration]&amp;Règles_chevaux_selle[Aliment],0))="c"),
INDEX(Règles_chevaux_selle[Valeur 36 et plus],MATCH(RationEtéChevauxSelle&amp;$EU73,Règles_chevaux_selle[Ration]&amp;Règles_chevaux_selle[Aliment],0)),0),0)*TotalEtalonSelle*NbreJoursNourrirChevauxSelle)</f>
        <v>0</v>
      </c>
      <c r="EW73" s="458">
        <f t="array" ref="EW73">IF(OR(ChoixRationComplèteEtéChevauxSelle=OUI,ChoixRationComplèteEtéChevauxSelle="",AND(ChoixChevauxSellePréHiver=OUI,ChoixChevauxSellePréEté=OUI)),0,IFERROR(IF(OR(AND(INDEX(Règles_chevaux_selle[Specificite],MATCH(RationEtéChevauxSelle&amp;$EU73,Règles_chevaux_selle[Ration]&amp;Règles_chevaux_selle[Aliment],0))="s1",IF($EU73=Spécificité1ChevauxSelle,1)),
AND(INDEX(Règles_chevaux_selle[Specificite],MATCH(RationEtéChevauxSelle&amp;$EU73,Règles_chevaux_selle[Ration]&amp;Règles_chevaux_selle[Aliment],0))="s2",IF($EU73=Spécificité2ChevauxSelle,1)),
INDEX(Règles_chevaux_selle[Specificite],MATCH(RationEtéChevauxSelle&amp;$EU73,Règles_chevaux_selle[Ration]&amp;Règles_chevaux_selle[Aliment],0))="c"),
INDEX(Règles_chevaux_selle[Valeur 24-36],MATCH(RationEtéChevauxSelle&amp;$EU73,Règles_chevaux_selle[Ration]&amp;Règles_chevaux_selle[Aliment],0)),0),0)*TotalJeuneEtalonSelle_24_36_mois*NbreJoursNourrirChevauxSelle)</f>
        <v>0</v>
      </c>
      <c r="EX73" s="458">
        <f t="array" ref="EX73">IF(OR(ChoixRationComplèteEtéChevauxSelle=OUI,ChoixRationComplèteEtéChevauxSelle="",AND(ChoixChevauxSellePréHiver=OUI,ChoixChevauxSellePréEté=OUI)),0,IFERROR(IF(OR(AND(INDEX(Règles_chevaux_selle[Specificite],MATCH(RationEtéChevauxSelle&amp;$EU73,Règles_chevaux_selle[Ration]&amp;Règles_chevaux_selle[Aliment],0))="s1",IF($EU73=Spécificité1ChevauxSelle,1)),
AND(INDEX(Règles_chevaux_selle[Specificite],MATCH(RationEtéChevauxSelle&amp;$EU73,Règles_chevaux_selle[Ration]&amp;Règles_chevaux_selle[Aliment],0))="s2",IF($EU73=Spécificité2ChevauxSelle,1)),
INDEX(Règles_chevaux_selle[Specificite],MATCH(RationEtéChevauxSelle&amp;$EU73,Règles_chevaux_selle[Ration]&amp;Règles_chevaux_selle[Aliment],0))="c"),
INDEX(Règles_chevaux_selle[Valeur 12-24],MATCH(RationEtéChevauxSelle&amp;$EU73,Règles_chevaux_selle[Ration]&amp;Règles_chevaux_selle[Aliment],0)),0),0)*TotalJeuneEtalonSelle_12_24_mois*NbreJoursNourrirChevauxSelle)</f>
        <v>0</v>
      </c>
      <c r="EY73" s="460">
        <f t="array" ref="EY73">IF(OR(ChoixRationComplèteEtéChevauxSelle=OUI,ChoixRationComplèteEtéChevauxSelle="",AND(ChoixChevauxSellePréHiver=OUI,ChoixChevauxSellePréEté=OUI)),0,IFERROR(IF(OR(AND(INDEX(Règles_chevaux_selle[Specificite],MATCH(RationEtéChevauxSelle&amp;$EU73,Règles_chevaux_selle[Ration]&amp;Règles_chevaux_selle[Aliment],0))="s1",IF($EU73=Spécificité1ChevauxSelle,1)),
AND(INDEX(Règles_chevaux_selle[Specificite],MATCH(RationEtéChevauxSelle&amp;$EU73,Règles_chevaux_selle[Ration]&amp;Règles_chevaux_selle[Aliment],0))="s2",IF($EU73=Spécificité2ChevauxSelle,1)),
INDEX(Règles_chevaux_selle[Specificite],MATCH(RationEtéChevauxSelle&amp;$EU73,Règles_chevaux_selle[Ration]&amp;Règles_chevaux_selle[Aliment],0))="c"),
INDEX(Règles_chevaux_selle[Valeur 0-12],MATCH(RationEtéChevauxSelle&amp;$EU73,Règles_chevaux_selle[Ration]&amp;Règles_chevaux_selle[Aliment],0)),0),0)*TotalPoulainSelle_0_12_mois*NbreJoursNourrirChevauxSelle)</f>
        <v>0</v>
      </c>
      <c r="EZ73" s="460">
        <f t="shared" si="16"/>
        <v>0</v>
      </c>
      <c r="FA73" s="298"/>
      <c r="FB73" s="298"/>
      <c r="FC73" s="282"/>
      <c r="FD73" s="457" t="s">
        <v>905</v>
      </c>
      <c r="FE73" s="458">
        <f t="array" ref="FE73">IF(OR(ChoixRationComplèteEtéChevauxTrait=OUI,ChoixRationComplèteEtéChevauxTrait="",AND(ChoixChevauxTraitPréHiver=OUI,ChoixChevauxTraitPréEté=OUI)),0,IFERROR(IF(OR(AND(INDEX(Règles_chevaux_trait[Specificite],MATCH(RationEtéChevauxTrait&amp;$FD73,Règles_chevaux_trait[Ration]&amp;Règles_chevaux_trait[Aliment],0))="s1",IF($FD73=Spécificité1ChevauxTrait,1)),
AND(INDEX(Règles_chevaux_trait[Specificite],MATCH(RationEtéChevauxTrait&amp;$FD73,Règles_chevaux_trait[Ration]&amp;Règles_chevaux_trait[Aliment],0))="s2",IF($FD73=Spécificité2ChevauxTrait,1)),
INDEX(Règles_chevaux_trait[Specificite],MATCH(RationEtéChevauxTrait&amp;$FD73,Règles_chevaux_trait[Ration]&amp;Règles_chevaux_trait[Aliment],0))="c"),
INDEX(Règles_chevaux_trait[Valeur 36 et plus],MATCH(RationEtéChevauxTrait&amp;$FD73,Règles_chevaux_trait[Ration]&amp;Règles_chevaux_trait[Aliment],0)),0),0)*TotalEtalonTrait*NbreJoursNourrirChevauxTrait)</f>
        <v>0</v>
      </c>
      <c r="FF73" s="458">
        <f t="array" ref="FF73">IF(OR(ChoixRationComplèteEtéChevauxTrait=OUI,ChoixRationComplèteEtéChevauxTrait="",AND(ChoixChevauxTraitPréHiver=OUI,ChoixChevauxTraitPréEté=OUI)),0,IFERROR(IF(OR(AND(INDEX(Règles_chevaux_trait[Specificite],MATCH(RationEtéChevauxTrait&amp;$FD73,Règles_chevaux_trait[Ration]&amp;Règles_chevaux_trait[Aliment],0))="s1",IF($FD73=Spécificité1ChevauxTrait,1)),
AND(INDEX(Règles_chevaux_trait[Specificite],MATCH(RationEtéChevauxTrait&amp;$FD73,Règles_chevaux_trait[Ration]&amp;Règles_chevaux_trait[Aliment],0))="s2",IF($FD73=Spécificité2ChevauxTrait,1)),
INDEX(Règles_chevaux_trait[Specificite],MATCH(RationEtéChevauxTrait&amp;$FD73,Règles_chevaux_trait[Ration]&amp;Règles_chevaux_trait[Aliment],0))="c"),
INDEX(Règles_chevaux_trait[Valeur 24-36],MATCH(RationEtéChevauxTrait&amp;$FD73,Règles_chevaux_trait[Ration]&amp;Règles_chevaux_trait[Aliment],0)),0),0)*TotalJeuneEtalonTrait_24_36_mois*NbreJoursNourrirChevauxTrait)</f>
        <v>0</v>
      </c>
      <c r="FG73" s="458">
        <f t="array" ref="FG73">IF(OR(ChoixRationComplèteEtéChevauxTrait=OUI,ChoixRationComplèteEtéChevauxTrait="",AND(ChoixChevauxTraitPréHiver=OUI,ChoixChevauxTraitPréEté=OUI)),0,IFERROR(IF(OR(AND(INDEX(Règles_chevaux_trait[Specificite],MATCH(RationEtéChevauxTrait&amp;$FD73,Règles_chevaux_trait[Ration]&amp;Règles_chevaux_trait[Aliment],0))="s1",IF($FD73=Spécificité1ChevauxTrait,1)),
AND(INDEX(Règles_chevaux_trait[Specificite],MATCH(RationEtéChevauxTrait&amp;$FD73,Règles_chevaux_trait[Ration]&amp;Règles_chevaux_trait[Aliment],0))="s2",IF($FD73=Spécificité2ChevauxTrait,1)),
INDEX(Règles_chevaux_trait[Specificite],MATCH(RationEtéChevauxTrait&amp;$FD73,Règles_chevaux_trait[Ration]&amp;Règles_chevaux_trait[Aliment],0))="c"),
INDEX(Règles_chevaux_trait[Valeur 12-24],MATCH(RationEtéChevauxTrait&amp;$FD73,Règles_chevaux_trait[Ration]&amp;Règles_chevaux_trait[Aliment],0)),0),0)*TotalJeuneEtalonTrait_12_24_mois*NbreJoursNourrirChevauxTrait)</f>
        <v>0</v>
      </c>
      <c r="FH73" s="460">
        <f t="array" ref="FH73">IF(OR(ChoixRationComplèteEtéChevauxTrait=OUI,ChoixRationComplèteEtéChevauxTrait="",AND(ChoixChevauxTraitPréHiver=OUI,ChoixChevauxTraitPréEté=OUI)),0,IFERROR(IF(OR(AND(INDEX(Règles_chevaux_trait[Specificite],MATCH(RationEtéChevauxTrait&amp;$FD73,Règles_chevaux_trait[Ration]&amp;Règles_chevaux_trait[Aliment],0))="s1",IF($FD73=Spécificité1ChevauxTrait,1)),
AND(INDEX(Règles_chevaux_trait[Specificite],MATCH(RationEtéChevauxTrait&amp;$FD73,Règles_chevaux_trait[Ration]&amp;Règles_chevaux_trait[Aliment],0))="s2",IF($FD73=Spécificité2ChevauxTrait,1)),
INDEX(Règles_chevaux_trait[Specificite],MATCH(RationEtéChevauxTrait&amp;$FD73,Règles_chevaux_trait[Ration]&amp;Règles_chevaux_trait[Aliment],0))="c"),
INDEX(Règles_chevaux_trait[Valeur 0-12],MATCH(RationEtéChevauxTrait&amp;$FD73,Règles_chevaux_trait[Ration]&amp;Règles_chevaux_trait[Aliment],0)),0),0)*TotalPoulainTrait_0_12_mois*NbreJoursNourrirChevauxTrait)</f>
        <v>0</v>
      </c>
      <c r="FI73" s="460">
        <f t="shared" si="15"/>
        <v>0</v>
      </c>
      <c r="FJ73" s="298"/>
      <c r="FK73" s="298"/>
      <c r="FL73" s="298"/>
      <c r="FN73" s="457" t="s">
        <v>489</v>
      </c>
      <c r="FO73" s="458">
        <f t="array" ref="FO73">IF(OR(ChoixRationComplèteEtéPoneys=OUI,ChoixRationComplèteEtéPoneys="",AND(ChoixPoneysPréHiver=OUI,ChoixPoneysPréEté=OUI)),0,IFERROR(IF(OR(AND(INDEX(Règles_poneys[Specificite],MATCH(RationEtéPoneys&amp;$FN73,Règles_poneys[Ration]&amp;Règles_poneys[Aliment],0))="s1",IF($FN73=Spécificité1Poneys,1)),
AND(INDEX(Règles_poneys[Specificite],MATCH(RationEtéPoneys&amp;$FN73,Règles_poneys[Ration]&amp;Règles_poneys[Aliment],0))="s2",IF($FN73=Spécificité2Poneys,1)),
INDEX(Règles_poneys[Specificite],MATCH(RationEtéPoneys&amp;$FN73,Règles_poneys[Ration]&amp;Règles_poneys[Aliment],0))="c"),
INDEX(Règles_poneys[Valeur 36 et plus],MATCH(RationEtéPoneys&amp;$FN73,Règles_poneys[Ration]&amp;Règles_poneys[Aliment],0)),0),0)*TotalEtalonPoney*NbreJoursNourrirPoneys)</f>
        <v>0</v>
      </c>
      <c r="FP73" s="458">
        <f t="array" ref="FP73">IF(OR(ChoixRationComplèteEtéPoneys=OUI,ChoixRationComplèteEtéPoneys="",AND(ChoixPoneysPréHiver=OUI,ChoixPoneysPréEté=OUI)),0,IFERROR(IF(OR(AND(INDEX(Règles_poneys[Specificite],MATCH(RationEtéPoneys&amp;$FN73,Règles_poneys[Ration]&amp;Règles_poneys[Aliment],0))="s1",IF($FN73=Spécificité1Poneys,1)),
AND(INDEX(Règles_poneys[Specificite],MATCH(RationEtéPoneys&amp;$FN73,Règles_poneys[Ration]&amp;Règles_poneys[Aliment],0))="s2",IF($FN73=Spécificité2Poneys,1)),
INDEX(Règles_poneys[Specificite],MATCH(RationEtéPoneys&amp;$FN73,Règles_poneys[Ration]&amp;Règles_poneys[Aliment],0))="c"),
INDEX(Règles_poneys[Valeur 36 et plus],MATCH(RationEtéPoneys&amp;$FN73,Règles_poneys[Ration]&amp;Règles_poneys[Aliment],0)),0),0)*TotalJeuneEtalonPoney_24_36_mois*NbreJoursNourrirPoneys)</f>
        <v>0</v>
      </c>
      <c r="FQ73" s="458">
        <f t="array" ref="FQ73">IF(OR(ChoixRationComplèteEtéPoneys=OUI,ChoixRationComplèteEtéPoneys="",AND(ChoixPoneysPréHiver=OUI,ChoixPoneysPréEté=OUI)),0,IFERROR(IF(OR(AND(INDEX(Règles_poneys[Specificite],MATCH(RationEtéPoneys&amp;$FN73,Règles_poneys[Ration]&amp;Règles_poneys[Aliment],0))="s1",IF($FN73=Spécificité1Poneys,1)),
AND(INDEX(Règles_poneys[Specificite],MATCH(RationEtéPoneys&amp;$FN73,Règles_poneys[Ration]&amp;Règles_poneys[Aliment],0))="s2",IF($FN73=Spécificité2Poneys,1)),
INDEX(Règles_poneys[Specificite],MATCH(RationEtéPoneys&amp;$FN73,Règles_poneys[Ration]&amp;Règles_poneys[Aliment],0))="c"),
INDEX(Règles_poneys[Valeur 36 et plus],MATCH(RationEtéPoneys&amp;$FN73,Règles_poneys[Ration]&amp;Règles_poneys[Aliment],0)),0),0)*TotalJeuneEtalonPoney_12_24_mois*NbreJoursNourrirPoneys)</f>
        <v>0</v>
      </c>
      <c r="FR73" s="460">
        <f t="array" ref="FR73">IF(OR(ChoixRationComplèteEtéPoneys=OUI,ChoixRationComplèteEtéPoneys="",AND(ChoixPoneysPréHiver=OUI,ChoixPoneysPréEté=OUI)),0,IFERROR(IF(OR(AND(INDEX(Règles_poneys[Specificite],MATCH(RationEtéPoneys&amp;$FN73,Règles_poneys[Ration]&amp;Règles_poneys[Aliment],0))="s1",IF($FN73=Spécificité1Poneys,1)),
AND(INDEX(Règles_poneys[Specificite],MATCH(RationEtéPoneys&amp;$FN73,Règles_poneys[Ration]&amp;Règles_poneys[Aliment],0))="s2",IF($FN73=Spécificité2Poneys,1)),
INDEX(Règles_poneys[Specificite],MATCH(RationEtéPoneys&amp;$FN73,Règles_poneys[Ration]&amp;Règles_poneys[Aliment],0))="c"),
INDEX(Règles_poneys[Valeur 36 et plus],MATCH(RationEtéPoneys&amp;$FN73,Règles_poneys[Ration]&amp;Règles_poneys[Aliment],0)),0),0)*TotalPoulainPoney_0_12_mois*NbreJoursNourrirPoneys)</f>
        <v>0</v>
      </c>
      <c r="FS73" s="460">
        <f t="shared" si="14"/>
        <v>0</v>
      </c>
      <c r="FT73" s="298"/>
      <c r="FU73" s="298"/>
      <c r="FV73" s="298"/>
      <c r="FW73" s="443" t="s">
        <v>907</v>
      </c>
      <c r="FX73" s="450">
        <f t="array" ref="FX73">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73" s="450">
        <f t="array" ref="FY73">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73" s="450">
        <f t="array" ref="FZ73">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73" s="450">
        <f t="array" ref="GA73">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73" s="451">
        <f>SUM(AlimentsGavageOies[[#This Row],[Valeur 6 et plus]:[Valeur 0-1]])</f>
        <v>0</v>
      </c>
      <c r="GC73" s="316"/>
      <c r="GG73" s="276" t="s">
        <v>955</v>
      </c>
      <c r="GH73" s="276" t="s">
        <v>955</v>
      </c>
      <c r="GI73" s="276" t="s">
        <v>955</v>
      </c>
      <c r="GJ73" s="276" t="s">
        <v>955</v>
      </c>
      <c r="GK73" s="276" t="s">
        <v>955</v>
      </c>
      <c r="GL73" s="276" t="s">
        <v>955</v>
      </c>
      <c r="GM73" s="276" t="s">
        <v>955</v>
      </c>
      <c r="GN73" s="276" t="s">
        <v>955</v>
      </c>
      <c r="GO73" s="276" t="s">
        <v>955</v>
      </c>
      <c r="GP73" s="276" t="s">
        <v>955</v>
      </c>
      <c r="GQ73" s="276" t="s">
        <v>955</v>
      </c>
      <c r="GR73" s="276" t="s">
        <v>955</v>
      </c>
      <c r="GS73" s="276" t="s">
        <v>955</v>
      </c>
      <c r="GT73" s="276" t="s">
        <v>955</v>
      </c>
      <c r="GU73" s="276" t="s">
        <v>955</v>
      </c>
      <c r="GV73" s="276" t="s">
        <v>955</v>
      </c>
      <c r="GY73" s="444" t="str">
        <f t="shared" si="11"/>
        <v>semences de seigle (GP)</v>
      </c>
      <c r="GZ73" s="444"/>
      <c r="HA73" s="342"/>
      <c r="HB73" s="342" t="e">
        <f>IF(COUNTIF(TypeArticleDansEntrepôt,GY73)=0,0,SUMIF(TypeArticleDansEntrepôt,GY73,QtéArticleDansEntrepôt)*VLOOKUP(GY73,#REF!,2,FALSE))</f>
        <v>#REF!</v>
      </c>
      <c r="HN73" s="342" t="e">
        <f>IF(#REF!="","",(VLOOKUP(#REF!,BDD!$HN$5:$HU$38,2,FALSE))*#REF!)</f>
        <v>#REF!</v>
      </c>
      <c r="HO73" s="342" t="e">
        <f>IF(#REF!="","",IF(OR(#REF!=Moutarde,#REF!=Phacélie),0,IF(#REF!=Luzerne,10*#REF!*VLOOKUP(#REF!,BDD!$HN$5:$HU$38,3,FALSE),IF(#REF!=Miscanthus,10.5*#REF!*VLOOKUP(#REF!,BDD!$HN$5:$HU$38,3,FALSE),INDEX(#REF!:#REF!,MATCH(#REF!,#REF!:#REF!,0),MATCH(#REF!,#REF!:#REF!,0))*#REF!*VLOOKUP(#REF!,BDD!$HN$5:$HU$38,3,FALSE)))))</f>
        <v>#REF!</v>
      </c>
      <c r="HP73" s="342" t="e">
        <f>IF(#REF!="","",IF(OR(#REF!=Moutarde,#REF!=Phacélie),0,IF(#REF!=Luzerne,10*#REF!*VLOOKUP(#REF!,BDD!$HN$5:$HU$38,4,FALSE),IF(#REF!=Miscanthus,10.5*#REF!*VLOOKUP(#REF!,BDD!$HN$5:$HU$38,4,FALSE),INDEX(#REF!:#REF!,MATCH(#REF!,#REF!:#REF!,0),MATCH(#REF!,#REF!:#REF!,0))*#REF!*VLOOKUP(#REF!,BDD!$HN$5:$HU$38,4,FALSE)))))</f>
        <v>#REF!</v>
      </c>
      <c r="HQ73" s="342" t="e">
        <f>IF(#REF!="","",IF(OR(#REF!=Moutarde,#REF!=Phacélie),0,IF(#REF!=Luzerne,10*#REF!*VLOOKUP(#REF!,BDD!$HN$5:$HU$38,5,FALSE),IF(#REF!=Miscanthus,10.5*#REF!*VLOOKUP(#REF!,BDD!$HN$5:$HU$38,5,FALSE),INDEX(#REF!:#REF!,MATCH(#REF!,#REF!:#REF!,0),MATCH(#REF!,#REF!:#REF!,0))*#REF!*VLOOKUP(#REF!,BDD!$HN$5:$HU$38,5,FALSE)))))</f>
        <v>#REF!</v>
      </c>
      <c r="HR73" s="342" t="e">
        <f>IF(#REF!="","",IF(OR(#REF!=Moutarde,#REF!=Phacélie),0,IF(#REF!=Luzerne,10*#REF!*VLOOKUP(#REF!,BDD!$HN$5:$HU$38,6,FALSE),IF(#REF!=Miscanthus,10.5*#REF!*VLOOKUP(#REF!,BDD!$HN$5:$HU$38,6,FALSE),INDEX(#REF!:#REF!,MATCH(#REF!,#REF!:#REF!,0),MATCH(#REF!,#REF!:#REF!,0))*#REF!*VLOOKUP(#REF!,BDD!$HN$5:$HU$38,6,FALSE)))))</f>
        <v>#REF!</v>
      </c>
      <c r="HS73" s="342" t="e">
        <f>IF(#REF!="","",IF(OR(#REF!=Moutarde,#REF!=Phacélie),0,IF(#REF!=Luzerne,10*#REF!*VLOOKUP(#REF!,BDD!$HN$5:$HU$38,7,FALSE),IF(#REF!=Miscanthus,10.5*#REF!*VLOOKUP(#REF!,BDD!$HN$5:$HU$38,7,FALSE),INDEX(#REF!:#REF!,MATCH(#REF!,#REF!:#REF!,0),MATCH(#REF!,#REF!:#REF!,0))*#REF!*VLOOKUP(#REF!,BDD!$HN$5:$HU$38,7,FALSE)))))</f>
        <v>#REF!</v>
      </c>
      <c r="HT73" s="342" t="e">
        <f>IF(#REF!="","",IF(OR(#REF!=Moutarde,#REF!=Phacélie),0,IF(#REF!=Luzerne,10*#REF!*VLOOKUP(#REF!,BDD!$HN$5:$HU$38,8,FALSE),IF(#REF!=Miscanthus,10.5*#REF!*VLOOKUP(#REF!,BDD!$HN$5:$HU$38,8,FALSE),INDEX(#REF!:#REF!,MATCH(#REF!,#REF!:#REF!,0),MATCH(#REF!,#REF!:#REF!,0))*#REF!*VLOOKUP(#REF!,BDD!$HN$5:$HU$38,8,FALSE)))))</f>
        <v>#REF!</v>
      </c>
      <c r="HU73" s="342" t="e">
        <f>IF(#REF!="","",IF(OR(#REF!=Moutarde,#REF!=Phacélie),0,1.6*#REF!))</f>
        <v>#REF!</v>
      </c>
      <c r="HV73" s="342" t="e">
        <f>IF(#REF!="","",IF(OR(#REF!=Moutarde,#REF!=Phacélie),0,1.6*#REF!))</f>
        <v>#REF!</v>
      </c>
      <c r="HW73" s="342" t="e">
        <f>IF(#REF!="","",IF(OR(#REF!=Moutarde,#REF!=Phacélie),0,1.6*#REF!))</f>
        <v>#REF!</v>
      </c>
      <c r="HX73" s="342" t="e">
        <f>IF(#REF!="","",(VLOOKUP(#REF!,BDD!$HN$5:$HU$38,2,FALSE))*#REF!)</f>
        <v>#REF!</v>
      </c>
      <c r="HY73" s="342" t="e">
        <f>IF(#REF!="","",IF(OR(#REF!=Moutarde,#REF!=Phacélie),0,IF(#REF!=Luzerne,10*#REF!*VLOOKUP(#REF!,BDD!$HN$5:$HU$38,3,FALSE),IF(#REF!=Miscanthus,10.5*#REF!*VLOOKUP(#REF!,BDD!$HN$5:$HU$38,3,FALSE),INDEX(#REF!:#REF!,MATCH(#REF!,#REF!:#REF!,0),MATCH(#REF!,#REF!:#REF!,0))*#REF!*VLOOKUP(#REF!,BDD!$HN$5:$HU$38,3,FALSE)))))</f>
        <v>#REF!</v>
      </c>
      <c r="HZ73" s="342" t="e">
        <f>IF(#REF!="","",IF(OR(#REF!=Moutarde,#REF!=Phacélie),0,IF(#REF!=Luzerne,10*#REF!*VLOOKUP(#REF!,BDD!$HN$5:$HU$38,4,FALSE),IF(#REF!=Miscanthus,10.5*#REF!*VLOOKUP(#REF!,BDD!$HN$5:$HU$38,4,FALSE),INDEX(#REF!:#REF!,MATCH(#REF!,#REF!:#REF!,0),MATCH(#REF!,#REF!:#REF!,0))*#REF!*VLOOKUP(#REF!,BDD!$HN$5:$HU$38,4,FALSE)))))</f>
        <v>#REF!</v>
      </c>
      <c r="IA73" s="342" t="e">
        <f>IF(#REF!="","",IF(OR(#REF!=Moutarde,#REF!=Phacélie),0,IF(#REF!=Luzerne,10*#REF!*VLOOKUP(#REF!,BDD!$HN$5:$HU$38,5,FALSE),IF(#REF!=Miscanthus,10.5*#REF!*VLOOKUP(#REF!,BDD!$HN$5:$HU$38,5,FALSE),INDEX(#REF!:#REF!,MATCH(#REF!,#REF!:#REF!,0),MATCH(#REF!,#REF!:#REF!,0))*#REF!*VLOOKUP(#REF!,BDD!$HN$5:$HU$38,5,FALSE)))))</f>
        <v>#REF!</v>
      </c>
      <c r="IB73" s="342" t="e">
        <f>IF(#REF!="","",IF(OR(#REF!=Moutarde,#REF!=Phacélie),0,IF(#REF!=Luzerne,10*#REF!*VLOOKUP(#REF!,BDD!$HN$5:$HU$38,6,FALSE),IF(#REF!=Miscanthus,10.5*#REF!*VLOOKUP(#REF!,BDD!$HN$5:$HU$38,6,FALSE),INDEX(#REF!:#REF!,MATCH(#REF!,#REF!:#REF!,0),MATCH(#REF!,#REF!:#REF!,0))*#REF!*VLOOKUP(#REF!,BDD!$HN$5:$HU$38,6,FALSE)))))</f>
        <v>#REF!</v>
      </c>
      <c r="IC73" s="342" t="e">
        <f>IF(#REF!="","",IF(OR(#REF!=Moutarde,#REF!=Phacélie),0,IF(#REF!=Luzerne,10*#REF!*VLOOKUP(#REF!,BDD!$HN$5:$HU$38,7,FALSE),IF(#REF!=Miscanthus,10.5*#REF!*VLOOKUP(#REF!,BDD!$HN$5:$HU$38,7,FALSE),INDEX(#REF!:#REF!,MATCH(#REF!,#REF!:#REF!,0),MATCH(#REF!,#REF!:#REF!,0))*#REF!*VLOOKUP(#REF!,BDD!$HN$5:$HU$38,7,FALSE)))))</f>
        <v>#REF!</v>
      </c>
      <c r="ID73" s="342" t="e">
        <f>IF(#REF!="","",IF(OR(#REF!=Moutarde,#REF!=Phacélie),0,IF(#REF!=Luzerne,10*#REF!*VLOOKUP(#REF!,BDD!$HN$5:$HU$38,8,FALSE),IF(#REF!=Miscanthus,10.5*#REF!*VLOOKUP(#REF!,BDD!$HN$5:$HU$38,8,FALSE),INDEX(#REF!:#REF!,MATCH(#REF!,#REF!:#REF!,0),MATCH(#REF!,#REF!:#REF!,0))*#REF!*VLOOKUP(#REF!,BDD!$HN$5:$HU$38,8,FALSE)))))</f>
        <v>#REF!</v>
      </c>
      <c r="IE73" s="342" t="e">
        <f>IF(#REF!="","",IF(OR(#REF!=Moutarde,#REF!=Phacélie),0,1.6*#REF!))</f>
        <v>#REF!</v>
      </c>
      <c r="IF73" s="342" t="e">
        <f>IF(#REF!="","",IF(OR(#REF!=Moutarde,#REF!=Phacélie),0,1.6*#REF!))</f>
        <v>#REF!</v>
      </c>
      <c r="IG73" s="342" t="e">
        <f>IF(#REF!="","",IF(OR(#REF!=Moutarde,#REF!=Phacélie),0,1.6*#REF!))</f>
        <v>#REF!</v>
      </c>
    </row>
    <row r="74" spans="1:241" ht="12.75" customHeight="1" x14ac:dyDescent="0.2">
      <c r="A74" s="373"/>
      <c r="B74" s="380"/>
      <c r="F74" s="280"/>
      <c r="G74" s="280"/>
      <c r="H74" s="280"/>
      <c r="I74" s="280"/>
      <c r="J74" s="280"/>
      <c r="K74" s="280"/>
      <c r="L74" s="280"/>
      <c r="Y74" s="229" t="s">
        <v>1095</v>
      </c>
      <c r="Z74" s="229"/>
      <c r="AA74" s="229"/>
      <c r="AB74" s="229"/>
      <c r="AC74" s="229"/>
      <c r="AD74" s="229"/>
      <c r="AE74" s="229"/>
      <c r="AF74" s="229"/>
      <c r="AG74" s="229"/>
      <c r="AZ74" s="277"/>
      <c r="BA74" s="277"/>
      <c r="BB74" s="387" t="s">
        <v>511</v>
      </c>
      <c r="BC74" s="362" t="s">
        <v>489</v>
      </c>
      <c r="BD74" s="362" t="s">
        <v>887</v>
      </c>
      <c r="BE74" s="388">
        <v>7.2</v>
      </c>
      <c r="BF74" s="388">
        <v>6</v>
      </c>
      <c r="BG74" s="388">
        <v>4</v>
      </c>
      <c r="BH74" s="388">
        <v>2</v>
      </c>
      <c r="BI74" s="388">
        <v>1.2</v>
      </c>
      <c r="BJ74" s="388">
        <v>0.6</v>
      </c>
      <c r="BK74" s="389">
        <v>0</v>
      </c>
      <c r="BL74" s="312"/>
      <c r="BM74" s="350" t="str">
        <f t="shared" ref="BM74:BM106" si="22">BM37</f>
        <v>Betterave</v>
      </c>
      <c r="BN74" s="350">
        <f t="array" ref="BN74">IF(Ration_hivernale_complète_bisons[somme]&gt;0,0,IFERROR(IF(OR(AND(INDEX(Règles_bison[Specificite],MATCH(ChoixRationBisons&amp;$BM74,Règles_bison[Ration]&amp;Règles_bison[Aliment],0))="s1",IF($BM74=ChoixSpécificité1Bisons,1)),
INDEX(Règles_bison[Specificite],MATCH(ChoixRationBisons&amp;$BM74,Règles_bison[Ration]&amp;Règles_bison[Aliment],0))="c"),
INDEX(Règles_bison[Valeur 36 et plus],MATCH(ChoixRationBisons&amp;$BM74,Règles_bison[Ration]&amp;Règles_bison[Aliment],0)),0),0)*TotalBisonnes*NbreJoursNourrirBisonsDaims)</f>
        <v>0</v>
      </c>
      <c r="BO74" s="350">
        <f t="array" ref="BO74">IF(Ration_hivernale_complète_bisons[somme]&gt;0,0,IFERROR(IF(OR(AND(INDEX(Règles_bison[Specificite],MATCH(ChoixRationBisons&amp;$BM74,Règles_bison[Ration]&amp;Règles_bison[Aliment],0))="s1",IF($BM74=ChoixSpécificité1Bisons,1)),
INDEX(Règles_bison[Specificite],MATCH(ChoixRationBisons&amp;$BM74,Règles_bison[Ration]&amp;Règles_bison[Aliment],0))="c"),
INDEX(Règles_bison[Valeur 24-36],MATCH(ChoixRationBisons&amp;$BM74,Règles_bison[Ration]&amp;Règles_bison[Aliment],0)),0),0)*TotalBisonsFemelles_24_36_mois*NbreJoursNourrirBisonsDaims)</f>
        <v>0</v>
      </c>
      <c r="BP74" s="350">
        <f t="array" ref="BP74">IF(Ration_hivernale_complète_bisons[somme]&gt;0,0,IFERROR(IF(OR(AND(INDEX(Règles_bison[Specificite],MATCH(ChoixRationBisons&amp;$BM74,Règles_bison[Ration]&amp;Règles_bison[Aliment],0))="s1",IF($BM74=ChoixSpécificité1Bisons,1)),
INDEX(Règles_bison[Specificite],MATCH(ChoixRationBisons&amp;$BM74,Règles_bison[Ration]&amp;Règles_bison[Aliment],0))="c"),
INDEX(Règles_bison[Valeur 18-24],MATCH(ChoixRationBisons&amp;$BM74,Règles_bison[Ration]&amp;Règles_bison[Aliment],0)),0),0)*TotalBisonsFemelles_18_24_mois*NbreJoursNourrirBisonsDaims)</f>
        <v>0</v>
      </c>
      <c r="BQ74" s="350">
        <f t="array" ref="BQ74">IF(Ration_hivernale_complète_bisons[somme]&gt;0,0,IFERROR(IF(OR(AND(INDEX(Règles_bison[Specificite],MATCH(ChoixRationBisons&amp;$BM74,Règles_bison[Ration]&amp;Règles_bison[Aliment],0))="s1",IF($BM74=ChoixSpécificité1Bisons,1)),
INDEX(Règles_bison[Specificite],MATCH(ChoixRationBisons&amp;$BM74,Règles_bison[Ration]&amp;Règles_bison[Aliment],0))="c"),
INDEX(Règles_bison[Valeur 12-18],MATCH(ChoixRationBisons&amp;$BM74,Règles_bison[Ration]&amp;Règles_bison[Aliment],0)),0),0)*TotalBisonsFemelles_12_18_mois*NbreJoursNourrirBisonsDaims)</f>
        <v>0</v>
      </c>
      <c r="BR74" s="350">
        <f t="array" ref="BR74">IF(Ration_hivernale_complète_bisons[somme]&gt;0,0,IFERROR(IF(OR(AND(INDEX(Règles_bison[Specificite],MATCH(ChoixRationBisons&amp;$BM74,Règles_bison[Ration]&amp;Règles_bison[Aliment],0))="s1",IF($BM74=ChoixSpécificité1Bisons,1)),
INDEX(Règles_bison[Specificite],MATCH(ChoixRationBisons&amp;$BM74,Règles_bison[Ration]&amp;Règles_bison[Aliment],0))="c"),
INDEX(Règles_bison[Valeur 6-12],MATCH(ChoixRationBisons&amp;$BM74,Règles_bison[Ration]&amp;Règles_bison[Aliment],0)),0),0)*TotalBisonsFemelles_6_12_mois*NbreJoursNourrirBisonsDaims)</f>
        <v>0</v>
      </c>
      <c r="BS74" s="350">
        <f t="array" ref="BS74">IF(Ration_hivernale_complète_bisons[somme]&gt;0,0,IFERROR(IF(OR(AND(INDEX(Règles_bison[Specificite],MATCH(ChoixRationBisons&amp;$BM74,Règles_bison[Ration]&amp;Règles_bison[Aliment],0))="s1",IF($BM74=ChoixSpécificité1Bisons,1)),
INDEX(Règles_bison[Specificite],MATCH(ChoixRationBisons&amp;$BM74,Règles_bison[Ration]&amp;Règles_bison[Aliment],0))="c"),
INDEX(Règles_bison[Valeur 3-6],MATCH(ChoixRationBisons&amp;$BM74,Règles_bison[Ration]&amp;Règles_bison[Aliment],0)),0),0)*TotalBisonsFemelles_3_6_mois*NbreJoursNourrirBisonsDaims)</f>
        <v>0</v>
      </c>
      <c r="BT74" s="350">
        <f t="array" ref="BT74">IF(Ration_hivernale_complète_bisons[somme]&gt;0,0,IFERROR(IF(OR(AND(INDEX(Règles_bison[Specificite],MATCH(ChoixRationBisons&amp;$BM74,Règles_bison[Ration]&amp;Règles_bison[Aliment],0))="s1",IF($BM74=ChoixSpécificité1Bisons,1)),
INDEX(Règles_bison[Specificite],MATCH(ChoixRationBisons&amp;$BM74,Règles_bison[Ration]&amp;Règles_bison[Aliment],0))="c"),
INDEX(Règles_bison[Valeur 0-3],MATCH(ChoixRationBisons&amp;$BM74,Règles_bison[Ration]&amp;Règles_bison[Aliment],0)),0),0)*TotalBisonsFemelles_0_3_mois*NbreJoursNourrirBisonsDaims)</f>
        <v>0</v>
      </c>
      <c r="BU74" s="350">
        <f t="shared" si="21"/>
        <v>0</v>
      </c>
      <c r="BX74" s="373" t="s">
        <v>514</v>
      </c>
      <c r="BY74" s="280" t="s">
        <v>269</v>
      </c>
      <c r="BZ74" s="280" t="s">
        <v>886</v>
      </c>
      <c r="CA74" s="280">
        <v>10</v>
      </c>
      <c r="CB74" s="280">
        <v>8</v>
      </c>
      <c r="CC74" s="280">
        <v>6</v>
      </c>
      <c r="CD74" s="410">
        <v>0</v>
      </c>
      <c r="CE74" s="304"/>
      <c r="CF74" s="304"/>
      <c r="CG74" s="304"/>
      <c r="CH74" s="304"/>
      <c r="CJ74" s="420" t="s">
        <v>906</v>
      </c>
      <c r="CK74" s="384">
        <f t="array" ref="CK7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74" s="384">
        <f t="array" ref="CL7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74" s="384">
        <f t="array" ref="CM7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74" s="384">
        <f t="array" ref="CN7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74" s="384">
        <f t="array" ref="CO7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74" s="426">
        <f>SUM(AlimentsRationPorcinsMâles[[#This Row],[Valeur 12 et plus]:[Valeur 0-1]])</f>
        <v>0</v>
      </c>
      <c r="CS74" s="420" t="s">
        <v>269</v>
      </c>
      <c r="CT74" s="433">
        <f t="array" ref="CT74">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74" s="433">
        <f t="array" ref="CU74">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74" s="433">
        <f t="array" ref="CV74">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74" s="434">
        <f>SUM(AlimentsRationLapinsMâles[[#This Row],[Valeur 3 et plus]:[Valeur 0-1]])</f>
        <v>0</v>
      </c>
      <c r="CZ74" s="420" t="s">
        <v>269</v>
      </c>
      <c r="DA74" s="433">
        <f t="array" ref="DA7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74" s="433">
        <f t="array" ref="DB7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74" s="433">
        <f t="array" ref="DC7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74" s="434">
        <f>SUM(AlimentsRationVolaillesMâles[[#This Row],[Valeur 6 et plus]:[Valeur 0-1]])</f>
        <v>0</v>
      </c>
      <c r="DE74" s="316"/>
      <c r="DF74" s="277"/>
      <c r="DG74" s="420" t="s">
        <v>378</v>
      </c>
      <c r="DH74" s="433">
        <f t="array" ref="DH7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74" s="433">
        <f t="array" ref="DI7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74" s="433">
        <f t="array" ref="DJ7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74" s="434">
        <f>SUM(AlimentsRationPintadesMâles[[#This Row],[Valeur 9 et plus]:[Valeur 0-1]])</f>
        <v>0</v>
      </c>
      <c r="DL74" s="316"/>
      <c r="DM74" s="316"/>
      <c r="DN74" s="373" t="s">
        <v>509</v>
      </c>
      <c r="DO74" s="280" t="s">
        <v>905</v>
      </c>
      <c r="DP74" s="280" t="s">
        <v>886</v>
      </c>
      <c r="DQ74" s="310">
        <v>0.14000000000000001</v>
      </c>
      <c r="DR74" s="310">
        <v>0.08</v>
      </c>
      <c r="DS74" s="310">
        <v>0.04</v>
      </c>
      <c r="DT74" s="439">
        <v>0.04</v>
      </c>
      <c r="DV74" s="397" t="s">
        <v>508</v>
      </c>
      <c r="DW74" s="398">
        <f t="array" ref="DW74">IF(ChoixRationComplèteDaims=NON,0,IFERROR(IF(OR(AND(INDEX(Règles_daims[Specificite],MATCH(ChoixRationDaims&amp;Ration_complète_daims[aliment],Règles_daims[Ration]&amp;Règles_daims[Aliment],0))="s1",IF(Ration_complète_daims[aliment]=Spécificité1Daims,1)),
AND(INDEX(Règles_daims[Specificite],MATCH(ChoixRationDaims&amp;Ration_complète_daims[aliment],Règles_daims[Ration]&amp;Règles_daims[Aliment],0))="s2",IF(Ration_complète_daims[aliment]=Spécificité2Daims,1)),
INDEX(Règles_daims[Specificite],MATCH(ChoixRationDaims&amp;Ration_complète_daims[aliment],Règles_daims[Ration]&amp;Règles_daims[Aliment],0))="c",INDEX(Règles_daims[Specificite],MATCH(ChoixRationDaims&amp;Ration_complète_daims[aliment],Règles_daims[Ration]&amp;Règles_daims[Aliment],0))="complet"),
INDEX(Règles_daims[Valeur 36 et plus],MATCH(ChoixRationDaims&amp;Ration_complète_daims[aliment],Règles_daims[Ration]&amp;Règles_daims[Aliment],0)),0),0)*SUM(TotalDaimsAdultes)*SUM(AB76:AB100))</f>
        <v>0</v>
      </c>
      <c r="DX74" s="398">
        <f t="array" ref="DX74">IF(ChoixRationComplèteDaims=NON,0,IFERROR(IF(OR(AND(INDEX(Règles_daims[Specificite],MATCH(ChoixRationDaims&amp;Ration_complète_daims[aliment],Règles_daims[Ration]&amp;Règles_daims[Aliment],0))="s1",IF(Ration_complète_daims[aliment]=Spécificité1Daims,1)),
AND(INDEX(Règles_daims[Specificite],MATCH(ChoixRationDaims&amp;Ration_complète_daims[aliment],Règles_daims[Ration]&amp;Règles_daims[Aliment],0))="s2",IF(Ration_complète_daims[aliment]=Spécificité2Daims,1)),
INDEX(Règles_daims[Specificite],MATCH(ChoixRationDaims&amp;Ration_complète_daims[aliment],Règles_daims[Ration]&amp;Règles_daims[Aliment],0))="c",INDEX(Règles_daims[Specificite],MATCH(ChoixRationDaims&amp;Ration_complète_daims[aliment],Règles_daims[Ration]&amp;Règles_daims[Aliment],0))="complet"),
INDEX(Règles_daims[Valeur 24-36],MATCH(ChoixRationDaims&amp;Ration_complète_daims[aliment],Règles_daims[Ration]&amp;Règles_daims[Aliment],0)),0),0)*SUM(TotalDaims24_36)*SUM(AB76:AB100))</f>
        <v>0</v>
      </c>
      <c r="DY74" s="398">
        <f t="array" ref="DY74">IF(ChoixRationComplèteDaims=NON,0,IFERROR(IF(OR(AND(INDEX(Règles_daims[Specificite],MATCH(ChoixRationDaims&amp;Ration_complète_daims[aliment],Règles_daims[Ration]&amp;Règles_daims[Aliment],0))="s1",IF(Ration_complète_daims[aliment]=Spécificité1Daims,1)),
AND(INDEX(Règles_daims[Specificite],MATCH(ChoixRationDaims&amp;Ration_complète_daims[aliment],Règles_daims[Ration]&amp;Règles_daims[Aliment],0))="s2",IF(Ration_complète_daims[aliment]=Spécificité2Daims,1)),
INDEX(Règles_daims[Specificite],MATCH(ChoixRationDaims&amp;Ration_complète_daims[aliment],Règles_daims[Ration]&amp;Règles_daims[Aliment],0))="c",INDEX(Règles_daims[Specificite],MATCH(ChoixRationDaims&amp;Ration_complète_daims[aliment],Règles_daims[Ration]&amp;Règles_daims[Aliment],0))="complet"),
INDEX(Règles_daims[Valeur 18-24],MATCH(ChoixRationDaims&amp;Ration_complète_daims[aliment],Règles_daims[Ration]&amp;Règles_daims[Aliment],0)),0),0)*SUM(TotalDaims18_24)*SUM(AB76:AB100))</f>
        <v>0</v>
      </c>
      <c r="DZ74" s="398">
        <f t="array" ref="DZ74">IF(ChoixRationComplèteDaims=NON,0,IFERROR(IF(OR(AND(INDEX(Règles_daims[Specificite],MATCH(ChoixRationDaims&amp;Ration_complète_daims[aliment],Règles_daims[Ration]&amp;Règles_daims[Aliment],0))="s1",IF(Ration_complète_daims[aliment]=Spécificité1Daims,1)),
AND(INDEX(Règles_daims[Specificite],MATCH(ChoixRationDaims&amp;Ration_complète_daims[aliment],Règles_daims[Ration]&amp;Règles_daims[Aliment],0))="s2",IF(Ration_complète_daims[aliment]=Spécificité2Daims,1)),
INDEX(Règles_daims[Specificite],MATCH(ChoixRationDaims&amp;Ration_complète_daims[aliment],Règles_daims[Ration]&amp;Règles_daims[Aliment],0))="c",INDEX(Règles_daims[Specificite],MATCH(ChoixRationDaims&amp;Ration_complète_daims[aliment],Règles_daims[Ration]&amp;Règles_daims[Aliment],0))="complet"),
INDEX(Règles_daims[Valeur 12-18],MATCH(ChoixRationDaims&amp;Ration_complète_daims[aliment],Règles_daims[Ration]&amp;Règles_daims[Aliment],0)),0),0)*SUM(TotalDaims12_18)*SUM(AB76:AB100))</f>
        <v>0</v>
      </c>
      <c r="EA74" s="398">
        <f t="array" ref="EA74">IF(ChoixRationComplèteDaims=NON,0,IFERROR(IF(OR(AND(INDEX(Règles_daims[Specificite],MATCH(ChoixRationDaims&amp;Ration_complète_daims[aliment],Règles_daims[Ration]&amp;Règles_daims[Aliment],0))="s1",IF(Ration_complète_daims[aliment]=Spécificité1Daims,1)),
AND(INDEX(Règles_daims[Specificite],MATCH(ChoixRationDaims&amp;Ration_complète_daims[aliment],Règles_daims[Ration]&amp;Règles_daims[Aliment],0))="s2",IF(Ration_complète_daims[aliment]=Spécificité2Daims,1)),
INDEX(Règles_daims[Specificite],MATCH(ChoixRationDaims&amp;Ration_complète_daims[aliment],Règles_daims[Ration]&amp;Règles_daims[Aliment],0))="c",INDEX(Règles_daims[Specificite],MATCH(ChoixRationDaims&amp;Ration_complète_daims[aliment],Règles_daims[Ration]&amp;Règles_daims[Aliment],0))="complet"),
INDEX(Règles_daims[Valeur 6-12],MATCH(ChoixRationDaims&amp;Ration_complète_daims[aliment],Règles_daims[Ration]&amp;Règles_daims[Aliment],0)),0),0)*SUM(TotalDaims6_12)*SUM(AB76:AB100))</f>
        <v>0</v>
      </c>
      <c r="EB74" s="398">
        <f t="array" ref="EB74">IF(ChoixRationComplèteDaims=NON,0,IFERROR(IF(OR(AND(INDEX(Règles_daims[Specificite],MATCH(ChoixRationDaims&amp;Ration_complète_daims[aliment],Règles_daims[Ration]&amp;Règles_daims[Aliment],0))="s1",IF(Ration_complète_daims[aliment]=Spécificité1Daims,1)),
AND(INDEX(Règles_daims[Specificite],MATCH(ChoixRationDaims&amp;Ration_complète_daims[aliment],Règles_daims[Ration]&amp;Règles_daims[Aliment],0))="s2",IF(Ration_complète_daims[aliment]=Spécificité2Daims,1)),
INDEX(Règles_daims[Specificite],MATCH(ChoixRationDaims&amp;Ration_complète_daims[aliment],Règles_daims[Ration]&amp;Règles_daims[Aliment],0))="c",INDEX(Règles_daims[Specificite],MATCH(ChoixRationDaims&amp;Ration_complète_daims[aliment],Règles_daims[Ration]&amp;Règles_daims[Aliment],0))="complet"),
INDEX(Règles_daims[Valeur 3-6],MATCH(ChoixRationDaims&amp;Ration_complète_daims[aliment],Règles_daims[Ration]&amp;Règles_daims[Aliment],0)),0),0)*SUM(TotalDaims3_6)*SUM(AB76:AB100))</f>
        <v>0</v>
      </c>
      <c r="EC74" s="398">
        <f t="array" ref="EC74">IF(ChoixRationComplèteDaims=NON,0,IFERROR(IF(OR(AND(INDEX(Règles_daims[Specificite],MATCH(ChoixRationDaims&amp;Ration_complète_daims[aliment],Règles_daims[Ration]&amp;Règles_daims[Aliment],0))="s1",IF(Ration_complète_daims[aliment]=Spécificité1Daims,1)),
AND(INDEX(Règles_daims[Specificite],MATCH(ChoixRationDaims&amp;Ration_complète_daims[aliment],Règles_daims[Ration]&amp;Règles_daims[Aliment],0))="s2",IF(Ration_complète_daims[aliment]=Spécificité2Daims,1)),
INDEX(Règles_daims[Specificite],MATCH(ChoixRationDaims&amp;Ration_complète_daims[aliment],Règles_daims[Ration]&amp;Règles_daims[Aliment],0))="c",INDEX(Règles_daims[Specificite],MATCH(ChoixRationDaims&amp;Ration_complète_daims[aliment],Règles_daims[Ration]&amp;Règles_daims[Aliment],0))="complet"),
INDEX(Règles_daims[Valeur 0-3],MATCH(ChoixRationDaims&amp;Ration_complète_daims[aliment],Règles_daims[Ration]&amp;Règles_daims[Aliment],0)),0),0)*SUM(TotalDaims0_3)*SUM(AB76:AB100))</f>
        <v>0</v>
      </c>
      <c r="ED74" s="436">
        <f>SUM(Ration_complète_daims[[Valeur 36 et plus]:[Valeur 0-3]])</f>
        <v>0</v>
      </c>
      <c r="EG74" s="420" t="s">
        <v>510</v>
      </c>
      <c r="EH74" s="433">
        <f t="array" ref="EH7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74" s="433">
        <f t="array" ref="EI7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74" s="433">
        <f t="array" ref="EJ7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74" s="434">
        <f>SUM(AlimentsRationOiesMâles[[#This Row],[Valeur 6 et plus]:[Valeur 0-3]])</f>
        <v>0</v>
      </c>
      <c r="EL74" s="316"/>
      <c r="EN74" s="420" t="s">
        <v>232</v>
      </c>
      <c r="EO74" s="433">
        <f t="array" ref="EO74">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74" s="433">
        <f t="array" ref="EP74">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74" s="433">
        <f t="array" ref="EQ74">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74" s="434">
        <f>SUM(Ration_canards_Mâles[[#This Row],[Valeur 6 et plus]:[Valeur 0-3]])</f>
        <v>0</v>
      </c>
      <c r="ES74" s="316"/>
      <c r="ET74" s="282"/>
      <c r="EU74" s="457" t="s">
        <v>168</v>
      </c>
      <c r="EV74" s="458">
        <f t="array" ref="EV74">IF(OR(ChoixRationComplèteEtéChevauxSelle=OUI,ChoixRationComplèteEtéChevauxSelle="",AND(ChoixChevauxSellePréHiver=OUI,ChoixChevauxSellePréEté=OUI)),0,IFERROR(IF(OR(AND(INDEX(Règles_chevaux_selle[Specificite],MATCH(RationEtéChevauxSelle&amp;$EU74,Règles_chevaux_selle[Ration]&amp;Règles_chevaux_selle[Aliment],0))="s1",IF($EU74=Spécificité1ChevauxSelle,1)),
AND(INDEX(Règles_chevaux_selle[Specificite],MATCH(RationEtéChevauxSelle&amp;$EU74,Règles_chevaux_selle[Ration]&amp;Règles_chevaux_selle[Aliment],0))="s2",IF($EU74=Spécificité2ChevauxSelle,1)),
INDEX(Règles_chevaux_selle[Specificite],MATCH(RationEtéChevauxSelle&amp;$EU74,Règles_chevaux_selle[Ration]&amp;Règles_chevaux_selle[Aliment],0))="c"),
INDEX(Règles_chevaux_selle[Valeur 36 et plus],MATCH(RationEtéChevauxSelle&amp;$EU74,Règles_chevaux_selle[Ration]&amp;Règles_chevaux_selle[Aliment],0)),0),0)*TotalEtalonSelle*NbreJoursNourrirChevauxSelle)</f>
        <v>0</v>
      </c>
      <c r="EW74" s="458">
        <f t="array" ref="EW74">IF(OR(ChoixRationComplèteEtéChevauxSelle=OUI,ChoixRationComplèteEtéChevauxSelle="",AND(ChoixChevauxSellePréHiver=OUI,ChoixChevauxSellePréEté=OUI)),0,IFERROR(IF(OR(AND(INDEX(Règles_chevaux_selle[Specificite],MATCH(RationEtéChevauxSelle&amp;$EU74,Règles_chevaux_selle[Ration]&amp;Règles_chevaux_selle[Aliment],0))="s1",IF($EU74=Spécificité1ChevauxSelle,1)),
AND(INDEX(Règles_chevaux_selle[Specificite],MATCH(RationEtéChevauxSelle&amp;$EU74,Règles_chevaux_selle[Ration]&amp;Règles_chevaux_selle[Aliment],0))="s2",IF($EU74=Spécificité2ChevauxSelle,1)),
INDEX(Règles_chevaux_selle[Specificite],MATCH(RationEtéChevauxSelle&amp;$EU74,Règles_chevaux_selle[Ration]&amp;Règles_chevaux_selle[Aliment],0))="c"),
INDEX(Règles_chevaux_selle[Valeur 24-36],MATCH(RationEtéChevauxSelle&amp;$EU74,Règles_chevaux_selle[Ration]&amp;Règles_chevaux_selle[Aliment],0)),0),0)*TotalJeuneEtalonSelle_24_36_mois*NbreJoursNourrirChevauxSelle)</f>
        <v>0</v>
      </c>
      <c r="EX74" s="458">
        <f t="array" ref="EX74">IF(OR(ChoixRationComplèteEtéChevauxSelle=OUI,ChoixRationComplèteEtéChevauxSelle="",AND(ChoixChevauxSellePréHiver=OUI,ChoixChevauxSellePréEté=OUI)),0,IFERROR(IF(OR(AND(INDEX(Règles_chevaux_selle[Specificite],MATCH(RationEtéChevauxSelle&amp;$EU74,Règles_chevaux_selle[Ration]&amp;Règles_chevaux_selle[Aliment],0))="s1",IF($EU74=Spécificité1ChevauxSelle,1)),
AND(INDEX(Règles_chevaux_selle[Specificite],MATCH(RationEtéChevauxSelle&amp;$EU74,Règles_chevaux_selle[Ration]&amp;Règles_chevaux_selle[Aliment],0))="s2",IF($EU74=Spécificité2ChevauxSelle,1)),
INDEX(Règles_chevaux_selle[Specificite],MATCH(RationEtéChevauxSelle&amp;$EU74,Règles_chevaux_selle[Ration]&amp;Règles_chevaux_selle[Aliment],0))="c"),
INDEX(Règles_chevaux_selle[Valeur 12-24],MATCH(RationEtéChevauxSelle&amp;$EU74,Règles_chevaux_selle[Ration]&amp;Règles_chevaux_selle[Aliment],0)),0),0)*TotalJeuneEtalonSelle_12_24_mois*NbreJoursNourrirChevauxSelle)</f>
        <v>0</v>
      </c>
      <c r="EY74" s="460">
        <f t="array" ref="EY74">IF(OR(ChoixRationComplèteEtéChevauxSelle=OUI,ChoixRationComplèteEtéChevauxSelle="",AND(ChoixChevauxSellePréHiver=OUI,ChoixChevauxSellePréEté=OUI)),0,IFERROR(IF(OR(AND(INDEX(Règles_chevaux_selle[Specificite],MATCH(RationEtéChevauxSelle&amp;$EU74,Règles_chevaux_selle[Ration]&amp;Règles_chevaux_selle[Aliment],0))="s1",IF($EU74=Spécificité1ChevauxSelle,1)),
AND(INDEX(Règles_chevaux_selle[Specificite],MATCH(RationEtéChevauxSelle&amp;$EU74,Règles_chevaux_selle[Ration]&amp;Règles_chevaux_selle[Aliment],0))="s2",IF($EU74=Spécificité2ChevauxSelle,1)),
INDEX(Règles_chevaux_selle[Specificite],MATCH(RationEtéChevauxSelle&amp;$EU74,Règles_chevaux_selle[Ration]&amp;Règles_chevaux_selle[Aliment],0))="c"),
INDEX(Règles_chevaux_selle[Valeur 0-12],MATCH(RationEtéChevauxSelle&amp;$EU74,Règles_chevaux_selle[Ration]&amp;Règles_chevaux_selle[Aliment],0)),0),0)*TotalPoulainSelle_0_12_mois*NbreJoursNourrirChevauxSelle)</f>
        <v>0</v>
      </c>
      <c r="EZ74" s="460">
        <f t="shared" si="16"/>
        <v>0</v>
      </c>
      <c r="FA74" s="298"/>
      <c r="FB74" s="298"/>
      <c r="FC74" s="282"/>
      <c r="FD74" s="457" t="s">
        <v>489</v>
      </c>
      <c r="FE74" s="458">
        <f t="array" ref="FE74">IF(OR(ChoixRationComplèteEtéChevauxTrait=OUI,ChoixRationComplèteEtéChevauxTrait="",AND(ChoixChevauxTraitPréHiver=OUI,ChoixChevauxTraitPréEté=OUI)),0,IFERROR(IF(OR(AND(INDEX(Règles_chevaux_trait[Specificite],MATCH(RationEtéChevauxTrait&amp;$FD74,Règles_chevaux_trait[Ration]&amp;Règles_chevaux_trait[Aliment],0))="s1",IF($FD74=Spécificité1ChevauxTrait,1)),
AND(INDEX(Règles_chevaux_trait[Specificite],MATCH(RationEtéChevauxTrait&amp;$FD74,Règles_chevaux_trait[Ration]&amp;Règles_chevaux_trait[Aliment],0))="s2",IF($FD74=Spécificité2ChevauxTrait,1)),
INDEX(Règles_chevaux_trait[Specificite],MATCH(RationEtéChevauxTrait&amp;$FD74,Règles_chevaux_trait[Ration]&amp;Règles_chevaux_trait[Aliment],0))="c"),
INDEX(Règles_chevaux_trait[Valeur 36 et plus],MATCH(RationEtéChevauxTrait&amp;$FD74,Règles_chevaux_trait[Ration]&amp;Règles_chevaux_trait[Aliment],0)),0),0)*TotalEtalonTrait*NbreJoursNourrirChevauxTrait)</f>
        <v>0</v>
      </c>
      <c r="FF74" s="458">
        <f t="array" ref="FF74">IF(OR(ChoixRationComplèteEtéChevauxTrait=OUI,ChoixRationComplèteEtéChevauxTrait="",AND(ChoixChevauxTraitPréHiver=OUI,ChoixChevauxTraitPréEté=OUI)),0,IFERROR(IF(OR(AND(INDEX(Règles_chevaux_trait[Specificite],MATCH(RationEtéChevauxTrait&amp;$FD74,Règles_chevaux_trait[Ration]&amp;Règles_chevaux_trait[Aliment],0))="s1",IF($FD74=Spécificité1ChevauxTrait,1)),
AND(INDEX(Règles_chevaux_trait[Specificite],MATCH(RationEtéChevauxTrait&amp;$FD74,Règles_chevaux_trait[Ration]&amp;Règles_chevaux_trait[Aliment],0))="s2",IF($FD74=Spécificité2ChevauxTrait,1)),
INDEX(Règles_chevaux_trait[Specificite],MATCH(RationEtéChevauxTrait&amp;$FD74,Règles_chevaux_trait[Ration]&amp;Règles_chevaux_trait[Aliment],0))="c"),
INDEX(Règles_chevaux_trait[Valeur 24-36],MATCH(RationEtéChevauxTrait&amp;$FD74,Règles_chevaux_trait[Ration]&amp;Règles_chevaux_trait[Aliment],0)),0),0)*TotalJeuneEtalonTrait_24_36_mois*NbreJoursNourrirChevauxTrait)</f>
        <v>0</v>
      </c>
      <c r="FG74" s="458">
        <f t="array" ref="FG74">IF(OR(ChoixRationComplèteEtéChevauxTrait=OUI,ChoixRationComplèteEtéChevauxTrait="",AND(ChoixChevauxTraitPréHiver=OUI,ChoixChevauxTraitPréEté=OUI)),0,IFERROR(IF(OR(AND(INDEX(Règles_chevaux_trait[Specificite],MATCH(RationEtéChevauxTrait&amp;$FD74,Règles_chevaux_trait[Ration]&amp;Règles_chevaux_trait[Aliment],0))="s1",IF($FD74=Spécificité1ChevauxTrait,1)),
AND(INDEX(Règles_chevaux_trait[Specificite],MATCH(RationEtéChevauxTrait&amp;$FD74,Règles_chevaux_trait[Ration]&amp;Règles_chevaux_trait[Aliment],0))="s2",IF($FD74=Spécificité2ChevauxTrait,1)),
INDEX(Règles_chevaux_trait[Specificite],MATCH(RationEtéChevauxTrait&amp;$FD74,Règles_chevaux_trait[Ration]&amp;Règles_chevaux_trait[Aliment],0))="c"),
INDEX(Règles_chevaux_trait[Valeur 12-24],MATCH(RationEtéChevauxTrait&amp;$FD74,Règles_chevaux_trait[Ration]&amp;Règles_chevaux_trait[Aliment],0)),0),0)*TotalJeuneEtalonTrait_12_24_mois*NbreJoursNourrirChevauxTrait)</f>
        <v>0</v>
      </c>
      <c r="FH74" s="460">
        <f t="array" ref="FH74">IF(OR(ChoixRationComplèteEtéChevauxTrait=OUI,ChoixRationComplèteEtéChevauxTrait="",AND(ChoixChevauxTraitPréHiver=OUI,ChoixChevauxTraitPréEté=OUI)),0,IFERROR(IF(OR(AND(INDEX(Règles_chevaux_trait[Specificite],MATCH(RationEtéChevauxTrait&amp;$FD74,Règles_chevaux_trait[Ration]&amp;Règles_chevaux_trait[Aliment],0))="s1",IF($FD74=Spécificité1ChevauxTrait,1)),
AND(INDEX(Règles_chevaux_trait[Specificite],MATCH(RationEtéChevauxTrait&amp;$FD74,Règles_chevaux_trait[Ration]&amp;Règles_chevaux_trait[Aliment],0))="s2",IF($FD74=Spécificité2ChevauxTrait,1)),
INDEX(Règles_chevaux_trait[Specificite],MATCH(RationEtéChevauxTrait&amp;$FD74,Règles_chevaux_trait[Ration]&amp;Règles_chevaux_trait[Aliment],0))="c"),
INDEX(Règles_chevaux_trait[Valeur 0-12],MATCH(RationEtéChevauxTrait&amp;$FD74,Règles_chevaux_trait[Ration]&amp;Règles_chevaux_trait[Aliment],0)),0),0)*TotalPoulainTrait_0_12_mois*NbreJoursNourrirChevauxTrait)</f>
        <v>0</v>
      </c>
      <c r="FI74" s="460">
        <f t="shared" si="15"/>
        <v>0</v>
      </c>
      <c r="FJ74" s="298"/>
      <c r="FK74" s="298"/>
      <c r="FL74" s="298"/>
      <c r="FN74" s="457" t="s">
        <v>510</v>
      </c>
      <c r="FO74" s="458">
        <f t="array" ref="FO74">IF(OR(ChoixRationComplèteEtéPoneys=OUI,ChoixRationComplèteEtéPoneys="",AND(ChoixPoneysPréHiver=OUI,ChoixPoneysPréEté=OUI)),0,IFERROR(IF(OR(AND(INDEX(Règles_poneys[Specificite],MATCH(RationEtéPoneys&amp;$FN74,Règles_poneys[Ration]&amp;Règles_poneys[Aliment],0))="s1",IF($FN74=Spécificité1Poneys,1)),
AND(INDEX(Règles_poneys[Specificite],MATCH(RationEtéPoneys&amp;$FN74,Règles_poneys[Ration]&amp;Règles_poneys[Aliment],0))="s2",IF($FN74=Spécificité2Poneys,1)),
INDEX(Règles_poneys[Specificite],MATCH(RationEtéPoneys&amp;$FN74,Règles_poneys[Ration]&amp;Règles_poneys[Aliment],0))="c"),
INDEX(Règles_poneys[Valeur 36 et plus],MATCH(RationEtéPoneys&amp;$FN74,Règles_poneys[Ration]&amp;Règles_poneys[Aliment],0)),0),0)*TotalEtalonPoney*NbreJoursNourrirPoneys)</f>
        <v>0</v>
      </c>
      <c r="FP74" s="458">
        <f t="array" ref="FP74">IF(OR(ChoixRationComplèteEtéPoneys=OUI,ChoixRationComplèteEtéPoneys="",AND(ChoixPoneysPréHiver=OUI,ChoixPoneysPréEté=OUI)),0,IFERROR(IF(OR(AND(INDEX(Règles_poneys[Specificite],MATCH(RationEtéPoneys&amp;$FN74,Règles_poneys[Ration]&amp;Règles_poneys[Aliment],0))="s1",IF($FN74=Spécificité1Poneys,1)),
AND(INDEX(Règles_poneys[Specificite],MATCH(RationEtéPoneys&amp;$FN74,Règles_poneys[Ration]&amp;Règles_poneys[Aliment],0))="s2",IF($FN74=Spécificité2Poneys,1)),
INDEX(Règles_poneys[Specificite],MATCH(RationEtéPoneys&amp;$FN74,Règles_poneys[Ration]&amp;Règles_poneys[Aliment],0))="c"),
INDEX(Règles_poneys[Valeur 36 et plus],MATCH(RationEtéPoneys&amp;$FN74,Règles_poneys[Ration]&amp;Règles_poneys[Aliment],0)),0),0)*TotalJeuneEtalonPoney_24_36_mois*NbreJoursNourrirPoneys)</f>
        <v>0</v>
      </c>
      <c r="FQ74" s="458">
        <f t="array" ref="FQ74">IF(OR(ChoixRationComplèteEtéPoneys=OUI,ChoixRationComplèteEtéPoneys="",AND(ChoixPoneysPréHiver=OUI,ChoixPoneysPréEté=OUI)),0,IFERROR(IF(OR(AND(INDEX(Règles_poneys[Specificite],MATCH(RationEtéPoneys&amp;$FN74,Règles_poneys[Ration]&amp;Règles_poneys[Aliment],0))="s1",IF($FN74=Spécificité1Poneys,1)),
AND(INDEX(Règles_poneys[Specificite],MATCH(RationEtéPoneys&amp;$FN74,Règles_poneys[Ration]&amp;Règles_poneys[Aliment],0))="s2",IF($FN74=Spécificité2Poneys,1)),
INDEX(Règles_poneys[Specificite],MATCH(RationEtéPoneys&amp;$FN74,Règles_poneys[Ration]&amp;Règles_poneys[Aliment],0))="c"),
INDEX(Règles_poneys[Valeur 36 et plus],MATCH(RationEtéPoneys&amp;$FN74,Règles_poneys[Ration]&amp;Règles_poneys[Aliment],0)),0),0)*TotalJeuneEtalonPoney_12_24_mois*NbreJoursNourrirPoneys)</f>
        <v>0</v>
      </c>
      <c r="FR74" s="460">
        <f t="array" ref="FR74">IF(OR(ChoixRationComplèteEtéPoneys=OUI,ChoixRationComplèteEtéPoneys="",AND(ChoixPoneysPréHiver=OUI,ChoixPoneysPréEté=OUI)),0,IFERROR(IF(OR(AND(INDEX(Règles_poneys[Specificite],MATCH(RationEtéPoneys&amp;$FN74,Règles_poneys[Ration]&amp;Règles_poneys[Aliment],0))="s1",IF($FN74=Spécificité1Poneys,1)),
AND(INDEX(Règles_poneys[Specificite],MATCH(RationEtéPoneys&amp;$FN74,Règles_poneys[Ration]&amp;Règles_poneys[Aliment],0))="s2",IF($FN74=Spécificité2Poneys,1)),
INDEX(Règles_poneys[Specificite],MATCH(RationEtéPoneys&amp;$FN74,Règles_poneys[Ration]&amp;Règles_poneys[Aliment],0))="c"),
INDEX(Règles_poneys[Valeur 36 et plus],MATCH(RationEtéPoneys&amp;$FN74,Règles_poneys[Ration]&amp;Règles_poneys[Aliment],0)),0),0)*TotalPoulainPoney_0_12_mois*NbreJoursNourrirPoneys)</f>
        <v>0</v>
      </c>
      <c r="FS74" s="460">
        <f t="shared" si="14"/>
        <v>0</v>
      </c>
      <c r="FT74" s="298"/>
      <c r="FU74" s="298"/>
      <c r="FV74" s="298"/>
      <c r="FW74" s="443" t="s">
        <v>908</v>
      </c>
      <c r="FX74" s="450">
        <f t="array" ref="FX74">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74" s="450">
        <f t="array" ref="FY74">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74" s="450">
        <f t="array" ref="FZ74">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74" s="450">
        <f t="array" ref="GA74">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74" s="451">
        <f>SUM(AlimentsGavageOies[[#This Row],[Valeur 6 et plus]:[Valeur 0-1]])</f>
        <v>0</v>
      </c>
      <c r="GC74" s="316"/>
      <c r="GG74" s="276" t="s">
        <v>955</v>
      </c>
      <c r="GH74" s="276" t="s">
        <v>955</v>
      </c>
      <c r="GI74" s="276" t="s">
        <v>955</v>
      </c>
      <c r="GJ74" s="276" t="s">
        <v>955</v>
      </c>
      <c r="GK74" s="276" t="s">
        <v>955</v>
      </c>
      <c r="GL74" s="276" t="s">
        <v>955</v>
      </c>
      <c r="GM74" s="276" t="s">
        <v>955</v>
      </c>
      <c r="GN74" s="276" t="s">
        <v>955</v>
      </c>
      <c r="GO74" s="276" t="s">
        <v>955</v>
      </c>
      <c r="GP74" s="276" t="s">
        <v>955</v>
      </c>
      <c r="GQ74" s="276" t="s">
        <v>955</v>
      </c>
      <c r="GR74" s="276" t="s">
        <v>955</v>
      </c>
      <c r="GS74" s="276" t="s">
        <v>955</v>
      </c>
      <c r="GT74" s="276" t="s">
        <v>955</v>
      </c>
      <c r="GU74" s="276" t="s">
        <v>955</v>
      </c>
      <c r="GV74" s="276" t="s">
        <v>955</v>
      </c>
      <c r="GY74" s="444" t="str">
        <f t="shared" si="11"/>
        <v>semences de seigle (P)</v>
      </c>
      <c r="GZ74" s="444"/>
      <c r="HA74" s="342"/>
      <c r="HB74" s="342" t="e">
        <f>IF(COUNTIF(TypeArticleDansEntrepôt,GY74)=0,0,SUMIF(TypeArticleDansEntrepôt,GY74,QtéArticleDansEntrepôt)*VLOOKUP(GY74,#REF!,2,FALSE))</f>
        <v>#REF!</v>
      </c>
      <c r="HN74" s="342" t="e">
        <f>IF(#REF!="","",(VLOOKUP(#REF!,BDD!$HN$5:$HU$38,2,FALSE))*#REF!)</f>
        <v>#REF!</v>
      </c>
      <c r="HO74" s="342" t="e">
        <f>IF(#REF!="","",IF(OR(#REF!=Moutarde,#REF!=Phacélie),0,IF(#REF!=Luzerne,10*#REF!*VLOOKUP(#REF!,BDD!$HN$5:$HU$38,3,FALSE),IF(#REF!=Miscanthus,10.5*#REF!*VLOOKUP(#REF!,BDD!$HN$5:$HU$38,3,FALSE),INDEX(#REF!:#REF!,MATCH(#REF!,#REF!:#REF!,0),MATCH(#REF!,#REF!:#REF!,0))*#REF!*VLOOKUP(#REF!,BDD!$HN$5:$HU$38,3,FALSE)))))</f>
        <v>#REF!</v>
      </c>
      <c r="HP74" s="342" t="e">
        <f>IF(#REF!="","",IF(OR(#REF!=Moutarde,#REF!=Phacélie),0,IF(#REF!=Luzerne,10*#REF!*VLOOKUP(#REF!,BDD!$HN$5:$HU$38,4,FALSE),IF(#REF!=Miscanthus,10.5*#REF!*VLOOKUP(#REF!,BDD!$HN$5:$HU$38,4,FALSE),INDEX(#REF!:#REF!,MATCH(#REF!,#REF!:#REF!,0),MATCH(#REF!,#REF!:#REF!,0))*#REF!*VLOOKUP(#REF!,BDD!$HN$5:$HU$38,4,FALSE)))))</f>
        <v>#REF!</v>
      </c>
      <c r="HQ74" s="342" t="e">
        <f>IF(#REF!="","",IF(OR(#REF!=Moutarde,#REF!=Phacélie),0,IF(#REF!=Luzerne,10*#REF!*VLOOKUP(#REF!,BDD!$HN$5:$HU$38,5,FALSE),IF(#REF!=Miscanthus,10.5*#REF!*VLOOKUP(#REF!,BDD!$HN$5:$HU$38,5,FALSE),INDEX(#REF!:#REF!,MATCH(#REF!,#REF!:#REF!,0),MATCH(#REF!,#REF!:#REF!,0))*#REF!*VLOOKUP(#REF!,BDD!$HN$5:$HU$38,5,FALSE)))))</f>
        <v>#REF!</v>
      </c>
      <c r="HR74" s="342" t="e">
        <f>IF(#REF!="","",IF(OR(#REF!=Moutarde,#REF!=Phacélie),0,IF(#REF!=Luzerne,10*#REF!*VLOOKUP(#REF!,BDD!$HN$5:$HU$38,6,FALSE),IF(#REF!=Miscanthus,10.5*#REF!*VLOOKUP(#REF!,BDD!$HN$5:$HU$38,6,FALSE),INDEX(#REF!:#REF!,MATCH(#REF!,#REF!:#REF!,0),MATCH(#REF!,#REF!:#REF!,0))*#REF!*VLOOKUP(#REF!,BDD!$HN$5:$HU$38,6,FALSE)))))</f>
        <v>#REF!</v>
      </c>
      <c r="HS74" s="342" t="e">
        <f>IF(#REF!="","",IF(OR(#REF!=Moutarde,#REF!=Phacélie),0,IF(#REF!=Luzerne,10*#REF!*VLOOKUP(#REF!,BDD!$HN$5:$HU$38,7,FALSE),IF(#REF!=Miscanthus,10.5*#REF!*VLOOKUP(#REF!,BDD!$HN$5:$HU$38,7,FALSE),INDEX(#REF!:#REF!,MATCH(#REF!,#REF!:#REF!,0),MATCH(#REF!,#REF!:#REF!,0))*#REF!*VLOOKUP(#REF!,BDD!$HN$5:$HU$38,7,FALSE)))))</f>
        <v>#REF!</v>
      </c>
      <c r="HT74" s="342" t="e">
        <f>IF(#REF!="","",IF(OR(#REF!=Moutarde,#REF!=Phacélie),0,IF(#REF!=Luzerne,10*#REF!*VLOOKUP(#REF!,BDD!$HN$5:$HU$38,8,FALSE),IF(#REF!=Miscanthus,10.5*#REF!*VLOOKUP(#REF!,BDD!$HN$5:$HU$38,8,FALSE),INDEX(#REF!:#REF!,MATCH(#REF!,#REF!:#REF!,0),MATCH(#REF!,#REF!:#REF!,0))*#REF!*VLOOKUP(#REF!,BDD!$HN$5:$HU$38,8,FALSE)))))</f>
        <v>#REF!</v>
      </c>
      <c r="HU74" s="342" t="e">
        <f>IF(#REF!="","",IF(OR(#REF!=Moutarde,#REF!=Phacélie),0,1.6*#REF!))</f>
        <v>#REF!</v>
      </c>
      <c r="HV74" s="342" t="e">
        <f>IF(#REF!="","",IF(OR(#REF!=Moutarde,#REF!=Phacélie),0,1.6*#REF!))</f>
        <v>#REF!</v>
      </c>
      <c r="HW74" s="342" t="e">
        <f>IF(#REF!="","",IF(OR(#REF!=Moutarde,#REF!=Phacélie),0,1.6*#REF!))</f>
        <v>#REF!</v>
      </c>
      <c r="HX74" s="342" t="e">
        <f>IF(#REF!="","",(VLOOKUP(#REF!,BDD!$HN$5:$HU$38,2,FALSE))*#REF!)</f>
        <v>#REF!</v>
      </c>
      <c r="HY74" s="342" t="e">
        <f>IF(#REF!="","",IF(OR(#REF!=Moutarde,#REF!=Phacélie),0,IF(#REF!=Luzerne,10*#REF!*VLOOKUP(#REF!,BDD!$HN$5:$HU$38,3,FALSE),IF(#REF!=Miscanthus,10.5*#REF!*VLOOKUP(#REF!,BDD!$HN$5:$HU$38,3,FALSE),INDEX(#REF!:#REF!,MATCH(#REF!,#REF!:#REF!,0),MATCH(#REF!,#REF!:#REF!,0))*#REF!*VLOOKUP(#REF!,BDD!$HN$5:$HU$38,3,FALSE)))))</f>
        <v>#REF!</v>
      </c>
      <c r="HZ74" s="342" t="e">
        <f>IF(#REF!="","",IF(OR(#REF!=Moutarde,#REF!=Phacélie),0,IF(#REF!=Luzerne,10*#REF!*VLOOKUP(#REF!,BDD!$HN$5:$HU$38,4,FALSE),IF(#REF!=Miscanthus,10.5*#REF!*VLOOKUP(#REF!,BDD!$HN$5:$HU$38,4,FALSE),INDEX(#REF!:#REF!,MATCH(#REF!,#REF!:#REF!,0),MATCH(#REF!,#REF!:#REF!,0))*#REF!*VLOOKUP(#REF!,BDD!$HN$5:$HU$38,4,FALSE)))))</f>
        <v>#REF!</v>
      </c>
      <c r="IA74" s="342" t="e">
        <f>IF(#REF!="","",IF(OR(#REF!=Moutarde,#REF!=Phacélie),0,IF(#REF!=Luzerne,10*#REF!*VLOOKUP(#REF!,BDD!$HN$5:$HU$38,5,FALSE),IF(#REF!=Miscanthus,10.5*#REF!*VLOOKUP(#REF!,BDD!$HN$5:$HU$38,5,FALSE),INDEX(#REF!:#REF!,MATCH(#REF!,#REF!:#REF!,0),MATCH(#REF!,#REF!:#REF!,0))*#REF!*VLOOKUP(#REF!,BDD!$HN$5:$HU$38,5,FALSE)))))</f>
        <v>#REF!</v>
      </c>
      <c r="IB74" s="342" t="e">
        <f>IF(#REF!="","",IF(OR(#REF!=Moutarde,#REF!=Phacélie),0,IF(#REF!=Luzerne,10*#REF!*VLOOKUP(#REF!,BDD!$HN$5:$HU$38,6,FALSE),IF(#REF!=Miscanthus,10.5*#REF!*VLOOKUP(#REF!,BDD!$HN$5:$HU$38,6,FALSE),INDEX(#REF!:#REF!,MATCH(#REF!,#REF!:#REF!,0),MATCH(#REF!,#REF!:#REF!,0))*#REF!*VLOOKUP(#REF!,BDD!$HN$5:$HU$38,6,FALSE)))))</f>
        <v>#REF!</v>
      </c>
      <c r="IC74" s="342" t="e">
        <f>IF(#REF!="","",IF(OR(#REF!=Moutarde,#REF!=Phacélie),0,IF(#REF!=Luzerne,10*#REF!*VLOOKUP(#REF!,BDD!$HN$5:$HU$38,7,FALSE),IF(#REF!=Miscanthus,10.5*#REF!*VLOOKUP(#REF!,BDD!$HN$5:$HU$38,7,FALSE),INDEX(#REF!:#REF!,MATCH(#REF!,#REF!:#REF!,0),MATCH(#REF!,#REF!:#REF!,0))*#REF!*VLOOKUP(#REF!,BDD!$HN$5:$HU$38,7,FALSE)))))</f>
        <v>#REF!</v>
      </c>
      <c r="ID74" s="342" t="e">
        <f>IF(#REF!="","",IF(OR(#REF!=Moutarde,#REF!=Phacélie),0,IF(#REF!=Luzerne,10*#REF!*VLOOKUP(#REF!,BDD!$HN$5:$HU$38,8,FALSE),IF(#REF!=Miscanthus,10.5*#REF!*VLOOKUP(#REF!,BDD!$HN$5:$HU$38,8,FALSE),INDEX(#REF!:#REF!,MATCH(#REF!,#REF!:#REF!,0),MATCH(#REF!,#REF!:#REF!,0))*#REF!*VLOOKUP(#REF!,BDD!$HN$5:$HU$38,8,FALSE)))))</f>
        <v>#REF!</v>
      </c>
      <c r="IE74" s="342" t="e">
        <f>IF(#REF!="","",IF(OR(#REF!=Moutarde,#REF!=Phacélie),0,1.6*#REF!))</f>
        <v>#REF!</v>
      </c>
      <c r="IF74" s="342" t="e">
        <f>IF(#REF!="","",IF(OR(#REF!=Moutarde,#REF!=Phacélie),0,1.6*#REF!))</f>
        <v>#REF!</v>
      </c>
      <c r="IG74" s="342" t="e">
        <f>IF(#REF!="","",IF(OR(#REF!=Moutarde,#REF!=Phacélie),0,1.6*#REF!))</f>
        <v>#REF!</v>
      </c>
    </row>
    <row r="75" spans="1:241" ht="12.75" customHeight="1" x14ac:dyDescent="0.2">
      <c r="A75" s="373"/>
      <c r="B75" s="380"/>
      <c r="F75" s="277"/>
      <c r="G75" s="277"/>
      <c r="H75" s="277"/>
      <c r="I75" s="277"/>
      <c r="J75" s="277"/>
      <c r="K75" s="277"/>
      <c r="L75" s="277"/>
      <c r="P75" s="290"/>
      <c r="Q75" s="290"/>
      <c r="R75" s="290"/>
      <c r="S75" s="290"/>
      <c r="T75" s="290"/>
      <c r="U75" s="290"/>
      <c r="V75" s="290"/>
      <c r="W75" s="290"/>
      <c r="Y75" s="385"/>
      <c r="Z75" s="385" t="s">
        <v>1139</v>
      </c>
      <c r="AA75" s="385" t="s">
        <v>99</v>
      </c>
      <c r="AB75" s="385" t="s">
        <v>476</v>
      </c>
      <c r="AC75" s="385" t="s">
        <v>100</v>
      </c>
      <c r="AD75" s="385" t="s">
        <v>101</v>
      </c>
      <c r="AE75" s="385" t="s">
        <v>1082</v>
      </c>
      <c r="AF75" s="385" t="s">
        <v>1083</v>
      </c>
      <c r="AG75" s="385" t="s">
        <v>20</v>
      </c>
      <c r="BB75" s="387" t="s">
        <v>511</v>
      </c>
      <c r="BC75" s="362" t="s">
        <v>220</v>
      </c>
      <c r="BD75" s="362" t="s">
        <v>887</v>
      </c>
      <c r="BE75" s="388">
        <v>7.2</v>
      </c>
      <c r="BF75" s="388">
        <v>6</v>
      </c>
      <c r="BG75" s="388">
        <v>4</v>
      </c>
      <c r="BH75" s="388">
        <v>2</v>
      </c>
      <c r="BI75" s="388">
        <v>1.2</v>
      </c>
      <c r="BJ75" s="388">
        <v>0.6</v>
      </c>
      <c r="BK75" s="389">
        <v>0</v>
      </c>
      <c r="BL75" s="312"/>
      <c r="BM75" s="350" t="str">
        <f t="shared" si="22"/>
        <v>Blé</v>
      </c>
      <c r="BN75" s="350">
        <f t="array" ref="BN75">IF(Ration_hivernale_complète_bisons[somme]&gt;0,0,IFERROR(IF(OR(AND(INDEX(Règles_bison[Specificite],MATCH(ChoixRationBisons&amp;$BM75,Règles_bison[Ration]&amp;Règles_bison[Aliment],0))="s1",IF($BM75=ChoixSpécificité1Bisons,1)),
INDEX(Règles_bison[Specificite],MATCH(ChoixRationBisons&amp;$BM75,Règles_bison[Ration]&amp;Règles_bison[Aliment],0))="c"),
INDEX(Règles_bison[Valeur 36 et plus],MATCH(ChoixRationBisons&amp;$BM75,Règles_bison[Ration]&amp;Règles_bison[Aliment],0)),0),0)*TotalBisonnes*NbreJoursNourrirBisonsDaims)</f>
        <v>0</v>
      </c>
      <c r="BO75" s="350">
        <f t="array" ref="BO75">IF(Ration_hivernale_complète_bisons[somme]&gt;0,0,IFERROR(IF(OR(AND(INDEX(Règles_bison[Specificite],MATCH(ChoixRationBisons&amp;$BM75,Règles_bison[Ration]&amp;Règles_bison[Aliment],0))="s1",IF($BM75=ChoixSpécificité1Bisons,1)),
INDEX(Règles_bison[Specificite],MATCH(ChoixRationBisons&amp;$BM75,Règles_bison[Ration]&amp;Règles_bison[Aliment],0))="c"),
INDEX(Règles_bison[Valeur 24-36],MATCH(ChoixRationBisons&amp;$BM75,Règles_bison[Ration]&amp;Règles_bison[Aliment],0)),0),0)*TotalBisonsFemelles_24_36_mois*NbreJoursNourrirBisonsDaims)</f>
        <v>0</v>
      </c>
      <c r="BP75" s="350">
        <f t="array" ref="BP75">IF(Ration_hivernale_complète_bisons[somme]&gt;0,0,IFERROR(IF(OR(AND(INDEX(Règles_bison[Specificite],MATCH(ChoixRationBisons&amp;$BM75,Règles_bison[Ration]&amp;Règles_bison[Aliment],0))="s1",IF($BM75=ChoixSpécificité1Bisons,1)),
INDEX(Règles_bison[Specificite],MATCH(ChoixRationBisons&amp;$BM75,Règles_bison[Ration]&amp;Règles_bison[Aliment],0))="c"),
INDEX(Règles_bison[Valeur 18-24],MATCH(ChoixRationBisons&amp;$BM75,Règles_bison[Ration]&amp;Règles_bison[Aliment],0)),0),0)*TotalBisonsFemelles_18_24_mois*NbreJoursNourrirBisonsDaims)</f>
        <v>0</v>
      </c>
      <c r="BQ75" s="350">
        <f t="array" ref="BQ75">IF(Ration_hivernale_complète_bisons[somme]&gt;0,0,IFERROR(IF(OR(AND(INDEX(Règles_bison[Specificite],MATCH(ChoixRationBisons&amp;$BM75,Règles_bison[Ration]&amp;Règles_bison[Aliment],0))="s1",IF($BM75=ChoixSpécificité1Bisons,1)),
INDEX(Règles_bison[Specificite],MATCH(ChoixRationBisons&amp;$BM75,Règles_bison[Ration]&amp;Règles_bison[Aliment],0))="c"),
INDEX(Règles_bison[Valeur 12-18],MATCH(ChoixRationBisons&amp;$BM75,Règles_bison[Ration]&amp;Règles_bison[Aliment],0)),0),0)*TotalBisonsFemelles_12_18_mois*NbreJoursNourrirBisonsDaims)</f>
        <v>0</v>
      </c>
      <c r="BR75" s="350">
        <f t="array" ref="BR75">IF(Ration_hivernale_complète_bisons[somme]&gt;0,0,IFERROR(IF(OR(AND(INDEX(Règles_bison[Specificite],MATCH(ChoixRationBisons&amp;$BM75,Règles_bison[Ration]&amp;Règles_bison[Aliment],0))="s1",IF($BM75=ChoixSpécificité1Bisons,1)),
INDEX(Règles_bison[Specificite],MATCH(ChoixRationBisons&amp;$BM75,Règles_bison[Ration]&amp;Règles_bison[Aliment],0))="c"),
INDEX(Règles_bison[Valeur 6-12],MATCH(ChoixRationBisons&amp;$BM75,Règles_bison[Ration]&amp;Règles_bison[Aliment],0)),0),0)*TotalBisonsFemelles_6_12_mois*NbreJoursNourrirBisonsDaims)</f>
        <v>0</v>
      </c>
      <c r="BS75" s="350">
        <f t="array" ref="BS75">IF(Ration_hivernale_complète_bisons[somme]&gt;0,0,IFERROR(IF(OR(AND(INDEX(Règles_bison[Specificite],MATCH(ChoixRationBisons&amp;$BM75,Règles_bison[Ration]&amp;Règles_bison[Aliment],0))="s1",IF($BM75=ChoixSpécificité1Bisons,1)),
INDEX(Règles_bison[Specificite],MATCH(ChoixRationBisons&amp;$BM75,Règles_bison[Ration]&amp;Règles_bison[Aliment],0))="c"),
INDEX(Règles_bison[Valeur 3-6],MATCH(ChoixRationBisons&amp;$BM75,Règles_bison[Ration]&amp;Règles_bison[Aliment],0)),0),0)*TotalBisonsFemelles_3_6_mois*NbreJoursNourrirBisonsDaims)</f>
        <v>0</v>
      </c>
      <c r="BT75" s="350">
        <f t="array" ref="BT75">IF(Ration_hivernale_complète_bisons[somme]&gt;0,0,IFERROR(IF(OR(AND(INDEX(Règles_bison[Specificite],MATCH(ChoixRationBisons&amp;$BM75,Règles_bison[Ration]&amp;Règles_bison[Aliment],0))="s1",IF($BM75=ChoixSpécificité1Bisons,1)),
INDEX(Règles_bison[Specificite],MATCH(ChoixRationBisons&amp;$BM75,Règles_bison[Ration]&amp;Règles_bison[Aliment],0))="c"),
INDEX(Règles_bison[Valeur 0-3],MATCH(ChoixRationBisons&amp;$BM75,Règles_bison[Ration]&amp;Règles_bison[Aliment],0)),0),0)*TotalBisonsFemelles_0_3_mois*NbreJoursNourrirBisonsDaims)</f>
        <v>0</v>
      </c>
      <c r="BU75" s="350">
        <f t="shared" si="21"/>
        <v>0</v>
      </c>
      <c r="BX75" s="373" t="s">
        <v>514</v>
      </c>
      <c r="BY75" s="280" t="s">
        <v>549</v>
      </c>
      <c r="BZ75" s="280" t="s">
        <v>886</v>
      </c>
      <c r="CA75" s="280">
        <v>6</v>
      </c>
      <c r="CB75" s="280">
        <v>4</v>
      </c>
      <c r="CC75" s="280">
        <v>2</v>
      </c>
      <c r="CD75" s="410">
        <v>0</v>
      </c>
      <c r="CE75" s="304"/>
      <c r="CF75" s="304"/>
      <c r="CG75" s="304"/>
      <c r="CH75" s="304"/>
      <c r="CJ75" s="420" t="s">
        <v>508</v>
      </c>
      <c r="CK75" s="384">
        <f t="array" ref="CK7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75" s="384">
        <f t="array" ref="CL7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75" s="384">
        <f t="array" ref="CM7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75" s="384">
        <f t="array" ref="CN7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75" s="384">
        <f t="array" ref="CO7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75" s="426">
        <f>SUM(AlimentsRationPorcinsMâles[[#This Row],[Valeur 12 et plus]:[Valeur 0-1]])</f>
        <v>0</v>
      </c>
      <c r="CS75" s="420" t="s">
        <v>268</v>
      </c>
      <c r="CT75" s="433">
        <f t="array" ref="CT75">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75" s="433">
        <f t="array" ref="CU75">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75" s="433">
        <f t="array" ref="CV75">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75" s="434">
        <f>SUM(AlimentsRationLapinsMâles[[#This Row],[Valeur 3 et plus]:[Valeur 0-1]])</f>
        <v>0</v>
      </c>
      <c r="CZ75" s="420" t="s">
        <v>268</v>
      </c>
      <c r="DA75" s="433">
        <f t="array" ref="DA7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75" s="433">
        <f t="array" ref="DB7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75" s="433">
        <f t="array" ref="DC7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75" s="434">
        <f>SUM(AlimentsRationVolaillesMâles[[#This Row],[Valeur 6 et plus]:[Valeur 0-1]])</f>
        <v>0</v>
      </c>
      <c r="DE75" s="316"/>
      <c r="DF75" s="277"/>
      <c r="DG75" s="420" t="s">
        <v>57</v>
      </c>
      <c r="DH75" s="433">
        <f t="array" ref="DH7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75" s="433">
        <f t="array" ref="DI7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75" s="433">
        <f t="array" ref="DJ7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75" s="434">
        <f>SUM(AlimentsRationPintadesMâles[[#This Row],[Valeur 9 et plus]:[Valeur 0-1]])</f>
        <v>0</v>
      </c>
      <c r="DL75" s="316"/>
      <c r="DM75" s="316"/>
      <c r="DN75" s="373" t="s">
        <v>509</v>
      </c>
      <c r="DO75" s="280" t="s">
        <v>518</v>
      </c>
      <c r="DP75" s="280" t="s">
        <v>886</v>
      </c>
      <c r="DQ75" s="310">
        <v>20</v>
      </c>
      <c r="DR75" s="310">
        <v>12</v>
      </c>
      <c r="DS75" s="310">
        <v>8</v>
      </c>
      <c r="DT75" s="439">
        <v>4</v>
      </c>
      <c r="DV75" s="298"/>
      <c r="DW75" s="298"/>
      <c r="DX75" s="298"/>
      <c r="DY75" s="298"/>
      <c r="DZ75" s="298"/>
      <c r="EA75" s="298"/>
      <c r="EB75" s="298"/>
      <c r="EC75" s="298"/>
      <c r="ED75" s="298"/>
      <c r="EG75" s="420" t="s">
        <v>232</v>
      </c>
      <c r="EH75" s="433">
        <f t="array" ref="EH7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75" s="433">
        <f t="array" ref="EI7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75" s="433">
        <f t="array" ref="EJ7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75" s="434">
        <f>SUM(AlimentsRationOiesMâles[[#This Row],[Valeur 6 et plus]:[Valeur 0-3]])</f>
        <v>0</v>
      </c>
      <c r="EL75" s="316"/>
      <c r="EN75" s="420" t="s">
        <v>59</v>
      </c>
      <c r="EO75" s="433">
        <f t="array" ref="EO75">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75" s="433">
        <f t="array" ref="EP75">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75" s="433">
        <f t="array" ref="EQ75">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75" s="434">
        <f>SUM(Ration_canards_Mâles[[#This Row],[Valeur 6 et plus]:[Valeur 0-3]])</f>
        <v>0</v>
      </c>
      <c r="ES75" s="316"/>
      <c r="ET75" s="282"/>
      <c r="EU75" s="457" t="s">
        <v>266</v>
      </c>
      <c r="EV75" s="458">
        <f t="array" ref="EV75">IF(OR(ChoixRationComplèteEtéChevauxSelle=OUI,ChoixRationComplèteEtéChevauxSelle="",AND(ChoixChevauxSellePréHiver=OUI,ChoixChevauxSellePréEté=OUI)),0,IFERROR(IF(OR(AND(INDEX(Règles_chevaux_selle[Specificite],MATCH(RationEtéChevauxSelle&amp;$EU75,Règles_chevaux_selle[Ration]&amp;Règles_chevaux_selle[Aliment],0))="s1",IF($EU75=Spécificité1ChevauxSelle,1)),
AND(INDEX(Règles_chevaux_selle[Specificite],MATCH(RationEtéChevauxSelle&amp;$EU75,Règles_chevaux_selle[Ration]&amp;Règles_chevaux_selle[Aliment],0))="s2",IF($EU75=Spécificité2ChevauxSelle,1)),
INDEX(Règles_chevaux_selle[Specificite],MATCH(RationEtéChevauxSelle&amp;$EU75,Règles_chevaux_selle[Ration]&amp;Règles_chevaux_selle[Aliment],0))="c"),
INDEX(Règles_chevaux_selle[Valeur 36 et plus],MATCH(RationEtéChevauxSelle&amp;$EU75,Règles_chevaux_selle[Ration]&amp;Règles_chevaux_selle[Aliment],0)),0),0)*TotalEtalonSelle*NbreJoursNourrirChevauxSelle)</f>
        <v>0</v>
      </c>
      <c r="EW75" s="458">
        <f t="array" ref="EW75">IF(OR(ChoixRationComplèteEtéChevauxSelle=OUI,ChoixRationComplèteEtéChevauxSelle="",AND(ChoixChevauxSellePréHiver=OUI,ChoixChevauxSellePréEté=OUI)),0,IFERROR(IF(OR(AND(INDEX(Règles_chevaux_selle[Specificite],MATCH(RationEtéChevauxSelle&amp;$EU75,Règles_chevaux_selle[Ration]&amp;Règles_chevaux_selle[Aliment],0))="s1",IF($EU75=Spécificité1ChevauxSelle,1)),
AND(INDEX(Règles_chevaux_selle[Specificite],MATCH(RationEtéChevauxSelle&amp;$EU75,Règles_chevaux_selle[Ration]&amp;Règles_chevaux_selle[Aliment],0))="s2",IF($EU75=Spécificité2ChevauxSelle,1)),
INDEX(Règles_chevaux_selle[Specificite],MATCH(RationEtéChevauxSelle&amp;$EU75,Règles_chevaux_selle[Ration]&amp;Règles_chevaux_selle[Aliment],0))="c"),
INDEX(Règles_chevaux_selle[Valeur 24-36],MATCH(RationEtéChevauxSelle&amp;$EU75,Règles_chevaux_selle[Ration]&amp;Règles_chevaux_selle[Aliment],0)),0),0)*TotalJeuneEtalonSelle_24_36_mois*NbreJoursNourrirChevauxSelle)</f>
        <v>0</v>
      </c>
      <c r="EX75" s="458">
        <f t="array" ref="EX75">IF(OR(ChoixRationComplèteEtéChevauxSelle=OUI,ChoixRationComplèteEtéChevauxSelle="",AND(ChoixChevauxSellePréHiver=OUI,ChoixChevauxSellePréEté=OUI)),0,IFERROR(IF(OR(AND(INDEX(Règles_chevaux_selle[Specificite],MATCH(RationEtéChevauxSelle&amp;$EU75,Règles_chevaux_selle[Ration]&amp;Règles_chevaux_selle[Aliment],0))="s1",IF($EU75=Spécificité1ChevauxSelle,1)),
AND(INDEX(Règles_chevaux_selle[Specificite],MATCH(RationEtéChevauxSelle&amp;$EU75,Règles_chevaux_selle[Ration]&amp;Règles_chevaux_selle[Aliment],0))="s2",IF($EU75=Spécificité2ChevauxSelle,1)),
INDEX(Règles_chevaux_selle[Specificite],MATCH(RationEtéChevauxSelle&amp;$EU75,Règles_chevaux_selle[Ration]&amp;Règles_chevaux_selle[Aliment],0))="c"),
INDEX(Règles_chevaux_selle[Valeur 12-24],MATCH(RationEtéChevauxSelle&amp;$EU75,Règles_chevaux_selle[Ration]&amp;Règles_chevaux_selle[Aliment],0)),0),0)*TotalJeuneEtalonSelle_12_24_mois*NbreJoursNourrirChevauxSelle)</f>
        <v>0</v>
      </c>
      <c r="EY75" s="460">
        <f t="array" ref="EY75">IF(OR(ChoixRationComplèteEtéChevauxSelle=OUI,ChoixRationComplèteEtéChevauxSelle="",AND(ChoixChevauxSellePréHiver=OUI,ChoixChevauxSellePréEté=OUI)),0,IFERROR(IF(OR(AND(INDEX(Règles_chevaux_selle[Specificite],MATCH(RationEtéChevauxSelle&amp;$EU75,Règles_chevaux_selle[Ration]&amp;Règles_chevaux_selle[Aliment],0))="s1",IF($EU75=Spécificité1ChevauxSelle,1)),
AND(INDEX(Règles_chevaux_selle[Specificite],MATCH(RationEtéChevauxSelle&amp;$EU75,Règles_chevaux_selle[Ration]&amp;Règles_chevaux_selle[Aliment],0))="s2",IF($EU75=Spécificité2ChevauxSelle,1)),
INDEX(Règles_chevaux_selle[Specificite],MATCH(RationEtéChevauxSelle&amp;$EU75,Règles_chevaux_selle[Ration]&amp;Règles_chevaux_selle[Aliment],0))="c"),
INDEX(Règles_chevaux_selle[Valeur 0-12],MATCH(RationEtéChevauxSelle&amp;$EU75,Règles_chevaux_selle[Ration]&amp;Règles_chevaux_selle[Aliment],0)),0),0)*TotalPoulainSelle_0_12_mois*NbreJoursNourrirChevauxSelle)</f>
        <v>0</v>
      </c>
      <c r="EZ75" s="460">
        <f t="shared" si="16"/>
        <v>0</v>
      </c>
      <c r="FA75" s="298"/>
      <c r="FB75" s="298"/>
      <c r="FD75" s="457" t="s">
        <v>510</v>
      </c>
      <c r="FE75" s="458">
        <f t="array" ref="FE75">IF(OR(ChoixRationComplèteEtéChevauxTrait=OUI,ChoixRationComplèteEtéChevauxTrait="",AND(ChoixChevauxTraitPréHiver=OUI,ChoixChevauxTraitPréEté=OUI)),0,IFERROR(IF(OR(AND(INDEX(Règles_chevaux_trait[Specificite],MATCH(RationEtéChevauxTrait&amp;$FD75,Règles_chevaux_trait[Ration]&amp;Règles_chevaux_trait[Aliment],0))="s1",IF($FD75=Spécificité1ChevauxTrait,1)),
AND(INDEX(Règles_chevaux_trait[Specificite],MATCH(RationEtéChevauxTrait&amp;$FD75,Règles_chevaux_trait[Ration]&amp;Règles_chevaux_trait[Aliment],0))="s2",IF($FD75=Spécificité2ChevauxTrait,1)),
INDEX(Règles_chevaux_trait[Specificite],MATCH(RationEtéChevauxTrait&amp;$FD75,Règles_chevaux_trait[Ration]&amp;Règles_chevaux_trait[Aliment],0))="c"),
INDEX(Règles_chevaux_trait[Valeur 36 et plus],MATCH(RationEtéChevauxTrait&amp;$FD75,Règles_chevaux_trait[Ration]&amp;Règles_chevaux_trait[Aliment],0)),0),0)*TotalEtalonTrait*NbreJoursNourrirChevauxTrait)</f>
        <v>0</v>
      </c>
      <c r="FF75" s="458">
        <f t="array" ref="FF75">IF(OR(ChoixRationComplèteEtéChevauxTrait=OUI,ChoixRationComplèteEtéChevauxTrait="",AND(ChoixChevauxTraitPréHiver=OUI,ChoixChevauxTraitPréEté=OUI)),0,IFERROR(IF(OR(AND(INDEX(Règles_chevaux_trait[Specificite],MATCH(RationEtéChevauxTrait&amp;$FD75,Règles_chevaux_trait[Ration]&amp;Règles_chevaux_trait[Aliment],0))="s1",IF($FD75=Spécificité1ChevauxTrait,1)),
AND(INDEX(Règles_chevaux_trait[Specificite],MATCH(RationEtéChevauxTrait&amp;$FD75,Règles_chevaux_trait[Ration]&amp;Règles_chevaux_trait[Aliment],0))="s2",IF($FD75=Spécificité2ChevauxTrait,1)),
INDEX(Règles_chevaux_trait[Specificite],MATCH(RationEtéChevauxTrait&amp;$FD75,Règles_chevaux_trait[Ration]&amp;Règles_chevaux_trait[Aliment],0))="c"),
INDEX(Règles_chevaux_trait[Valeur 24-36],MATCH(RationEtéChevauxTrait&amp;$FD75,Règles_chevaux_trait[Ration]&amp;Règles_chevaux_trait[Aliment],0)),0),0)*TotalJeuneEtalonTrait_24_36_mois*NbreJoursNourrirChevauxTrait)</f>
        <v>0</v>
      </c>
      <c r="FG75" s="458">
        <f t="array" ref="FG75">IF(OR(ChoixRationComplèteEtéChevauxTrait=OUI,ChoixRationComplèteEtéChevauxTrait="",AND(ChoixChevauxTraitPréHiver=OUI,ChoixChevauxTraitPréEté=OUI)),0,IFERROR(IF(OR(AND(INDEX(Règles_chevaux_trait[Specificite],MATCH(RationEtéChevauxTrait&amp;$FD75,Règles_chevaux_trait[Ration]&amp;Règles_chevaux_trait[Aliment],0))="s1",IF($FD75=Spécificité1ChevauxTrait,1)),
AND(INDEX(Règles_chevaux_trait[Specificite],MATCH(RationEtéChevauxTrait&amp;$FD75,Règles_chevaux_trait[Ration]&amp;Règles_chevaux_trait[Aliment],0))="s2",IF($FD75=Spécificité2ChevauxTrait,1)),
INDEX(Règles_chevaux_trait[Specificite],MATCH(RationEtéChevauxTrait&amp;$FD75,Règles_chevaux_trait[Ration]&amp;Règles_chevaux_trait[Aliment],0))="c"),
INDEX(Règles_chevaux_trait[Valeur 12-24],MATCH(RationEtéChevauxTrait&amp;$FD75,Règles_chevaux_trait[Ration]&amp;Règles_chevaux_trait[Aliment],0)),0),0)*TotalJeuneEtalonTrait_12_24_mois*NbreJoursNourrirChevauxTrait)</f>
        <v>0</v>
      </c>
      <c r="FH75" s="460">
        <f t="array" ref="FH75">IF(OR(ChoixRationComplèteEtéChevauxTrait=OUI,ChoixRationComplèteEtéChevauxTrait="",AND(ChoixChevauxTraitPréHiver=OUI,ChoixChevauxTraitPréEté=OUI)),0,IFERROR(IF(OR(AND(INDEX(Règles_chevaux_trait[Specificite],MATCH(RationEtéChevauxTrait&amp;$FD75,Règles_chevaux_trait[Ration]&amp;Règles_chevaux_trait[Aliment],0))="s1",IF($FD75=Spécificité1ChevauxTrait,1)),
AND(INDEX(Règles_chevaux_trait[Specificite],MATCH(RationEtéChevauxTrait&amp;$FD75,Règles_chevaux_trait[Ration]&amp;Règles_chevaux_trait[Aliment],0))="s2",IF($FD75=Spécificité2ChevauxTrait,1)),
INDEX(Règles_chevaux_trait[Specificite],MATCH(RationEtéChevauxTrait&amp;$FD75,Règles_chevaux_trait[Ration]&amp;Règles_chevaux_trait[Aliment],0))="c"),
INDEX(Règles_chevaux_trait[Valeur 0-12],MATCH(RationEtéChevauxTrait&amp;$FD75,Règles_chevaux_trait[Ration]&amp;Règles_chevaux_trait[Aliment],0)),0),0)*TotalPoulainTrait_0_12_mois*NbreJoursNourrirChevauxTrait)</f>
        <v>0</v>
      </c>
      <c r="FI75" s="460">
        <f t="shared" si="15"/>
        <v>0</v>
      </c>
      <c r="FJ75" s="298"/>
      <c r="FK75" s="298"/>
      <c r="FL75" s="298"/>
      <c r="FM75" s="281"/>
      <c r="FN75" s="457" t="s">
        <v>232</v>
      </c>
      <c r="FO75" s="458">
        <f t="array" ref="FO75">IF(OR(ChoixRationComplèteEtéPoneys=OUI,ChoixRationComplèteEtéPoneys="",AND(ChoixPoneysPréHiver=OUI,ChoixPoneysPréEté=OUI)),0,IFERROR(IF(OR(AND(INDEX(Règles_poneys[Specificite],MATCH(RationEtéPoneys&amp;$FN75,Règles_poneys[Ration]&amp;Règles_poneys[Aliment],0))="s1",IF($FN75=Spécificité1Poneys,1)),
AND(INDEX(Règles_poneys[Specificite],MATCH(RationEtéPoneys&amp;$FN75,Règles_poneys[Ration]&amp;Règles_poneys[Aliment],0))="s2",IF($FN75=Spécificité2Poneys,1)),
INDEX(Règles_poneys[Specificite],MATCH(RationEtéPoneys&amp;$FN75,Règles_poneys[Ration]&amp;Règles_poneys[Aliment],0))="c"),
INDEX(Règles_poneys[Valeur 36 et plus],MATCH(RationEtéPoneys&amp;$FN75,Règles_poneys[Ration]&amp;Règles_poneys[Aliment],0)),0),0)*TotalEtalonPoney*NbreJoursNourrirPoneys)</f>
        <v>0</v>
      </c>
      <c r="FP75" s="458">
        <f t="array" ref="FP75">IF(OR(ChoixRationComplèteEtéPoneys=OUI,ChoixRationComplèteEtéPoneys="",AND(ChoixPoneysPréHiver=OUI,ChoixPoneysPréEté=OUI)),0,IFERROR(IF(OR(AND(INDEX(Règles_poneys[Specificite],MATCH(RationEtéPoneys&amp;$FN75,Règles_poneys[Ration]&amp;Règles_poneys[Aliment],0))="s1",IF($FN75=Spécificité1Poneys,1)),
AND(INDEX(Règles_poneys[Specificite],MATCH(RationEtéPoneys&amp;$FN75,Règles_poneys[Ration]&amp;Règles_poneys[Aliment],0))="s2",IF($FN75=Spécificité2Poneys,1)),
INDEX(Règles_poneys[Specificite],MATCH(RationEtéPoneys&amp;$FN75,Règles_poneys[Ration]&amp;Règles_poneys[Aliment],0))="c"),
INDEX(Règles_poneys[Valeur 36 et plus],MATCH(RationEtéPoneys&amp;$FN75,Règles_poneys[Ration]&amp;Règles_poneys[Aliment],0)),0),0)*TotalJeuneEtalonPoney_24_36_mois*NbreJoursNourrirPoneys)</f>
        <v>0</v>
      </c>
      <c r="FQ75" s="458">
        <f t="array" ref="FQ75">IF(OR(ChoixRationComplèteEtéPoneys=OUI,ChoixRationComplèteEtéPoneys="",AND(ChoixPoneysPréHiver=OUI,ChoixPoneysPréEté=OUI)),0,IFERROR(IF(OR(AND(INDEX(Règles_poneys[Specificite],MATCH(RationEtéPoneys&amp;$FN75,Règles_poneys[Ration]&amp;Règles_poneys[Aliment],0))="s1",IF($FN75=Spécificité1Poneys,1)),
AND(INDEX(Règles_poneys[Specificite],MATCH(RationEtéPoneys&amp;$FN75,Règles_poneys[Ration]&amp;Règles_poneys[Aliment],0))="s2",IF($FN75=Spécificité2Poneys,1)),
INDEX(Règles_poneys[Specificite],MATCH(RationEtéPoneys&amp;$FN75,Règles_poneys[Ration]&amp;Règles_poneys[Aliment],0))="c"),
INDEX(Règles_poneys[Valeur 36 et plus],MATCH(RationEtéPoneys&amp;$FN75,Règles_poneys[Ration]&amp;Règles_poneys[Aliment],0)),0),0)*TotalJeuneEtalonPoney_12_24_mois*NbreJoursNourrirPoneys)</f>
        <v>0</v>
      </c>
      <c r="FR75" s="460">
        <f t="array" ref="FR75">IF(OR(ChoixRationComplèteEtéPoneys=OUI,ChoixRationComplèteEtéPoneys="",AND(ChoixPoneysPréHiver=OUI,ChoixPoneysPréEté=OUI)),0,IFERROR(IF(OR(AND(INDEX(Règles_poneys[Specificite],MATCH(RationEtéPoneys&amp;$FN75,Règles_poneys[Ration]&amp;Règles_poneys[Aliment],0))="s1",IF($FN75=Spécificité1Poneys,1)),
AND(INDEX(Règles_poneys[Specificite],MATCH(RationEtéPoneys&amp;$FN75,Règles_poneys[Ration]&amp;Règles_poneys[Aliment],0))="s2",IF($FN75=Spécificité2Poneys,1)),
INDEX(Règles_poneys[Specificite],MATCH(RationEtéPoneys&amp;$FN75,Règles_poneys[Ration]&amp;Règles_poneys[Aliment],0))="c"),
INDEX(Règles_poneys[Valeur 36 et plus],MATCH(RationEtéPoneys&amp;$FN75,Règles_poneys[Ration]&amp;Règles_poneys[Aliment],0)),0),0)*TotalPoulainPoney_0_12_mois*NbreJoursNourrirPoneys)</f>
        <v>0</v>
      </c>
      <c r="FS75" s="460">
        <f t="shared" si="14"/>
        <v>0</v>
      </c>
      <c r="FU75" s="298"/>
      <c r="FV75" s="298"/>
      <c r="FW75" s="443" t="s">
        <v>70</v>
      </c>
      <c r="FX75" s="450">
        <f t="array" ref="FX75">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75" s="450">
        <f t="array" ref="FY75">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75" s="450">
        <f t="array" ref="FZ75">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75" s="450">
        <f t="array" ref="GA75">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75" s="451">
        <f>SUM(AlimentsGavageOies[[#This Row],[Valeur 6 et plus]:[Valeur 0-1]])</f>
        <v>0</v>
      </c>
      <c r="GC75" s="316"/>
      <c r="GG75" s="276" t="s">
        <v>955</v>
      </c>
      <c r="GH75" s="276" t="s">
        <v>955</v>
      </c>
      <c r="GI75" s="276" t="s">
        <v>955</v>
      </c>
      <c r="GJ75" s="276" t="s">
        <v>955</v>
      </c>
      <c r="GK75" s="276" t="s">
        <v>955</v>
      </c>
      <c r="GL75" s="276" t="s">
        <v>955</v>
      </c>
      <c r="GM75" s="276" t="s">
        <v>955</v>
      </c>
      <c r="GN75" s="276" t="s">
        <v>955</v>
      </c>
      <c r="GO75" s="276" t="s">
        <v>955</v>
      </c>
      <c r="GP75" s="276" t="s">
        <v>955</v>
      </c>
      <c r="GQ75" s="276" t="s">
        <v>955</v>
      </c>
      <c r="GR75" s="276" t="s">
        <v>955</v>
      </c>
      <c r="GS75" s="276" t="s">
        <v>955</v>
      </c>
      <c r="GT75" s="276" t="s">
        <v>955</v>
      </c>
      <c r="GU75" s="276" t="s">
        <v>955</v>
      </c>
      <c r="GV75" s="276" t="s">
        <v>955</v>
      </c>
      <c r="GY75" s="444" t="str">
        <f t="shared" si="11"/>
        <v>semences de soja</v>
      </c>
      <c r="GZ75" s="444"/>
      <c r="HA75" s="342"/>
      <c r="HB75" s="342" t="e">
        <f>IF(COUNTIF(TypeArticleDansEntrepôt,GY75)=0,0,SUMIF(TypeArticleDansEntrepôt,GY75,QtéArticleDansEntrepôt)*VLOOKUP(GY75,#REF!,2,FALSE))</f>
        <v>#REF!</v>
      </c>
      <c r="HN75" s="342" t="e">
        <f>IF(#REF!="","",(VLOOKUP(#REF!,BDD!$HN$5:$HU$38,2,FALSE))*#REF!)</f>
        <v>#REF!</v>
      </c>
      <c r="HO75" s="342" t="e">
        <f>IF(#REF!="","",IF(OR(#REF!=Moutarde,#REF!=Phacélie),0,IF(#REF!=Luzerne,10*#REF!*VLOOKUP(#REF!,BDD!$HN$5:$HU$38,3,FALSE),IF(#REF!=Miscanthus,10.5*#REF!*VLOOKUP(#REF!,BDD!$HN$5:$HU$38,3,FALSE),INDEX(#REF!:#REF!,MATCH(#REF!,#REF!:#REF!,0),MATCH(#REF!,#REF!:#REF!,0))*#REF!*VLOOKUP(#REF!,BDD!$HN$5:$HU$38,3,FALSE)))))</f>
        <v>#REF!</v>
      </c>
      <c r="HP75" s="342" t="e">
        <f>IF(#REF!="","",IF(OR(#REF!=Moutarde,#REF!=Phacélie),0,IF(#REF!=Luzerne,10*#REF!*VLOOKUP(#REF!,BDD!$HN$5:$HU$38,4,FALSE),IF(#REF!=Miscanthus,10.5*#REF!*VLOOKUP(#REF!,BDD!$HN$5:$HU$38,4,FALSE),INDEX(#REF!:#REF!,MATCH(#REF!,#REF!:#REF!,0),MATCH(#REF!,#REF!:#REF!,0))*#REF!*VLOOKUP(#REF!,BDD!$HN$5:$HU$38,4,FALSE)))))</f>
        <v>#REF!</v>
      </c>
      <c r="HQ75" s="342" t="e">
        <f>IF(#REF!="","",IF(OR(#REF!=Moutarde,#REF!=Phacélie),0,IF(#REF!=Luzerne,10*#REF!*VLOOKUP(#REF!,BDD!$HN$5:$HU$38,5,FALSE),IF(#REF!=Miscanthus,10.5*#REF!*VLOOKUP(#REF!,BDD!$HN$5:$HU$38,5,FALSE),INDEX(#REF!:#REF!,MATCH(#REF!,#REF!:#REF!,0),MATCH(#REF!,#REF!:#REF!,0))*#REF!*VLOOKUP(#REF!,BDD!$HN$5:$HU$38,5,FALSE)))))</f>
        <v>#REF!</v>
      </c>
      <c r="HR75" s="342" t="e">
        <f>IF(#REF!="","",IF(OR(#REF!=Moutarde,#REF!=Phacélie),0,IF(#REF!=Luzerne,10*#REF!*VLOOKUP(#REF!,BDD!$HN$5:$HU$38,6,FALSE),IF(#REF!=Miscanthus,10.5*#REF!*VLOOKUP(#REF!,BDD!$HN$5:$HU$38,6,FALSE),INDEX(#REF!:#REF!,MATCH(#REF!,#REF!:#REF!,0),MATCH(#REF!,#REF!:#REF!,0))*#REF!*VLOOKUP(#REF!,BDD!$HN$5:$HU$38,6,FALSE)))))</f>
        <v>#REF!</v>
      </c>
      <c r="HS75" s="342" t="e">
        <f>IF(#REF!="","",IF(OR(#REF!=Moutarde,#REF!=Phacélie),0,IF(#REF!=Luzerne,10*#REF!*VLOOKUP(#REF!,BDD!$HN$5:$HU$38,7,FALSE),IF(#REF!=Miscanthus,10.5*#REF!*VLOOKUP(#REF!,BDD!$HN$5:$HU$38,7,FALSE),INDEX(#REF!:#REF!,MATCH(#REF!,#REF!:#REF!,0),MATCH(#REF!,#REF!:#REF!,0))*#REF!*VLOOKUP(#REF!,BDD!$HN$5:$HU$38,7,FALSE)))))</f>
        <v>#REF!</v>
      </c>
      <c r="HT75" s="342" t="e">
        <f>IF(#REF!="","",IF(OR(#REF!=Moutarde,#REF!=Phacélie),0,IF(#REF!=Luzerne,10*#REF!*VLOOKUP(#REF!,BDD!$HN$5:$HU$38,8,FALSE),IF(#REF!=Miscanthus,10.5*#REF!*VLOOKUP(#REF!,BDD!$HN$5:$HU$38,8,FALSE),INDEX(#REF!:#REF!,MATCH(#REF!,#REF!:#REF!,0),MATCH(#REF!,#REF!:#REF!,0))*#REF!*VLOOKUP(#REF!,BDD!$HN$5:$HU$38,8,FALSE)))))</f>
        <v>#REF!</v>
      </c>
      <c r="HU75" s="342" t="e">
        <f>IF(#REF!="","",IF(OR(#REF!=Moutarde,#REF!=Phacélie),0,1.6*#REF!))</f>
        <v>#REF!</v>
      </c>
      <c r="HV75" s="342" t="e">
        <f>IF(#REF!="","",IF(OR(#REF!=Moutarde,#REF!=Phacélie),0,1.6*#REF!))</f>
        <v>#REF!</v>
      </c>
      <c r="HW75" s="342" t="e">
        <f>IF(#REF!="","",IF(OR(#REF!=Moutarde,#REF!=Phacélie),0,1.6*#REF!))</f>
        <v>#REF!</v>
      </c>
      <c r="HX75" s="342" t="e">
        <f>IF(#REF!="","",(VLOOKUP(#REF!,BDD!$HN$5:$HU$38,2,FALSE))*#REF!)</f>
        <v>#REF!</v>
      </c>
      <c r="HY75" s="342" t="e">
        <f>IF(#REF!="","",IF(OR(#REF!=Moutarde,#REF!=Phacélie),0,IF(#REF!=Luzerne,10*#REF!*VLOOKUP(#REF!,BDD!$HN$5:$HU$38,3,FALSE),IF(#REF!=Miscanthus,10.5*#REF!*VLOOKUP(#REF!,BDD!$HN$5:$HU$38,3,FALSE),INDEX(#REF!:#REF!,MATCH(#REF!,#REF!:#REF!,0),MATCH(#REF!,#REF!:#REF!,0))*#REF!*VLOOKUP(#REF!,BDD!$HN$5:$HU$38,3,FALSE)))))</f>
        <v>#REF!</v>
      </c>
      <c r="HZ75" s="342" t="e">
        <f>IF(#REF!="","",IF(OR(#REF!=Moutarde,#REF!=Phacélie),0,IF(#REF!=Luzerne,10*#REF!*VLOOKUP(#REF!,BDD!$HN$5:$HU$38,4,FALSE),IF(#REF!=Miscanthus,10.5*#REF!*VLOOKUP(#REF!,BDD!$HN$5:$HU$38,4,FALSE),INDEX(#REF!:#REF!,MATCH(#REF!,#REF!:#REF!,0),MATCH(#REF!,#REF!:#REF!,0))*#REF!*VLOOKUP(#REF!,BDD!$HN$5:$HU$38,4,FALSE)))))</f>
        <v>#REF!</v>
      </c>
      <c r="IA75" s="342" t="e">
        <f>IF(#REF!="","",IF(OR(#REF!=Moutarde,#REF!=Phacélie),0,IF(#REF!=Luzerne,10*#REF!*VLOOKUP(#REF!,BDD!$HN$5:$HU$38,5,FALSE),IF(#REF!=Miscanthus,10.5*#REF!*VLOOKUP(#REF!,BDD!$HN$5:$HU$38,5,FALSE),INDEX(#REF!:#REF!,MATCH(#REF!,#REF!:#REF!,0),MATCH(#REF!,#REF!:#REF!,0))*#REF!*VLOOKUP(#REF!,BDD!$HN$5:$HU$38,5,FALSE)))))</f>
        <v>#REF!</v>
      </c>
      <c r="IB75" s="342" t="e">
        <f>IF(#REF!="","",IF(OR(#REF!=Moutarde,#REF!=Phacélie),0,IF(#REF!=Luzerne,10*#REF!*VLOOKUP(#REF!,BDD!$HN$5:$HU$38,6,FALSE),IF(#REF!=Miscanthus,10.5*#REF!*VLOOKUP(#REF!,BDD!$HN$5:$HU$38,6,FALSE),INDEX(#REF!:#REF!,MATCH(#REF!,#REF!:#REF!,0),MATCH(#REF!,#REF!:#REF!,0))*#REF!*VLOOKUP(#REF!,BDD!$HN$5:$HU$38,6,FALSE)))))</f>
        <v>#REF!</v>
      </c>
      <c r="IC75" s="342" t="e">
        <f>IF(#REF!="","",IF(OR(#REF!=Moutarde,#REF!=Phacélie),0,IF(#REF!=Luzerne,10*#REF!*VLOOKUP(#REF!,BDD!$HN$5:$HU$38,7,FALSE),IF(#REF!=Miscanthus,10.5*#REF!*VLOOKUP(#REF!,BDD!$HN$5:$HU$38,7,FALSE),INDEX(#REF!:#REF!,MATCH(#REF!,#REF!:#REF!,0),MATCH(#REF!,#REF!:#REF!,0))*#REF!*VLOOKUP(#REF!,BDD!$HN$5:$HU$38,7,FALSE)))))</f>
        <v>#REF!</v>
      </c>
      <c r="ID75" s="342" t="e">
        <f>IF(#REF!="","",IF(OR(#REF!=Moutarde,#REF!=Phacélie),0,IF(#REF!=Luzerne,10*#REF!*VLOOKUP(#REF!,BDD!$HN$5:$HU$38,8,FALSE),IF(#REF!=Miscanthus,10.5*#REF!*VLOOKUP(#REF!,BDD!$HN$5:$HU$38,8,FALSE),INDEX(#REF!:#REF!,MATCH(#REF!,#REF!:#REF!,0),MATCH(#REF!,#REF!:#REF!,0))*#REF!*VLOOKUP(#REF!,BDD!$HN$5:$HU$38,8,FALSE)))))</f>
        <v>#REF!</v>
      </c>
      <c r="IE75" s="342" t="e">
        <f>IF(#REF!="","",IF(OR(#REF!=Moutarde,#REF!=Phacélie),0,1.6*#REF!))</f>
        <v>#REF!</v>
      </c>
      <c r="IF75" s="342" t="e">
        <f>IF(#REF!="","",IF(OR(#REF!=Moutarde,#REF!=Phacélie),0,1.6*#REF!))</f>
        <v>#REF!</v>
      </c>
      <c r="IG75" s="342" t="e">
        <f>IF(#REF!="","",IF(OR(#REF!=Moutarde,#REF!=Phacélie),0,1.6*#REF!))</f>
        <v>#REF!</v>
      </c>
    </row>
    <row r="76" spans="1:241" ht="12.75" customHeight="1" x14ac:dyDescent="0.2">
      <c r="A76" s="373"/>
      <c r="B76" s="380"/>
      <c r="F76" s="283"/>
      <c r="P76" s="290"/>
      <c r="Q76" s="290"/>
      <c r="R76" s="290"/>
      <c r="S76" s="290"/>
      <c r="T76" s="290"/>
      <c r="U76" s="290"/>
      <c r="V76" s="290"/>
      <c r="W76" s="290"/>
      <c r="Y76" s="385" t="s">
        <v>1115</v>
      </c>
      <c r="Z76" s="385">
        <f>IF('coût alimentation'!$B$6=$Y$76,1,0)</f>
        <v>1</v>
      </c>
      <c r="AA76" s="385">
        <f>IF('coût alimentation'!$B$6=$Y$76,1,0)</f>
        <v>1</v>
      </c>
      <c r="AB76" s="385">
        <f>IF('coût alimentation'!$B$6=$Y$76,1,0)</f>
        <v>1</v>
      </c>
      <c r="AC76" s="385">
        <f>IF('coût alimentation'!$B$6=$Y$76,1,0)</f>
        <v>1</v>
      </c>
      <c r="AD76" s="385">
        <f>IF('coût alimentation'!$B$6=$Y$76,1,0)</f>
        <v>1</v>
      </c>
      <c r="AE76" s="385">
        <f>IF('coût alimentation'!$B$6=$Y$76,1,0)</f>
        <v>1</v>
      </c>
      <c r="AF76" s="385">
        <f>IF('coût alimentation'!$B$6=$Y$76,1,0)</f>
        <v>1</v>
      </c>
      <c r="AG76" s="385">
        <f>IF('coût alimentation'!$B$6=$Y$76,1,0)</f>
        <v>1</v>
      </c>
      <c r="BB76" s="387" t="s">
        <v>511</v>
      </c>
      <c r="BC76" s="362" t="s">
        <v>70</v>
      </c>
      <c r="BD76" s="362" t="s">
        <v>887</v>
      </c>
      <c r="BE76" s="388">
        <v>7.2</v>
      </c>
      <c r="BF76" s="388">
        <v>6</v>
      </c>
      <c r="BG76" s="388">
        <v>4</v>
      </c>
      <c r="BH76" s="388">
        <v>2</v>
      </c>
      <c r="BI76" s="388">
        <v>1.2</v>
      </c>
      <c r="BJ76" s="388">
        <v>0.6</v>
      </c>
      <c r="BK76" s="389">
        <v>0</v>
      </c>
      <c r="BL76" s="312"/>
      <c r="BM76" s="350" t="str">
        <f t="shared" si="22"/>
        <v>Bouchons luzerne</v>
      </c>
      <c r="BN76" s="350">
        <f t="array" ref="BN76">IF(Ration_hivernale_complète_bisons[somme]&gt;0,0,IFERROR(IF(OR(AND(INDEX(Règles_bison[Specificite],MATCH(ChoixRationBisons&amp;$BM76,Règles_bison[Ration]&amp;Règles_bison[Aliment],0))="s1",IF($BM76=ChoixSpécificité1Bisons,1)),
INDEX(Règles_bison[Specificite],MATCH(ChoixRationBisons&amp;$BM76,Règles_bison[Ration]&amp;Règles_bison[Aliment],0))="c"),
INDEX(Règles_bison[Valeur 36 et plus],MATCH(ChoixRationBisons&amp;$BM76,Règles_bison[Ration]&amp;Règles_bison[Aliment],0)),0),0)*TotalBisonnes*NbreJoursNourrirBisonsDaims)</f>
        <v>0</v>
      </c>
      <c r="BO76" s="350">
        <f t="array" ref="BO76">IF(Ration_hivernale_complète_bisons[somme]&gt;0,0,IFERROR(IF(OR(AND(INDEX(Règles_bison[Specificite],MATCH(ChoixRationBisons&amp;$BM76,Règles_bison[Ration]&amp;Règles_bison[Aliment],0))="s1",IF($BM76=ChoixSpécificité1Bisons,1)),
INDEX(Règles_bison[Specificite],MATCH(ChoixRationBisons&amp;$BM76,Règles_bison[Ration]&amp;Règles_bison[Aliment],0))="c"),
INDEX(Règles_bison[Valeur 24-36],MATCH(ChoixRationBisons&amp;$BM76,Règles_bison[Ration]&amp;Règles_bison[Aliment],0)),0),0)*TotalBisonsFemelles_24_36_mois*NbreJoursNourrirBisonsDaims)</f>
        <v>0</v>
      </c>
      <c r="BP76" s="350">
        <f t="array" ref="BP76">IF(Ration_hivernale_complète_bisons[somme]&gt;0,0,IFERROR(IF(OR(AND(INDEX(Règles_bison[Specificite],MATCH(ChoixRationBisons&amp;$BM76,Règles_bison[Ration]&amp;Règles_bison[Aliment],0))="s1",IF($BM76=ChoixSpécificité1Bisons,1)),
INDEX(Règles_bison[Specificite],MATCH(ChoixRationBisons&amp;$BM76,Règles_bison[Ration]&amp;Règles_bison[Aliment],0))="c"),
INDEX(Règles_bison[Valeur 18-24],MATCH(ChoixRationBisons&amp;$BM76,Règles_bison[Ration]&amp;Règles_bison[Aliment],0)),0),0)*TotalBisonsFemelles_18_24_mois*NbreJoursNourrirBisonsDaims)</f>
        <v>0</v>
      </c>
      <c r="BQ76" s="350">
        <f t="array" ref="BQ76">IF(Ration_hivernale_complète_bisons[somme]&gt;0,0,IFERROR(IF(OR(AND(INDEX(Règles_bison[Specificite],MATCH(ChoixRationBisons&amp;$BM76,Règles_bison[Ration]&amp;Règles_bison[Aliment],0))="s1",IF($BM76=ChoixSpécificité1Bisons,1)),
INDEX(Règles_bison[Specificite],MATCH(ChoixRationBisons&amp;$BM76,Règles_bison[Ration]&amp;Règles_bison[Aliment],0))="c"),
INDEX(Règles_bison[Valeur 12-18],MATCH(ChoixRationBisons&amp;$BM76,Règles_bison[Ration]&amp;Règles_bison[Aliment],0)),0),0)*TotalBisonsFemelles_12_18_mois*NbreJoursNourrirBisonsDaims)</f>
        <v>0</v>
      </c>
      <c r="BR76" s="350">
        <f t="array" ref="BR76">IF(Ration_hivernale_complète_bisons[somme]&gt;0,0,IFERROR(IF(OR(AND(INDEX(Règles_bison[Specificite],MATCH(ChoixRationBisons&amp;$BM76,Règles_bison[Ration]&amp;Règles_bison[Aliment],0))="s1",IF($BM76=ChoixSpécificité1Bisons,1)),
INDEX(Règles_bison[Specificite],MATCH(ChoixRationBisons&amp;$BM76,Règles_bison[Ration]&amp;Règles_bison[Aliment],0))="c"),
INDEX(Règles_bison[Valeur 6-12],MATCH(ChoixRationBisons&amp;$BM76,Règles_bison[Ration]&amp;Règles_bison[Aliment],0)),0),0)*TotalBisonsFemelles_6_12_mois*NbreJoursNourrirBisonsDaims)</f>
        <v>0</v>
      </c>
      <c r="BS76" s="350">
        <f t="array" ref="BS76">IF(Ration_hivernale_complète_bisons[somme]&gt;0,0,IFERROR(IF(OR(AND(INDEX(Règles_bison[Specificite],MATCH(ChoixRationBisons&amp;$BM76,Règles_bison[Ration]&amp;Règles_bison[Aliment],0))="s1",IF($BM76=ChoixSpécificité1Bisons,1)),
INDEX(Règles_bison[Specificite],MATCH(ChoixRationBisons&amp;$BM76,Règles_bison[Ration]&amp;Règles_bison[Aliment],0))="c"),
INDEX(Règles_bison[Valeur 3-6],MATCH(ChoixRationBisons&amp;$BM76,Règles_bison[Ration]&amp;Règles_bison[Aliment],0)),0),0)*TotalBisonsFemelles_3_6_mois*NbreJoursNourrirBisonsDaims)</f>
        <v>0</v>
      </c>
      <c r="BT76" s="350">
        <f t="array" ref="BT76">IF(Ration_hivernale_complète_bisons[somme]&gt;0,0,IFERROR(IF(OR(AND(INDEX(Règles_bison[Specificite],MATCH(ChoixRationBisons&amp;$BM76,Règles_bison[Ration]&amp;Règles_bison[Aliment],0))="s1",IF($BM76=ChoixSpécificité1Bisons,1)),
INDEX(Règles_bison[Specificite],MATCH(ChoixRationBisons&amp;$BM76,Règles_bison[Ration]&amp;Règles_bison[Aliment],0))="c"),
INDEX(Règles_bison[Valeur 0-3],MATCH(ChoixRationBisons&amp;$BM76,Règles_bison[Ration]&amp;Règles_bison[Aliment],0)),0),0)*TotalBisonsFemelles_0_3_mois*NbreJoursNourrirBisonsDaims)</f>
        <v>0</v>
      </c>
      <c r="BU76" s="350">
        <f t="shared" si="21"/>
        <v>0</v>
      </c>
      <c r="BW76" s="282"/>
      <c r="BX76" s="373" t="s">
        <v>514</v>
      </c>
      <c r="BY76" s="280" t="s">
        <v>489</v>
      </c>
      <c r="BZ76" s="280" t="s">
        <v>886</v>
      </c>
      <c r="CA76" s="280">
        <v>1.6</v>
      </c>
      <c r="CB76" s="280">
        <v>1.4</v>
      </c>
      <c r="CC76" s="280">
        <v>1.2</v>
      </c>
      <c r="CD76" s="410">
        <v>1</v>
      </c>
      <c r="CE76" s="304"/>
      <c r="CF76" s="304"/>
      <c r="CG76" s="304"/>
      <c r="CH76" s="304"/>
      <c r="CJ76" s="420" t="s">
        <v>378</v>
      </c>
      <c r="CK76" s="384">
        <f t="array" ref="CK7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76" s="384">
        <f t="array" ref="CL7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76" s="384">
        <f t="array" ref="CM7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76" s="384">
        <f t="array" ref="CN7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76" s="384">
        <f t="array" ref="CO7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76" s="426">
        <f>SUM(AlimentsRationPorcinsMâles[[#This Row],[Valeur 12 et plus]:[Valeur 0-1]])</f>
        <v>0</v>
      </c>
      <c r="CS76" s="420" t="s">
        <v>905</v>
      </c>
      <c r="CT76" s="433">
        <f t="array" ref="CT76">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76" s="433">
        <f t="array" ref="CU76">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76" s="433">
        <f t="array" ref="CV76">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76" s="434">
        <f>SUM(AlimentsRationLapinsMâles[[#This Row],[Valeur 3 et plus]:[Valeur 0-1]])</f>
        <v>0</v>
      </c>
      <c r="CZ76" s="420" t="s">
        <v>905</v>
      </c>
      <c r="DA76" s="433">
        <f t="array" ref="DA7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76" s="433">
        <f t="array" ref="DB7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76" s="433">
        <f t="array" ref="DC7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76" s="434">
        <f>SUM(AlimentsRationVolaillesMâles[[#This Row],[Valeur 6 et plus]:[Valeur 0-1]])</f>
        <v>0</v>
      </c>
      <c r="DE76" s="316"/>
      <c r="DF76" s="277"/>
      <c r="DG76" s="420" t="s">
        <v>488</v>
      </c>
      <c r="DH76" s="433">
        <f t="array" ref="DH7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76" s="433">
        <f t="array" ref="DI7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76" s="433">
        <f t="array" ref="DJ7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76" s="434">
        <f>SUM(AlimentsRationPintadesMâles[[#This Row],[Valeur 9 et plus]:[Valeur 0-1]])</f>
        <v>0</v>
      </c>
      <c r="DL76" s="316"/>
      <c r="DM76" s="316"/>
      <c r="DN76" s="373" t="s">
        <v>622</v>
      </c>
      <c r="DO76" s="280" t="s">
        <v>508</v>
      </c>
      <c r="DP76" s="280" t="s">
        <v>886</v>
      </c>
      <c r="DQ76" s="310"/>
      <c r="DR76" s="310"/>
      <c r="DS76" s="310"/>
      <c r="DT76" s="439"/>
      <c r="DU76" s="298"/>
      <c r="DV76" s="229" t="s">
        <v>1195</v>
      </c>
      <c r="DW76" s="229"/>
      <c r="DX76" s="229"/>
      <c r="DY76" s="229"/>
      <c r="DZ76" s="298"/>
      <c r="EA76" s="298"/>
      <c r="EB76" s="298"/>
      <c r="EC76" s="298"/>
      <c r="ED76" s="298"/>
      <c r="EE76" s="320"/>
      <c r="EG76" s="420" t="s">
        <v>59</v>
      </c>
      <c r="EH76" s="433">
        <f t="array" ref="EH7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76" s="433">
        <f t="array" ref="EI7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76" s="433">
        <f t="array" ref="EJ7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76" s="434">
        <f>SUM(AlimentsRationOiesMâles[[#This Row],[Valeur 6 et plus]:[Valeur 0-3]])</f>
        <v>0</v>
      </c>
      <c r="EL76" s="316"/>
      <c r="EN76" s="420" t="s">
        <v>906</v>
      </c>
      <c r="EO76" s="433">
        <f t="array" ref="EO76">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76" s="433">
        <f t="array" ref="EP76">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76" s="433">
        <f t="array" ref="EQ76">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76" s="434">
        <f>SUM(Ration_canards_Mâles[[#This Row],[Valeur 6 et plus]:[Valeur 0-3]])</f>
        <v>0</v>
      </c>
      <c r="ES76" s="316"/>
      <c r="ET76" s="282"/>
      <c r="EU76" s="457" t="s">
        <v>267</v>
      </c>
      <c r="EV76" s="458">
        <f t="array" ref="EV76">IF(OR(ChoixRationComplèteEtéChevauxSelle=OUI,ChoixRationComplèteEtéChevauxSelle="",AND(ChoixChevauxSellePréHiver=OUI,ChoixChevauxSellePréEté=OUI)),0,IFERROR(IF(OR(AND(INDEX(Règles_chevaux_selle[Specificite],MATCH(RationEtéChevauxSelle&amp;$EU76,Règles_chevaux_selle[Ration]&amp;Règles_chevaux_selle[Aliment],0))="s1",IF($EU76=Spécificité1ChevauxSelle,1)),
AND(INDEX(Règles_chevaux_selle[Specificite],MATCH(RationEtéChevauxSelle&amp;$EU76,Règles_chevaux_selle[Ration]&amp;Règles_chevaux_selle[Aliment],0))="s2",IF($EU76=Spécificité2ChevauxSelle,1)),
INDEX(Règles_chevaux_selle[Specificite],MATCH(RationEtéChevauxSelle&amp;$EU76,Règles_chevaux_selle[Ration]&amp;Règles_chevaux_selle[Aliment],0))="c"),
INDEX(Règles_chevaux_selle[Valeur 36 et plus],MATCH(RationEtéChevauxSelle&amp;$EU76,Règles_chevaux_selle[Ration]&amp;Règles_chevaux_selle[Aliment],0)),0),0)*TotalEtalonSelle*NbreJoursNourrirChevauxSelle)</f>
        <v>0</v>
      </c>
      <c r="EW76" s="458">
        <f t="array" ref="EW76">IF(OR(ChoixRationComplèteEtéChevauxSelle=OUI,ChoixRationComplèteEtéChevauxSelle="",AND(ChoixChevauxSellePréHiver=OUI,ChoixChevauxSellePréEté=OUI)),0,IFERROR(IF(OR(AND(INDEX(Règles_chevaux_selle[Specificite],MATCH(RationEtéChevauxSelle&amp;$EU76,Règles_chevaux_selle[Ration]&amp;Règles_chevaux_selle[Aliment],0))="s1",IF($EU76=Spécificité1ChevauxSelle,1)),
AND(INDEX(Règles_chevaux_selle[Specificite],MATCH(RationEtéChevauxSelle&amp;$EU76,Règles_chevaux_selle[Ration]&amp;Règles_chevaux_selle[Aliment],0))="s2",IF($EU76=Spécificité2ChevauxSelle,1)),
INDEX(Règles_chevaux_selle[Specificite],MATCH(RationEtéChevauxSelle&amp;$EU76,Règles_chevaux_selle[Ration]&amp;Règles_chevaux_selle[Aliment],0))="c"),
INDEX(Règles_chevaux_selle[Valeur 24-36],MATCH(RationEtéChevauxSelle&amp;$EU76,Règles_chevaux_selle[Ration]&amp;Règles_chevaux_selle[Aliment],0)),0),0)*TotalJeuneEtalonSelle_24_36_mois*NbreJoursNourrirChevauxSelle)</f>
        <v>0</v>
      </c>
      <c r="EX76" s="458">
        <f t="array" ref="EX76">IF(OR(ChoixRationComplèteEtéChevauxSelle=OUI,ChoixRationComplèteEtéChevauxSelle="",AND(ChoixChevauxSellePréHiver=OUI,ChoixChevauxSellePréEté=OUI)),0,IFERROR(IF(OR(AND(INDEX(Règles_chevaux_selle[Specificite],MATCH(RationEtéChevauxSelle&amp;$EU76,Règles_chevaux_selle[Ration]&amp;Règles_chevaux_selle[Aliment],0))="s1",IF($EU76=Spécificité1ChevauxSelle,1)),
AND(INDEX(Règles_chevaux_selle[Specificite],MATCH(RationEtéChevauxSelle&amp;$EU76,Règles_chevaux_selle[Ration]&amp;Règles_chevaux_selle[Aliment],0))="s2",IF($EU76=Spécificité2ChevauxSelle,1)),
INDEX(Règles_chevaux_selle[Specificite],MATCH(RationEtéChevauxSelle&amp;$EU76,Règles_chevaux_selle[Ration]&amp;Règles_chevaux_selle[Aliment],0))="c"),
INDEX(Règles_chevaux_selle[Valeur 12-24],MATCH(RationEtéChevauxSelle&amp;$EU76,Règles_chevaux_selle[Ration]&amp;Règles_chevaux_selle[Aliment],0)),0),0)*TotalJeuneEtalonSelle_12_24_mois*NbreJoursNourrirChevauxSelle)</f>
        <v>0</v>
      </c>
      <c r="EY76" s="460">
        <f t="array" ref="EY76">IF(OR(ChoixRationComplèteEtéChevauxSelle=OUI,ChoixRationComplèteEtéChevauxSelle="",AND(ChoixChevauxSellePréHiver=OUI,ChoixChevauxSellePréEté=OUI)),0,IFERROR(IF(OR(AND(INDEX(Règles_chevaux_selle[Specificite],MATCH(RationEtéChevauxSelle&amp;$EU76,Règles_chevaux_selle[Ration]&amp;Règles_chevaux_selle[Aliment],0))="s1",IF($EU76=Spécificité1ChevauxSelle,1)),
AND(INDEX(Règles_chevaux_selle[Specificite],MATCH(RationEtéChevauxSelle&amp;$EU76,Règles_chevaux_selle[Ration]&amp;Règles_chevaux_selle[Aliment],0))="s2",IF($EU76=Spécificité2ChevauxSelle,1)),
INDEX(Règles_chevaux_selle[Specificite],MATCH(RationEtéChevauxSelle&amp;$EU76,Règles_chevaux_selle[Ration]&amp;Règles_chevaux_selle[Aliment],0))="c"),
INDEX(Règles_chevaux_selle[Valeur 0-12],MATCH(RationEtéChevauxSelle&amp;$EU76,Règles_chevaux_selle[Ration]&amp;Règles_chevaux_selle[Aliment],0)),0),0)*TotalPoulainSelle_0_12_mois*NbreJoursNourrirChevauxSelle)</f>
        <v>0</v>
      </c>
      <c r="EZ76" s="460">
        <f t="shared" si="16"/>
        <v>0</v>
      </c>
      <c r="FA76" s="298"/>
      <c r="FB76" s="298"/>
      <c r="FD76" s="457" t="s">
        <v>232</v>
      </c>
      <c r="FE76" s="458">
        <f t="array" ref="FE76">IF(OR(ChoixRationComplèteEtéChevauxTrait=OUI,ChoixRationComplèteEtéChevauxTrait="",AND(ChoixChevauxTraitPréHiver=OUI,ChoixChevauxTraitPréEté=OUI)),0,IFERROR(IF(OR(AND(INDEX(Règles_chevaux_trait[Specificite],MATCH(RationEtéChevauxTrait&amp;$FD76,Règles_chevaux_trait[Ration]&amp;Règles_chevaux_trait[Aliment],0))="s1",IF($FD76=Spécificité1ChevauxTrait,1)),
AND(INDEX(Règles_chevaux_trait[Specificite],MATCH(RationEtéChevauxTrait&amp;$FD76,Règles_chevaux_trait[Ration]&amp;Règles_chevaux_trait[Aliment],0))="s2",IF($FD76=Spécificité2ChevauxTrait,1)),
INDEX(Règles_chevaux_trait[Specificite],MATCH(RationEtéChevauxTrait&amp;$FD76,Règles_chevaux_trait[Ration]&amp;Règles_chevaux_trait[Aliment],0))="c"),
INDEX(Règles_chevaux_trait[Valeur 36 et plus],MATCH(RationEtéChevauxTrait&amp;$FD76,Règles_chevaux_trait[Ration]&amp;Règles_chevaux_trait[Aliment],0)),0),0)*TotalEtalonTrait*NbreJoursNourrirChevauxTrait)</f>
        <v>0</v>
      </c>
      <c r="FF76" s="458">
        <f t="array" ref="FF76">IF(OR(ChoixRationComplèteEtéChevauxTrait=OUI,ChoixRationComplèteEtéChevauxTrait="",AND(ChoixChevauxTraitPréHiver=OUI,ChoixChevauxTraitPréEté=OUI)),0,IFERROR(IF(OR(AND(INDEX(Règles_chevaux_trait[Specificite],MATCH(RationEtéChevauxTrait&amp;$FD76,Règles_chevaux_trait[Ration]&amp;Règles_chevaux_trait[Aliment],0))="s1",IF($FD76=Spécificité1ChevauxTrait,1)),
AND(INDEX(Règles_chevaux_trait[Specificite],MATCH(RationEtéChevauxTrait&amp;$FD76,Règles_chevaux_trait[Ration]&amp;Règles_chevaux_trait[Aliment],0))="s2",IF($FD76=Spécificité2ChevauxTrait,1)),
INDEX(Règles_chevaux_trait[Specificite],MATCH(RationEtéChevauxTrait&amp;$FD76,Règles_chevaux_trait[Ration]&amp;Règles_chevaux_trait[Aliment],0))="c"),
INDEX(Règles_chevaux_trait[Valeur 24-36],MATCH(RationEtéChevauxTrait&amp;$FD76,Règles_chevaux_trait[Ration]&amp;Règles_chevaux_trait[Aliment],0)),0),0)*TotalJeuneEtalonTrait_24_36_mois*NbreJoursNourrirChevauxTrait)</f>
        <v>0</v>
      </c>
      <c r="FG76" s="458">
        <f t="array" ref="FG76">IF(OR(ChoixRationComplèteEtéChevauxTrait=OUI,ChoixRationComplèteEtéChevauxTrait="",AND(ChoixChevauxTraitPréHiver=OUI,ChoixChevauxTraitPréEté=OUI)),0,IFERROR(IF(OR(AND(INDEX(Règles_chevaux_trait[Specificite],MATCH(RationEtéChevauxTrait&amp;$FD76,Règles_chevaux_trait[Ration]&amp;Règles_chevaux_trait[Aliment],0))="s1",IF($FD76=Spécificité1ChevauxTrait,1)),
AND(INDEX(Règles_chevaux_trait[Specificite],MATCH(RationEtéChevauxTrait&amp;$FD76,Règles_chevaux_trait[Ration]&amp;Règles_chevaux_trait[Aliment],0))="s2",IF($FD76=Spécificité2ChevauxTrait,1)),
INDEX(Règles_chevaux_trait[Specificite],MATCH(RationEtéChevauxTrait&amp;$FD76,Règles_chevaux_trait[Ration]&amp;Règles_chevaux_trait[Aliment],0))="c"),
INDEX(Règles_chevaux_trait[Valeur 12-24],MATCH(RationEtéChevauxTrait&amp;$FD76,Règles_chevaux_trait[Ration]&amp;Règles_chevaux_trait[Aliment],0)),0),0)*TotalJeuneEtalonTrait_12_24_mois*NbreJoursNourrirChevauxTrait)</f>
        <v>0</v>
      </c>
      <c r="FH76" s="460">
        <f t="array" ref="FH76">IF(OR(ChoixRationComplèteEtéChevauxTrait=OUI,ChoixRationComplèteEtéChevauxTrait="",AND(ChoixChevauxTraitPréHiver=OUI,ChoixChevauxTraitPréEté=OUI)),0,IFERROR(IF(OR(AND(INDEX(Règles_chevaux_trait[Specificite],MATCH(RationEtéChevauxTrait&amp;$FD76,Règles_chevaux_trait[Ration]&amp;Règles_chevaux_trait[Aliment],0))="s1",IF($FD76=Spécificité1ChevauxTrait,1)),
AND(INDEX(Règles_chevaux_trait[Specificite],MATCH(RationEtéChevauxTrait&amp;$FD76,Règles_chevaux_trait[Ration]&amp;Règles_chevaux_trait[Aliment],0))="s2",IF($FD76=Spécificité2ChevauxTrait,1)),
INDEX(Règles_chevaux_trait[Specificite],MATCH(RationEtéChevauxTrait&amp;$FD76,Règles_chevaux_trait[Ration]&amp;Règles_chevaux_trait[Aliment],0))="c"),
INDEX(Règles_chevaux_trait[Valeur 0-12],MATCH(RationEtéChevauxTrait&amp;$FD76,Règles_chevaux_trait[Ration]&amp;Règles_chevaux_trait[Aliment],0)),0),0)*TotalPoulainTrait_0_12_mois*NbreJoursNourrirChevauxTrait)</f>
        <v>0</v>
      </c>
      <c r="FI76" s="460">
        <f t="shared" si="15"/>
        <v>0</v>
      </c>
      <c r="FK76" s="298"/>
      <c r="FN76" s="457" t="s">
        <v>59</v>
      </c>
      <c r="FO76" s="458">
        <f t="array" ref="FO76">IF(OR(ChoixRationComplèteEtéPoneys=OUI,ChoixRationComplèteEtéPoneys="",AND(ChoixPoneysPréHiver=OUI,ChoixPoneysPréEté=OUI)),0,IFERROR(IF(OR(AND(INDEX(Règles_poneys[Specificite],MATCH(RationEtéPoneys&amp;$FN76,Règles_poneys[Ration]&amp;Règles_poneys[Aliment],0))="s1",IF($FN76=Spécificité1Poneys,1)),
AND(INDEX(Règles_poneys[Specificite],MATCH(RationEtéPoneys&amp;$FN76,Règles_poneys[Ration]&amp;Règles_poneys[Aliment],0))="s2",IF($FN76=Spécificité2Poneys,1)),
INDEX(Règles_poneys[Specificite],MATCH(RationEtéPoneys&amp;$FN76,Règles_poneys[Ration]&amp;Règles_poneys[Aliment],0))="c"),
INDEX(Règles_poneys[Valeur 36 et plus],MATCH(RationEtéPoneys&amp;$FN76,Règles_poneys[Ration]&amp;Règles_poneys[Aliment],0)),0),0)*TotalEtalonPoney*NbreJoursNourrirPoneys)</f>
        <v>0</v>
      </c>
      <c r="FP76" s="458">
        <f t="array" ref="FP76">IF(OR(ChoixRationComplèteEtéPoneys=OUI,ChoixRationComplèteEtéPoneys="",AND(ChoixPoneysPréHiver=OUI,ChoixPoneysPréEté=OUI)),0,IFERROR(IF(OR(AND(INDEX(Règles_poneys[Specificite],MATCH(RationEtéPoneys&amp;$FN76,Règles_poneys[Ration]&amp;Règles_poneys[Aliment],0))="s1",IF($FN76=Spécificité1Poneys,1)),
AND(INDEX(Règles_poneys[Specificite],MATCH(RationEtéPoneys&amp;$FN76,Règles_poneys[Ration]&amp;Règles_poneys[Aliment],0))="s2",IF($FN76=Spécificité2Poneys,1)),
INDEX(Règles_poneys[Specificite],MATCH(RationEtéPoneys&amp;$FN76,Règles_poneys[Ration]&amp;Règles_poneys[Aliment],0))="c"),
INDEX(Règles_poneys[Valeur 36 et plus],MATCH(RationEtéPoneys&amp;$FN76,Règles_poneys[Ration]&amp;Règles_poneys[Aliment],0)),0),0)*TotalJeuneEtalonPoney_24_36_mois*NbreJoursNourrirPoneys)</f>
        <v>0</v>
      </c>
      <c r="FQ76" s="458">
        <f t="array" ref="FQ76">IF(OR(ChoixRationComplèteEtéPoneys=OUI,ChoixRationComplèteEtéPoneys="",AND(ChoixPoneysPréHiver=OUI,ChoixPoneysPréEté=OUI)),0,IFERROR(IF(OR(AND(INDEX(Règles_poneys[Specificite],MATCH(RationEtéPoneys&amp;$FN76,Règles_poneys[Ration]&amp;Règles_poneys[Aliment],0))="s1",IF($FN76=Spécificité1Poneys,1)),
AND(INDEX(Règles_poneys[Specificite],MATCH(RationEtéPoneys&amp;$FN76,Règles_poneys[Ration]&amp;Règles_poneys[Aliment],0))="s2",IF($FN76=Spécificité2Poneys,1)),
INDEX(Règles_poneys[Specificite],MATCH(RationEtéPoneys&amp;$FN76,Règles_poneys[Ration]&amp;Règles_poneys[Aliment],0))="c"),
INDEX(Règles_poneys[Valeur 36 et plus],MATCH(RationEtéPoneys&amp;$FN76,Règles_poneys[Ration]&amp;Règles_poneys[Aliment],0)),0),0)*TotalJeuneEtalonPoney_12_24_mois*NbreJoursNourrirPoneys)</f>
        <v>0</v>
      </c>
      <c r="FR76" s="460">
        <f t="array" ref="FR76">IF(OR(ChoixRationComplèteEtéPoneys=OUI,ChoixRationComplèteEtéPoneys="",AND(ChoixPoneysPréHiver=OUI,ChoixPoneysPréEté=OUI)),0,IFERROR(IF(OR(AND(INDEX(Règles_poneys[Specificite],MATCH(RationEtéPoneys&amp;$FN76,Règles_poneys[Ration]&amp;Règles_poneys[Aliment],0))="s1",IF($FN76=Spécificité1Poneys,1)),
AND(INDEX(Règles_poneys[Specificite],MATCH(RationEtéPoneys&amp;$FN76,Règles_poneys[Ration]&amp;Règles_poneys[Aliment],0))="s2",IF($FN76=Spécificité2Poneys,1)),
INDEX(Règles_poneys[Specificite],MATCH(RationEtéPoneys&amp;$FN76,Règles_poneys[Ration]&amp;Règles_poneys[Aliment],0))="c"),
INDEX(Règles_poneys[Valeur 36 et plus],MATCH(RationEtéPoneys&amp;$FN76,Règles_poneys[Ration]&amp;Règles_poneys[Aliment],0)),0),0)*TotalPoulainPoney_0_12_mois*NbreJoursNourrirPoneys)</f>
        <v>0</v>
      </c>
      <c r="FS76" s="460">
        <f t="shared" si="14"/>
        <v>0</v>
      </c>
      <c r="FU76" s="298"/>
      <c r="FV76" s="298"/>
      <c r="FW76" s="443"/>
      <c r="FX76" s="450">
        <f t="array" ref="FX76">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76" s="450">
        <f t="array" ref="FY76">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76" s="450">
        <f t="array" ref="FZ76">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76" s="450">
        <f t="array" ref="GA76">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76" s="451">
        <f>SUM(AlimentsGavageOies[[#This Row],[Valeur 6 et plus]:[Valeur 0-1]])</f>
        <v>0</v>
      </c>
      <c r="GC76" s="316"/>
      <c r="GG76" s="276" t="s">
        <v>955</v>
      </c>
      <c r="GH76" s="276" t="s">
        <v>955</v>
      </c>
      <c r="GI76" s="276" t="s">
        <v>955</v>
      </c>
      <c r="GJ76" s="276" t="s">
        <v>955</v>
      </c>
      <c r="GK76" s="276" t="s">
        <v>955</v>
      </c>
      <c r="GL76" s="276" t="s">
        <v>955</v>
      </c>
      <c r="GM76" s="276" t="s">
        <v>955</v>
      </c>
      <c r="GN76" s="276" t="s">
        <v>955</v>
      </c>
      <c r="GO76" s="276" t="s">
        <v>955</v>
      </c>
      <c r="GP76" s="276" t="s">
        <v>955</v>
      </c>
      <c r="GQ76" s="276" t="s">
        <v>955</v>
      </c>
      <c r="GR76" s="276" t="s">
        <v>955</v>
      </c>
      <c r="GS76" s="276" t="s">
        <v>955</v>
      </c>
      <c r="GT76" s="276" t="s">
        <v>955</v>
      </c>
      <c r="GU76" s="276" t="s">
        <v>955</v>
      </c>
      <c r="GV76" s="276" t="s">
        <v>955</v>
      </c>
      <c r="GY76" s="444" t="str">
        <f t="shared" si="11"/>
        <v>semences de tabac</v>
      </c>
      <c r="GZ76" s="444"/>
      <c r="HA76" s="342"/>
      <c r="HB76" s="342" t="e">
        <f>IF(COUNTIF(TypeArticleDansEntrepôt,GY76)=0,0,SUMIF(TypeArticleDansEntrepôt,GY76,QtéArticleDansEntrepôt)*VLOOKUP(GY76,#REF!,2,FALSE))</f>
        <v>#REF!</v>
      </c>
      <c r="HN76" s="342" t="e">
        <f>IF(#REF!="","",(VLOOKUP(#REF!,BDD!$HN$5:$HU$38,2,FALSE))*#REF!)</f>
        <v>#REF!</v>
      </c>
      <c r="HO76" s="342" t="e">
        <f>IF(#REF!="","",IF(OR(#REF!=Moutarde,#REF!=Phacélie),0,IF(#REF!=Luzerne,10*#REF!*VLOOKUP(#REF!,BDD!$HN$5:$HU$38,3,FALSE),IF(#REF!=Miscanthus,10.5*#REF!*VLOOKUP(#REF!,BDD!$HN$5:$HU$38,3,FALSE),INDEX(#REF!:#REF!,MATCH(#REF!,#REF!:#REF!,0),MATCH(#REF!,#REF!:#REF!,0))*#REF!*VLOOKUP(#REF!,BDD!$HN$5:$HU$38,3,FALSE)))))</f>
        <v>#REF!</v>
      </c>
      <c r="HP76" s="342" t="e">
        <f>IF(#REF!="","",IF(OR(#REF!=Moutarde,#REF!=Phacélie),0,IF(#REF!=Luzerne,10*#REF!*VLOOKUP(#REF!,BDD!$HN$5:$HU$38,4,FALSE),IF(#REF!=Miscanthus,10.5*#REF!*VLOOKUP(#REF!,BDD!$HN$5:$HU$38,4,FALSE),INDEX(#REF!:#REF!,MATCH(#REF!,#REF!:#REF!,0),MATCH(#REF!,#REF!:#REF!,0))*#REF!*VLOOKUP(#REF!,BDD!$HN$5:$HU$38,4,FALSE)))))</f>
        <v>#REF!</v>
      </c>
      <c r="HQ76" s="342" t="e">
        <f>IF(#REF!="","",IF(OR(#REF!=Moutarde,#REF!=Phacélie),0,IF(#REF!=Luzerne,10*#REF!*VLOOKUP(#REF!,BDD!$HN$5:$HU$38,5,FALSE),IF(#REF!=Miscanthus,10.5*#REF!*VLOOKUP(#REF!,BDD!$HN$5:$HU$38,5,FALSE),INDEX(#REF!:#REF!,MATCH(#REF!,#REF!:#REF!,0),MATCH(#REF!,#REF!:#REF!,0))*#REF!*VLOOKUP(#REF!,BDD!$HN$5:$HU$38,5,FALSE)))))</f>
        <v>#REF!</v>
      </c>
      <c r="HR76" s="342" t="e">
        <f>IF(#REF!="","",IF(OR(#REF!=Moutarde,#REF!=Phacélie),0,IF(#REF!=Luzerne,10*#REF!*VLOOKUP(#REF!,BDD!$HN$5:$HU$38,6,FALSE),IF(#REF!=Miscanthus,10.5*#REF!*VLOOKUP(#REF!,BDD!$HN$5:$HU$38,6,FALSE),INDEX(#REF!:#REF!,MATCH(#REF!,#REF!:#REF!,0),MATCH(#REF!,#REF!:#REF!,0))*#REF!*VLOOKUP(#REF!,BDD!$HN$5:$HU$38,6,FALSE)))))</f>
        <v>#REF!</v>
      </c>
      <c r="HS76" s="342" t="e">
        <f>IF(#REF!="","",IF(OR(#REF!=Moutarde,#REF!=Phacélie),0,IF(#REF!=Luzerne,10*#REF!*VLOOKUP(#REF!,BDD!$HN$5:$HU$38,7,FALSE),IF(#REF!=Miscanthus,10.5*#REF!*VLOOKUP(#REF!,BDD!$HN$5:$HU$38,7,FALSE),INDEX(#REF!:#REF!,MATCH(#REF!,#REF!:#REF!,0),MATCH(#REF!,#REF!:#REF!,0))*#REF!*VLOOKUP(#REF!,BDD!$HN$5:$HU$38,7,FALSE)))))</f>
        <v>#REF!</v>
      </c>
      <c r="HT76" s="342" t="e">
        <f>IF(#REF!="","",IF(OR(#REF!=Moutarde,#REF!=Phacélie),0,IF(#REF!=Luzerne,10*#REF!*VLOOKUP(#REF!,BDD!$HN$5:$HU$38,8,FALSE),IF(#REF!=Miscanthus,10.5*#REF!*VLOOKUP(#REF!,BDD!$HN$5:$HU$38,8,FALSE),INDEX(#REF!:#REF!,MATCH(#REF!,#REF!:#REF!,0),MATCH(#REF!,#REF!:#REF!,0))*#REF!*VLOOKUP(#REF!,BDD!$HN$5:$HU$38,8,FALSE)))))</f>
        <v>#REF!</v>
      </c>
      <c r="HU76" s="342" t="e">
        <f>IF(#REF!="","",IF(OR(#REF!=Moutarde,#REF!=Phacélie),0,1.6*#REF!))</f>
        <v>#REF!</v>
      </c>
      <c r="HV76" s="342" t="e">
        <f>IF(#REF!="","",IF(OR(#REF!=Moutarde,#REF!=Phacélie),0,1.6*#REF!))</f>
        <v>#REF!</v>
      </c>
      <c r="HW76" s="342" t="e">
        <f>IF(#REF!="","",IF(OR(#REF!=Moutarde,#REF!=Phacélie),0,1.6*#REF!))</f>
        <v>#REF!</v>
      </c>
      <c r="HX76" s="342" t="e">
        <f>IF(#REF!="","",(VLOOKUP(#REF!,BDD!$HN$5:$HU$38,2,FALSE))*#REF!)</f>
        <v>#REF!</v>
      </c>
      <c r="HY76" s="342" t="e">
        <f>IF(#REF!="","",IF(OR(#REF!=Moutarde,#REF!=Phacélie),0,IF(#REF!=Luzerne,10*#REF!*VLOOKUP(#REF!,BDD!$HN$5:$HU$38,3,FALSE),IF(#REF!=Miscanthus,10.5*#REF!*VLOOKUP(#REF!,BDD!$HN$5:$HU$38,3,FALSE),INDEX(#REF!:#REF!,MATCH(#REF!,#REF!:#REF!,0),MATCH(#REF!,#REF!:#REF!,0))*#REF!*VLOOKUP(#REF!,BDD!$HN$5:$HU$38,3,FALSE)))))</f>
        <v>#REF!</v>
      </c>
      <c r="HZ76" s="342" t="e">
        <f>IF(#REF!="","",IF(OR(#REF!=Moutarde,#REF!=Phacélie),0,IF(#REF!=Luzerne,10*#REF!*VLOOKUP(#REF!,BDD!$HN$5:$HU$38,4,FALSE),IF(#REF!=Miscanthus,10.5*#REF!*VLOOKUP(#REF!,BDD!$HN$5:$HU$38,4,FALSE),INDEX(#REF!:#REF!,MATCH(#REF!,#REF!:#REF!,0),MATCH(#REF!,#REF!:#REF!,0))*#REF!*VLOOKUP(#REF!,BDD!$HN$5:$HU$38,4,FALSE)))))</f>
        <v>#REF!</v>
      </c>
      <c r="IA76" s="342" t="e">
        <f>IF(#REF!="","",IF(OR(#REF!=Moutarde,#REF!=Phacélie),0,IF(#REF!=Luzerne,10*#REF!*VLOOKUP(#REF!,BDD!$HN$5:$HU$38,5,FALSE),IF(#REF!=Miscanthus,10.5*#REF!*VLOOKUP(#REF!,BDD!$HN$5:$HU$38,5,FALSE),INDEX(#REF!:#REF!,MATCH(#REF!,#REF!:#REF!,0),MATCH(#REF!,#REF!:#REF!,0))*#REF!*VLOOKUP(#REF!,BDD!$HN$5:$HU$38,5,FALSE)))))</f>
        <v>#REF!</v>
      </c>
      <c r="IB76" s="342" t="e">
        <f>IF(#REF!="","",IF(OR(#REF!=Moutarde,#REF!=Phacélie),0,IF(#REF!=Luzerne,10*#REF!*VLOOKUP(#REF!,BDD!$HN$5:$HU$38,6,FALSE),IF(#REF!=Miscanthus,10.5*#REF!*VLOOKUP(#REF!,BDD!$HN$5:$HU$38,6,FALSE),INDEX(#REF!:#REF!,MATCH(#REF!,#REF!:#REF!,0),MATCH(#REF!,#REF!:#REF!,0))*#REF!*VLOOKUP(#REF!,BDD!$HN$5:$HU$38,6,FALSE)))))</f>
        <v>#REF!</v>
      </c>
      <c r="IC76" s="342" t="e">
        <f>IF(#REF!="","",IF(OR(#REF!=Moutarde,#REF!=Phacélie),0,IF(#REF!=Luzerne,10*#REF!*VLOOKUP(#REF!,BDD!$HN$5:$HU$38,7,FALSE),IF(#REF!=Miscanthus,10.5*#REF!*VLOOKUP(#REF!,BDD!$HN$5:$HU$38,7,FALSE),INDEX(#REF!:#REF!,MATCH(#REF!,#REF!:#REF!,0),MATCH(#REF!,#REF!:#REF!,0))*#REF!*VLOOKUP(#REF!,BDD!$HN$5:$HU$38,7,FALSE)))))</f>
        <v>#REF!</v>
      </c>
      <c r="ID76" s="342" t="e">
        <f>IF(#REF!="","",IF(OR(#REF!=Moutarde,#REF!=Phacélie),0,IF(#REF!=Luzerne,10*#REF!*VLOOKUP(#REF!,BDD!$HN$5:$HU$38,8,FALSE),IF(#REF!=Miscanthus,10.5*#REF!*VLOOKUP(#REF!,BDD!$HN$5:$HU$38,8,FALSE),INDEX(#REF!:#REF!,MATCH(#REF!,#REF!:#REF!,0),MATCH(#REF!,#REF!:#REF!,0))*#REF!*VLOOKUP(#REF!,BDD!$HN$5:$HU$38,8,FALSE)))))</f>
        <v>#REF!</v>
      </c>
      <c r="IE76" s="342" t="e">
        <f>IF(#REF!="","",IF(OR(#REF!=Moutarde,#REF!=Phacélie),0,1.6*#REF!))</f>
        <v>#REF!</v>
      </c>
      <c r="IF76" s="342" t="e">
        <f>IF(#REF!="","",IF(OR(#REF!=Moutarde,#REF!=Phacélie),0,1.6*#REF!))</f>
        <v>#REF!</v>
      </c>
      <c r="IG76" s="342" t="e">
        <f>IF(#REF!="","",IF(OR(#REF!=Moutarde,#REF!=Phacélie),0,1.6*#REF!))</f>
        <v>#REF!</v>
      </c>
    </row>
    <row r="77" spans="1:241" ht="12.75" customHeight="1" x14ac:dyDescent="0.2">
      <c r="A77" s="373"/>
      <c r="B77" s="380"/>
      <c r="F77" s="280"/>
      <c r="G77" s="280"/>
      <c r="H77" s="280"/>
      <c r="I77" s="280"/>
      <c r="J77" s="280"/>
      <c r="K77" s="280"/>
      <c r="L77" s="280"/>
      <c r="Y77" s="385" t="s">
        <v>1116</v>
      </c>
      <c r="Z77" s="385">
        <f>IF('coût alimentation'!$B$6=$Y$77,2,0)</f>
        <v>0</v>
      </c>
      <c r="AA77" s="385">
        <f>IF('coût alimentation'!$B$6=$Y$77,2,0)</f>
        <v>0</v>
      </c>
      <c r="AB77" s="385">
        <f>IF('coût alimentation'!$B$6=$Y$77,2,0)</f>
        <v>0</v>
      </c>
      <c r="AC77" s="385">
        <f>IF('coût alimentation'!$B$6=$Y$77,2,0)</f>
        <v>0</v>
      </c>
      <c r="AD77" s="385">
        <f>IF('coût alimentation'!$B$6=$Y$77,2,0)</f>
        <v>0</v>
      </c>
      <c r="AE77" s="385">
        <f>IF('coût alimentation'!$B$6=$Y$77,2,0)</f>
        <v>0</v>
      </c>
      <c r="AF77" s="385">
        <f>IF('coût alimentation'!$B$6=$Y$77,2,0)</f>
        <v>0</v>
      </c>
      <c r="AG77" s="385">
        <f>IF('coût alimentation'!$B$6=$Y$77,2,0)</f>
        <v>0</v>
      </c>
      <c r="BB77" s="387" t="s">
        <v>511</v>
      </c>
      <c r="BC77" s="362" t="s">
        <v>907</v>
      </c>
      <c r="BD77" s="362" t="s">
        <v>888</v>
      </c>
      <c r="BE77" s="388">
        <v>4.8</v>
      </c>
      <c r="BF77" s="388">
        <v>4</v>
      </c>
      <c r="BG77" s="388">
        <v>4</v>
      </c>
      <c r="BH77" s="388">
        <v>4</v>
      </c>
      <c r="BI77" s="388">
        <v>2</v>
      </c>
      <c r="BJ77" s="388">
        <v>1.2</v>
      </c>
      <c r="BK77" s="389">
        <v>0</v>
      </c>
      <c r="BL77" s="312"/>
      <c r="BM77" s="350" t="str">
        <f t="shared" si="22"/>
        <v>Chanvre</v>
      </c>
      <c r="BN77" s="350">
        <f t="array" ref="BN77">IF(Ration_hivernale_complète_bisons[somme]&gt;0,0,IFERROR(IF(OR(AND(INDEX(Règles_bison[Specificite],MATCH(ChoixRationBisons&amp;$BM77,Règles_bison[Ration]&amp;Règles_bison[Aliment],0))="s1",IF($BM77=ChoixSpécificité1Bisons,1)),
INDEX(Règles_bison[Specificite],MATCH(ChoixRationBisons&amp;$BM77,Règles_bison[Ration]&amp;Règles_bison[Aliment],0))="c"),
INDEX(Règles_bison[Valeur 36 et plus],MATCH(ChoixRationBisons&amp;$BM77,Règles_bison[Ration]&amp;Règles_bison[Aliment],0)),0),0)*TotalBisonnes*NbreJoursNourrirBisonsDaims)</f>
        <v>0</v>
      </c>
      <c r="BO77" s="350">
        <f t="array" ref="BO77">IF(Ration_hivernale_complète_bisons[somme]&gt;0,0,IFERROR(IF(OR(AND(INDEX(Règles_bison[Specificite],MATCH(ChoixRationBisons&amp;$BM77,Règles_bison[Ration]&amp;Règles_bison[Aliment],0))="s1",IF($BM77=ChoixSpécificité1Bisons,1)),
INDEX(Règles_bison[Specificite],MATCH(ChoixRationBisons&amp;$BM77,Règles_bison[Ration]&amp;Règles_bison[Aliment],0))="c"),
INDEX(Règles_bison[Valeur 24-36],MATCH(ChoixRationBisons&amp;$BM77,Règles_bison[Ration]&amp;Règles_bison[Aliment],0)),0),0)*TotalBisonsFemelles_24_36_mois*NbreJoursNourrirBisonsDaims)</f>
        <v>0</v>
      </c>
      <c r="BP77" s="350">
        <f t="array" ref="BP77">IF(Ration_hivernale_complète_bisons[somme]&gt;0,0,IFERROR(IF(OR(AND(INDEX(Règles_bison[Specificite],MATCH(ChoixRationBisons&amp;$BM77,Règles_bison[Ration]&amp;Règles_bison[Aliment],0))="s1",IF($BM77=ChoixSpécificité1Bisons,1)),
INDEX(Règles_bison[Specificite],MATCH(ChoixRationBisons&amp;$BM77,Règles_bison[Ration]&amp;Règles_bison[Aliment],0))="c"),
INDEX(Règles_bison[Valeur 18-24],MATCH(ChoixRationBisons&amp;$BM77,Règles_bison[Ration]&amp;Règles_bison[Aliment],0)),0),0)*TotalBisonsFemelles_18_24_mois*NbreJoursNourrirBisonsDaims)</f>
        <v>0</v>
      </c>
      <c r="BQ77" s="350">
        <f t="array" ref="BQ77">IF(Ration_hivernale_complète_bisons[somme]&gt;0,0,IFERROR(IF(OR(AND(INDEX(Règles_bison[Specificite],MATCH(ChoixRationBisons&amp;$BM77,Règles_bison[Ration]&amp;Règles_bison[Aliment],0))="s1",IF($BM77=ChoixSpécificité1Bisons,1)),
INDEX(Règles_bison[Specificite],MATCH(ChoixRationBisons&amp;$BM77,Règles_bison[Ration]&amp;Règles_bison[Aliment],0))="c"),
INDEX(Règles_bison[Valeur 12-18],MATCH(ChoixRationBisons&amp;$BM77,Règles_bison[Ration]&amp;Règles_bison[Aliment],0)),0),0)*TotalBisonsFemelles_12_18_mois*NbreJoursNourrirBisonsDaims)</f>
        <v>0</v>
      </c>
      <c r="BR77" s="350">
        <f t="array" ref="BR77">IF(Ration_hivernale_complète_bisons[somme]&gt;0,0,IFERROR(IF(OR(AND(INDEX(Règles_bison[Specificite],MATCH(ChoixRationBisons&amp;$BM77,Règles_bison[Ration]&amp;Règles_bison[Aliment],0))="s1",IF($BM77=ChoixSpécificité1Bisons,1)),
INDEX(Règles_bison[Specificite],MATCH(ChoixRationBisons&amp;$BM77,Règles_bison[Ration]&amp;Règles_bison[Aliment],0))="c"),
INDEX(Règles_bison[Valeur 6-12],MATCH(ChoixRationBisons&amp;$BM77,Règles_bison[Ration]&amp;Règles_bison[Aliment],0)),0),0)*TotalBisonsFemelles_6_12_mois*NbreJoursNourrirBisonsDaims)</f>
        <v>0</v>
      </c>
      <c r="BS77" s="350">
        <f t="array" ref="BS77">IF(Ration_hivernale_complète_bisons[somme]&gt;0,0,IFERROR(IF(OR(AND(INDEX(Règles_bison[Specificite],MATCH(ChoixRationBisons&amp;$BM77,Règles_bison[Ration]&amp;Règles_bison[Aliment],0))="s1",IF($BM77=ChoixSpécificité1Bisons,1)),
INDEX(Règles_bison[Specificite],MATCH(ChoixRationBisons&amp;$BM77,Règles_bison[Ration]&amp;Règles_bison[Aliment],0))="c"),
INDEX(Règles_bison[Valeur 3-6],MATCH(ChoixRationBisons&amp;$BM77,Règles_bison[Ration]&amp;Règles_bison[Aliment],0)),0),0)*TotalBisonsFemelles_3_6_mois*NbreJoursNourrirBisonsDaims)</f>
        <v>0</v>
      </c>
      <c r="BT77" s="350">
        <f t="array" ref="BT77">IF(Ration_hivernale_complète_bisons[somme]&gt;0,0,IFERROR(IF(OR(AND(INDEX(Règles_bison[Specificite],MATCH(ChoixRationBisons&amp;$BM77,Règles_bison[Ration]&amp;Règles_bison[Aliment],0))="s1",IF($BM77=ChoixSpécificité1Bisons,1)),
INDEX(Règles_bison[Specificite],MATCH(ChoixRationBisons&amp;$BM77,Règles_bison[Ration]&amp;Règles_bison[Aliment],0))="c"),
INDEX(Règles_bison[Valeur 0-3],MATCH(ChoixRationBisons&amp;$BM77,Règles_bison[Ration]&amp;Règles_bison[Aliment],0)),0),0)*TotalBisonsFemelles_0_3_mois*NbreJoursNourrirBisonsDaims)</f>
        <v>0</v>
      </c>
      <c r="BU77" s="350">
        <f t="shared" si="21"/>
        <v>0</v>
      </c>
      <c r="BV77" s="282"/>
      <c r="BW77" s="282"/>
      <c r="BX77" s="373" t="s">
        <v>514</v>
      </c>
      <c r="BY77" s="280" t="s">
        <v>220</v>
      </c>
      <c r="BZ77" s="280" t="s">
        <v>887</v>
      </c>
      <c r="CA77" s="280">
        <v>1.6</v>
      </c>
      <c r="CB77" s="280">
        <v>1.4</v>
      </c>
      <c r="CC77" s="280">
        <v>1.2</v>
      </c>
      <c r="CD77" s="410">
        <v>1</v>
      </c>
      <c r="CE77" s="304"/>
      <c r="CF77" s="304"/>
      <c r="CG77" s="304"/>
      <c r="CH77" s="304"/>
      <c r="CJ77" s="420" t="s">
        <v>57</v>
      </c>
      <c r="CK77" s="384">
        <f t="array" ref="CK7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77" s="384">
        <f t="array" ref="CL7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77" s="384">
        <f t="array" ref="CM7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77" s="384">
        <f t="array" ref="CN7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77" s="384">
        <f t="array" ref="CO7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77" s="426">
        <f>SUM(AlimentsRationPorcinsMâles[[#This Row],[Valeur 12 et plus]:[Valeur 0-1]])</f>
        <v>0</v>
      </c>
      <c r="CS77" s="420" t="s">
        <v>489</v>
      </c>
      <c r="CT77" s="433">
        <f t="array" ref="CT77">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77" s="433">
        <f t="array" ref="CU77">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77" s="433">
        <f t="array" ref="CV77">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77" s="434">
        <f>SUM(AlimentsRationLapinsMâles[[#This Row],[Valeur 3 et plus]:[Valeur 0-1]])</f>
        <v>0</v>
      </c>
      <c r="CZ77" s="420" t="s">
        <v>489</v>
      </c>
      <c r="DA77" s="433">
        <f t="array" ref="DA7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77" s="433">
        <f t="array" ref="DB7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77" s="433">
        <f t="array" ref="DC7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77" s="434">
        <f>SUM(AlimentsRationVolaillesMâles[[#This Row],[Valeur 6 et plus]:[Valeur 0-1]])</f>
        <v>0</v>
      </c>
      <c r="DE77" s="316"/>
      <c r="DF77" s="277"/>
      <c r="DG77" s="420" t="s">
        <v>231</v>
      </c>
      <c r="DH77" s="433">
        <f t="array" ref="DH7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77" s="433">
        <f t="array" ref="DI7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77" s="433">
        <f t="array" ref="DJ7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77" s="434">
        <f>SUM(AlimentsRationPintadesMâles[[#This Row],[Valeur 9 et plus]:[Valeur 0-1]])</f>
        <v>0</v>
      </c>
      <c r="DL77" s="316"/>
      <c r="DM77" s="316"/>
      <c r="DN77" s="373" t="s">
        <v>622</v>
      </c>
      <c r="DO77" s="280" t="s">
        <v>168</v>
      </c>
      <c r="DP77" s="280" t="s">
        <v>886</v>
      </c>
      <c r="DQ77" s="310">
        <v>8</v>
      </c>
      <c r="DR77" s="310">
        <v>6</v>
      </c>
      <c r="DS77" s="310">
        <v>4</v>
      </c>
      <c r="DT77" s="439">
        <v>0</v>
      </c>
      <c r="DU77" s="298"/>
      <c r="DV77" s="349" t="s">
        <v>910</v>
      </c>
      <c r="DW77" s="353" t="s">
        <v>1192</v>
      </c>
      <c r="DX77" s="353" t="s">
        <v>1193</v>
      </c>
      <c r="DY77" s="353" t="s">
        <v>1194</v>
      </c>
      <c r="DZ77" s="298"/>
      <c r="EA77" s="298"/>
      <c r="EB77" s="298"/>
      <c r="EC77" s="298"/>
      <c r="ED77" s="298"/>
      <c r="EE77" s="298"/>
      <c r="EG77" s="420" t="s">
        <v>906</v>
      </c>
      <c r="EH77" s="433">
        <f t="array" ref="EH7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77" s="433">
        <f t="array" ref="EI7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77" s="433">
        <f t="array" ref="EJ7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77" s="434">
        <f>SUM(AlimentsRationOiesMâles[[#This Row],[Valeur 6 et plus]:[Valeur 0-3]])</f>
        <v>0</v>
      </c>
      <c r="EL77" s="316"/>
      <c r="EN77" s="420" t="s">
        <v>508</v>
      </c>
      <c r="EO77" s="433">
        <f t="array" ref="EO77">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77" s="433">
        <f t="array" ref="EP77">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77" s="433">
        <f t="array" ref="EQ77">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77" s="434">
        <f>SUM(Ration_canards_Mâles[[#This Row],[Valeur 6 et plus]:[Valeur 0-3]])</f>
        <v>0</v>
      </c>
      <c r="ES77" s="316"/>
      <c r="ET77" s="282"/>
      <c r="EU77" s="457" t="s">
        <v>269</v>
      </c>
      <c r="EV77" s="458">
        <f t="array" ref="EV77">IF(OR(ChoixRationComplèteEtéChevauxSelle=OUI,ChoixRationComplèteEtéChevauxSelle="",AND(ChoixChevauxSellePréHiver=OUI,ChoixChevauxSellePréEté=OUI)),0,IFERROR(IF(OR(AND(INDEX(Règles_chevaux_selle[Specificite],MATCH(RationEtéChevauxSelle&amp;$EU77,Règles_chevaux_selle[Ration]&amp;Règles_chevaux_selle[Aliment],0))="s1",IF($EU77=Spécificité1ChevauxSelle,1)),
AND(INDEX(Règles_chevaux_selle[Specificite],MATCH(RationEtéChevauxSelle&amp;$EU77,Règles_chevaux_selle[Ration]&amp;Règles_chevaux_selle[Aliment],0))="s2",IF($EU77=Spécificité2ChevauxSelle,1)),
INDEX(Règles_chevaux_selle[Specificite],MATCH(RationEtéChevauxSelle&amp;$EU77,Règles_chevaux_selle[Ration]&amp;Règles_chevaux_selle[Aliment],0))="c"),
INDEX(Règles_chevaux_selle[Valeur 36 et plus],MATCH(RationEtéChevauxSelle&amp;$EU77,Règles_chevaux_selle[Ration]&amp;Règles_chevaux_selle[Aliment],0)),0),0)*TotalEtalonSelle*NbreJoursNourrirChevauxSelle)</f>
        <v>0</v>
      </c>
      <c r="EW77" s="458">
        <f t="array" ref="EW77">IF(OR(ChoixRationComplèteEtéChevauxSelle=OUI,ChoixRationComplèteEtéChevauxSelle="",AND(ChoixChevauxSellePréHiver=OUI,ChoixChevauxSellePréEté=OUI)),0,IFERROR(IF(OR(AND(INDEX(Règles_chevaux_selle[Specificite],MATCH(RationEtéChevauxSelle&amp;$EU77,Règles_chevaux_selle[Ration]&amp;Règles_chevaux_selle[Aliment],0))="s1",IF($EU77=Spécificité1ChevauxSelle,1)),
AND(INDEX(Règles_chevaux_selle[Specificite],MATCH(RationEtéChevauxSelle&amp;$EU77,Règles_chevaux_selle[Ration]&amp;Règles_chevaux_selle[Aliment],0))="s2",IF($EU77=Spécificité2ChevauxSelle,1)),
INDEX(Règles_chevaux_selle[Specificite],MATCH(RationEtéChevauxSelle&amp;$EU77,Règles_chevaux_selle[Ration]&amp;Règles_chevaux_selle[Aliment],0))="c"),
INDEX(Règles_chevaux_selle[Valeur 24-36],MATCH(RationEtéChevauxSelle&amp;$EU77,Règles_chevaux_selle[Ration]&amp;Règles_chevaux_selle[Aliment],0)),0),0)*TotalJeuneEtalonSelle_24_36_mois*NbreJoursNourrirChevauxSelle)</f>
        <v>0</v>
      </c>
      <c r="EX77" s="458">
        <f t="array" ref="EX77">IF(OR(ChoixRationComplèteEtéChevauxSelle=OUI,ChoixRationComplèteEtéChevauxSelle="",AND(ChoixChevauxSellePréHiver=OUI,ChoixChevauxSellePréEté=OUI)),0,IFERROR(IF(OR(AND(INDEX(Règles_chevaux_selle[Specificite],MATCH(RationEtéChevauxSelle&amp;$EU77,Règles_chevaux_selle[Ration]&amp;Règles_chevaux_selle[Aliment],0))="s1",IF($EU77=Spécificité1ChevauxSelle,1)),
AND(INDEX(Règles_chevaux_selle[Specificite],MATCH(RationEtéChevauxSelle&amp;$EU77,Règles_chevaux_selle[Ration]&amp;Règles_chevaux_selle[Aliment],0))="s2",IF($EU77=Spécificité2ChevauxSelle,1)),
INDEX(Règles_chevaux_selle[Specificite],MATCH(RationEtéChevauxSelle&amp;$EU77,Règles_chevaux_selle[Ration]&amp;Règles_chevaux_selle[Aliment],0))="c"),
INDEX(Règles_chevaux_selle[Valeur 12-24],MATCH(RationEtéChevauxSelle&amp;$EU77,Règles_chevaux_selle[Ration]&amp;Règles_chevaux_selle[Aliment],0)),0),0)*TotalJeuneEtalonSelle_12_24_mois*NbreJoursNourrirChevauxSelle)</f>
        <v>0</v>
      </c>
      <c r="EY77" s="460">
        <f t="array" ref="EY77">IF(OR(ChoixRationComplèteEtéChevauxSelle=OUI,ChoixRationComplèteEtéChevauxSelle="",AND(ChoixChevauxSellePréHiver=OUI,ChoixChevauxSellePréEté=OUI)),0,IFERROR(IF(OR(AND(INDEX(Règles_chevaux_selle[Specificite],MATCH(RationEtéChevauxSelle&amp;$EU77,Règles_chevaux_selle[Ration]&amp;Règles_chevaux_selle[Aliment],0))="s1",IF($EU77=Spécificité1ChevauxSelle,1)),
AND(INDEX(Règles_chevaux_selle[Specificite],MATCH(RationEtéChevauxSelle&amp;$EU77,Règles_chevaux_selle[Ration]&amp;Règles_chevaux_selle[Aliment],0))="s2",IF($EU77=Spécificité2ChevauxSelle,1)),
INDEX(Règles_chevaux_selle[Specificite],MATCH(RationEtéChevauxSelle&amp;$EU77,Règles_chevaux_selle[Ration]&amp;Règles_chevaux_selle[Aliment],0))="c"),
INDEX(Règles_chevaux_selle[Valeur 0-12],MATCH(RationEtéChevauxSelle&amp;$EU77,Règles_chevaux_selle[Ration]&amp;Règles_chevaux_selle[Aliment],0)),0),0)*TotalPoulainSelle_0_12_mois*NbreJoursNourrirChevauxSelle)</f>
        <v>0</v>
      </c>
      <c r="EZ77" s="460">
        <f t="shared" si="16"/>
        <v>0</v>
      </c>
      <c r="FA77" s="298"/>
      <c r="FB77" s="298"/>
      <c r="FD77" s="457" t="s">
        <v>59</v>
      </c>
      <c r="FE77" s="458">
        <f t="array" ref="FE77">IF(OR(ChoixRationComplèteEtéChevauxTrait=OUI,ChoixRationComplèteEtéChevauxTrait="",AND(ChoixChevauxTraitPréHiver=OUI,ChoixChevauxTraitPréEté=OUI)),0,IFERROR(IF(OR(AND(INDEX(Règles_chevaux_trait[Specificite],MATCH(RationEtéChevauxTrait&amp;$FD77,Règles_chevaux_trait[Ration]&amp;Règles_chevaux_trait[Aliment],0))="s1",IF($FD77=Spécificité1ChevauxTrait,1)),
AND(INDEX(Règles_chevaux_trait[Specificite],MATCH(RationEtéChevauxTrait&amp;$FD77,Règles_chevaux_trait[Ration]&amp;Règles_chevaux_trait[Aliment],0))="s2",IF($FD77=Spécificité2ChevauxTrait,1)),
INDEX(Règles_chevaux_trait[Specificite],MATCH(RationEtéChevauxTrait&amp;$FD77,Règles_chevaux_trait[Ration]&amp;Règles_chevaux_trait[Aliment],0))="c"),
INDEX(Règles_chevaux_trait[Valeur 36 et plus],MATCH(RationEtéChevauxTrait&amp;$FD77,Règles_chevaux_trait[Ration]&amp;Règles_chevaux_trait[Aliment],0)),0),0)*TotalEtalonTrait*NbreJoursNourrirChevauxTrait)</f>
        <v>0</v>
      </c>
      <c r="FF77" s="458">
        <f t="array" ref="FF77">IF(OR(ChoixRationComplèteEtéChevauxTrait=OUI,ChoixRationComplèteEtéChevauxTrait="",AND(ChoixChevauxTraitPréHiver=OUI,ChoixChevauxTraitPréEté=OUI)),0,IFERROR(IF(OR(AND(INDEX(Règles_chevaux_trait[Specificite],MATCH(RationEtéChevauxTrait&amp;$FD77,Règles_chevaux_trait[Ration]&amp;Règles_chevaux_trait[Aliment],0))="s1",IF($FD77=Spécificité1ChevauxTrait,1)),
AND(INDEX(Règles_chevaux_trait[Specificite],MATCH(RationEtéChevauxTrait&amp;$FD77,Règles_chevaux_trait[Ration]&amp;Règles_chevaux_trait[Aliment],0))="s2",IF($FD77=Spécificité2ChevauxTrait,1)),
INDEX(Règles_chevaux_trait[Specificite],MATCH(RationEtéChevauxTrait&amp;$FD77,Règles_chevaux_trait[Ration]&amp;Règles_chevaux_trait[Aliment],0))="c"),
INDEX(Règles_chevaux_trait[Valeur 24-36],MATCH(RationEtéChevauxTrait&amp;$FD77,Règles_chevaux_trait[Ration]&amp;Règles_chevaux_trait[Aliment],0)),0),0)*TotalJeuneEtalonTrait_24_36_mois*NbreJoursNourrirChevauxTrait)</f>
        <v>0</v>
      </c>
      <c r="FG77" s="458">
        <f t="array" ref="FG77">IF(OR(ChoixRationComplèteEtéChevauxTrait=OUI,ChoixRationComplèteEtéChevauxTrait="",AND(ChoixChevauxTraitPréHiver=OUI,ChoixChevauxTraitPréEté=OUI)),0,IFERROR(IF(OR(AND(INDEX(Règles_chevaux_trait[Specificite],MATCH(RationEtéChevauxTrait&amp;$FD77,Règles_chevaux_trait[Ration]&amp;Règles_chevaux_trait[Aliment],0))="s1",IF($FD77=Spécificité1ChevauxTrait,1)),
AND(INDEX(Règles_chevaux_trait[Specificite],MATCH(RationEtéChevauxTrait&amp;$FD77,Règles_chevaux_trait[Ration]&amp;Règles_chevaux_trait[Aliment],0))="s2",IF($FD77=Spécificité2ChevauxTrait,1)),
INDEX(Règles_chevaux_trait[Specificite],MATCH(RationEtéChevauxTrait&amp;$FD77,Règles_chevaux_trait[Ration]&amp;Règles_chevaux_trait[Aliment],0))="c"),
INDEX(Règles_chevaux_trait[Valeur 12-24],MATCH(RationEtéChevauxTrait&amp;$FD77,Règles_chevaux_trait[Ration]&amp;Règles_chevaux_trait[Aliment],0)),0),0)*TotalJeuneEtalonTrait_12_24_mois*NbreJoursNourrirChevauxTrait)</f>
        <v>0</v>
      </c>
      <c r="FH77" s="460">
        <f t="array" ref="FH77">IF(OR(ChoixRationComplèteEtéChevauxTrait=OUI,ChoixRationComplèteEtéChevauxTrait="",AND(ChoixChevauxTraitPréHiver=OUI,ChoixChevauxTraitPréEté=OUI)),0,IFERROR(IF(OR(AND(INDEX(Règles_chevaux_trait[Specificite],MATCH(RationEtéChevauxTrait&amp;$FD77,Règles_chevaux_trait[Ration]&amp;Règles_chevaux_trait[Aliment],0))="s1",IF($FD77=Spécificité1ChevauxTrait,1)),
AND(INDEX(Règles_chevaux_trait[Specificite],MATCH(RationEtéChevauxTrait&amp;$FD77,Règles_chevaux_trait[Ration]&amp;Règles_chevaux_trait[Aliment],0))="s2",IF($FD77=Spécificité2ChevauxTrait,1)),
INDEX(Règles_chevaux_trait[Specificite],MATCH(RationEtéChevauxTrait&amp;$FD77,Règles_chevaux_trait[Ration]&amp;Règles_chevaux_trait[Aliment],0))="c"),
INDEX(Règles_chevaux_trait[Valeur 0-12],MATCH(RationEtéChevauxTrait&amp;$FD77,Règles_chevaux_trait[Ration]&amp;Règles_chevaux_trait[Aliment],0)),0),0)*TotalPoulainTrait_0_12_mois*NbreJoursNourrirChevauxTrait)</f>
        <v>0</v>
      </c>
      <c r="FI77" s="460">
        <f t="shared" si="15"/>
        <v>0</v>
      </c>
      <c r="FL77" s="298"/>
      <c r="FN77" s="457" t="s">
        <v>906</v>
      </c>
      <c r="FO77" s="458">
        <f t="array" ref="FO77">IF(OR(ChoixRationComplèteEtéPoneys=OUI,ChoixRationComplèteEtéPoneys="",AND(ChoixPoneysPréHiver=OUI,ChoixPoneysPréEté=OUI)),0,IFERROR(IF(OR(AND(INDEX(Règles_poneys[Specificite],MATCH(RationEtéPoneys&amp;$FN77,Règles_poneys[Ration]&amp;Règles_poneys[Aliment],0))="s1",IF($FN77=Spécificité1Poneys,1)),
AND(INDEX(Règles_poneys[Specificite],MATCH(RationEtéPoneys&amp;$FN77,Règles_poneys[Ration]&amp;Règles_poneys[Aliment],0))="s2",IF($FN77=Spécificité2Poneys,1)),
INDEX(Règles_poneys[Specificite],MATCH(RationEtéPoneys&amp;$FN77,Règles_poneys[Ration]&amp;Règles_poneys[Aliment],0))="c"),
INDEX(Règles_poneys[Valeur 36 et plus],MATCH(RationEtéPoneys&amp;$FN77,Règles_poneys[Ration]&amp;Règles_poneys[Aliment],0)),0),0)*TotalEtalonPoney*NbreJoursNourrirPoneys)</f>
        <v>0</v>
      </c>
      <c r="FP77" s="458">
        <f t="array" ref="FP77">IF(OR(ChoixRationComplèteEtéPoneys=OUI,ChoixRationComplèteEtéPoneys="",AND(ChoixPoneysPréHiver=OUI,ChoixPoneysPréEté=OUI)),0,IFERROR(IF(OR(AND(INDEX(Règles_poneys[Specificite],MATCH(RationEtéPoneys&amp;$FN77,Règles_poneys[Ration]&amp;Règles_poneys[Aliment],0))="s1",IF($FN77=Spécificité1Poneys,1)),
AND(INDEX(Règles_poneys[Specificite],MATCH(RationEtéPoneys&amp;$FN77,Règles_poneys[Ration]&amp;Règles_poneys[Aliment],0))="s2",IF($FN77=Spécificité2Poneys,1)),
INDEX(Règles_poneys[Specificite],MATCH(RationEtéPoneys&amp;$FN77,Règles_poneys[Ration]&amp;Règles_poneys[Aliment],0))="c"),
INDEX(Règles_poneys[Valeur 36 et plus],MATCH(RationEtéPoneys&amp;$FN77,Règles_poneys[Ration]&amp;Règles_poneys[Aliment],0)),0),0)*TotalJeuneEtalonPoney_24_36_mois*NbreJoursNourrirPoneys)</f>
        <v>0</v>
      </c>
      <c r="FQ77" s="458">
        <f t="array" ref="FQ77">IF(OR(ChoixRationComplèteEtéPoneys=OUI,ChoixRationComplèteEtéPoneys="",AND(ChoixPoneysPréHiver=OUI,ChoixPoneysPréEté=OUI)),0,IFERROR(IF(OR(AND(INDEX(Règles_poneys[Specificite],MATCH(RationEtéPoneys&amp;$FN77,Règles_poneys[Ration]&amp;Règles_poneys[Aliment],0))="s1",IF($FN77=Spécificité1Poneys,1)),
AND(INDEX(Règles_poneys[Specificite],MATCH(RationEtéPoneys&amp;$FN77,Règles_poneys[Ration]&amp;Règles_poneys[Aliment],0))="s2",IF($FN77=Spécificité2Poneys,1)),
INDEX(Règles_poneys[Specificite],MATCH(RationEtéPoneys&amp;$FN77,Règles_poneys[Ration]&amp;Règles_poneys[Aliment],0))="c"),
INDEX(Règles_poneys[Valeur 36 et plus],MATCH(RationEtéPoneys&amp;$FN77,Règles_poneys[Ration]&amp;Règles_poneys[Aliment],0)),0),0)*TotalJeuneEtalonPoney_12_24_mois*NbreJoursNourrirPoneys)</f>
        <v>0</v>
      </c>
      <c r="FR77" s="460">
        <f t="array" ref="FR77">IF(OR(ChoixRationComplèteEtéPoneys=OUI,ChoixRationComplèteEtéPoneys="",AND(ChoixPoneysPréHiver=OUI,ChoixPoneysPréEté=OUI)),0,IFERROR(IF(OR(AND(INDEX(Règles_poneys[Specificite],MATCH(RationEtéPoneys&amp;$FN77,Règles_poneys[Ration]&amp;Règles_poneys[Aliment],0))="s1",IF($FN77=Spécificité1Poneys,1)),
AND(INDEX(Règles_poneys[Specificite],MATCH(RationEtéPoneys&amp;$FN77,Règles_poneys[Ration]&amp;Règles_poneys[Aliment],0))="s2",IF($FN77=Spécificité2Poneys,1)),
INDEX(Règles_poneys[Specificite],MATCH(RationEtéPoneys&amp;$FN77,Règles_poneys[Ration]&amp;Règles_poneys[Aliment],0))="c"),
INDEX(Règles_poneys[Valeur 36 et plus],MATCH(RationEtéPoneys&amp;$FN77,Règles_poneys[Ration]&amp;Règles_poneys[Aliment],0)),0),0)*TotalPoulainPoney_0_12_mois*NbreJoursNourrirPoneys)</f>
        <v>0</v>
      </c>
      <c r="FS77" s="460">
        <f t="shared" si="14"/>
        <v>0</v>
      </c>
      <c r="FT77" s="298"/>
      <c r="FU77" s="298"/>
      <c r="FV77" s="298"/>
      <c r="FW77" s="443"/>
      <c r="FX77" s="450">
        <f t="array" ref="FX77">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77" s="450">
        <f t="array" ref="FY77">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77" s="450">
        <f t="array" ref="FZ77">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77" s="450">
        <f t="array" ref="GA77">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77" s="451">
        <f>SUM(AlimentsGavageOies[[#This Row],[Valeur 6 et plus]:[Valeur 0-1]])</f>
        <v>0</v>
      </c>
      <c r="GC77" s="316"/>
      <c r="GG77" s="276" t="s">
        <v>955</v>
      </c>
      <c r="GH77" s="276" t="s">
        <v>955</v>
      </c>
      <c r="GI77" s="276" t="s">
        <v>955</v>
      </c>
      <c r="GJ77" s="276" t="s">
        <v>955</v>
      </c>
      <c r="GK77" s="276" t="s">
        <v>955</v>
      </c>
      <c r="GL77" s="276" t="s">
        <v>955</v>
      </c>
      <c r="GM77" s="276" t="s">
        <v>955</v>
      </c>
      <c r="GN77" s="276" t="s">
        <v>955</v>
      </c>
      <c r="GO77" s="276" t="s">
        <v>955</v>
      </c>
      <c r="GP77" s="276" t="s">
        <v>955</v>
      </c>
      <c r="GQ77" s="276" t="s">
        <v>955</v>
      </c>
      <c r="GR77" s="276" t="s">
        <v>955</v>
      </c>
      <c r="GS77" s="276" t="s">
        <v>955</v>
      </c>
      <c r="GT77" s="276" t="s">
        <v>955</v>
      </c>
      <c r="GU77" s="276" t="s">
        <v>955</v>
      </c>
      <c r="GV77" s="276" t="s">
        <v>955</v>
      </c>
      <c r="GY77" s="444" t="str">
        <f t="shared" si="11"/>
        <v>semences de tournesol</v>
      </c>
      <c r="GZ77" s="444"/>
      <c r="HA77" s="342"/>
      <c r="HB77" s="342" t="e">
        <f>IF(COUNTIF(TypeArticleDansEntrepôt,GY77)=0,0,SUMIF(TypeArticleDansEntrepôt,GY77,QtéArticleDansEntrepôt)*VLOOKUP(GY77,#REF!,2,FALSE))</f>
        <v>#REF!</v>
      </c>
      <c r="HN77" s="342" t="e">
        <f>IF(#REF!="","",(VLOOKUP(#REF!,BDD!$HN$5:$HU$38,2,FALSE))*#REF!)</f>
        <v>#REF!</v>
      </c>
      <c r="HO77" s="342" t="e">
        <f>IF(#REF!="","",IF(OR(#REF!=Moutarde,#REF!=Phacélie),0,IF(#REF!=Luzerne,10*#REF!*VLOOKUP(#REF!,BDD!$HN$5:$HU$38,3,FALSE),IF(#REF!=Miscanthus,10.5*#REF!*VLOOKUP(#REF!,BDD!$HN$5:$HU$38,3,FALSE),INDEX(#REF!:#REF!,MATCH(#REF!,#REF!:#REF!,0),MATCH(#REF!,#REF!:#REF!,0))*#REF!*VLOOKUP(#REF!,BDD!$HN$5:$HU$38,3,FALSE)))))</f>
        <v>#REF!</v>
      </c>
      <c r="HP77" s="342" t="e">
        <f>IF(#REF!="","",IF(OR(#REF!=Moutarde,#REF!=Phacélie),0,IF(#REF!=Luzerne,10*#REF!*VLOOKUP(#REF!,BDD!$HN$5:$HU$38,4,FALSE),IF(#REF!=Miscanthus,10.5*#REF!*VLOOKUP(#REF!,BDD!$HN$5:$HU$38,4,FALSE),INDEX(#REF!:#REF!,MATCH(#REF!,#REF!:#REF!,0),MATCH(#REF!,#REF!:#REF!,0))*#REF!*VLOOKUP(#REF!,BDD!$HN$5:$HU$38,4,FALSE)))))</f>
        <v>#REF!</v>
      </c>
      <c r="HQ77" s="342" t="e">
        <f>IF(#REF!="","",IF(OR(#REF!=Moutarde,#REF!=Phacélie),0,IF(#REF!=Luzerne,10*#REF!*VLOOKUP(#REF!,BDD!$HN$5:$HU$38,5,FALSE),IF(#REF!=Miscanthus,10.5*#REF!*VLOOKUP(#REF!,BDD!$HN$5:$HU$38,5,FALSE),INDEX(#REF!:#REF!,MATCH(#REF!,#REF!:#REF!,0),MATCH(#REF!,#REF!:#REF!,0))*#REF!*VLOOKUP(#REF!,BDD!$HN$5:$HU$38,5,FALSE)))))</f>
        <v>#REF!</v>
      </c>
      <c r="HR77" s="342" t="e">
        <f>IF(#REF!="","",IF(OR(#REF!=Moutarde,#REF!=Phacélie),0,IF(#REF!=Luzerne,10*#REF!*VLOOKUP(#REF!,BDD!$HN$5:$HU$38,6,FALSE),IF(#REF!=Miscanthus,10.5*#REF!*VLOOKUP(#REF!,BDD!$HN$5:$HU$38,6,FALSE),INDEX(#REF!:#REF!,MATCH(#REF!,#REF!:#REF!,0),MATCH(#REF!,#REF!:#REF!,0))*#REF!*VLOOKUP(#REF!,BDD!$HN$5:$HU$38,6,FALSE)))))</f>
        <v>#REF!</v>
      </c>
      <c r="HS77" s="342" t="e">
        <f>IF(#REF!="","",IF(OR(#REF!=Moutarde,#REF!=Phacélie),0,IF(#REF!=Luzerne,10*#REF!*VLOOKUP(#REF!,BDD!$HN$5:$HU$38,7,FALSE),IF(#REF!=Miscanthus,10.5*#REF!*VLOOKUP(#REF!,BDD!$HN$5:$HU$38,7,FALSE),INDEX(#REF!:#REF!,MATCH(#REF!,#REF!:#REF!,0),MATCH(#REF!,#REF!:#REF!,0))*#REF!*VLOOKUP(#REF!,BDD!$HN$5:$HU$38,7,FALSE)))))</f>
        <v>#REF!</v>
      </c>
      <c r="HT77" s="342" t="e">
        <f>IF(#REF!="","",IF(OR(#REF!=Moutarde,#REF!=Phacélie),0,IF(#REF!=Luzerne,10*#REF!*VLOOKUP(#REF!,BDD!$HN$5:$HU$38,8,FALSE),IF(#REF!=Miscanthus,10.5*#REF!*VLOOKUP(#REF!,BDD!$HN$5:$HU$38,8,FALSE),INDEX(#REF!:#REF!,MATCH(#REF!,#REF!:#REF!,0),MATCH(#REF!,#REF!:#REF!,0))*#REF!*VLOOKUP(#REF!,BDD!$HN$5:$HU$38,8,FALSE)))))</f>
        <v>#REF!</v>
      </c>
      <c r="HU77" s="342" t="e">
        <f>IF(#REF!="","",IF(OR(#REF!=Moutarde,#REF!=Phacélie),0,1.6*#REF!))</f>
        <v>#REF!</v>
      </c>
      <c r="HV77" s="342" t="e">
        <f>IF(#REF!="","",IF(OR(#REF!=Moutarde,#REF!=Phacélie),0,1.6*#REF!))</f>
        <v>#REF!</v>
      </c>
      <c r="HW77" s="342" t="e">
        <f>IF(#REF!="","",IF(OR(#REF!=Moutarde,#REF!=Phacélie),0,1.6*#REF!))</f>
        <v>#REF!</v>
      </c>
      <c r="HX77" s="342" t="e">
        <f>IF(#REF!="","",(VLOOKUP(#REF!,BDD!$HN$5:$HU$38,2,FALSE))*#REF!)</f>
        <v>#REF!</v>
      </c>
      <c r="HY77" s="342" t="e">
        <f>IF(#REF!="","",IF(OR(#REF!=Moutarde,#REF!=Phacélie),0,IF(#REF!=Luzerne,10*#REF!*VLOOKUP(#REF!,BDD!$HN$5:$HU$38,3,FALSE),IF(#REF!=Miscanthus,10.5*#REF!*VLOOKUP(#REF!,BDD!$HN$5:$HU$38,3,FALSE),INDEX(#REF!:#REF!,MATCH(#REF!,#REF!:#REF!,0),MATCH(#REF!,#REF!:#REF!,0))*#REF!*VLOOKUP(#REF!,BDD!$HN$5:$HU$38,3,FALSE)))))</f>
        <v>#REF!</v>
      </c>
      <c r="HZ77" s="342" t="e">
        <f>IF(#REF!="","",IF(OR(#REF!=Moutarde,#REF!=Phacélie),0,IF(#REF!=Luzerne,10*#REF!*VLOOKUP(#REF!,BDD!$HN$5:$HU$38,4,FALSE),IF(#REF!=Miscanthus,10.5*#REF!*VLOOKUP(#REF!,BDD!$HN$5:$HU$38,4,FALSE),INDEX(#REF!:#REF!,MATCH(#REF!,#REF!:#REF!,0),MATCH(#REF!,#REF!:#REF!,0))*#REF!*VLOOKUP(#REF!,BDD!$HN$5:$HU$38,4,FALSE)))))</f>
        <v>#REF!</v>
      </c>
      <c r="IA77" s="342" t="e">
        <f>IF(#REF!="","",IF(OR(#REF!=Moutarde,#REF!=Phacélie),0,IF(#REF!=Luzerne,10*#REF!*VLOOKUP(#REF!,BDD!$HN$5:$HU$38,5,FALSE),IF(#REF!=Miscanthus,10.5*#REF!*VLOOKUP(#REF!,BDD!$HN$5:$HU$38,5,FALSE),INDEX(#REF!:#REF!,MATCH(#REF!,#REF!:#REF!,0),MATCH(#REF!,#REF!:#REF!,0))*#REF!*VLOOKUP(#REF!,BDD!$HN$5:$HU$38,5,FALSE)))))</f>
        <v>#REF!</v>
      </c>
      <c r="IB77" s="342" t="e">
        <f>IF(#REF!="","",IF(OR(#REF!=Moutarde,#REF!=Phacélie),0,IF(#REF!=Luzerne,10*#REF!*VLOOKUP(#REF!,BDD!$HN$5:$HU$38,6,FALSE),IF(#REF!=Miscanthus,10.5*#REF!*VLOOKUP(#REF!,BDD!$HN$5:$HU$38,6,FALSE),INDEX(#REF!:#REF!,MATCH(#REF!,#REF!:#REF!,0),MATCH(#REF!,#REF!:#REF!,0))*#REF!*VLOOKUP(#REF!,BDD!$HN$5:$HU$38,6,FALSE)))))</f>
        <v>#REF!</v>
      </c>
      <c r="IC77" s="342" t="e">
        <f>IF(#REF!="","",IF(OR(#REF!=Moutarde,#REF!=Phacélie),0,IF(#REF!=Luzerne,10*#REF!*VLOOKUP(#REF!,BDD!$HN$5:$HU$38,7,FALSE),IF(#REF!=Miscanthus,10.5*#REF!*VLOOKUP(#REF!,BDD!$HN$5:$HU$38,7,FALSE),INDEX(#REF!:#REF!,MATCH(#REF!,#REF!:#REF!,0),MATCH(#REF!,#REF!:#REF!,0))*#REF!*VLOOKUP(#REF!,BDD!$HN$5:$HU$38,7,FALSE)))))</f>
        <v>#REF!</v>
      </c>
      <c r="ID77" s="342" t="e">
        <f>IF(#REF!="","",IF(OR(#REF!=Moutarde,#REF!=Phacélie),0,IF(#REF!=Luzerne,10*#REF!*VLOOKUP(#REF!,BDD!$HN$5:$HU$38,8,FALSE),IF(#REF!=Miscanthus,10.5*#REF!*VLOOKUP(#REF!,BDD!$HN$5:$HU$38,8,FALSE),INDEX(#REF!:#REF!,MATCH(#REF!,#REF!:#REF!,0),MATCH(#REF!,#REF!:#REF!,0))*#REF!*VLOOKUP(#REF!,BDD!$HN$5:$HU$38,8,FALSE)))))</f>
        <v>#REF!</v>
      </c>
      <c r="IE77" s="342" t="e">
        <f>IF(#REF!="","",IF(OR(#REF!=Moutarde,#REF!=Phacélie),0,1.6*#REF!))</f>
        <v>#REF!</v>
      </c>
      <c r="IF77" s="342" t="e">
        <f>IF(#REF!="","",IF(OR(#REF!=Moutarde,#REF!=Phacélie),0,1.6*#REF!))</f>
        <v>#REF!</v>
      </c>
      <c r="IG77" s="342" t="e">
        <f>IF(#REF!="","",IF(OR(#REF!=Moutarde,#REF!=Phacélie),0,1.6*#REF!))</f>
        <v>#REF!</v>
      </c>
    </row>
    <row r="78" spans="1:241" ht="12.75" customHeight="1" x14ac:dyDescent="0.2">
      <c r="A78" s="373"/>
      <c r="B78" s="380"/>
      <c r="F78" s="280"/>
      <c r="G78" s="280"/>
      <c r="H78" s="321"/>
      <c r="I78" s="280"/>
      <c r="J78" s="321"/>
      <c r="K78" s="321"/>
      <c r="L78" s="321"/>
      <c r="Y78" s="385" t="s">
        <v>1117</v>
      </c>
      <c r="Z78" s="385">
        <f>IF('coût alimentation'!$B$6=$Y$78,3,0)</f>
        <v>0</v>
      </c>
      <c r="AA78" s="385">
        <f>IF('coût alimentation'!$B$6=$Y$78,3,0)</f>
        <v>0</v>
      </c>
      <c r="AB78" s="385">
        <f>IF('coût alimentation'!$B$6=$Y$78,3,0)</f>
        <v>0</v>
      </c>
      <c r="AC78" s="385">
        <f>IF('coût alimentation'!$B$6=$Y$78,3,0)</f>
        <v>0</v>
      </c>
      <c r="AD78" s="385">
        <f>IF('coût alimentation'!$B$6=$Y$78,3,0)</f>
        <v>0</v>
      </c>
      <c r="AE78" s="385">
        <f>IF('coût alimentation'!$B$6=$Y$78,3,0)</f>
        <v>0</v>
      </c>
      <c r="AF78" s="385">
        <f>IF('coût alimentation'!$B$6=$Y$78,3,0)</f>
        <v>0</v>
      </c>
      <c r="AG78" s="385">
        <f>IF('coût alimentation'!$B$6=$Y$78,3,0)</f>
        <v>0</v>
      </c>
      <c r="BB78" s="387" t="s">
        <v>511</v>
      </c>
      <c r="BC78" s="362" t="s">
        <v>500</v>
      </c>
      <c r="BD78" s="362" t="s">
        <v>888</v>
      </c>
      <c r="BE78" s="388">
        <v>4.8</v>
      </c>
      <c r="BF78" s="388">
        <v>4</v>
      </c>
      <c r="BG78" s="388">
        <v>4</v>
      </c>
      <c r="BH78" s="388">
        <v>4</v>
      </c>
      <c r="BI78" s="388">
        <v>2</v>
      </c>
      <c r="BJ78" s="388">
        <v>1.2</v>
      </c>
      <c r="BK78" s="389">
        <v>0</v>
      </c>
      <c r="BL78" s="312"/>
      <c r="BM78" s="350" t="str">
        <f t="shared" si="22"/>
        <v>Canola</v>
      </c>
      <c r="BN78" s="350">
        <f t="array" ref="BN78">IF(Ration_hivernale_complète_bisons[somme]&gt;0,0,IFERROR(IF(OR(AND(INDEX(Règles_bison[Specificite],MATCH(ChoixRationBisons&amp;$BM78,Règles_bison[Ration]&amp;Règles_bison[Aliment],0))="s1",IF($BM78=ChoixSpécificité1Bisons,1)),
INDEX(Règles_bison[Specificite],MATCH(ChoixRationBisons&amp;$BM78,Règles_bison[Ration]&amp;Règles_bison[Aliment],0))="c"),
INDEX(Règles_bison[Valeur 36 et plus],MATCH(ChoixRationBisons&amp;$BM78,Règles_bison[Ration]&amp;Règles_bison[Aliment],0)),0),0)*TotalBisonnes*NbreJoursNourrirBisonsDaims)</f>
        <v>0</v>
      </c>
      <c r="BO78" s="350">
        <f t="array" ref="BO78">IF(Ration_hivernale_complète_bisons[somme]&gt;0,0,IFERROR(IF(OR(AND(INDEX(Règles_bison[Specificite],MATCH(ChoixRationBisons&amp;$BM78,Règles_bison[Ration]&amp;Règles_bison[Aliment],0))="s1",IF($BM78=ChoixSpécificité1Bisons,1)),
INDEX(Règles_bison[Specificite],MATCH(ChoixRationBisons&amp;$BM78,Règles_bison[Ration]&amp;Règles_bison[Aliment],0))="c"),
INDEX(Règles_bison[Valeur 24-36],MATCH(ChoixRationBisons&amp;$BM78,Règles_bison[Ration]&amp;Règles_bison[Aliment],0)),0),0)*TotalBisonsFemelles_24_36_mois*NbreJoursNourrirBisonsDaims)</f>
        <v>0</v>
      </c>
      <c r="BP78" s="350">
        <f t="array" ref="BP78">IF(Ration_hivernale_complète_bisons[somme]&gt;0,0,IFERROR(IF(OR(AND(INDEX(Règles_bison[Specificite],MATCH(ChoixRationBisons&amp;$BM78,Règles_bison[Ration]&amp;Règles_bison[Aliment],0))="s1",IF($BM78=ChoixSpécificité1Bisons,1)),
INDEX(Règles_bison[Specificite],MATCH(ChoixRationBisons&amp;$BM78,Règles_bison[Ration]&amp;Règles_bison[Aliment],0))="c"),
INDEX(Règles_bison[Valeur 18-24],MATCH(ChoixRationBisons&amp;$BM78,Règles_bison[Ration]&amp;Règles_bison[Aliment],0)),0),0)*TotalBisonsFemelles_18_24_mois*NbreJoursNourrirBisonsDaims)</f>
        <v>0</v>
      </c>
      <c r="BQ78" s="350">
        <f t="array" ref="BQ78">IF(Ration_hivernale_complète_bisons[somme]&gt;0,0,IFERROR(IF(OR(AND(INDEX(Règles_bison[Specificite],MATCH(ChoixRationBisons&amp;$BM78,Règles_bison[Ration]&amp;Règles_bison[Aliment],0))="s1",IF($BM78=ChoixSpécificité1Bisons,1)),
INDEX(Règles_bison[Specificite],MATCH(ChoixRationBisons&amp;$BM78,Règles_bison[Ration]&amp;Règles_bison[Aliment],0))="c"),
INDEX(Règles_bison[Valeur 12-18],MATCH(ChoixRationBisons&amp;$BM78,Règles_bison[Ration]&amp;Règles_bison[Aliment],0)),0),0)*TotalBisonsFemelles_12_18_mois*NbreJoursNourrirBisonsDaims)</f>
        <v>0</v>
      </c>
      <c r="BR78" s="350">
        <f t="array" ref="BR78">IF(Ration_hivernale_complète_bisons[somme]&gt;0,0,IFERROR(IF(OR(AND(INDEX(Règles_bison[Specificite],MATCH(ChoixRationBisons&amp;$BM78,Règles_bison[Ration]&amp;Règles_bison[Aliment],0))="s1",IF($BM78=ChoixSpécificité1Bisons,1)),
INDEX(Règles_bison[Specificite],MATCH(ChoixRationBisons&amp;$BM78,Règles_bison[Ration]&amp;Règles_bison[Aliment],0))="c"),
INDEX(Règles_bison[Valeur 6-12],MATCH(ChoixRationBisons&amp;$BM78,Règles_bison[Ration]&amp;Règles_bison[Aliment],0)),0),0)*TotalBisonsFemelles_6_12_mois*NbreJoursNourrirBisonsDaims)</f>
        <v>0</v>
      </c>
      <c r="BS78" s="350">
        <f t="array" ref="BS78">IF(Ration_hivernale_complète_bisons[somme]&gt;0,0,IFERROR(IF(OR(AND(INDEX(Règles_bison[Specificite],MATCH(ChoixRationBisons&amp;$BM78,Règles_bison[Ration]&amp;Règles_bison[Aliment],0))="s1",IF($BM78=ChoixSpécificité1Bisons,1)),
INDEX(Règles_bison[Specificite],MATCH(ChoixRationBisons&amp;$BM78,Règles_bison[Ration]&amp;Règles_bison[Aliment],0))="c"),
INDEX(Règles_bison[Valeur 3-6],MATCH(ChoixRationBisons&amp;$BM78,Règles_bison[Ration]&amp;Règles_bison[Aliment],0)),0),0)*TotalBisonsFemelles_3_6_mois*NbreJoursNourrirBisonsDaims)</f>
        <v>0</v>
      </c>
      <c r="BT78" s="350">
        <f t="array" ref="BT78">IF(Ration_hivernale_complète_bisons[somme]&gt;0,0,IFERROR(IF(OR(AND(INDEX(Règles_bison[Specificite],MATCH(ChoixRationBisons&amp;$BM78,Règles_bison[Ration]&amp;Règles_bison[Aliment],0))="s1",IF($BM78=ChoixSpécificité1Bisons,1)),
INDEX(Règles_bison[Specificite],MATCH(ChoixRationBisons&amp;$BM78,Règles_bison[Ration]&amp;Règles_bison[Aliment],0))="c"),
INDEX(Règles_bison[Valeur 0-3],MATCH(ChoixRationBisons&amp;$BM78,Règles_bison[Ration]&amp;Règles_bison[Aliment],0)),0),0)*TotalBisonsFemelles_0_3_mois*NbreJoursNourrirBisonsDaims)</f>
        <v>0</v>
      </c>
      <c r="BU78" s="350">
        <f t="shared" si="21"/>
        <v>0</v>
      </c>
      <c r="BV78" s="282"/>
      <c r="BW78" s="282"/>
      <c r="BX78" s="373" t="s">
        <v>514</v>
      </c>
      <c r="BY78" s="280" t="s">
        <v>70</v>
      </c>
      <c r="BZ78" s="280" t="s">
        <v>887</v>
      </c>
      <c r="CA78" s="280">
        <v>1.6</v>
      </c>
      <c r="CB78" s="280">
        <v>1.4</v>
      </c>
      <c r="CC78" s="280">
        <v>1.2</v>
      </c>
      <c r="CD78" s="410">
        <v>1</v>
      </c>
      <c r="CE78" s="304"/>
      <c r="CF78" s="304"/>
      <c r="CG78" s="304"/>
      <c r="CH78" s="304"/>
      <c r="CJ78" s="420" t="s">
        <v>488</v>
      </c>
      <c r="CK78" s="384">
        <f t="array" ref="CK7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78" s="384">
        <f t="array" ref="CL7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78" s="384">
        <f t="array" ref="CM7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78" s="384">
        <f t="array" ref="CN7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78" s="384">
        <f t="array" ref="CO7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78" s="426">
        <f>SUM(AlimentsRationPorcinsMâles[[#This Row],[Valeur 12 et plus]:[Valeur 0-1]])</f>
        <v>0</v>
      </c>
      <c r="CS78" s="420" t="s">
        <v>510</v>
      </c>
      <c r="CT78" s="433">
        <f t="array" ref="CT78">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78" s="433">
        <f t="array" ref="CU78">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78" s="433">
        <f t="array" ref="CV78">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78" s="434">
        <f>SUM(AlimentsRationLapinsMâles[[#This Row],[Valeur 3 et plus]:[Valeur 0-1]])</f>
        <v>0</v>
      </c>
      <c r="CZ78" s="420" t="s">
        <v>510</v>
      </c>
      <c r="DA78" s="433">
        <f t="array" ref="DA7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78" s="433">
        <f t="array" ref="DB7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78" s="433">
        <f t="array" ref="DC7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78" s="434">
        <f>SUM(AlimentsRationVolaillesMâles[[#This Row],[Valeur 6 et plus]:[Valeur 0-1]])</f>
        <v>0</v>
      </c>
      <c r="DE78" s="316"/>
      <c r="DF78" s="277"/>
      <c r="DG78" s="420" t="s">
        <v>907</v>
      </c>
      <c r="DH78" s="433">
        <f t="array" ref="DH7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78" s="433">
        <f t="array" ref="DI7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78" s="433">
        <f t="array" ref="DJ7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78" s="434">
        <f>SUM(AlimentsRationPintadesMâles[[#This Row],[Valeur 9 et plus]:[Valeur 0-1]])</f>
        <v>0</v>
      </c>
      <c r="DL78" s="316"/>
      <c r="DM78" s="316"/>
      <c r="DN78" s="373" t="s">
        <v>622</v>
      </c>
      <c r="DO78" s="280" t="s">
        <v>392</v>
      </c>
      <c r="DP78" s="280" t="s">
        <v>886</v>
      </c>
      <c r="DQ78" s="310">
        <v>4</v>
      </c>
      <c r="DR78" s="310">
        <v>4</v>
      </c>
      <c r="DS78" s="310">
        <v>4</v>
      </c>
      <c r="DT78" s="439">
        <v>0</v>
      </c>
      <c r="DU78" s="298"/>
      <c r="DV78" s="350" t="str">
        <f>DV32</f>
        <v>Avoine</v>
      </c>
      <c r="DW78" s="351">
        <f t="array" ref="DW78">SUM((IF(QualitéAlimentsFaonMâle_0_3_mois=BONNE,VLOOKUP("Avoine",AlimentsRationHivernaleDaims,8,FALSE),0)+(IF(QualitéAlimentsFaonFemelle_0_3_mois=BONNE,VLOOKUP("Avoine",AlimentsRationHivernaleDaims,8,FALSE),0)+(IF(QualitéAlimentsFaonMâle_3_6_mois=BONNE,VLOOKUP("Avoine",AlimentsRationHivernaleDaims,7,FALSE),0)+(IF(QualitéAlimentsFaonFemelle_3_6_mois=BONNE,VLOOKUP("Avoine",AlimentsRationHivernaleDaims,7,FALSE),0)+(IF(QualitéAlimentsFaonMâle_6_12_mois=BONNE,VLOOKUP("Avoine",AlimentsRationHivernaleDaims,6,FALSE),0)+(IF(QualitéAlimentsFaonFemelle_6_12_mois=BONNE,VLOOKUP("Avoine",AlimentsRationHivernaleDaims,6,FALSE),0)+(IF(QualitéAlimentsJeuneDaim_12_18_mois=BONNE,VLOOKUP("Avoine",AlimentsRationHivernaleDaims,5,FALSE),0)+(IF(QualitéAlimentsJeuneDaine_12_18_mois=BONNE,VLOOKUP("Avoine",AlimentsRationHivernaleDaims,5,FALSE),0)+(IF(QualitéAlimentsJeuneDaim_18_24_mois=BONNE,VLOOKUP("Avoine",AlimentsRationHivernaleDaims,4,FALSE),0)+(IF(QualitéAlimentsJeuneDaine_18_24_mois=BONNE,VLOOKUP("Avoine",AlimentsRationHivernaleDaims,4,FALSE),0)+(IF(QualitéAlimentsJeuneDaim_24_36_mois=BONNE,VLOOKUP("Avoine",AlimentsRationHivernaleDaims,3,FALSE),0)+(IF(QualitéAlimentsJeuneDaine_24_36_mois=BONNE,VLOOKUP("Avoine",AlimentsRationHivernaleDaims,3,FALSE),0)+(IF(QualitéAlimentsDaim=BONNE,VLOOKUP("Avoine",AlimentsRationHivernaleDaims,2,FALSE),0)+(IF(QualitéAlimentsDaine=BONNE,VLOOKUP("Avoine",AlimentsRationHivernaleDaims,2,FALSE),0))))))))))))))))</f>
        <v>0</v>
      </c>
      <c r="DX78" s="351">
        <f t="array" ref="DX78">SUM((IF(QualitéAlimentsFaonMâle_0_3_mois=MOYENNE,VLOOKUP("Avoine",AlimentsRationHivernaleDaims,8,FALSE),0)+(IF(QualitéAlimentsFaonFemelle_0_3_mois=MOYENNE,VLOOKUP("Avoine",AlimentsRationHivernaleDaims,8,FALSE),0)+(IF(QualitéAlimentsFaonMâle_3_6_mois=MOYENNE,VLOOKUP("Avoine",AlimentsRationHivernaleDaims,7,FALSE),0)+(IF(QualitéAlimentsFaonFemelle_3_6_mois=MOYENNE,VLOOKUP("Avoine",AlimentsRationHivernaleDaims,7,FALSE),0)+(IF(QualitéAlimentsFaonMâle_6_12_mois=MOYENNE,VLOOKUP("Avoine",AlimentsRationHivernaleDaims,6,FALSE),0)+(IF(QualitéAlimentsFaonFemelle_6_12_mois=MOYENNE,VLOOKUP("Avoine",AlimentsRationHivernaleDaims,6,FALSE),0)+(IF(QualitéAlimentsJeuneDaim_12_18_mois=MOYENNE,VLOOKUP("Avoine",AlimentsRationHivernaleDaims,5,FALSE),0)+(IF(QualitéAlimentsJeuneDaine_12_18_mois=MOYENNE,VLOOKUP("Avoine",AlimentsRationHivernaleDaims,5,FALSE),0)+(IF(QualitéAlimentsJeuneDaim_18_24_mois=MOYENNE,VLOOKUP("Avoine",AlimentsRationHivernaleDaims,4,FALSE),0)+(IF(QualitéAlimentsJeuneDaine_18_24_mois=MOYENNE,VLOOKUP("Avoine",AlimentsRationHivernaleDaims,4,FALSE),0)+(IF(QualitéAlimentsJeuneDaim_24_36_mois=MOYENNE,VLOOKUP("Avoine",AlimentsRationHivernaleDaims,3,FALSE),0)+(IF(QualitéAlimentsJeuneDaine_24_36_mois=MOYENNE,VLOOKUP("Avoine",AlimentsRationHivernaleDaims,3,FALSE),0)+(IF(QualitéAlimentsDaim=MOYENNE,VLOOKUP("Avoine",AlimentsRationHivernaleDaims,2,FALSE),0)+(IF(QualitéAlimentsDaine=MOYENNE,VLOOKUP("Avoine",AlimentsRationHivernaleDaims,2,FALSE),0))))))))))))))))</f>
        <v>0</v>
      </c>
      <c r="DY78" s="351">
        <f t="array" ref="DY78">SUM((IF(QualitéAlimentsFaonMâle_0_3_mois=MAUVAISE,VLOOKUP("Avoine",AlimentsRationHivernaleDaims,8,FALSE),0)+(IF(QualitéAlimentsFaonFemelle_0_3_mois=MAUVAISE,VLOOKUP("Avoine",AlimentsRationHivernaleDaims,8,FALSE),0)+(IF(QualitéAlimentsFaonMâle_3_6_mois=MAUVAISE,VLOOKUP("Avoine",AlimentsRationHivernaleDaims,7,FALSE),0)+(IF(QualitéAlimentsFaonFemelle_3_6_mois=MAUVAISE,VLOOKUP("Avoine",AlimentsRationHivernaleDaims,7,FALSE),0)+(IF(QualitéAlimentsFaonMâle_6_12_mois=MAUVAISE,VLOOKUP("Avoine",AlimentsRationHivernaleDaims,6,FALSE),0)+(IF(QualitéAlimentsFaonFemelle_6_12_mois=MAUVAISE,VLOOKUP("Avoine",AlimentsRationHivernaleDaims,6,FALSE),0)+(IF(QualitéAlimentsJeuneDaim_12_18_mois=MAUVAISE,VLOOKUP("Avoine",AlimentsRationHivernaleDaims,5,FALSE),0)+(IF(QualitéAlimentsJeuneDaine_12_18_mois=MAUVAISE,VLOOKUP("Avoine",AlimentsRationHivernaleDaims,5,FALSE),0)+(IF(QualitéAlimentsJeuneDaim_18_24_mois=MAUVAISE,VLOOKUP("Avoine",AlimentsRationHivernaleDaims,4,FALSE),0)+(IF(QualitéAlimentsJeuneDaine_18_24_mois=MAUVAISE,VLOOKUP("Avoine",AlimentsRationHivernaleDaims,4,FALSE),0)+(IF(QualitéAlimentsJeuneDaim_24_36_mois=MAUVAISE,VLOOKUP("Avoine",AlimentsRationHivernaleDaims,3,FALSE),0)+(IF(QualitéAlimentsJeuneDaine_24_36_mois=MAUVAISE,VLOOKUP("Avoine",AlimentsRationHivernaleDaims,3,FALSE),0)+(IF(QualitéAlimentsDaim=MAUVAISE,VLOOKUP("Avoine",AlimentsRationHivernaleDaims,2,FALSE),0)+(IF(QualitéAlimentsDaine=MAUVAISE,VLOOKUP("Avoine",AlimentsRationHivernaleDaims,2,FALSE),0))))))))))))))))</f>
        <v>0</v>
      </c>
      <c r="DZ78" s="298"/>
      <c r="EA78" s="298"/>
      <c r="EB78" s="298"/>
      <c r="EC78" s="298"/>
      <c r="ED78" s="298"/>
      <c r="EE78" s="298"/>
      <c r="EG78" s="420" t="s">
        <v>508</v>
      </c>
      <c r="EH78" s="433">
        <f t="array" ref="EH7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78" s="433">
        <f t="array" ref="EI7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78" s="433">
        <f t="array" ref="EJ7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78" s="434">
        <f>SUM(AlimentsRationOiesMâles[[#This Row],[Valeur 6 et plus]:[Valeur 0-3]])</f>
        <v>0</v>
      </c>
      <c r="EL78" s="316"/>
      <c r="EN78" s="420" t="s">
        <v>378</v>
      </c>
      <c r="EO78" s="433">
        <f t="array" ref="EO78">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78" s="433">
        <f t="array" ref="EP78">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78" s="433">
        <f t="array" ref="EQ78">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78" s="434">
        <f>SUM(Ration_canards_Mâles[[#This Row],[Valeur 6 et plus]:[Valeur 0-3]])</f>
        <v>0</v>
      </c>
      <c r="ES78" s="316"/>
      <c r="ET78" s="282"/>
      <c r="EU78" s="457" t="s">
        <v>268</v>
      </c>
      <c r="EV78" s="458">
        <f t="array" ref="EV78">IF(OR(ChoixRationComplèteEtéChevauxSelle=OUI,ChoixRationComplèteEtéChevauxSelle="",AND(ChoixChevauxSellePréHiver=OUI,ChoixChevauxSellePréEté=OUI)),0,IFERROR(IF(OR(AND(INDEX(Règles_chevaux_selle[Specificite],MATCH(RationEtéChevauxSelle&amp;$EU78,Règles_chevaux_selle[Ration]&amp;Règles_chevaux_selle[Aliment],0))="s1",IF($EU78=Spécificité1ChevauxSelle,1)),
AND(INDEX(Règles_chevaux_selle[Specificite],MATCH(RationEtéChevauxSelle&amp;$EU78,Règles_chevaux_selle[Ration]&amp;Règles_chevaux_selle[Aliment],0))="s2",IF($EU78=Spécificité2ChevauxSelle,1)),
INDEX(Règles_chevaux_selle[Specificite],MATCH(RationEtéChevauxSelle&amp;$EU78,Règles_chevaux_selle[Ration]&amp;Règles_chevaux_selle[Aliment],0))="c"),
INDEX(Règles_chevaux_selle[Valeur 36 et plus],MATCH(RationEtéChevauxSelle&amp;$EU78,Règles_chevaux_selle[Ration]&amp;Règles_chevaux_selle[Aliment],0)),0),0)*TotalEtalonSelle*NbreJoursNourrirChevauxSelle)</f>
        <v>0</v>
      </c>
      <c r="EW78" s="458">
        <f t="array" ref="EW78">IF(OR(ChoixRationComplèteEtéChevauxSelle=OUI,ChoixRationComplèteEtéChevauxSelle="",AND(ChoixChevauxSellePréHiver=OUI,ChoixChevauxSellePréEté=OUI)),0,IFERROR(IF(OR(AND(INDEX(Règles_chevaux_selle[Specificite],MATCH(RationEtéChevauxSelle&amp;$EU78,Règles_chevaux_selle[Ration]&amp;Règles_chevaux_selle[Aliment],0))="s1",IF($EU78=Spécificité1ChevauxSelle,1)),
AND(INDEX(Règles_chevaux_selle[Specificite],MATCH(RationEtéChevauxSelle&amp;$EU78,Règles_chevaux_selle[Ration]&amp;Règles_chevaux_selle[Aliment],0))="s2",IF($EU78=Spécificité2ChevauxSelle,1)),
INDEX(Règles_chevaux_selle[Specificite],MATCH(RationEtéChevauxSelle&amp;$EU78,Règles_chevaux_selle[Ration]&amp;Règles_chevaux_selle[Aliment],0))="c"),
INDEX(Règles_chevaux_selle[Valeur 24-36],MATCH(RationEtéChevauxSelle&amp;$EU78,Règles_chevaux_selle[Ration]&amp;Règles_chevaux_selle[Aliment],0)),0),0)*TotalJeuneEtalonSelle_24_36_mois*NbreJoursNourrirChevauxSelle)</f>
        <v>0</v>
      </c>
      <c r="EX78" s="458">
        <f t="array" ref="EX78">IF(OR(ChoixRationComplèteEtéChevauxSelle=OUI,ChoixRationComplèteEtéChevauxSelle="",AND(ChoixChevauxSellePréHiver=OUI,ChoixChevauxSellePréEté=OUI)),0,IFERROR(IF(OR(AND(INDEX(Règles_chevaux_selle[Specificite],MATCH(RationEtéChevauxSelle&amp;$EU78,Règles_chevaux_selle[Ration]&amp;Règles_chevaux_selle[Aliment],0))="s1",IF($EU78=Spécificité1ChevauxSelle,1)),
AND(INDEX(Règles_chevaux_selle[Specificite],MATCH(RationEtéChevauxSelle&amp;$EU78,Règles_chevaux_selle[Ration]&amp;Règles_chevaux_selle[Aliment],0))="s2",IF($EU78=Spécificité2ChevauxSelle,1)),
INDEX(Règles_chevaux_selle[Specificite],MATCH(RationEtéChevauxSelle&amp;$EU78,Règles_chevaux_selle[Ration]&amp;Règles_chevaux_selle[Aliment],0))="c"),
INDEX(Règles_chevaux_selle[Valeur 12-24],MATCH(RationEtéChevauxSelle&amp;$EU78,Règles_chevaux_selle[Ration]&amp;Règles_chevaux_selle[Aliment],0)),0),0)*TotalJeuneEtalonSelle_12_24_mois*NbreJoursNourrirChevauxSelle)</f>
        <v>0</v>
      </c>
      <c r="EY78" s="460">
        <f t="array" ref="EY78">IF(OR(ChoixRationComplèteEtéChevauxSelle=OUI,ChoixRationComplèteEtéChevauxSelle="",AND(ChoixChevauxSellePréHiver=OUI,ChoixChevauxSellePréEté=OUI)),0,IFERROR(IF(OR(AND(INDEX(Règles_chevaux_selle[Specificite],MATCH(RationEtéChevauxSelle&amp;$EU78,Règles_chevaux_selle[Ration]&amp;Règles_chevaux_selle[Aliment],0))="s1",IF($EU78=Spécificité1ChevauxSelle,1)),
AND(INDEX(Règles_chevaux_selle[Specificite],MATCH(RationEtéChevauxSelle&amp;$EU78,Règles_chevaux_selle[Ration]&amp;Règles_chevaux_selle[Aliment],0))="s2",IF($EU78=Spécificité2ChevauxSelle,1)),
INDEX(Règles_chevaux_selle[Specificite],MATCH(RationEtéChevauxSelle&amp;$EU78,Règles_chevaux_selle[Ration]&amp;Règles_chevaux_selle[Aliment],0))="c"),
INDEX(Règles_chevaux_selle[Valeur 0-12],MATCH(RationEtéChevauxSelle&amp;$EU78,Règles_chevaux_selle[Ration]&amp;Règles_chevaux_selle[Aliment],0)),0),0)*TotalPoulainSelle_0_12_mois*NbreJoursNourrirChevauxSelle)</f>
        <v>0</v>
      </c>
      <c r="EZ78" s="460">
        <f t="shared" si="16"/>
        <v>0</v>
      </c>
      <c r="FA78" s="298"/>
      <c r="FB78" s="298"/>
      <c r="FD78" s="457" t="s">
        <v>906</v>
      </c>
      <c r="FE78" s="458">
        <f t="array" ref="FE78">IF(OR(ChoixRationComplèteEtéChevauxTrait=OUI,ChoixRationComplèteEtéChevauxTrait="",AND(ChoixChevauxTraitPréHiver=OUI,ChoixChevauxTraitPréEté=OUI)),0,IFERROR(IF(OR(AND(INDEX(Règles_chevaux_trait[Specificite],MATCH(RationEtéChevauxTrait&amp;$FD78,Règles_chevaux_trait[Ration]&amp;Règles_chevaux_trait[Aliment],0))="s1",IF($FD78=Spécificité1ChevauxTrait,1)),
AND(INDEX(Règles_chevaux_trait[Specificite],MATCH(RationEtéChevauxTrait&amp;$FD78,Règles_chevaux_trait[Ration]&amp;Règles_chevaux_trait[Aliment],0))="s2",IF($FD78=Spécificité2ChevauxTrait,1)),
INDEX(Règles_chevaux_trait[Specificite],MATCH(RationEtéChevauxTrait&amp;$FD78,Règles_chevaux_trait[Ration]&amp;Règles_chevaux_trait[Aliment],0))="c"),
INDEX(Règles_chevaux_trait[Valeur 36 et plus],MATCH(RationEtéChevauxTrait&amp;$FD78,Règles_chevaux_trait[Ration]&amp;Règles_chevaux_trait[Aliment],0)),0),0)*TotalEtalonTrait*NbreJoursNourrirChevauxTrait)</f>
        <v>0</v>
      </c>
      <c r="FF78" s="458">
        <f t="array" ref="FF78">IF(OR(ChoixRationComplèteEtéChevauxTrait=OUI,ChoixRationComplèteEtéChevauxTrait="",AND(ChoixChevauxTraitPréHiver=OUI,ChoixChevauxTraitPréEté=OUI)),0,IFERROR(IF(OR(AND(INDEX(Règles_chevaux_trait[Specificite],MATCH(RationEtéChevauxTrait&amp;$FD78,Règles_chevaux_trait[Ration]&amp;Règles_chevaux_trait[Aliment],0))="s1",IF($FD78=Spécificité1ChevauxTrait,1)),
AND(INDEX(Règles_chevaux_trait[Specificite],MATCH(RationEtéChevauxTrait&amp;$FD78,Règles_chevaux_trait[Ration]&amp;Règles_chevaux_trait[Aliment],0))="s2",IF($FD78=Spécificité2ChevauxTrait,1)),
INDEX(Règles_chevaux_trait[Specificite],MATCH(RationEtéChevauxTrait&amp;$FD78,Règles_chevaux_trait[Ration]&amp;Règles_chevaux_trait[Aliment],0))="c"),
INDEX(Règles_chevaux_trait[Valeur 24-36],MATCH(RationEtéChevauxTrait&amp;$FD78,Règles_chevaux_trait[Ration]&amp;Règles_chevaux_trait[Aliment],0)),0),0)*TotalJeuneEtalonTrait_24_36_mois*NbreJoursNourrirChevauxTrait)</f>
        <v>0</v>
      </c>
      <c r="FG78" s="458">
        <f t="array" ref="FG78">IF(OR(ChoixRationComplèteEtéChevauxTrait=OUI,ChoixRationComplèteEtéChevauxTrait="",AND(ChoixChevauxTraitPréHiver=OUI,ChoixChevauxTraitPréEté=OUI)),0,IFERROR(IF(OR(AND(INDEX(Règles_chevaux_trait[Specificite],MATCH(RationEtéChevauxTrait&amp;$FD78,Règles_chevaux_trait[Ration]&amp;Règles_chevaux_trait[Aliment],0))="s1",IF($FD78=Spécificité1ChevauxTrait,1)),
AND(INDEX(Règles_chevaux_trait[Specificite],MATCH(RationEtéChevauxTrait&amp;$FD78,Règles_chevaux_trait[Ration]&amp;Règles_chevaux_trait[Aliment],0))="s2",IF($FD78=Spécificité2ChevauxTrait,1)),
INDEX(Règles_chevaux_trait[Specificite],MATCH(RationEtéChevauxTrait&amp;$FD78,Règles_chevaux_trait[Ration]&amp;Règles_chevaux_trait[Aliment],0))="c"),
INDEX(Règles_chevaux_trait[Valeur 12-24],MATCH(RationEtéChevauxTrait&amp;$FD78,Règles_chevaux_trait[Ration]&amp;Règles_chevaux_trait[Aliment],0)),0),0)*TotalJeuneEtalonTrait_12_24_mois*NbreJoursNourrirChevauxTrait)</f>
        <v>0</v>
      </c>
      <c r="FH78" s="460">
        <f t="array" ref="FH78">IF(OR(ChoixRationComplèteEtéChevauxTrait=OUI,ChoixRationComplèteEtéChevauxTrait="",AND(ChoixChevauxTraitPréHiver=OUI,ChoixChevauxTraitPréEté=OUI)),0,IFERROR(IF(OR(AND(INDEX(Règles_chevaux_trait[Specificite],MATCH(RationEtéChevauxTrait&amp;$FD78,Règles_chevaux_trait[Ration]&amp;Règles_chevaux_trait[Aliment],0))="s1",IF($FD78=Spécificité1ChevauxTrait,1)),
AND(INDEX(Règles_chevaux_trait[Specificite],MATCH(RationEtéChevauxTrait&amp;$FD78,Règles_chevaux_trait[Ration]&amp;Règles_chevaux_trait[Aliment],0))="s2",IF($FD78=Spécificité2ChevauxTrait,1)),
INDEX(Règles_chevaux_trait[Specificite],MATCH(RationEtéChevauxTrait&amp;$FD78,Règles_chevaux_trait[Ration]&amp;Règles_chevaux_trait[Aliment],0))="c"),
INDEX(Règles_chevaux_trait[Valeur 0-12],MATCH(RationEtéChevauxTrait&amp;$FD78,Règles_chevaux_trait[Ration]&amp;Règles_chevaux_trait[Aliment],0)),0),0)*TotalPoulainTrait_0_12_mois*NbreJoursNourrirChevauxTrait)</f>
        <v>0</v>
      </c>
      <c r="FI78" s="460">
        <f t="shared" si="15"/>
        <v>0</v>
      </c>
      <c r="FJ78" s="298"/>
      <c r="FK78" s="298"/>
      <c r="FL78" s="298"/>
      <c r="FN78" s="457" t="s">
        <v>508</v>
      </c>
      <c r="FO78" s="458">
        <f t="array" ref="FO78">IF(OR(ChoixRationComplèteEtéPoneys=OUI,ChoixRationComplèteEtéPoneys="",AND(ChoixPoneysPréHiver=OUI,ChoixPoneysPréEté=OUI)),0,IFERROR(IF(OR(AND(INDEX(Règles_poneys[Specificite],MATCH(RationEtéPoneys&amp;$FN78,Règles_poneys[Ration]&amp;Règles_poneys[Aliment],0))="s1",IF($FN78=Spécificité1Poneys,1)),
AND(INDEX(Règles_poneys[Specificite],MATCH(RationEtéPoneys&amp;$FN78,Règles_poneys[Ration]&amp;Règles_poneys[Aliment],0))="s2",IF($FN78=Spécificité2Poneys,1)),
INDEX(Règles_poneys[Specificite],MATCH(RationEtéPoneys&amp;$FN78,Règles_poneys[Ration]&amp;Règles_poneys[Aliment],0))="c"),
INDEX(Règles_poneys[Valeur 36 et plus],MATCH(RationEtéPoneys&amp;$FN78,Règles_poneys[Ration]&amp;Règles_poneys[Aliment],0)),0),0)*TotalEtalonPoney*NbreJoursNourrirPoneys)</f>
        <v>0</v>
      </c>
      <c r="FP78" s="458">
        <f t="array" ref="FP78">IF(OR(ChoixRationComplèteEtéPoneys=OUI,ChoixRationComplèteEtéPoneys="",AND(ChoixPoneysPréHiver=OUI,ChoixPoneysPréEté=OUI)),0,IFERROR(IF(OR(AND(INDEX(Règles_poneys[Specificite],MATCH(RationEtéPoneys&amp;$FN78,Règles_poneys[Ration]&amp;Règles_poneys[Aliment],0))="s1",IF($FN78=Spécificité1Poneys,1)),
AND(INDEX(Règles_poneys[Specificite],MATCH(RationEtéPoneys&amp;$FN78,Règles_poneys[Ration]&amp;Règles_poneys[Aliment],0))="s2",IF($FN78=Spécificité2Poneys,1)),
INDEX(Règles_poneys[Specificite],MATCH(RationEtéPoneys&amp;$FN78,Règles_poneys[Ration]&amp;Règles_poneys[Aliment],0))="c"),
INDEX(Règles_poneys[Valeur 36 et plus],MATCH(RationEtéPoneys&amp;$FN78,Règles_poneys[Ration]&amp;Règles_poneys[Aliment],0)),0),0)*TotalJeuneEtalonPoney_24_36_mois*NbreJoursNourrirPoneys)</f>
        <v>0</v>
      </c>
      <c r="FQ78" s="458">
        <f t="array" ref="FQ78">IF(OR(ChoixRationComplèteEtéPoneys=OUI,ChoixRationComplèteEtéPoneys="",AND(ChoixPoneysPréHiver=OUI,ChoixPoneysPréEté=OUI)),0,IFERROR(IF(OR(AND(INDEX(Règles_poneys[Specificite],MATCH(RationEtéPoneys&amp;$FN78,Règles_poneys[Ration]&amp;Règles_poneys[Aliment],0))="s1",IF($FN78=Spécificité1Poneys,1)),
AND(INDEX(Règles_poneys[Specificite],MATCH(RationEtéPoneys&amp;$FN78,Règles_poneys[Ration]&amp;Règles_poneys[Aliment],0))="s2",IF($FN78=Spécificité2Poneys,1)),
INDEX(Règles_poneys[Specificite],MATCH(RationEtéPoneys&amp;$FN78,Règles_poneys[Ration]&amp;Règles_poneys[Aliment],0))="c"),
INDEX(Règles_poneys[Valeur 36 et plus],MATCH(RationEtéPoneys&amp;$FN78,Règles_poneys[Ration]&amp;Règles_poneys[Aliment],0)),0),0)*TotalJeuneEtalonPoney_12_24_mois*NbreJoursNourrirPoneys)</f>
        <v>0</v>
      </c>
      <c r="FR78" s="460">
        <f t="array" ref="FR78">IF(OR(ChoixRationComplèteEtéPoneys=OUI,ChoixRationComplèteEtéPoneys="",AND(ChoixPoneysPréHiver=OUI,ChoixPoneysPréEté=OUI)),0,IFERROR(IF(OR(AND(INDEX(Règles_poneys[Specificite],MATCH(RationEtéPoneys&amp;$FN78,Règles_poneys[Ration]&amp;Règles_poneys[Aliment],0))="s1",IF($FN78=Spécificité1Poneys,1)),
AND(INDEX(Règles_poneys[Specificite],MATCH(RationEtéPoneys&amp;$FN78,Règles_poneys[Ration]&amp;Règles_poneys[Aliment],0))="s2",IF($FN78=Spécificité2Poneys,1)),
INDEX(Règles_poneys[Specificite],MATCH(RationEtéPoneys&amp;$FN78,Règles_poneys[Ration]&amp;Règles_poneys[Aliment],0))="c"),
INDEX(Règles_poneys[Valeur 36 et plus],MATCH(RationEtéPoneys&amp;$FN78,Règles_poneys[Ration]&amp;Règles_poneys[Aliment],0)),0),0)*TotalPoulainPoney_0_12_mois*NbreJoursNourrirPoneys)</f>
        <v>0</v>
      </c>
      <c r="FS78" s="460">
        <f t="shared" si="14"/>
        <v>0</v>
      </c>
      <c r="FT78" s="298"/>
      <c r="FU78" s="298"/>
      <c r="FW78" s="443"/>
      <c r="FX78" s="450">
        <f t="array" ref="FX78">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78" s="450">
        <f t="array" ref="FY78">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78" s="450">
        <f t="array" ref="FZ78">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78" s="450">
        <f t="array" ref="GA78">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78" s="451">
        <f>SUM(AlimentsGavageOies[[#This Row],[Valeur 6 et plus]:[Valeur 0-1]])</f>
        <v>0</v>
      </c>
      <c r="GC78" s="316"/>
      <c r="GG78" s="276" t="s">
        <v>955</v>
      </c>
      <c r="GH78" s="276" t="s">
        <v>955</v>
      </c>
      <c r="GI78" s="276" t="s">
        <v>955</v>
      </c>
      <c r="GJ78" s="276" t="s">
        <v>955</v>
      </c>
      <c r="GK78" s="276" t="s">
        <v>955</v>
      </c>
      <c r="GL78" s="276" t="s">
        <v>955</v>
      </c>
      <c r="GM78" s="276" t="s">
        <v>955</v>
      </c>
      <c r="GN78" s="276" t="s">
        <v>955</v>
      </c>
      <c r="GO78" s="276" t="s">
        <v>955</v>
      </c>
      <c r="GP78" s="276" t="s">
        <v>955</v>
      </c>
      <c r="GQ78" s="276" t="s">
        <v>955</v>
      </c>
      <c r="GR78" s="276" t="s">
        <v>955</v>
      </c>
      <c r="GS78" s="276" t="s">
        <v>955</v>
      </c>
      <c r="GT78" s="276" t="s">
        <v>955</v>
      </c>
      <c r="GU78" s="276" t="s">
        <v>955</v>
      </c>
      <c r="GV78" s="276" t="s">
        <v>955</v>
      </c>
      <c r="GY78" s="444" t="str">
        <f t="shared" si="11"/>
        <v>semences de triticale (G)</v>
      </c>
      <c r="GZ78" s="444"/>
      <c r="HA78" s="342"/>
      <c r="HB78" s="342" t="e">
        <f>IF(COUNTIF(TypeArticleDansEntrepôt,GY78)=0,0,SUMIF(TypeArticleDansEntrepôt,GY78,QtéArticleDansEntrepôt)*VLOOKUP(GY78,#REF!,2,FALSE))</f>
        <v>#REF!</v>
      </c>
      <c r="HN78" s="342" t="e">
        <f>IF(#REF!="","",(VLOOKUP(#REF!,BDD!$HN$5:$HU$38,2,FALSE))*#REF!)</f>
        <v>#REF!</v>
      </c>
      <c r="HO78" s="342" t="e">
        <f>IF(#REF!="","",IF(OR(#REF!=Moutarde,#REF!=Phacélie),0,IF(#REF!=Luzerne,10*#REF!*VLOOKUP(#REF!,BDD!$HN$5:$HU$38,3,FALSE),IF(#REF!=Miscanthus,10.5*#REF!*VLOOKUP(#REF!,BDD!$HN$5:$HU$38,3,FALSE),INDEX(#REF!:#REF!,MATCH(#REF!,#REF!:#REF!,0),MATCH(#REF!,#REF!:#REF!,0))*#REF!*VLOOKUP(#REF!,BDD!$HN$5:$HU$38,3,FALSE)))))</f>
        <v>#REF!</v>
      </c>
      <c r="HP78" s="342" t="e">
        <f>IF(#REF!="","",IF(OR(#REF!=Moutarde,#REF!=Phacélie),0,IF(#REF!=Luzerne,10*#REF!*VLOOKUP(#REF!,BDD!$HN$5:$HU$38,4,FALSE),IF(#REF!=Miscanthus,10.5*#REF!*VLOOKUP(#REF!,BDD!$HN$5:$HU$38,4,FALSE),INDEX(#REF!:#REF!,MATCH(#REF!,#REF!:#REF!,0),MATCH(#REF!,#REF!:#REF!,0))*#REF!*VLOOKUP(#REF!,BDD!$HN$5:$HU$38,4,FALSE)))))</f>
        <v>#REF!</v>
      </c>
      <c r="HQ78" s="342" t="e">
        <f>IF(#REF!="","",IF(OR(#REF!=Moutarde,#REF!=Phacélie),0,IF(#REF!=Luzerne,10*#REF!*VLOOKUP(#REF!,BDD!$HN$5:$HU$38,5,FALSE),IF(#REF!=Miscanthus,10.5*#REF!*VLOOKUP(#REF!,BDD!$HN$5:$HU$38,5,FALSE),INDEX(#REF!:#REF!,MATCH(#REF!,#REF!:#REF!,0),MATCH(#REF!,#REF!:#REF!,0))*#REF!*VLOOKUP(#REF!,BDD!$HN$5:$HU$38,5,FALSE)))))</f>
        <v>#REF!</v>
      </c>
      <c r="HR78" s="342" t="e">
        <f>IF(#REF!="","",IF(OR(#REF!=Moutarde,#REF!=Phacélie),0,IF(#REF!=Luzerne,10*#REF!*VLOOKUP(#REF!,BDD!$HN$5:$HU$38,6,FALSE),IF(#REF!=Miscanthus,10.5*#REF!*VLOOKUP(#REF!,BDD!$HN$5:$HU$38,6,FALSE),INDEX(#REF!:#REF!,MATCH(#REF!,#REF!:#REF!,0),MATCH(#REF!,#REF!:#REF!,0))*#REF!*VLOOKUP(#REF!,BDD!$HN$5:$HU$38,6,FALSE)))))</f>
        <v>#REF!</v>
      </c>
      <c r="HS78" s="342" t="e">
        <f>IF(#REF!="","",IF(OR(#REF!=Moutarde,#REF!=Phacélie),0,IF(#REF!=Luzerne,10*#REF!*VLOOKUP(#REF!,BDD!$HN$5:$HU$38,7,FALSE),IF(#REF!=Miscanthus,10.5*#REF!*VLOOKUP(#REF!,BDD!$HN$5:$HU$38,7,FALSE),INDEX(#REF!:#REF!,MATCH(#REF!,#REF!:#REF!,0),MATCH(#REF!,#REF!:#REF!,0))*#REF!*VLOOKUP(#REF!,BDD!$HN$5:$HU$38,7,FALSE)))))</f>
        <v>#REF!</v>
      </c>
      <c r="HT78" s="342" t="e">
        <f>IF(#REF!="","",IF(OR(#REF!=Moutarde,#REF!=Phacélie),0,IF(#REF!=Luzerne,10*#REF!*VLOOKUP(#REF!,BDD!$HN$5:$HU$38,8,FALSE),IF(#REF!=Miscanthus,10.5*#REF!*VLOOKUP(#REF!,BDD!$HN$5:$HU$38,8,FALSE),INDEX(#REF!:#REF!,MATCH(#REF!,#REF!:#REF!,0),MATCH(#REF!,#REF!:#REF!,0))*#REF!*VLOOKUP(#REF!,BDD!$HN$5:$HU$38,8,FALSE)))))</f>
        <v>#REF!</v>
      </c>
      <c r="HU78" s="342" t="e">
        <f>IF(#REF!="","",IF(OR(#REF!=Moutarde,#REF!=Phacélie),0,1.6*#REF!))</f>
        <v>#REF!</v>
      </c>
      <c r="HV78" s="342" t="e">
        <f>IF(#REF!="","",IF(OR(#REF!=Moutarde,#REF!=Phacélie),0,1.6*#REF!))</f>
        <v>#REF!</v>
      </c>
      <c r="HW78" s="342" t="e">
        <f>IF(#REF!="","",IF(OR(#REF!=Moutarde,#REF!=Phacélie),0,1.6*#REF!))</f>
        <v>#REF!</v>
      </c>
      <c r="HX78" s="342" t="e">
        <f>IF(#REF!="","",(VLOOKUP(#REF!,BDD!$HN$5:$HU$38,2,FALSE))*#REF!)</f>
        <v>#REF!</v>
      </c>
      <c r="HY78" s="342" t="e">
        <f>IF(#REF!="","",IF(OR(#REF!=Moutarde,#REF!=Phacélie),0,IF(#REF!=Luzerne,10*#REF!*VLOOKUP(#REF!,BDD!$HN$5:$HU$38,3,FALSE),IF(#REF!=Miscanthus,10.5*#REF!*VLOOKUP(#REF!,BDD!$HN$5:$HU$38,3,FALSE),INDEX(#REF!:#REF!,MATCH(#REF!,#REF!:#REF!,0),MATCH(#REF!,#REF!:#REF!,0))*#REF!*VLOOKUP(#REF!,BDD!$HN$5:$HU$38,3,FALSE)))))</f>
        <v>#REF!</v>
      </c>
      <c r="HZ78" s="342" t="e">
        <f>IF(#REF!="","",IF(OR(#REF!=Moutarde,#REF!=Phacélie),0,IF(#REF!=Luzerne,10*#REF!*VLOOKUP(#REF!,BDD!$HN$5:$HU$38,4,FALSE),IF(#REF!=Miscanthus,10.5*#REF!*VLOOKUP(#REF!,BDD!$HN$5:$HU$38,4,FALSE),INDEX(#REF!:#REF!,MATCH(#REF!,#REF!:#REF!,0),MATCH(#REF!,#REF!:#REF!,0))*#REF!*VLOOKUP(#REF!,BDD!$HN$5:$HU$38,4,FALSE)))))</f>
        <v>#REF!</v>
      </c>
      <c r="IA78" s="342" t="e">
        <f>IF(#REF!="","",IF(OR(#REF!=Moutarde,#REF!=Phacélie),0,IF(#REF!=Luzerne,10*#REF!*VLOOKUP(#REF!,BDD!$HN$5:$HU$38,5,FALSE),IF(#REF!=Miscanthus,10.5*#REF!*VLOOKUP(#REF!,BDD!$HN$5:$HU$38,5,FALSE),INDEX(#REF!:#REF!,MATCH(#REF!,#REF!:#REF!,0),MATCH(#REF!,#REF!:#REF!,0))*#REF!*VLOOKUP(#REF!,BDD!$HN$5:$HU$38,5,FALSE)))))</f>
        <v>#REF!</v>
      </c>
      <c r="IB78" s="342" t="e">
        <f>IF(#REF!="","",IF(OR(#REF!=Moutarde,#REF!=Phacélie),0,IF(#REF!=Luzerne,10*#REF!*VLOOKUP(#REF!,BDD!$HN$5:$HU$38,6,FALSE),IF(#REF!=Miscanthus,10.5*#REF!*VLOOKUP(#REF!,BDD!$HN$5:$HU$38,6,FALSE),INDEX(#REF!:#REF!,MATCH(#REF!,#REF!:#REF!,0),MATCH(#REF!,#REF!:#REF!,0))*#REF!*VLOOKUP(#REF!,BDD!$HN$5:$HU$38,6,FALSE)))))</f>
        <v>#REF!</v>
      </c>
      <c r="IC78" s="342" t="e">
        <f>IF(#REF!="","",IF(OR(#REF!=Moutarde,#REF!=Phacélie),0,IF(#REF!=Luzerne,10*#REF!*VLOOKUP(#REF!,BDD!$HN$5:$HU$38,7,FALSE),IF(#REF!=Miscanthus,10.5*#REF!*VLOOKUP(#REF!,BDD!$HN$5:$HU$38,7,FALSE),INDEX(#REF!:#REF!,MATCH(#REF!,#REF!:#REF!,0),MATCH(#REF!,#REF!:#REF!,0))*#REF!*VLOOKUP(#REF!,BDD!$HN$5:$HU$38,7,FALSE)))))</f>
        <v>#REF!</v>
      </c>
      <c r="ID78" s="342" t="e">
        <f>IF(#REF!="","",IF(OR(#REF!=Moutarde,#REF!=Phacélie),0,IF(#REF!=Luzerne,10*#REF!*VLOOKUP(#REF!,BDD!$HN$5:$HU$38,8,FALSE),IF(#REF!=Miscanthus,10.5*#REF!*VLOOKUP(#REF!,BDD!$HN$5:$HU$38,8,FALSE),INDEX(#REF!:#REF!,MATCH(#REF!,#REF!:#REF!,0),MATCH(#REF!,#REF!:#REF!,0))*#REF!*VLOOKUP(#REF!,BDD!$HN$5:$HU$38,8,FALSE)))))</f>
        <v>#REF!</v>
      </c>
      <c r="IE78" s="342" t="e">
        <f>IF(#REF!="","",IF(OR(#REF!=Moutarde,#REF!=Phacélie),0,1.6*#REF!))</f>
        <v>#REF!</v>
      </c>
      <c r="IF78" s="342" t="e">
        <f>IF(#REF!="","",IF(OR(#REF!=Moutarde,#REF!=Phacélie),0,1.6*#REF!))</f>
        <v>#REF!</v>
      </c>
      <c r="IG78" s="342" t="e">
        <f>IF(#REF!="","",IF(OR(#REF!=Moutarde,#REF!=Phacélie),0,1.6*#REF!))</f>
        <v>#REF!</v>
      </c>
    </row>
    <row r="79" spans="1:241" ht="12.75" customHeight="1" x14ac:dyDescent="0.2">
      <c r="A79" s="373"/>
      <c r="B79" s="380"/>
      <c r="F79" s="280"/>
      <c r="G79" s="280"/>
      <c r="H79" s="321"/>
      <c r="I79" s="280"/>
      <c r="J79" s="321"/>
      <c r="K79" s="321"/>
      <c r="L79" s="321"/>
      <c r="Y79" s="385" t="s">
        <v>1118</v>
      </c>
      <c r="Z79" s="385">
        <f>IF('coût alimentation'!$B$6=$Y$79,4,0)</f>
        <v>0</v>
      </c>
      <c r="AA79" s="385">
        <f>IF('coût alimentation'!$B$6=$Y$79,4,0)</f>
        <v>0</v>
      </c>
      <c r="AB79" s="385">
        <f>IF('coût alimentation'!$B$6=$Y$79,4,0)</f>
        <v>0</v>
      </c>
      <c r="AC79" s="385">
        <f>IF('coût alimentation'!$B$6=$Y$79,4,0)</f>
        <v>0</v>
      </c>
      <c r="AD79" s="385">
        <f>IF('coût alimentation'!$B$6=$Y$79,4,0)</f>
        <v>0</v>
      </c>
      <c r="AE79" s="385">
        <f>IF('coût alimentation'!$B$6=$Y$79,4,0)</f>
        <v>0</v>
      </c>
      <c r="AF79" s="385">
        <f>IF('coût alimentation'!$B$6=$Y$79,4,0)</f>
        <v>0</v>
      </c>
      <c r="AG79" s="385">
        <f>IF('coût alimentation'!$B$6=$Y$79,4,0)</f>
        <v>0</v>
      </c>
      <c r="BB79" s="387" t="s">
        <v>511</v>
      </c>
      <c r="BC79" s="362" t="s">
        <v>57</v>
      </c>
      <c r="BD79" s="362" t="s">
        <v>888</v>
      </c>
      <c r="BE79" s="388">
        <v>4.8</v>
      </c>
      <c r="BF79" s="388">
        <v>4</v>
      </c>
      <c r="BG79" s="388">
        <v>4</v>
      </c>
      <c r="BH79" s="388">
        <v>4</v>
      </c>
      <c r="BI79" s="388">
        <v>2</v>
      </c>
      <c r="BJ79" s="388">
        <v>1.2</v>
      </c>
      <c r="BK79" s="389">
        <v>0</v>
      </c>
      <c r="BL79" s="312"/>
      <c r="BM79" s="350" t="str">
        <f t="shared" si="22"/>
        <v>Colza</v>
      </c>
      <c r="BN79" s="350">
        <f t="array" ref="BN79">IF(Ration_hivernale_complète_bisons[somme]&gt;0,0,IFERROR(IF(OR(AND(INDEX(Règles_bison[Specificite],MATCH(ChoixRationBisons&amp;$BM79,Règles_bison[Ration]&amp;Règles_bison[Aliment],0))="s1",IF($BM79=ChoixSpécificité1Bisons,1)),
INDEX(Règles_bison[Specificite],MATCH(ChoixRationBisons&amp;$BM79,Règles_bison[Ration]&amp;Règles_bison[Aliment],0))="c"),
INDEX(Règles_bison[Valeur 36 et plus],MATCH(ChoixRationBisons&amp;$BM79,Règles_bison[Ration]&amp;Règles_bison[Aliment],0)),0),0)*TotalBisonnes*NbreJoursNourrirBisonsDaims)</f>
        <v>0</v>
      </c>
      <c r="BO79" s="350">
        <f t="array" ref="BO79">IF(Ration_hivernale_complète_bisons[somme]&gt;0,0,IFERROR(IF(OR(AND(INDEX(Règles_bison[Specificite],MATCH(ChoixRationBisons&amp;$BM79,Règles_bison[Ration]&amp;Règles_bison[Aliment],0))="s1",IF($BM79=ChoixSpécificité1Bisons,1)),
INDEX(Règles_bison[Specificite],MATCH(ChoixRationBisons&amp;$BM79,Règles_bison[Ration]&amp;Règles_bison[Aliment],0))="c"),
INDEX(Règles_bison[Valeur 24-36],MATCH(ChoixRationBisons&amp;$BM79,Règles_bison[Ration]&amp;Règles_bison[Aliment],0)),0),0)*TotalBisonsFemelles_24_36_mois*NbreJoursNourrirBisonsDaims)</f>
        <v>0</v>
      </c>
      <c r="BP79" s="350">
        <f t="array" ref="BP79">IF(Ration_hivernale_complète_bisons[somme]&gt;0,0,IFERROR(IF(OR(AND(INDEX(Règles_bison[Specificite],MATCH(ChoixRationBisons&amp;$BM79,Règles_bison[Ration]&amp;Règles_bison[Aliment],0))="s1",IF($BM79=ChoixSpécificité1Bisons,1)),
INDEX(Règles_bison[Specificite],MATCH(ChoixRationBisons&amp;$BM79,Règles_bison[Ration]&amp;Règles_bison[Aliment],0))="c"),
INDEX(Règles_bison[Valeur 18-24],MATCH(ChoixRationBisons&amp;$BM79,Règles_bison[Ration]&amp;Règles_bison[Aliment],0)),0),0)*TotalBisonsFemelles_18_24_mois*NbreJoursNourrirBisonsDaims)</f>
        <v>0</v>
      </c>
      <c r="BQ79" s="350">
        <f t="array" ref="BQ79">IF(Ration_hivernale_complète_bisons[somme]&gt;0,0,IFERROR(IF(OR(AND(INDEX(Règles_bison[Specificite],MATCH(ChoixRationBisons&amp;$BM79,Règles_bison[Ration]&amp;Règles_bison[Aliment],0))="s1",IF($BM79=ChoixSpécificité1Bisons,1)),
INDEX(Règles_bison[Specificite],MATCH(ChoixRationBisons&amp;$BM79,Règles_bison[Ration]&amp;Règles_bison[Aliment],0))="c"),
INDEX(Règles_bison[Valeur 12-18],MATCH(ChoixRationBisons&amp;$BM79,Règles_bison[Ration]&amp;Règles_bison[Aliment],0)),0),0)*TotalBisonsFemelles_12_18_mois*NbreJoursNourrirBisonsDaims)</f>
        <v>0</v>
      </c>
      <c r="BR79" s="350">
        <f t="array" ref="BR79">IF(Ration_hivernale_complète_bisons[somme]&gt;0,0,IFERROR(IF(OR(AND(INDEX(Règles_bison[Specificite],MATCH(ChoixRationBisons&amp;$BM79,Règles_bison[Ration]&amp;Règles_bison[Aliment],0))="s1",IF($BM79=ChoixSpécificité1Bisons,1)),
INDEX(Règles_bison[Specificite],MATCH(ChoixRationBisons&amp;$BM79,Règles_bison[Ration]&amp;Règles_bison[Aliment],0))="c"),
INDEX(Règles_bison[Valeur 6-12],MATCH(ChoixRationBisons&amp;$BM79,Règles_bison[Ration]&amp;Règles_bison[Aliment],0)),0),0)*TotalBisonsFemelles_6_12_mois*NbreJoursNourrirBisonsDaims)</f>
        <v>0</v>
      </c>
      <c r="BS79" s="350">
        <f t="array" ref="BS79">IF(Ration_hivernale_complète_bisons[somme]&gt;0,0,IFERROR(IF(OR(AND(INDEX(Règles_bison[Specificite],MATCH(ChoixRationBisons&amp;$BM79,Règles_bison[Ration]&amp;Règles_bison[Aliment],0))="s1",IF($BM79=ChoixSpécificité1Bisons,1)),
INDEX(Règles_bison[Specificite],MATCH(ChoixRationBisons&amp;$BM79,Règles_bison[Ration]&amp;Règles_bison[Aliment],0))="c"),
INDEX(Règles_bison[Valeur 3-6],MATCH(ChoixRationBisons&amp;$BM79,Règles_bison[Ration]&amp;Règles_bison[Aliment],0)),0),0)*TotalBisonsFemelles_3_6_mois*NbreJoursNourrirBisonsDaims)</f>
        <v>0</v>
      </c>
      <c r="BT79" s="350">
        <f t="array" ref="BT79">IF(Ration_hivernale_complète_bisons[somme]&gt;0,0,IFERROR(IF(OR(AND(INDEX(Règles_bison[Specificite],MATCH(ChoixRationBisons&amp;$BM79,Règles_bison[Ration]&amp;Règles_bison[Aliment],0))="s1",IF($BM79=ChoixSpécificité1Bisons,1)),
INDEX(Règles_bison[Specificite],MATCH(ChoixRationBisons&amp;$BM79,Règles_bison[Ration]&amp;Règles_bison[Aliment],0))="c"),
INDEX(Règles_bison[Valeur 0-3],MATCH(ChoixRationBisons&amp;$BM79,Règles_bison[Ration]&amp;Règles_bison[Aliment],0)),0),0)*TotalBisonsFemelles_0_3_mois*NbreJoursNourrirBisonsDaims)</f>
        <v>0</v>
      </c>
      <c r="BU79" s="350">
        <f t="shared" si="21"/>
        <v>0</v>
      </c>
      <c r="BV79" s="282"/>
      <c r="BW79" s="282"/>
      <c r="BX79" s="373" t="s">
        <v>514</v>
      </c>
      <c r="BY79" s="280" t="s">
        <v>905</v>
      </c>
      <c r="BZ79" s="280" t="s">
        <v>886</v>
      </c>
      <c r="CA79" s="280">
        <v>0.08</v>
      </c>
      <c r="CB79" s="280">
        <v>0.04</v>
      </c>
      <c r="CC79" s="280">
        <v>0.04</v>
      </c>
      <c r="CD79" s="410">
        <v>0.04</v>
      </c>
      <c r="CE79" s="304"/>
      <c r="CF79" s="304"/>
      <c r="CG79" s="304"/>
      <c r="CH79" s="304"/>
      <c r="CJ79" s="420" t="s">
        <v>231</v>
      </c>
      <c r="CK79" s="384">
        <f t="array" ref="CK7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79" s="384">
        <f t="array" ref="CL7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79" s="384">
        <f t="array" ref="CM7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79" s="384">
        <f t="array" ref="CN7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79" s="384">
        <f t="array" ref="CO7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79" s="426">
        <f>SUM(AlimentsRationPorcinsMâles[[#This Row],[Valeur 12 et plus]:[Valeur 0-1]])</f>
        <v>0</v>
      </c>
      <c r="CS79" s="420" t="s">
        <v>232</v>
      </c>
      <c r="CT79" s="433">
        <f t="array" ref="CT79">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79" s="433">
        <f t="array" ref="CU79">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79" s="433">
        <f t="array" ref="CV79">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79" s="434">
        <f>SUM(AlimentsRationLapinsMâles[[#This Row],[Valeur 3 et plus]:[Valeur 0-1]])</f>
        <v>0</v>
      </c>
      <c r="CZ79" s="420" t="s">
        <v>232</v>
      </c>
      <c r="DA79" s="433">
        <f t="array" ref="DA7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79" s="433">
        <f t="array" ref="DB7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79" s="433">
        <f t="array" ref="DC7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79" s="434">
        <f>SUM(AlimentsRationVolaillesMâles[[#This Row],[Valeur 6 et plus]:[Valeur 0-1]])</f>
        <v>0</v>
      </c>
      <c r="DE79" s="316"/>
      <c r="DF79" s="277"/>
      <c r="DG79" s="420" t="s">
        <v>908</v>
      </c>
      <c r="DH79" s="433">
        <f t="array" ref="DH7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79" s="433">
        <f t="array" ref="DI7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79" s="433">
        <f t="array" ref="DJ7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79" s="434">
        <f>SUM(AlimentsRationPintadesMâles[[#This Row],[Valeur 9 et plus]:[Valeur 0-1]])</f>
        <v>0</v>
      </c>
      <c r="DL79" s="316"/>
      <c r="DM79" s="316"/>
      <c r="DN79" s="373" t="s">
        <v>622</v>
      </c>
      <c r="DO79" s="280" t="s">
        <v>489</v>
      </c>
      <c r="DP79" s="280" t="s">
        <v>887</v>
      </c>
      <c r="DQ79" s="310">
        <v>1.6</v>
      </c>
      <c r="DR79" s="310">
        <v>1.4</v>
      </c>
      <c r="DS79" s="310">
        <v>1.2</v>
      </c>
      <c r="DT79" s="439">
        <v>1</v>
      </c>
      <c r="DU79" s="298"/>
      <c r="DV79" s="350" t="str">
        <f t="shared" ref="DV79:DV116" si="23">DV33</f>
        <v>Betterave</v>
      </c>
      <c r="DW79" s="351">
        <f t="array" ref="DW79">SUM((IF(QualitéAlimentsFaonMâle_0_3_mois=BONNE,VLOOKUP("Betterave",AlimentsRationHivernaleDaims,8,FALSE),0)+(IF(QualitéAlimentsFaonFemelle_0_3_mois=BONNE,VLOOKUP("Betterave",AlimentsRationHivernaleDaims,8,FALSE),0)+(IF(QualitéAlimentsFaonMâle_3_6_mois=BONNE,VLOOKUP("Betterave",AlimentsRationHivernaleDaims,7,FALSE),0)+(IF(QualitéAlimentsFaonFemelle_3_6_mois=BONNE,VLOOKUP("Betterave",AlimentsRationHivernaleDaims,7,FALSE),0)+(IF(QualitéAlimentsFaonMâle_6_12_mois=BONNE,VLOOKUP("Betterave",AlimentsRationHivernaleDaims,6,FALSE),0)+(IF(QualitéAlimentsFaonFemelle_6_12_mois=BONNE,VLOOKUP("Betterave",AlimentsRationHivernaleDaims,6,FALSE),0)+(IF(QualitéAlimentsJeuneDaim_12_18_mois=BONNE,VLOOKUP("Betterave",AlimentsRationHivernaleDaims,5,FALSE),0)+(IF(QualitéAlimentsJeuneDaine_12_18_mois=BONNE,VLOOKUP("Betterave",AlimentsRationHivernaleDaims,5,FALSE),0)+(IF(QualitéAlimentsJeuneDaim_18_24_mois=BONNE,VLOOKUP("Betterave",AlimentsRationHivernaleDaims,4,FALSE),0)+(IF(QualitéAlimentsJeuneDaine_18_24_mois=BONNE,VLOOKUP("Betterave",AlimentsRationHivernaleDaims,4,FALSE),0)+(IF(QualitéAlimentsJeuneDaim_24_36_mois=BONNE,VLOOKUP("Betterave",AlimentsRationHivernaleDaims,3,FALSE),0)+(IF(QualitéAlimentsJeuneDaine_24_36_mois=BONNE,VLOOKUP("Betterave",AlimentsRationHivernaleDaims,3,FALSE),0)+(IF(QualitéAlimentsDaim=BONNE,VLOOKUP("Betterave",AlimentsRationHivernaleDaims,2,FALSE),0)+(IF(QualitéAlimentsDaine=BONNE,VLOOKUP("Betterave",AlimentsRationHivernaleDaims,2,FALSE),0))))))))))))))))</f>
        <v>0</v>
      </c>
      <c r="DX79" s="351">
        <f t="array" ref="DX79">SUM((IF(QualitéAlimentsFaonMâle_0_3_mois=MOYENNE,VLOOKUP("Betterave",AlimentsRationHivernaleDaims,8,FALSE),0)+(IF(QualitéAlimentsFaonFemelle_0_3_mois=MOYENNE,VLOOKUP("Betterave",AlimentsRationHivernaleDaims,8,FALSE),0)+(IF(QualitéAlimentsFaonMâle_3_6_mois=MOYENNE,VLOOKUP("Betterave",AlimentsRationHivernaleDaims,7,FALSE),0)+(IF(QualitéAlimentsFaonFemelle_3_6_mois=MOYENNE,VLOOKUP("Betterave",AlimentsRationHivernaleDaims,7,FALSE),0)+(IF(QualitéAlimentsFaonMâle_6_12_mois=MOYENNE,VLOOKUP("Betterave",AlimentsRationHivernaleDaims,6,FALSE),0)+(IF(QualitéAlimentsFaonFemelle_6_12_mois=MOYENNE,VLOOKUP("Betterave",AlimentsRationHivernaleDaims,6,FALSE),0)+(IF(QualitéAlimentsJeuneDaim_12_18_mois=MOYENNE,VLOOKUP("Betterave",AlimentsRationHivernaleDaims,5,FALSE),0)+(IF(QualitéAlimentsJeuneDaine_12_18_mois=MOYENNE,VLOOKUP("Betterave",AlimentsRationHivernaleDaims,5,FALSE),0)+(IF(QualitéAlimentsJeuneDaim_18_24_mois=MOYENNE,VLOOKUP("Betterave",AlimentsRationHivernaleDaims,4,FALSE),0)+(IF(QualitéAlimentsJeuneDaine_18_24_mois=MOYENNE,VLOOKUP("Betterave",AlimentsRationHivernaleDaims,4,FALSE),0)+(IF(QualitéAlimentsJeuneDaim_24_36_mois=MOYENNE,VLOOKUP("Betterave",AlimentsRationHivernaleDaims,3,FALSE),0)+(IF(QualitéAlimentsJeuneDaine_24_36_mois=MOYENNE,VLOOKUP("Betterave",AlimentsRationHivernaleDaims,3,FALSE),0)+(IF(QualitéAlimentsDaim=MOYENNE,VLOOKUP("Betterave",AlimentsRationHivernaleDaims,2,FALSE),0)+(IF(QualitéAlimentsDaine=MOYENNE,VLOOKUP("Betterave",AlimentsRationHivernaleDaims,2,FALSE),0))))))))))))))))</f>
        <v>0</v>
      </c>
      <c r="DY79" s="351">
        <f t="array" ref="DY79">SUM((IF(QualitéAlimentsFaonMâle_0_3_mois=MAUVAISE,VLOOKUP("Betterave",AlimentsRationHivernaleDaims,8,FALSE),0)+(IF(QualitéAlimentsFaonFemelle_0_3_mois=MAUVAISE,VLOOKUP("Betterave",AlimentsRationHivernaleDaims,8,FALSE),0)+(IF(QualitéAlimentsFaonMâle_3_6_mois=MAUVAISE,VLOOKUP("Betterave",AlimentsRationHivernaleDaims,7,FALSE),0)+(IF(QualitéAlimentsFaonFemelle_3_6_mois=MAUVAISE,VLOOKUP("Betterave",AlimentsRationHivernaleDaims,7,FALSE),0)+(IF(QualitéAlimentsFaonMâle_6_12_mois=MAUVAISE,VLOOKUP("Betterave",AlimentsRationHivernaleDaims,6,FALSE),0)+(IF(QualitéAlimentsFaonFemelle_6_12_mois=MAUVAISE,VLOOKUP("Betterave",AlimentsRationHivernaleDaims,6,FALSE),0)+(IF(QualitéAlimentsJeuneDaim_12_18_mois=MAUVAISE,VLOOKUP("Betterave",AlimentsRationHivernaleDaims,5,FALSE),0)+(IF(QualitéAlimentsJeuneDaine_12_18_mois=MAUVAISE,VLOOKUP("Betterave",AlimentsRationHivernaleDaims,5,FALSE),0)+(IF(QualitéAlimentsJeuneDaim_18_24_mois=MAUVAISE,VLOOKUP("Betterave",AlimentsRationHivernaleDaims,4,FALSE),0)+(IF(QualitéAlimentsJeuneDaine_18_24_mois=MAUVAISE,VLOOKUP("Betterave",AlimentsRationHivernaleDaims,4,FALSE),0)+(IF(QualitéAlimentsJeuneDaim_24_36_mois=MAUVAISE,VLOOKUP("Betterave",AlimentsRationHivernaleDaims,3,FALSE),0)+(IF(QualitéAlimentsJeuneDaine_24_36_mois=MAUVAISE,VLOOKUP("Betterave",AlimentsRationHivernaleDaims,3,FALSE),0)+(IF(QualitéAlimentsDaim=MAUVAISE,VLOOKUP("Betterave",AlimentsRationHivernaleDaims,2,FALSE),0)+(IF(QualitéAlimentsDaine=MAUVAISE,VLOOKUP("Betterave",AlimentsRationHivernaleDaims,2,FALSE),0))))))))))))))))</f>
        <v>0</v>
      </c>
      <c r="DZ79" s="298"/>
      <c r="EA79" s="298"/>
      <c r="EB79" s="298"/>
      <c r="EC79" s="298"/>
      <c r="ED79" s="298"/>
      <c r="EE79" s="298"/>
      <c r="EG79" s="420" t="s">
        <v>378</v>
      </c>
      <c r="EH79" s="433">
        <f t="array" ref="EH7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79" s="433">
        <f t="array" ref="EI7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79" s="433">
        <f t="array" ref="EJ7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79" s="434">
        <f>SUM(AlimentsRationOiesMâles[[#This Row],[Valeur 6 et plus]:[Valeur 0-3]])</f>
        <v>0</v>
      </c>
      <c r="EL79" s="316"/>
      <c r="EN79" s="420" t="s">
        <v>57</v>
      </c>
      <c r="EO79" s="433">
        <f t="array" ref="EO79">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79" s="433">
        <f t="array" ref="EP79">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79" s="433">
        <f t="array" ref="EQ79">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79" s="434">
        <f>SUM(Ration_canards_Mâles[[#This Row],[Valeur 6 et plus]:[Valeur 0-3]])</f>
        <v>0</v>
      </c>
      <c r="ES79" s="316"/>
      <c r="ET79" s="282"/>
      <c r="EU79" s="457" t="s">
        <v>905</v>
      </c>
      <c r="EV79" s="458">
        <f t="array" ref="EV79">IF(OR(ChoixRationComplèteEtéChevauxSelle=OUI,ChoixRationComplèteEtéChevauxSelle="",AND(ChoixChevauxSellePréHiver=OUI,ChoixChevauxSellePréEté=OUI)),0,IFERROR(IF(OR(AND(INDEX(Règles_chevaux_selle[Specificite],MATCH(RationEtéChevauxSelle&amp;$EU79,Règles_chevaux_selle[Ration]&amp;Règles_chevaux_selle[Aliment],0))="s1",IF($EU79=Spécificité1ChevauxSelle,1)),
AND(INDEX(Règles_chevaux_selle[Specificite],MATCH(RationEtéChevauxSelle&amp;$EU79,Règles_chevaux_selle[Ration]&amp;Règles_chevaux_selle[Aliment],0))="s2",IF($EU79=Spécificité2ChevauxSelle,1)),
INDEX(Règles_chevaux_selle[Specificite],MATCH(RationEtéChevauxSelle&amp;$EU79,Règles_chevaux_selle[Ration]&amp;Règles_chevaux_selle[Aliment],0))="c"),
INDEX(Règles_chevaux_selle[Valeur 36 et plus],MATCH(RationEtéChevauxSelle&amp;$EU79,Règles_chevaux_selle[Ration]&amp;Règles_chevaux_selle[Aliment],0)),0),0)*TotalEtalonSelle*NbreJoursNourrirChevauxSelle)</f>
        <v>0</v>
      </c>
      <c r="EW79" s="458">
        <f t="array" ref="EW79">IF(OR(ChoixRationComplèteEtéChevauxSelle=OUI,ChoixRationComplèteEtéChevauxSelle="",AND(ChoixChevauxSellePréHiver=OUI,ChoixChevauxSellePréEté=OUI)),0,IFERROR(IF(OR(AND(INDEX(Règles_chevaux_selle[Specificite],MATCH(RationEtéChevauxSelle&amp;$EU79,Règles_chevaux_selle[Ration]&amp;Règles_chevaux_selle[Aliment],0))="s1",IF($EU79=Spécificité1ChevauxSelle,1)),
AND(INDEX(Règles_chevaux_selle[Specificite],MATCH(RationEtéChevauxSelle&amp;$EU79,Règles_chevaux_selle[Ration]&amp;Règles_chevaux_selle[Aliment],0))="s2",IF($EU79=Spécificité2ChevauxSelle,1)),
INDEX(Règles_chevaux_selle[Specificite],MATCH(RationEtéChevauxSelle&amp;$EU79,Règles_chevaux_selle[Ration]&amp;Règles_chevaux_selle[Aliment],0))="c"),
INDEX(Règles_chevaux_selle[Valeur 24-36],MATCH(RationEtéChevauxSelle&amp;$EU79,Règles_chevaux_selle[Ration]&amp;Règles_chevaux_selle[Aliment],0)),0),0)*TotalJeuneEtalonSelle_24_36_mois*NbreJoursNourrirChevauxSelle)</f>
        <v>0</v>
      </c>
      <c r="EX79" s="458">
        <f t="array" ref="EX79">IF(OR(ChoixRationComplèteEtéChevauxSelle=OUI,ChoixRationComplèteEtéChevauxSelle="",AND(ChoixChevauxSellePréHiver=OUI,ChoixChevauxSellePréEté=OUI)),0,IFERROR(IF(OR(AND(INDEX(Règles_chevaux_selle[Specificite],MATCH(RationEtéChevauxSelle&amp;$EU79,Règles_chevaux_selle[Ration]&amp;Règles_chevaux_selle[Aliment],0))="s1",IF($EU79=Spécificité1ChevauxSelle,1)),
AND(INDEX(Règles_chevaux_selle[Specificite],MATCH(RationEtéChevauxSelle&amp;$EU79,Règles_chevaux_selle[Ration]&amp;Règles_chevaux_selle[Aliment],0))="s2",IF($EU79=Spécificité2ChevauxSelle,1)),
INDEX(Règles_chevaux_selle[Specificite],MATCH(RationEtéChevauxSelle&amp;$EU79,Règles_chevaux_selle[Ration]&amp;Règles_chevaux_selle[Aliment],0))="c"),
INDEX(Règles_chevaux_selle[Valeur 12-24],MATCH(RationEtéChevauxSelle&amp;$EU79,Règles_chevaux_selle[Ration]&amp;Règles_chevaux_selle[Aliment],0)),0),0)*TotalJeuneEtalonSelle_12_24_mois*NbreJoursNourrirChevauxSelle)</f>
        <v>0</v>
      </c>
      <c r="EY79" s="460">
        <f t="array" ref="EY79">IF(OR(ChoixRationComplèteEtéChevauxSelle=OUI,ChoixRationComplèteEtéChevauxSelle="",AND(ChoixChevauxSellePréHiver=OUI,ChoixChevauxSellePréEté=OUI)),0,IFERROR(IF(OR(AND(INDEX(Règles_chevaux_selle[Specificite],MATCH(RationEtéChevauxSelle&amp;$EU79,Règles_chevaux_selle[Ration]&amp;Règles_chevaux_selle[Aliment],0))="s1",IF($EU79=Spécificité1ChevauxSelle,1)),
AND(INDEX(Règles_chevaux_selle[Specificite],MATCH(RationEtéChevauxSelle&amp;$EU79,Règles_chevaux_selle[Ration]&amp;Règles_chevaux_selle[Aliment],0))="s2",IF($EU79=Spécificité2ChevauxSelle,1)),
INDEX(Règles_chevaux_selle[Specificite],MATCH(RationEtéChevauxSelle&amp;$EU79,Règles_chevaux_selle[Ration]&amp;Règles_chevaux_selle[Aliment],0))="c"),
INDEX(Règles_chevaux_selle[Valeur 0-12],MATCH(RationEtéChevauxSelle&amp;$EU79,Règles_chevaux_selle[Ration]&amp;Règles_chevaux_selle[Aliment],0)),0),0)*TotalPoulainSelle_0_12_mois*NbreJoursNourrirChevauxSelle)</f>
        <v>0</v>
      </c>
      <c r="EZ79" s="460">
        <f t="shared" si="16"/>
        <v>0</v>
      </c>
      <c r="FA79" s="298"/>
      <c r="FB79" s="298"/>
      <c r="FD79" s="457" t="s">
        <v>508</v>
      </c>
      <c r="FE79" s="458">
        <f t="array" ref="FE79">IF(OR(ChoixRationComplèteEtéChevauxTrait=OUI,ChoixRationComplèteEtéChevauxTrait="",AND(ChoixChevauxTraitPréHiver=OUI,ChoixChevauxTraitPréEté=OUI)),0,IFERROR(IF(OR(AND(INDEX(Règles_chevaux_trait[Specificite],MATCH(RationEtéChevauxTrait&amp;$FD79,Règles_chevaux_trait[Ration]&amp;Règles_chevaux_trait[Aliment],0))="s1",IF($FD79=Spécificité1ChevauxTrait,1)),
AND(INDEX(Règles_chevaux_trait[Specificite],MATCH(RationEtéChevauxTrait&amp;$FD79,Règles_chevaux_trait[Ration]&amp;Règles_chevaux_trait[Aliment],0))="s2",IF($FD79=Spécificité2ChevauxTrait,1)),
INDEX(Règles_chevaux_trait[Specificite],MATCH(RationEtéChevauxTrait&amp;$FD79,Règles_chevaux_trait[Ration]&amp;Règles_chevaux_trait[Aliment],0))="c"),
INDEX(Règles_chevaux_trait[Valeur 36 et plus],MATCH(RationEtéChevauxTrait&amp;$FD79,Règles_chevaux_trait[Ration]&amp;Règles_chevaux_trait[Aliment],0)),0),0)*TotalEtalonTrait*NbreJoursNourrirChevauxTrait)</f>
        <v>0</v>
      </c>
      <c r="FF79" s="458">
        <f t="array" ref="FF79">IF(OR(ChoixRationComplèteEtéChevauxTrait=OUI,ChoixRationComplèteEtéChevauxTrait="",AND(ChoixChevauxTraitPréHiver=OUI,ChoixChevauxTraitPréEté=OUI)),0,IFERROR(IF(OR(AND(INDEX(Règles_chevaux_trait[Specificite],MATCH(RationEtéChevauxTrait&amp;$FD79,Règles_chevaux_trait[Ration]&amp;Règles_chevaux_trait[Aliment],0))="s1",IF($FD79=Spécificité1ChevauxTrait,1)),
AND(INDEX(Règles_chevaux_trait[Specificite],MATCH(RationEtéChevauxTrait&amp;$FD79,Règles_chevaux_trait[Ration]&amp;Règles_chevaux_trait[Aliment],0))="s2",IF($FD79=Spécificité2ChevauxTrait,1)),
INDEX(Règles_chevaux_trait[Specificite],MATCH(RationEtéChevauxTrait&amp;$FD79,Règles_chevaux_trait[Ration]&amp;Règles_chevaux_trait[Aliment],0))="c"),
INDEX(Règles_chevaux_trait[Valeur 24-36],MATCH(RationEtéChevauxTrait&amp;$FD79,Règles_chevaux_trait[Ration]&amp;Règles_chevaux_trait[Aliment],0)),0),0)*TotalJeuneEtalonTrait_24_36_mois*NbreJoursNourrirChevauxTrait)</f>
        <v>0</v>
      </c>
      <c r="FG79" s="458">
        <f t="array" ref="FG79">IF(OR(ChoixRationComplèteEtéChevauxTrait=OUI,ChoixRationComplèteEtéChevauxTrait="",AND(ChoixChevauxTraitPréHiver=OUI,ChoixChevauxTraitPréEté=OUI)),0,IFERROR(IF(OR(AND(INDEX(Règles_chevaux_trait[Specificite],MATCH(RationEtéChevauxTrait&amp;$FD79,Règles_chevaux_trait[Ration]&amp;Règles_chevaux_trait[Aliment],0))="s1",IF($FD79=Spécificité1ChevauxTrait,1)),
AND(INDEX(Règles_chevaux_trait[Specificite],MATCH(RationEtéChevauxTrait&amp;$FD79,Règles_chevaux_trait[Ration]&amp;Règles_chevaux_trait[Aliment],0))="s2",IF($FD79=Spécificité2ChevauxTrait,1)),
INDEX(Règles_chevaux_trait[Specificite],MATCH(RationEtéChevauxTrait&amp;$FD79,Règles_chevaux_trait[Ration]&amp;Règles_chevaux_trait[Aliment],0))="c"),
INDEX(Règles_chevaux_trait[Valeur 12-24],MATCH(RationEtéChevauxTrait&amp;$FD79,Règles_chevaux_trait[Ration]&amp;Règles_chevaux_trait[Aliment],0)),0),0)*TotalJeuneEtalonTrait_12_24_mois*NbreJoursNourrirChevauxTrait)</f>
        <v>0</v>
      </c>
      <c r="FH79" s="460">
        <f t="array" ref="FH79">IF(OR(ChoixRationComplèteEtéChevauxTrait=OUI,ChoixRationComplèteEtéChevauxTrait="",AND(ChoixChevauxTraitPréHiver=OUI,ChoixChevauxTraitPréEté=OUI)),0,IFERROR(IF(OR(AND(INDEX(Règles_chevaux_trait[Specificite],MATCH(RationEtéChevauxTrait&amp;$FD79,Règles_chevaux_trait[Ration]&amp;Règles_chevaux_trait[Aliment],0))="s1",IF($FD79=Spécificité1ChevauxTrait,1)),
AND(INDEX(Règles_chevaux_trait[Specificite],MATCH(RationEtéChevauxTrait&amp;$FD79,Règles_chevaux_trait[Ration]&amp;Règles_chevaux_trait[Aliment],0))="s2",IF($FD79=Spécificité2ChevauxTrait,1)),
INDEX(Règles_chevaux_trait[Specificite],MATCH(RationEtéChevauxTrait&amp;$FD79,Règles_chevaux_trait[Ration]&amp;Règles_chevaux_trait[Aliment],0))="c"),
INDEX(Règles_chevaux_trait[Valeur 0-12],MATCH(RationEtéChevauxTrait&amp;$FD79,Règles_chevaux_trait[Ration]&amp;Règles_chevaux_trait[Aliment],0)),0),0)*TotalPoulainTrait_0_12_mois*NbreJoursNourrirChevauxTrait)</f>
        <v>0</v>
      </c>
      <c r="FI79" s="460">
        <f t="shared" si="15"/>
        <v>0</v>
      </c>
      <c r="FJ79" s="298"/>
      <c r="FK79" s="298"/>
      <c r="FL79" s="298"/>
      <c r="FN79" s="457" t="s">
        <v>378</v>
      </c>
      <c r="FO79" s="458">
        <f t="array" ref="FO79">IF(OR(ChoixRationComplèteEtéPoneys=OUI,ChoixRationComplèteEtéPoneys="",AND(ChoixPoneysPréHiver=OUI,ChoixPoneysPréEté=OUI)),0,IFERROR(IF(OR(AND(INDEX(Règles_poneys[Specificite],MATCH(RationEtéPoneys&amp;$FN79,Règles_poneys[Ration]&amp;Règles_poneys[Aliment],0))="s1",IF($FN79=Spécificité1Poneys,1)),
AND(INDEX(Règles_poneys[Specificite],MATCH(RationEtéPoneys&amp;$FN79,Règles_poneys[Ration]&amp;Règles_poneys[Aliment],0))="s2",IF($FN79=Spécificité2Poneys,1)),
INDEX(Règles_poneys[Specificite],MATCH(RationEtéPoneys&amp;$FN79,Règles_poneys[Ration]&amp;Règles_poneys[Aliment],0))="c"),
INDEX(Règles_poneys[Valeur 36 et plus],MATCH(RationEtéPoneys&amp;$FN79,Règles_poneys[Ration]&amp;Règles_poneys[Aliment],0)),0),0)*TotalEtalonPoney*NbreJoursNourrirPoneys)</f>
        <v>0</v>
      </c>
      <c r="FP79" s="458">
        <f t="array" ref="FP79">IF(OR(ChoixRationComplèteEtéPoneys=OUI,ChoixRationComplèteEtéPoneys="",AND(ChoixPoneysPréHiver=OUI,ChoixPoneysPréEté=OUI)),0,IFERROR(IF(OR(AND(INDEX(Règles_poneys[Specificite],MATCH(RationEtéPoneys&amp;$FN79,Règles_poneys[Ration]&amp;Règles_poneys[Aliment],0))="s1",IF($FN79=Spécificité1Poneys,1)),
AND(INDEX(Règles_poneys[Specificite],MATCH(RationEtéPoneys&amp;$FN79,Règles_poneys[Ration]&amp;Règles_poneys[Aliment],0))="s2",IF($FN79=Spécificité2Poneys,1)),
INDEX(Règles_poneys[Specificite],MATCH(RationEtéPoneys&amp;$FN79,Règles_poneys[Ration]&amp;Règles_poneys[Aliment],0))="c"),
INDEX(Règles_poneys[Valeur 36 et plus],MATCH(RationEtéPoneys&amp;$FN79,Règles_poneys[Ration]&amp;Règles_poneys[Aliment],0)),0),0)*TotalJeuneEtalonPoney_24_36_mois*NbreJoursNourrirPoneys)</f>
        <v>0</v>
      </c>
      <c r="FQ79" s="458">
        <f t="array" ref="FQ79">IF(OR(ChoixRationComplèteEtéPoneys=OUI,ChoixRationComplèteEtéPoneys="",AND(ChoixPoneysPréHiver=OUI,ChoixPoneysPréEté=OUI)),0,IFERROR(IF(OR(AND(INDEX(Règles_poneys[Specificite],MATCH(RationEtéPoneys&amp;$FN79,Règles_poneys[Ration]&amp;Règles_poneys[Aliment],0))="s1",IF($FN79=Spécificité1Poneys,1)),
AND(INDEX(Règles_poneys[Specificite],MATCH(RationEtéPoneys&amp;$FN79,Règles_poneys[Ration]&amp;Règles_poneys[Aliment],0))="s2",IF($FN79=Spécificité2Poneys,1)),
INDEX(Règles_poneys[Specificite],MATCH(RationEtéPoneys&amp;$FN79,Règles_poneys[Ration]&amp;Règles_poneys[Aliment],0))="c"),
INDEX(Règles_poneys[Valeur 36 et plus],MATCH(RationEtéPoneys&amp;$FN79,Règles_poneys[Ration]&amp;Règles_poneys[Aliment],0)),0),0)*TotalJeuneEtalonPoney_12_24_mois*NbreJoursNourrirPoneys)</f>
        <v>0</v>
      </c>
      <c r="FR79" s="460">
        <f t="array" ref="FR79">IF(OR(ChoixRationComplèteEtéPoneys=OUI,ChoixRationComplèteEtéPoneys="",AND(ChoixPoneysPréHiver=OUI,ChoixPoneysPréEté=OUI)),0,IFERROR(IF(OR(AND(INDEX(Règles_poneys[Specificite],MATCH(RationEtéPoneys&amp;$FN79,Règles_poneys[Ration]&amp;Règles_poneys[Aliment],0))="s1",IF($FN79=Spécificité1Poneys,1)),
AND(INDEX(Règles_poneys[Specificite],MATCH(RationEtéPoneys&amp;$FN79,Règles_poneys[Ration]&amp;Règles_poneys[Aliment],0))="s2",IF($FN79=Spécificité2Poneys,1)),
INDEX(Règles_poneys[Specificite],MATCH(RationEtéPoneys&amp;$FN79,Règles_poneys[Ration]&amp;Règles_poneys[Aliment],0))="c"),
INDEX(Règles_poneys[Valeur 36 et plus],MATCH(RationEtéPoneys&amp;$FN79,Règles_poneys[Ration]&amp;Règles_poneys[Aliment],0)),0),0)*TotalPoulainPoney_0_12_mois*NbreJoursNourrirPoneys)</f>
        <v>0</v>
      </c>
      <c r="FS79" s="460">
        <f t="shared" si="14"/>
        <v>0</v>
      </c>
      <c r="FT79" s="298"/>
      <c r="FW79" s="443"/>
      <c r="FX79" s="450">
        <f t="array" ref="FX79">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79" s="450">
        <f t="array" ref="FY79">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79" s="450">
        <f t="array" ref="FZ79">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79" s="450">
        <f t="array" ref="GA79">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79" s="451">
        <f>SUM(AlimentsGavageOies[[#This Row],[Valeur 6 et plus]:[Valeur 0-1]])</f>
        <v>0</v>
      </c>
      <c r="GC79" s="316"/>
      <c r="GG79" s="276" t="s">
        <v>955</v>
      </c>
      <c r="GH79" s="276" t="s">
        <v>955</v>
      </c>
      <c r="GI79" s="276" t="s">
        <v>955</v>
      </c>
      <c r="GJ79" s="276" t="s">
        <v>955</v>
      </c>
      <c r="GK79" s="276" t="s">
        <v>955</v>
      </c>
      <c r="GL79" s="276" t="s">
        <v>955</v>
      </c>
      <c r="GM79" s="276" t="s">
        <v>955</v>
      </c>
      <c r="GN79" s="276" t="s">
        <v>955</v>
      </c>
      <c r="GO79" s="276" t="s">
        <v>955</v>
      </c>
      <c r="GP79" s="276" t="s">
        <v>955</v>
      </c>
      <c r="GQ79" s="276" t="s">
        <v>955</v>
      </c>
      <c r="GR79" s="276" t="s">
        <v>955</v>
      </c>
      <c r="GS79" s="276" t="s">
        <v>955</v>
      </c>
      <c r="GT79" s="276" t="s">
        <v>955</v>
      </c>
      <c r="GU79" s="276" t="s">
        <v>955</v>
      </c>
      <c r="GV79" s="276" t="s">
        <v>955</v>
      </c>
      <c r="GY79" s="444" t="str">
        <f t="shared" si="11"/>
        <v>semences de triticale (GP)</v>
      </c>
      <c r="GZ79" s="444"/>
      <c r="HA79" s="342"/>
      <c r="HB79" s="342" t="e">
        <f>IF(COUNTIF(TypeArticleDansEntrepôt,GY79)=0,0,SUMIF(TypeArticleDansEntrepôt,GY79,QtéArticleDansEntrepôt)*VLOOKUP(GY79,#REF!,2,FALSE))</f>
        <v>#REF!</v>
      </c>
      <c r="HN79" s="342" t="e">
        <f>IF(#REF!="","",(VLOOKUP(#REF!,BDD!$HN$5:$HU$38,2,FALSE))*#REF!)</f>
        <v>#REF!</v>
      </c>
      <c r="HO79" s="342" t="e">
        <f>IF(#REF!="","",IF(OR(#REF!=Moutarde,#REF!=Phacélie),0,IF(#REF!=Luzerne,10*#REF!*VLOOKUP(#REF!,BDD!$HN$5:$HU$38,3,FALSE),IF(#REF!=Miscanthus,10.5*#REF!*VLOOKUP(#REF!,BDD!$HN$5:$HU$38,3,FALSE),INDEX(#REF!:#REF!,MATCH(#REF!,#REF!:#REF!,0),MATCH(#REF!,#REF!:#REF!,0))*#REF!*VLOOKUP(#REF!,BDD!$HN$5:$HU$38,3,FALSE)))))</f>
        <v>#REF!</v>
      </c>
      <c r="HP79" s="342" t="e">
        <f>IF(#REF!="","",IF(OR(#REF!=Moutarde,#REF!=Phacélie),0,IF(#REF!=Luzerne,10*#REF!*VLOOKUP(#REF!,BDD!$HN$5:$HU$38,4,FALSE),IF(#REF!=Miscanthus,10.5*#REF!*VLOOKUP(#REF!,BDD!$HN$5:$HU$38,4,FALSE),INDEX(#REF!:#REF!,MATCH(#REF!,#REF!:#REF!,0),MATCH(#REF!,#REF!:#REF!,0))*#REF!*VLOOKUP(#REF!,BDD!$HN$5:$HU$38,4,FALSE)))))</f>
        <v>#REF!</v>
      </c>
      <c r="HQ79" s="342" t="e">
        <f>IF(#REF!="","",IF(OR(#REF!=Moutarde,#REF!=Phacélie),0,IF(#REF!=Luzerne,10*#REF!*VLOOKUP(#REF!,BDD!$HN$5:$HU$38,5,FALSE),IF(#REF!=Miscanthus,10.5*#REF!*VLOOKUP(#REF!,BDD!$HN$5:$HU$38,5,FALSE),INDEX(#REF!:#REF!,MATCH(#REF!,#REF!:#REF!,0),MATCH(#REF!,#REF!:#REF!,0))*#REF!*VLOOKUP(#REF!,BDD!$HN$5:$HU$38,5,FALSE)))))</f>
        <v>#REF!</v>
      </c>
      <c r="HR79" s="342" t="e">
        <f>IF(#REF!="","",IF(OR(#REF!=Moutarde,#REF!=Phacélie),0,IF(#REF!=Luzerne,10*#REF!*VLOOKUP(#REF!,BDD!$HN$5:$HU$38,6,FALSE),IF(#REF!=Miscanthus,10.5*#REF!*VLOOKUP(#REF!,BDD!$HN$5:$HU$38,6,FALSE),INDEX(#REF!:#REF!,MATCH(#REF!,#REF!:#REF!,0),MATCH(#REF!,#REF!:#REF!,0))*#REF!*VLOOKUP(#REF!,BDD!$HN$5:$HU$38,6,FALSE)))))</f>
        <v>#REF!</v>
      </c>
      <c r="HS79" s="342" t="e">
        <f>IF(#REF!="","",IF(OR(#REF!=Moutarde,#REF!=Phacélie),0,IF(#REF!=Luzerne,10*#REF!*VLOOKUP(#REF!,BDD!$HN$5:$HU$38,7,FALSE),IF(#REF!=Miscanthus,10.5*#REF!*VLOOKUP(#REF!,BDD!$HN$5:$HU$38,7,FALSE),INDEX(#REF!:#REF!,MATCH(#REF!,#REF!:#REF!,0),MATCH(#REF!,#REF!:#REF!,0))*#REF!*VLOOKUP(#REF!,BDD!$HN$5:$HU$38,7,FALSE)))))</f>
        <v>#REF!</v>
      </c>
      <c r="HT79" s="342" t="e">
        <f>IF(#REF!="","",IF(OR(#REF!=Moutarde,#REF!=Phacélie),0,IF(#REF!=Luzerne,10*#REF!*VLOOKUP(#REF!,BDD!$HN$5:$HU$38,8,FALSE),IF(#REF!=Miscanthus,10.5*#REF!*VLOOKUP(#REF!,BDD!$HN$5:$HU$38,8,FALSE),INDEX(#REF!:#REF!,MATCH(#REF!,#REF!:#REF!,0),MATCH(#REF!,#REF!:#REF!,0))*#REF!*VLOOKUP(#REF!,BDD!$HN$5:$HU$38,8,FALSE)))))</f>
        <v>#REF!</v>
      </c>
      <c r="HU79" s="342" t="e">
        <f>IF(#REF!="","",IF(OR(#REF!=Moutarde,#REF!=Phacélie),0,1.6*#REF!))</f>
        <v>#REF!</v>
      </c>
      <c r="HV79" s="342" t="e">
        <f>IF(#REF!="","",IF(OR(#REF!=Moutarde,#REF!=Phacélie),0,1.6*#REF!))</f>
        <v>#REF!</v>
      </c>
      <c r="HW79" s="342" t="e">
        <f>IF(#REF!="","",IF(OR(#REF!=Moutarde,#REF!=Phacélie),0,1.6*#REF!))</f>
        <v>#REF!</v>
      </c>
      <c r="HX79" s="342" t="e">
        <f>IF(#REF!="","",(VLOOKUP(#REF!,BDD!$HN$5:$HU$38,2,FALSE))*#REF!)</f>
        <v>#REF!</v>
      </c>
      <c r="HY79" s="342" t="e">
        <f>IF(#REF!="","",IF(OR(#REF!=Moutarde,#REF!=Phacélie),0,IF(#REF!=Luzerne,10*#REF!*VLOOKUP(#REF!,BDD!$HN$5:$HU$38,3,FALSE),IF(#REF!=Miscanthus,10.5*#REF!*VLOOKUP(#REF!,BDD!$HN$5:$HU$38,3,FALSE),INDEX(#REF!:#REF!,MATCH(#REF!,#REF!:#REF!,0),MATCH(#REF!,#REF!:#REF!,0))*#REF!*VLOOKUP(#REF!,BDD!$HN$5:$HU$38,3,FALSE)))))</f>
        <v>#REF!</v>
      </c>
      <c r="HZ79" s="342" t="e">
        <f>IF(#REF!="","",IF(OR(#REF!=Moutarde,#REF!=Phacélie),0,IF(#REF!=Luzerne,10*#REF!*VLOOKUP(#REF!,BDD!$HN$5:$HU$38,4,FALSE),IF(#REF!=Miscanthus,10.5*#REF!*VLOOKUP(#REF!,BDD!$HN$5:$HU$38,4,FALSE),INDEX(#REF!:#REF!,MATCH(#REF!,#REF!:#REF!,0),MATCH(#REF!,#REF!:#REF!,0))*#REF!*VLOOKUP(#REF!,BDD!$HN$5:$HU$38,4,FALSE)))))</f>
        <v>#REF!</v>
      </c>
      <c r="IA79" s="342" t="e">
        <f>IF(#REF!="","",IF(OR(#REF!=Moutarde,#REF!=Phacélie),0,IF(#REF!=Luzerne,10*#REF!*VLOOKUP(#REF!,BDD!$HN$5:$HU$38,5,FALSE),IF(#REF!=Miscanthus,10.5*#REF!*VLOOKUP(#REF!,BDD!$HN$5:$HU$38,5,FALSE),INDEX(#REF!:#REF!,MATCH(#REF!,#REF!:#REF!,0),MATCH(#REF!,#REF!:#REF!,0))*#REF!*VLOOKUP(#REF!,BDD!$HN$5:$HU$38,5,FALSE)))))</f>
        <v>#REF!</v>
      </c>
      <c r="IB79" s="342" t="e">
        <f>IF(#REF!="","",IF(OR(#REF!=Moutarde,#REF!=Phacélie),0,IF(#REF!=Luzerne,10*#REF!*VLOOKUP(#REF!,BDD!$HN$5:$HU$38,6,FALSE),IF(#REF!=Miscanthus,10.5*#REF!*VLOOKUP(#REF!,BDD!$HN$5:$HU$38,6,FALSE),INDEX(#REF!:#REF!,MATCH(#REF!,#REF!:#REF!,0),MATCH(#REF!,#REF!:#REF!,0))*#REF!*VLOOKUP(#REF!,BDD!$HN$5:$HU$38,6,FALSE)))))</f>
        <v>#REF!</v>
      </c>
      <c r="IC79" s="342" t="e">
        <f>IF(#REF!="","",IF(OR(#REF!=Moutarde,#REF!=Phacélie),0,IF(#REF!=Luzerne,10*#REF!*VLOOKUP(#REF!,BDD!$HN$5:$HU$38,7,FALSE),IF(#REF!=Miscanthus,10.5*#REF!*VLOOKUP(#REF!,BDD!$HN$5:$HU$38,7,FALSE),INDEX(#REF!:#REF!,MATCH(#REF!,#REF!:#REF!,0),MATCH(#REF!,#REF!:#REF!,0))*#REF!*VLOOKUP(#REF!,BDD!$HN$5:$HU$38,7,FALSE)))))</f>
        <v>#REF!</v>
      </c>
      <c r="ID79" s="342" t="e">
        <f>IF(#REF!="","",IF(OR(#REF!=Moutarde,#REF!=Phacélie),0,IF(#REF!=Luzerne,10*#REF!*VLOOKUP(#REF!,BDD!$HN$5:$HU$38,8,FALSE),IF(#REF!=Miscanthus,10.5*#REF!*VLOOKUP(#REF!,BDD!$HN$5:$HU$38,8,FALSE),INDEX(#REF!:#REF!,MATCH(#REF!,#REF!:#REF!,0),MATCH(#REF!,#REF!:#REF!,0))*#REF!*VLOOKUP(#REF!,BDD!$HN$5:$HU$38,8,FALSE)))))</f>
        <v>#REF!</v>
      </c>
      <c r="IE79" s="342" t="e">
        <f>IF(#REF!="","",IF(OR(#REF!=Moutarde,#REF!=Phacélie),0,1.6*#REF!))</f>
        <v>#REF!</v>
      </c>
      <c r="IF79" s="342" t="e">
        <f>IF(#REF!="","",IF(OR(#REF!=Moutarde,#REF!=Phacélie),0,1.6*#REF!))</f>
        <v>#REF!</v>
      </c>
      <c r="IG79" s="342" t="e">
        <f>IF(#REF!="","",IF(OR(#REF!=Moutarde,#REF!=Phacélie),0,1.6*#REF!))</f>
        <v>#REF!</v>
      </c>
    </row>
    <row r="80" spans="1:241" ht="12.75" customHeight="1" x14ac:dyDescent="0.2">
      <c r="A80" s="373"/>
      <c r="B80" s="380"/>
      <c r="F80" s="280"/>
      <c r="G80" s="280"/>
      <c r="H80" s="321"/>
      <c r="I80" s="280"/>
      <c r="J80" s="321"/>
      <c r="K80" s="321"/>
      <c r="L80" s="321"/>
      <c r="Y80" s="385" t="s">
        <v>1119</v>
      </c>
      <c r="Z80" s="385">
        <f>IF('coût alimentation'!$B$6=$Y$80,5,0)</f>
        <v>0</v>
      </c>
      <c r="AA80" s="385">
        <f>IF('coût alimentation'!$B$6=$Y$80,5,0)</f>
        <v>0</v>
      </c>
      <c r="AB80" s="385">
        <f>IF('coût alimentation'!$B$6=$Y$80,5,0)</f>
        <v>0</v>
      </c>
      <c r="AC80" s="385">
        <f>IF('coût alimentation'!$B$6=$Y$80,5,0)</f>
        <v>0</v>
      </c>
      <c r="AD80" s="385">
        <f>IF('coût alimentation'!$B$6=$Y$80,5,0)</f>
        <v>0</v>
      </c>
      <c r="AE80" s="385">
        <f>IF('coût alimentation'!$B$6=$Y$80,5,0)</f>
        <v>0</v>
      </c>
      <c r="AF80" s="385">
        <f>IF('coût alimentation'!$B$6=$Y$80,5,0)</f>
        <v>0</v>
      </c>
      <c r="AG80" s="385">
        <f>IF('coût alimentation'!$B$6=$Y$80,5,0)</f>
        <v>0</v>
      </c>
      <c r="BB80" s="387" t="s">
        <v>511</v>
      </c>
      <c r="BC80" s="362" t="s">
        <v>905</v>
      </c>
      <c r="BD80" s="362" t="s">
        <v>886</v>
      </c>
      <c r="BE80" s="388">
        <v>1</v>
      </c>
      <c r="BF80" s="388">
        <v>0.8</v>
      </c>
      <c r="BG80" s="388">
        <v>0.6</v>
      </c>
      <c r="BH80" s="388">
        <v>0.4</v>
      </c>
      <c r="BI80" s="388">
        <v>0.4</v>
      </c>
      <c r="BJ80" s="388">
        <v>0.4</v>
      </c>
      <c r="BK80" s="389">
        <v>0</v>
      </c>
      <c r="BL80" s="312"/>
      <c r="BM80" s="350" t="str">
        <f t="shared" si="22"/>
        <v>concentré jeunes bovins</v>
      </c>
      <c r="BN80" s="350">
        <f t="array" ref="BN80">IF(Ration_hivernale_complète_bisons[somme]&gt;0,0,IFERROR(IF(OR(AND(INDEX(Règles_bison[Specificite],MATCH(ChoixRationBisons&amp;$BM80,Règles_bison[Ration]&amp;Règles_bison[Aliment],0))="s1",IF($BM80=ChoixSpécificité1Bisons,1)),
INDEX(Règles_bison[Specificite],MATCH(ChoixRationBisons&amp;$BM80,Règles_bison[Ration]&amp;Règles_bison[Aliment],0))="c"),
INDEX(Règles_bison[Valeur 36 et plus],MATCH(ChoixRationBisons&amp;$BM80,Règles_bison[Ration]&amp;Règles_bison[Aliment],0)),0),0)*TotalBisonnes*NbreJoursNourrirBisonsDaims)</f>
        <v>0</v>
      </c>
      <c r="BO80" s="350">
        <f t="array" ref="BO80">IF(Ration_hivernale_complète_bisons[somme]&gt;0,0,IFERROR(IF(OR(AND(INDEX(Règles_bison[Specificite],MATCH(ChoixRationBisons&amp;$BM80,Règles_bison[Ration]&amp;Règles_bison[Aliment],0))="s1",IF($BM80=ChoixSpécificité1Bisons,1)),
INDEX(Règles_bison[Specificite],MATCH(ChoixRationBisons&amp;$BM80,Règles_bison[Ration]&amp;Règles_bison[Aliment],0))="c"),
INDEX(Règles_bison[Valeur 24-36],MATCH(ChoixRationBisons&amp;$BM80,Règles_bison[Ration]&amp;Règles_bison[Aliment],0)),0),0)*TotalBisonsFemelles_24_36_mois*NbreJoursNourrirBisonsDaims)</f>
        <v>0</v>
      </c>
      <c r="BP80" s="350">
        <f t="array" ref="BP80">IF(Ration_hivernale_complète_bisons[somme]&gt;0,0,IFERROR(IF(OR(AND(INDEX(Règles_bison[Specificite],MATCH(ChoixRationBisons&amp;$BM80,Règles_bison[Ration]&amp;Règles_bison[Aliment],0))="s1",IF($BM80=ChoixSpécificité1Bisons,1)),
INDEX(Règles_bison[Specificite],MATCH(ChoixRationBisons&amp;$BM80,Règles_bison[Ration]&amp;Règles_bison[Aliment],0))="c"),
INDEX(Règles_bison[Valeur 18-24],MATCH(ChoixRationBisons&amp;$BM80,Règles_bison[Ration]&amp;Règles_bison[Aliment],0)),0),0)*TotalBisonsFemelles_18_24_mois*NbreJoursNourrirBisonsDaims)</f>
        <v>0</v>
      </c>
      <c r="BQ80" s="350">
        <f t="array" ref="BQ80">IF(Ration_hivernale_complète_bisons[somme]&gt;0,0,IFERROR(IF(OR(AND(INDEX(Règles_bison[Specificite],MATCH(ChoixRationBisons&amp;$BM80,Règles_bison[Ration]&amp;Règles_bison[Aliment],0))="s1",IF($BM80=ChoixSpécificité1Bisons,1)),
INDEX(Règles_bison[Specificite],MATCH(ChoixRationBisons&amp;$BM80,Règles_bison[Ration]&amp;Règles_bison[Aliment],0))="c"),
INDEX(Règles_bison[Valeur 12-18],MATCH(ChoixRationBisons&amp;$BM80,Règles_bison[Ration]&amp;Règles_bison[Aliment],0)),0),0)*TotalBisonsFemelles_12_18_mois*NbreJoursNourrirBisonsDaims)</f>
        <v>0</v>
      </c>
      <c r="BR80" s="350">
        <f t="array" ref="BR80">IF(Ration_hivernale_complète_bisons[somme]&gt;0,0,IFERROR(IF(OR(AND(INDEX(Règles_bison[Specificite],MATCH(ChoixRationBisons&amp;$BM80,Règles_bison[Ration]&amp;Règles_bison[Aliment],0))="s1",IF($BM80=ChoixSpécificité1Bisons,1)),
INDEX(Règles_bison[Specificite],MATCH(ChoixRationBisons&amp;$BM80,Règles_bison[Ration]&amp;Règles_bison[Aliment],0))="c"),
INDEX(Règles_bison[Valeur 6-12],MATCH(ChoixRationBisons&amp;$BM80,Règles_bison[Ration]&amp;Règles_bison[Aliment],0)),0),0)*TotalBisonsFemelles_6_12_mois*NbreJoursNourrirBisonsDaims)</f>
        <v>0</v>
      </c>
      <c r="BS80" s="350">
        <f t="array" ref="BS80">IF(Ration_hivernale_complète_bisons[somme]&gt;0,0,IFERROR(IF(OR(AND(INDEX(Règles_bison[Specificite],MATCH(ChoixRationBisons&amp;$BM80,Règles_bison[Ration]&amp;Règles_bison[Aliment],0))="s1",IF($BM80=ChoixSpécificité1Bisons,1)),
INDEX(Règles_bison[Specificite],MATCH(ChoixRationBisons&amp;$BM80,Règles_bison[Ration]&amp;Règles_bison[Aliment],0))="c"),
INDEX(Règles_bison[Valeur 3-6],MATCH(ChoixRationBisons&amp;$BM80,Règles_bison[Ration]&amp;Règles_bison[Aliment],0)),0),0)*TotalBisonsFemelles_3_6_mois*NbreJoursNourrirBisonsDaims)</f>
        <v>0</v>
      </c>
      <c r="BT80" s="350">
        <f t="array" ref="BT80">IF(Ration_hivernale_complète_bisons[somme]&gt;0,0,IFERROR(IF(OR(AND(INDEX(Règles_bison[Specificite],MATCH(ChoixRationBisons&amp;$BM80,Règles_bison[Ration]&amp;Règles_bison[Aliment],0))="s1",IF($BM80=ChoixSpécificité1Bisons,1)),
INDEX(Règles_bison[Specificite],MATCH(ChoixRationBisons&amp;$BM80,Règles_bison[Ration]&amp;Règles_bison[Aliment],0))="c"),
INDEX(Règles_bison[Valeur 0-3],MATCH(ChoixRationBisons&amp;$BM80,Règles_bison[Ration]&amp;Règles_bison[Aliment],0)),0),0)*TotalBisonsFemelles_0_3_mois*NbreJoursNourrirBisonsDaims)</f>
        <v>0</v>
      </c>
      <c r="BU80" s="350">
        <f t="shared" si="21"/>
        <v>0</v>
      </c>
      <c r="BV80" s="282"/>
      <c r="BX80" s="373" t="s">
        <v>514</v>
      </c>
      <c r="BY80" s="280" t="s">
        <v>518</v>
      </c>
      <c r="BZ80" s="280" t="s">
        <v>886</v>
      </c>
      <c r="CA80" s="280">
        <v>20</v>
      </c>
      <c r="CB80" s="280">
        <v>12</v>
      </c>
      <c r="CC80" s="280">
        <v>8</v>
      </c>
      <c r="CD80" s="410">
        <v>4</v>
      </c>
      <c r="CE80" s="304"/>
      <c r="CF80" s="304"/>
      <c r="CG80" s="304"/>
      <c r="CH80" s="304"/>
      <c r="CJ80" s="420" t="s">
        <v>907</v>
      </c>
      <c r="CK80" s="384">
        <f t="array" ref="CK8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80" s="384">
        <f t="array" ref="CL8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80" s="384">
        <f t="array" ref="CM8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80" s="384">
        <f t="array" ref="CN8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80" s="384">
        <f t="array" ref="CO8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80" s="426">
        <f>SUM(AlimentsRationPorcinsMâles[[#This Row],[Valeur 12 et plus]:[Valeur 0-1]])</f>
        <v>0</v>
      </c>
      <c r="CS80" s="420" t="s">
        <v>59</v>
      </c>
      <c r="CT80" s="433">
        <f t="array" ref="CT80">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80" s="433">
        <f t="array" ref="CU80">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80" s="433">
        <f t="array" ref="CV80">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80" s="434">
        <f>SUM(AlimentsRationLapinsMâles[[#This Row],[Valeur 3 et plus]:[Valeur 0-1]])</f>
        <v>0</v>
      </c>
      <c r="CZ80" s="420" t="s">
        <v>59</v>
      </c>
      <c r="DA80" s="433">
        <f t="array" ref="DA8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80" s="433">
        <f t="array" ref="DB8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80" s="433">
        <f t="array" ref="DC8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80" s="434">
        <f>SUM(AlimentsRationVolaillesMâles[[#This Row],[Valeur 6 et plus]:[Valeur 0-1]])</f>
        <v>0</v>
      </c>
      <c r="DE80" s="316"/>
      <c r="DF80" s="277"/>
      <c r="DG80" s="420" t="s">
        <v>70</v>
      </c>
      <c r="DH80" s="433">
        <f t="array" ref="DH8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80" s="433">
        <f t="array" ref="DI8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80" s="433">
        <f t="array" ref="DJ8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80" s="434">
        <f>SUM(AlimentsRationPintadesMâles[[#This Row],[Valeur 9 et plus]:[Valeur 0-1]])</f>
        <v>0</v>
      </c>
      <c r="DL80" s="316"/>
      <c r="DM80" s="316"/>
      <c r="DN80" s="373" t="s">
        <v>622</v>
      </c>
      <c r="DO80" s="280" t="s">
        <v>220</v>
      </c>
      <c r="DP80" s="280" t="s">
        <v>887</v>
      </c>
      <c r="DQ80" s="310">
        <v>1.6</v>
      </c>
      <c r="DR80" s="310">
        <v>1.4</v>
      </c>
      <c r="DS80" s="310">
        <v>1.2</v>
      </c>
      <c r="DT80" s="439">
        <v>1</v>
      </c>
      <c r="DU80" s="298"/>
      <c r="DV80" s="350" t="str">
        <f t="shared" si="23"/>
        <v>Blé</v>
      </c>
      <c r="DW80" s="351">
        <f t="array" ref="DW80">SUM((IF(QualitéAlimentsFaonMâle_0_3_mois=BONNE,VLOOKUP("Blé",AlimentsRationHivernaleDaims,8,FALSE),0)+(IF(QualitéAlimentsFaonFemelle_0_3_mois=BONNE,VLOOKUP("Blé",AlimentsRationHivernaleDaims,8,FALSE),0)+(IF(QualitéAlimentsFaonMâle_3_6_mois=BONNE,VLOOKUP("Blé",AlimentsRationHivernaleDaims,7,FALSE),0)+(IF(QualitéAlimentsFaonFemelle_3_6_mois=BONNE,VLOOKUP("Blé",AlimentsRationHivernaleDaims,7,FALSE),0)+(IF(QualitéAlimentsFaonMâle_6_12_mois=BONNE,VLOOKUP("Blé",AlimentsRationHivernaleDaims,6,FALSE),0)+(IF(QualitéAlimentsFaonFemelle_6_12_mois=BONNE,VLOOKUP("Blé",AlimentsRationHivernaleDaims,6,FALSE),0)+(IF(QualitéAlimentsJeuneDaim_12_18_mois=BONNE,VLOOKUP("Blé",AlimentsRationHivernaleDaims,5,FALSE),0)+(IF(QualitéAlimentsJeuneDaine_12_18_mois=BONNE,VLOOKUP("Blé",AlimentsRationHivernaleDaims,5,FALSE),0)+(IF(QualitéAlimentsJeuneDaim_18_24_mois=BONNE,VLOOKUP("Blé",AlimentsRationHivernaleDaims,4,FALSE),0)+(IF(QualitéAlimentsJeuneDaine_18_24_mois=BONNE,VLOOKUP("Blé",AlimentsRationHivernaleDaims,4,FALSE),0)+(IF(QualitéAlimentsJeuneDaim_24_36_mois=BONNE,VLOOKUP("Blé",AlimentsRationHivernaleDaims,3,FALSE),0)+(IF(QualitéAlimentsJeuneDaine_24_36_mois=BONNE,VLOOKUP("Blé",AlimentsRationHivernaleDaims,3,FALSE),0)+(IF(QualitéAlimentsDaim=BONNE,VLOOKUP("Blé",AlimentsRationHivernaleDaims,2,FALSE),0)+(IF(QualitéAlimentsDaine=BONNE,VLOOKUP("Blé",AlimentsRationHivernaleDaims,2,FALSE),0))))))))))))))))</f>
        <v>0</v>
      </c>
      <c r="DX80" s="351">
        <f t="array" ref="DX80">SUM((IF(QualitéAlimentsFaonMâle_0_3_mois=MOYENNE,VLOOKUP("Blé",AlimentsRationHivernaleDaims,8,FALSE),0)+(IF(QualitéAlimentsFaonFemelle_0_3_mois=MOYENNE,VLOOKUP("Blé",AlimentsRationHivernaleDaims,8,FALSE),0)+(IF(QualitéAlimentsFaonMâle_3_6_mois=MOYENNE,VLOOKUP("Blé",AlimentsRationHivernaleDaims,7,FALSE),0)+(IF(QualitéAlimentsFaonFemelle_3_6_mois=MOYENNE,VLOOKUP("Blé",AlimentsRationHivernaleDaims,7,FALSE),0)+(IF(QualitéAlimentsFaonMâle_6_12_mois=MOYENNE,VLOOKUP("Blé",AlimentsRationHivernaleDaims,6,FALSE),0)+(IF(QualitéAlimentsFaonFemelle_6_12_mois=MOYENNE,VLOOKUP("Blé",AlimentsRationHivernaleDaims,6,FALSE),0)+(IF(QualitéAlimentsJeuneDaim_12_18_mois=MOYENNE,VLOOKUP("Blé",AlimentsRationHivernaleDaims,5,FALSE),0)+(IF(QualitéAlimentsJeuneDaine_12_18_mois=MOYENNE,VLOOKUP("Blé",AlimentsRationHivernaleDaims,5,FALSE),0)+(IF(QualitéAlimentsJeuneDaim_18_24_mois=MOYENNE,VLOOKUP("Blé",AlimentsRationHivernaleDaims,4,FALSE),0)+(IF(QualitéAlimentsJeuneDaine_18_24_mois=MOYENNE,VLOOKUP("Blé",AlimentsRationHivernaleDaims,4,FALSE),0)+(IF(QualitéAlimentsJeuneDaim_24_36_mois=MOYENNE,VLOOKUP("Blé",AlimentsRationHivernaleDaims,3,FALSE),0)+(IF(QualitéAlimentsJeuneDaine_24_36_mois=MOYENNE,VLOOKUP("Blé",AlimentsRationHivernaleDaims,3,FALSE),0)+(IF(QualitéAlimentsDaim=MOYENNE,VLOOKUP("Blé",AlimentsRationHivernaleDaims,2,FALSE),0)+(IF(QualitéAlimentsDaine=MOYENNE,VLOOKUP("Blé",AlimentsRationHivernaleDaims,2,FALSE),0))))))))))))))))</f>
        <v>0</v>
      </c>
      <c r="DY80" s="351">
        <f t="array" ref="DY80">SUM((IF(QualitéAlimentsFaonMâle_0_3_mois=MAUVAISE,VLOOKUP("Blé",AlimentsRationHivernaleDaims,8,FALSE),0)+(IF(QualitéAlimentsFaonFemelle_0_3_mois=MAUVAISE,VLOOKUP("Blé",AlimentsRationHivernaleDaims,8,FALSE),0)+(IF(QualitéAlimentsFaonMâle_3_6_mois=MAUVAISE,VLOOKUP("Blé",AlimentsRationHivernaleDaims,7,FALSE),0)+(IF(QualitéAlimentsFaonFemelle_3_6_mois=MAUVAISE,VLOOKUP("Blé",AlimentsRationHivernaleDaims,7,FALSE),0)+(IF(QualitéAlimentsFaonMâle_6_12_mois=MAUVAISE,VLOOKUP("Blé",AlimentsRationHivernaleDaims,6,FALSE),0)+(IF(QualitéAlimentsFaonFemelle_6_12_mois=MAUVAISE,VLOOKUP("Blé",AlimentsRationHivernaleDaims,6,FALSE),0)+(IF(QualitéAlimentsJeuneDaim_12_18_mois=MAUVAISE,VLOOKUP("Blé",AlimentsRationHivernaleDaims,5,FALSE),0)+(IF(QualitéAlimentsJeuneDaine_12_18_mois=MAUVAISE,VLOOKUP("Blé",AlimentsRationHivernaleDaims,5,FALSE),0)+(IF(QualitéAlimentsJeuneDaim_18_24_mois=MAUVAISE,VLOOKUP("Blé",AlimentsRationHivernaleDaims,4,FALSE),0)+(IF(QualitéAlimentsJeuneDaine_18_24_mois=MAUVAISE,VLOOKUP("Blé",AlimentsRationHivernaleDaims,4,FALSE),0)+(IF(QualitéAlimentsJeuneDaim_24_36_mois=MAUVAISE,VLOOKUP("Blé",AlimentsRationHivernaleDaims,3,FALSE),0)+(IF(QualitéAlimentsJeuneDaine_24_36_mois=MAUVAISE,VLOOKUP("Blé",AlimentsRationHivernaleDaims,3,FALSE),0)+(IF(QualitéAlimentsDaim=MAUVAISE,VLOOKUP("Blé",AlimentsRationHivernaleDaims,2,FALSE),0)+(IF(QualitéAlimentsDaine=MAUVAISE,VLOOKUP("Blé",AlimentsRationHivernaleDaims,2,FALSE),0))))))))))))))))</f>
        <v>0</v>
      </c>
      <c r="DZ80" s="298"/>
      <c r="EA80" s="298"/>
      <c r="EB80" s="298"/>
      <c r="EC80" s="298"/>
      <c r="ED80" s="298"/>
      <c r="EE80" s="298"/>
      <c r="EG80" s="420" t="s">
        <v>57</v>
      </c>
      <c r="EH80" s="433">
        <f t="array" ref="EH8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80" s="433">
        <f t="array" ref="EI8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80" s="433">
        <f t="array" ref="EJ8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80" s="434">
        <f>SUM(AlimentsRationOiesMâles[[#This Row],[Valeur 6 et plus]:[Valeur 0-3]])</f>
        <v>0</v>
      </c>
      <c r="EL80" s="316"/>
      <c r="EN80" s="420" t="s">
        <v>488</v>
      </c>
      <c r="EO80" s="433">
        <f t="array" ref="EO80">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80" s="433">
        <f t="array" ref="EP80">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80" s="433">
        <f t="array" ref="EQ80">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80" s="434">
        <f>SUM(Ration_canards_Mâles[[#This Row],[Valeur 6 et plus]:[Valeur 0-3]])</f>
        <v>0</v>
      </c>
      <c r="ES80" s="316"/>
      <c r="EU80" s="457" t="s">
        <v>489</v>
      </c>
      <c r="EV80" s="458">
        <f t="array" ref="EV80">IF(OR(ChoixRationComplèteEtéChevauxSelle=OUI,ChoixRationComplèteEtéChevauxSelle="",AND(ChoixChevauxSellePréHiver=OUI,ChoixChevauxSellePréEté=OUI)),0,IFERROR(IF(OR(AND(INDEX(Règles_chevaux_selle[Specificite],MATCH(RationEtéChevauxSelle&amp;$EU80,Règles_chevaux_selle[Ration]&amp;Règles_chevaux_selle[Aliment],0))="s1",IF($EU80=Spécificité1ChevauxSelle,1)),
AND(INDEX(Règles_chevaux_selle[Specificite],MATCH(RationEtéChevauxSelle&amp;$EU80,Règles_chevaux_selle[Ration]&amp;Règles_chevaux_selle[Aliment],0))="s2",IF($EU80=Spécificité2ChevauxSelle,1)),
INDEX(Règles_chevaux_selle[Specificite],MATCH(RationEtéChevauxSelle&amp;$EU80,Règles_chevaux_selle[Ration]&amp;Règles_chevaux_selle[Aliment],0))="c"),
INDEX(Règles_chevaux_selle[Valeur 36 et plus],MATCH(RationEtéChevauxSelle&amp;$EU80,Règles_chevaux_selle[Ration]&amp;Règles_chevaux_selle[Aliment],0)),0),0)*TotalEtalonSelle*NbreJoursNourrirChevauxSelle)</f>
        <v>0</v>
      </c>
      <c r="EW80" s="458">
        <f t="array" ref="EW80">IF(OR(ChoixRationComplèteEtéChevauxSelle=OUI,ChoixRationComplèteEtéChevauxSelle="",AND(ChoixChevauxSellePréHiver=OUI,ChoixChevauxSellePréEté=OUI)),0,IFERROR(IF(OR(AND(INDEX(Règles_chevaux_selle[Specificite],MATCH(RationEtéChevauxSelle&amp;$EU80,Règles_chevaux_selle[Ration]&amp;Règles_chevaux_selle[Aliment],0))="s1",IF($EU80=Spécificité1ChevauxSelle,1)),
AND(INDEX(Règles_chevaux_selle[Specificite],MATCH(RationEtéChevauxSelle&amp;$EU80,Règles_chevaux_selle[Ration]&amp;Règles_chevaux_selle[Aliment],0))="s2",IF($EU80=Spécificité2ChevauxSelle,1)),
INDEX(Règles_chevaux_selle[Specificite],MATCH(RationEtéChevauxSelle&amp;$EU80,Règles_chevaux_selle[Ration]&amp;Règles_chevaux_selle[Aliment],0))="c"),
INDEX(Règles_chevaux_selle[Valeur 24-36],MATCH(RationEtéChevauxSelle&amp;$EU80,Règles_chevaux_selle[Ration]&amp;Règles_chevaux_selle[Aliment],0)),0),0)*TotalJeuneEtalonSelle_24_36_mois*NbreJoursNourrirChevauxSelle)</f>
        <v>0</v>
      </c>
      <c r="EX80" s="458">
        <f t="array" ref="EX80">IF(OR(ChoixRationComplèteEtéChevauxSelle=OUI,ChoixRationComplèteEtéChevauxSelle="",AND(ChoixChevauxSellePréHiver=OUI,ChoixChevauxSellePréEté=OUI)),0,IFERROR(IF(OR(AND(INDEX(Règles_chevaux_selle[Specificite],MATCH(RationEtéChevauxSelle&amp;$EU80,Règles_chevaux_selle[Ration]&amp;Règles_chevaux_selle[Aliment],0))="s1",IF($EU80=Spécificité1ChevauxSelle,1)),
AND(INDEX(Règles_chevaux_selle[Specificite],MATCH(RationEtéChevauxSelle&amp;$EU80,Règles_chevaux_selle[Ration]&amp;Règles_chevaux_selle[Aliment],0))="s2",IF($EU80=Spécificité2ChevauxSelle,1)),
INDEX(Règles_chevaux_selle[Specificite],MATCH(RationEtéChevauxSelle&amp;$EU80,Règles_chevaux_selle[Ration]&amp;Règles_chevaux_selle[Aliment],0))="c"),
INDEX(Règles_chevaux_selle[Valeur 12-24],MATCH(RationEtéChevauxSelle&amp;$EU80,Règles_chevaux_selle[Ration]&amp;Règles_chevaux_selle[Aliment],0)),0),0)*TotalJeuneEtalonSelle_12_24_mois*NbreJoursNourrirChevauxSelle)</f>
        <v>0</v>
      </c>
      <c r="EY80" s="460">
        <f t="array" ref="EY80">IF(OR(ChoixRationComplèteEtéChevauxSelle=OUI,ChoixRationComplèteEtéChevauxSelle="",AND(ChoixChevauxSellePréHiver=OUI,ChoixChevauxSellePréEté=OUI)),0,IFERROR(IF(OR(AND(INDEX(Règles_chevaux_selle[Specificite],MATCH(RationEtéChevauxSelle&amp;$EU80,Règles_chevaux_selle[Ration]&amp;Règles_chevaux_selle[Aliment],0))="s1",IF($EU80=Spécificité1ChevauxSelle,1)),
AND(INDEX(Règles_chevaux_selle[Specificite],MATCH(RationEtéChevauxSelle&amp;$EU80,Règles_chevaux_selle[Ration]&amp;Règles_chevaux_selle[Aliment],0))="s2",IF($EU80=Spécificité2ChevauxSelle,1)),
INDEX(Règles_chevaux_selle[Specificite],MATCH(RationEtéChevauxSelle&amp;$EU80,Règles_chevaux_selle[Ration]&amp;Règles_chevaux_selle[Aliment],0))="c"),
INDEX(Règles_chevaux_selle[Valeur 0-12],MATCH(RationEtéChevauxSelle&amp;$EU80,Règles_chevaux_selle[Ration]&amp;Règles_chevaux_selle[Aliment],0)),0),0)*TotalPoulainSelle_0_12_mois*NbreJoursNourrirChevauxSelle)</f>
        <v>0</v>
      </c>
      <c r="EZ80" s="460">
        <f t="shared" si="16"/>
        <v>0</v>
      </c>
      <c r="FA80" s="298"/>
      <c r="FB80" s="298"/>
      <c r="FD80" s="457" t="s">
        <v>378</v>
      </c>
      <c r="FE80" s="458">
        <f t="array" ref="FE80">IF(OR(ChoixRationComplèteEtéChevauxTrait=OUI,ChoixRationComplèteEtéChevauxTrait="",AND(ChoixChevauxTraitPréHiver=OUI,ChoixChevauxTraitPréEté=OUI)),0,IFERROR(IF(OR(AND(INDEX(Règles_chevaux_trait[Specificite],MATCH(RationEtéChevauxTrait&amp;$FD80,Règles_chevaux_trait[Ration]&amp;Règles_chevaux_trait[Aliment],0))="s1",IF($FD80=Spécificité1ChevauxTrait,1)),
AND(INDEX(Règles_chevaux_trait[Specificite],MATCH(RationEtéChevauxTrait&amp;$FD80,Règles_chevaux_trait[Ration]&amp;Règles_chevaux_trait[Aliment],0))="s2",IF($FD80=Spécificité2ChevauxTrait,1)),
INDEX(Règles_chevaux_trait[Specificite],MATCH(RationEtéChevauxTrait&amp;$FD80,Règles_chevaux_trait[Ration]&amp;Règles_chevaux_trait[Aliment],0))="c"),
INDEX(Règles_chevaux_trait[Valeur 36 et plus],MATCH(RationEtéChevauxTrait&amp;$FD80,Règles_chevaux_trait[Ration]&amp;Règles_chevaux_trait[Aliment],0)),0),0)*TotalEtalonTrait*NbreJoursNourrirChevauxTrait)</f>
        <v>0</v>
      </c>
      <c r="FF80" s="458">
        <f t="array" ref="FF80">IF(OR(ChoixRationComplèteEtéChevauxTrait=OUI,ChoixRationComplèteEtéChevauxTrait="",AND(ChoixChevauxTraitPréHiver=OUI,ChoixChevauxTraitPréEté=OUI)),0,IFERROR(IF(OR(AND(INDEX(Règles_chevaux_trait[Specificite],MATCH(RationEtéChevauxTrait&amp;$FD80,Règles_chevaux_trait[Ration]&amp;Règles_chevaux_trait[Aliment],0))="s1",IF($FD80=Spécificité1ChevauxTrait,1)),
AND(INDEX(Règles_chevaux_trait[Specificite],MATCH(RationEtéChevauxTrait&amp;$FD80,Règles_chevaux_trait[Ration]&amp;Règles_chevaux_trait[Aliment],0))="s2",IF($FD80=Spécificité2ChevauxTrait,1)),
INDEX(Règles_chevaux_trait[Specificite],MATCH(RationEtéChevauxTrait&amp;$FD80,Règles_chevaux_trait[Ration]&amp;Règles_chevaux_trait[Aliment],0))="c"),
INDEX(Règles_chevaux_trait[Valeur 24-36],MATCH(RationEtéChevauxTrait&amp;$FD80,Règles_chevaux_trait[Ration]&amp;Règles_chevaux_trait[Aliment],0)),0),0)*TotalJeuneEtalonTrait_24_36_mois*NbreJoursNourrirChevauxTrait)</f>
        <v>0</v>
      </c>
      <c r="FG80" s="458">
        <f t="array" ref="FG80">IF(OR(ChoixRationComplèteEtéChevauxTrait=OUI,ChoixRationComplèteEtéChevauxTrait="",AND(ChoixChevauxTraitPréHiver=OUI,ChoixChevauxTraitPréEté=OUI)),0,IFERROR(IF(OR(AND(INDEX(Règles_chevaux_trait[Specificite],MATCH(RationEtéChevauxTrait&amp;$FD80,Règles_chevaux_trait[Ration]&amp;Règles_chevaux_trait[Aliment],0))="s1",IF($FD80=Spécificité1ChevauxTrait,1)),
AND(INDEX(Règles_chevaux_trait[Specificite],MATCH(RationEtéChevauxTrait&amp;$FD80,Règles_chevaux_trait[Ration]&amp;Règles_chevaux_trait[Aliment],0))="s2",IF($FD80=Spécificité2ChevauxTrait,1)),
INDEX(Règles_chevaux_trait[Specificite],MATCH(RationEtéChevauxTrait&amp;$FD80,Règles_chevaux_trait[Ration]&amp;Règles_chevaux_trait[Aliment],0))="c"),
INDEX(Règles_chevaux_trait[Valeur 12-24],MATCH(RationEtéChevauxTrait&amp;$FD80,Règles_chevaux_trait[Ration]&amp;Règles_chevaux_trait[Aliment],0)),0),0)*TotalJeuneEtalonTrait_12_24_mois*NbreJoursNourrirChevauxTrait)</f>
        <v>0</v>
      </c>
      <c r="FH80" s="460">
        <f t="array" ref="FH80">IF(OR(ChoixRationComplèteEtéChevauxTrait=OUI,ChoixRationComplèteEtéChevauxTrait="",AND(ChoixChevauxTraitPréHiver=OUI,ChoixChevauxTraitPréEté=OUI)),0,IFERROR(IF(OR(AND(INDEX(Règles_chevaux_trait[Specificite],MATCH(RationEtéChevauxTrait&amp;$FD80,Règles_chevaux_trait[Ration]&amp;Règles_chevaux_trait[Aliment],0))="s1",IF($FD80=Spécificité1ChevauxTrait,1)),
AND(INDEX(Règles_chevaux_trait[Specificite],MATCH(RationEtéChevauxTrait&amp;$FD80,Règles_chevaux_trait[Ration]&amp;Règles_chevaux_trait[Aliment],0))="s2",IF($FD80=Spécificité2ChevauxTrait,1)),
INDEX(Règles_chevaux_trait[Specificite],MATCH(RationEtéChevauxTrait&amp;$FD80,Règles_chevaux_trait[Ration]&amp;Règles_chevaux_trait[Aliment],0))="c"),
INDEX(Règles_chevaux_trait[Valeur 0-12],MATCH(RationEtéChevauxTrait&amp;$FD80,Règles_chevaux_trait[Ration]&amp;Règles_chevaux_trait[Aliment],0)),0),0)*TotalPoulainTrait_0_12_mois*NbreJoursNourrirChevauxTrait)</f>
        <v>0</v>
      </c>
      <c r="FI80" s="460">
        <f t="shared" si="15"/>
        <v>0</v>
      </c>
      <c r="FJ80" s="298"/>
      <c r="FK80" s="298"/>
      <c r="FL80" s="298"/>
      <c r="FN80" s="457" t="s">
        <v>57</v>
      </c>
      <c r="FO80" s="458">
        <f t="array" ref="FO80">IF(OR(ChoixRationComplèteEtéPoneys=OUI,ChoixRationComplèteEtéPoneys="",AND(ChoixPoneysPréHiver=OUI,ChoixPoneysPréEté=OUI)),0,IFERROR(IF(OR(AND(INDEX(Règles_poneys[Specificite],MATCH(RationEtéPoneys&amp;$FN80,Règles_poneys[Ration]&amp;Règles_poneys[Aliment],0))="s1",IF($FN80=Spécificité1Poneys,1)),
AND(INDEX(Règles_poneys[Specificite],MATCH(RationEtéPoneys&amp;$FN80,Règles_poneys[Ration]&amp;Règles_poneys[Aliment],0))="s2",IF($FN80=Spécificité2Poneys,1)),
INDEX(Règles_poneys[Specificite],MATCH(RationEtéPoneys&amp;$FN80,Règles_poneys[Ration]&amp;Règles_poneys[Aliment],0))="c"),
INDEX(Règles_poneys[Valeur 36 et plus],MATCH(RationEtéPoneys&amp;$FN80,Règles_poneys[Ration]&amp;Règles_poneys[Aliment],0)),0),0)*TotalEtalonPoney*NbreJoursNourrirPoneys)</f>
        <v>0</v>
      </c>
      <c r="FP80" s="458">
        <f t="array" ref="FP80">IF(OR(ChoixRationComplèteEtéPoneys=OUI,ChoixRationComplèteEtéPoneys="",AND(ChoixPoneysPréHiver=OUI,ChoixPoneysPréEté=OUI)),0,IFERROR(IF(OR(AND(INDEX(Règles_poneys[Specificite],MATCH(RationEtéPoneys&amp;$FN80,Règles_poneys[Ration]&amp;Règles_poneys[Aliment],0))="s1",IF($FN80=Spécificité1Poneys,1)),
AND(INDEX(Règles_poneys[Specificite],MATCH(RationEtéPoneys&amp;$FN80,Règles_poneys[Ration]&amp;Règles_poneys[Aliment],0))="s2",IF($FN80=Spécificité2Poneys,1)),
INDEX(Règles_poneys[Specificite],MATCH(RationEtéPoneys&amp;$FN80,Règles_poneys[Ration]&amp;Règles_poneys[Aliment],0))="c"),
INDEX(Règles_poneys[Valeur 36 et plus],MATCH(RationEtéPoneys&amp;$FN80,Règles_poneys[Ration]&amp;Règles_poneys[Aliment],0)),0),0)*TotalJeuneEtalonPoney_24_36_mois*NbreJoursNourrirPoneys)</f>
        <v>0</v>
      </c>
      <c r="FQ80" s="458">
        <f t="array" ref="FQ80">IF(OR(ChoixRationComplèteEtéPoneys=OUI,ChoixRationComplèteEtéPoneys="",AND(ChoixPoneysPréHiver=OUI,ChoixPoneysPréEté=OUI)),0,IFERROR(IF(OR(AND(INDEX(Règles_poneys[Specificite],MATCH(RationEtéPoneys&amp;$FN80,Règles_poneys[Ration]&amp;Règles_poneys[Aliment],0))="s1",IF($FN80=Spécificité1Poneys,1)),
AND(INDEX(Règles_poneys[Specificite],MATCH(RationEtéPoneys&amp;$FN80,Règles_poneys[Ration]&amp;Règles_poneys[Aliment],0))="s2",IF($FN80=Spécificité2Poneys,1)),
INDEX(Règles_poneys[Specificite],MATCH(RationEtéPoneys&amp;$FN80,Règles_poneys[Ration]&amp;Règles_poneys[Aliment],0))="c"),
INDEX(Règles_poneys[Valeur 36 et plus],MATCH(RationEtéPoneys&amp;$FN80,Règles_poneys[Ration]&amp;Règles_poneys[Aliment],0)),0),0)*TotalJeuneEtalonPoney_12_24_mois*NbreJoursNourrirPoneys)</f>
        <v>0</v>
      </c>
      <c r="FR80" s="460">
        <f t="array" ref="FR80">IF(OR(ChoixRationComplèteEtéPoneys=OUI,ChoixRationComplèteEtéPoneys="",AND(ChoixPoneysPréHiver=OUI,ChoixPoneysPréEté=OUI)),0,IFERROR(IF(OR(AND(INDEX(Règles_poneys[Specificite],MATCH(RationEtéPoneys&amp;$FN80,Règles_poneys[Ration]&amp;Règles_poneys[Aliment],0))="s1",IF($FN80=Spécificité1Poneys,1)),
AND(INDEX(Règles_poneys[Specificite],MATCH(RationEtéPoneys&amp;$FN80,Règles_poneys[Ration]&amp;Règles_poneys[Aliment],0))="s2",IF($FN80=Spécificité2Poneys,1)),
INDEX(Règles_poneys[Specificite],MATCH(RationEtéPoneys&amp;$FN80,Règles_poneys[Ration]&amp;Règles_poneys[Aliment],0))="c"),
INDEX(Règles_poneys[Valeur 36 et plus],MATCH(RationEtéPoneys&amp;$FN80,Règles_poneys[Ration]&amp;Règles_poneys[Aliment],0)),0),0)*TotalPoulainPoney_0_12_mois*NbreJoursNourrirPoneys)</f>
        <v>0</v>
      </c>
      <c r="FS80" s="460">
        <f t="shared" si="14"/>
        <v>0</v>
      </c>
      <c r="FT80" s="298"/>
      <c r="FW80" s="443"/>
      <c r="FX80" s="450">
        <f t="array" ref="FX80">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80" s="450">
        <f t="array" ref="FY80">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80" s="450">
        <f t="array" ref="FZ80">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80" s="450">
        <f t="array" ref="GA80">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80" s="451">
        <f>SUM(AlimentsGavageOies[[#This Row],[Valeur 6 et plus]:[Valeur 0-1]])</f>
        <v>0</v>
      </c>
      <c r="GC80" s="316"/>
      <c r="GG80" s="276" t="s">
        <v>955</v>
      </c>
      <c r="GH80" s="276" t="s">
        <v>955</v>
      </c>
      <c r="GI80" s="276" t="s">
        <v>955</v>
      </c>
      <c r="GJ80" s="276" t="s">
        <v>955</v>
      </c>
      <c r="GK80" s="276" t="s">
        <v>955</v>
      </c>
      <c r="GL80" s="276" t="s">
        <v>955</v>
      </c>
      <c r="GM80" s="276" t="s">
        <v>955</v>
      </c>
      <c r="GN80" s="276" t="s">
        <v>955</v>
      </c>
      <c r="GO80" s="276" t="s">
        <v>955</v>
      </c>
      <c r="GP80" s="276" t="s">
        <v>955</v>
      </c>
      <c r="GQ80" s="276" t="s">
        <v>955</v>
      </c>
      <c r="GR80" s="276" t="s">
        <v>955</v>
      </c>
      <c r="GS80" s="276" t="s">
        <v>955</v>
      </c>
      <c r="GT80" s="276" t="s">
        <v>955</v>
      </c>
      <c r="GU80" s="276" t="s">
        <v>955</v>
      </c>
      <c r="GV80" s="276" t="s">
        <v>955</v>
      </c>
      <c r="GY80" s="444" t="str">
        <f t="shared" si="11"/>
        <v>semences de triticale (P)</v>
      </c>
      <c r="GZ80" s="444"/>
      <c r="HA80" s="342"/>
      <c r="HB80" s="342" t="e">
        <f>IF(COUNTIF(TypeArticleDansEntrepôt,GY80)=0,0,SUMIF(TypeArticleDansEntrepôt,GY80,QtéArticleDansEntrepôt)*VLOOKUP(GY80,#REF!,2,FALSE))</f>
        <v>#REF!</v>
      </c>
      <c r="HN80" s="342" t="e">
        <f>IF(#REF!="","",(VLOOKUP(#REF!,BDD!$HN$5:$HU$38,2,FALSE))*#REF!)</f>
        <v>#REF!</v>
      </c>
      <c r="HO80" s="342" t="e">
        <f>IF(#REF!="","",IF(OR(#REF!=Moutarde,#REF!=Phacélie),0,IF(#REF!=Luzerne,10*#REF!*VLOOKUP(#REF!,BDD!$HN$5:$HU$38,3,FALSE),IF(#REF!=Miscanthus,10.5*#REF!*VLOOKUP(#REF!,BDD!$HN$5:$HU$38,3,FALSE),INDEX(#REF!:#REF!,MATCH(#REF!,#REF!:#REF!,0),MATCH(#REF!,#REF!:#REF!,0))*#REF!*VLOOKUP(#REF!,BDD!$HN$5:$HU$38,3,FALSE)))))</f>
        <v>#REF!</v>
      </c>
      <c r="HP80" s="342" t="e">
        <f>IF(#REF!="","",IF(OR(#REF!=Moutarde,#REF!=Phacélie),0,IF(#REF!=Luzerne,10*#REF!*VLOOKUP(#REF!,BDD!$HN$5:$HU$38,4,FALSE),IF(#REF!=Miscanthus,10.5*#REF!*VLOOKUP(#REF!,BDD!$HN$5:$HU$38,4,FALSE),INDEX(#REF!:#REF!,MATCH(#REF!,#REF!:#REF!,0),MATCH(#REF!,#REF!:#REF!,0))*#REF!*VLOOKUP(#REF!,BDD!$HN$5:$HU$38,4,FALSE)))))</f>
        <v>#REF!</v>
      </c>
      <c r="HQ80" s="342" t="e">
        <f>IF(#REF!="","",IF(OR(#REF!=Moutarde,#REF!=Phacélie),0,IF(#REF!=Luzerne,10*#REF!*VLOOKUP(#REF!,BDD!$HN$5:$HU$38,5,FALSE),IF(#REF!=Miscanthus,10.5*#REF!*VLOOKUP(#REF!,BDD!$HN$5:$HU$38,5,FALSE),INDEX(#REF!:#REF!,MATCH(#REF!,#REF!:#REF!,0),MATCH(#REF!,#REF!:#REF!,0))*#REF!*VLOOKUP(#REF!,BDD!$HN$5:$HU$38,5,FALSE)))))</f>
        <v>#REF!</v>
      </c>
      <c r="HR80" s="342" t="e">
        <f>IF(#REF!="","",IF(OR(#REF!=Moutarde,#REF!=Phacélie),0,IF(#REF!=Luzerne,10*#REF!*VLOOKUP(#REF!,BDD!$HN$5:$HU$38,6,FALSE),IF(#REF!=Miscanthus,10.5*#REF!*VLOOKUP(#REF!,BDD!$HN$5:$HU$38,6,FALSE),INDEX(#REF!:#REF!,MATCH(#REF!,#REF!:#REF!,0),MATCH(#REF!,#REF!:#REF!,0))*#REF!*VLOOKUP(#REF!,BDD!$HN$5:$HU$38,6,FALSE)))))</f>
        <v>#REF!</v>
      </c>
      <c r="HS80" s="342" t="e">
        <f>IF(#REF!="","",IF(OR(#REF!=Moutarde,#REF!=Phacélie),0,IF(#REF!=Luzerne,10*#REF!*VLOOKUP(#REF!,BDD!$HN$5:$HU$38,7,FALSE),IF(#REF!=Miscanthus,10.5*#REF!*VLOOKUP(#REF!,BDD!$HN$5:$HU$38,7,FALSE),INDEX(#REF!:#REF!,MATCH(#REF!,#REF!:#REF!,0),MATCH(#REF!,#REF!:#REF!,0))*#REF!*VLOOKUP(#REF!,BDD!$HN$5:$HU$38,7,FALSE)))))</f>
        <v>#REF!</v>
      </c>
      <c r="HT80" s="342" t="e">
        <f>IF(#REF!="","",IF(OR(#REF!=Moutarde,#REF!=Phacélie),0,IF(#REF!=Luzerne,10*#REF!*VLOOKUP(#REF!,BDD!$HN$5:$HU$38,8,FALSE),IF(#REF!=Miscanthus,10.5*#REF!*VLOOKUP(#REF!,BDD!$HN$5:$HU$38,8,FALSE),INDEX(#REF!:#REF!,MATCH(#REF!,#REF!:#REF!,0),MATCH(#REF!,#REF!:#REF!,0))*#REF!*VLOOKUP(#REF!,BDD!$HN$5:$HU$38,8,FALSE)))))</f>
        <v>#REF!</v>
      </c>
      <c r="HU80" s="342" t="e">
        <f>IF(#REF!="","",IF(OR(#REF!=Moutarde,#REF!=Phacélie),0,1.6*#REF!))</f>
        <v>#REF!</v>
      </c>
      <c r="HV80" s="342" t="e">
        <f>IF(#REF!="","",IF(OR(#REF!=Moutarde,#REF!=Phacélie),0,1.6*#REF!))</f>
        <v>#REF!</v>
      </c>
      <c r="HW80" s="342" t="e">
        <f>IF(#REF!="","",IF(OR(#REF!=Moutarde,#REF!=Phacélie),0,1.6*#REF!))</f>
        <v>#REF!</v>
      </c>
      <c r="HX80" s="342" t="e">
        <f>IF(#REF!="","",(VLOOKUP(#REF!,BDD!$HN$5:$HU$38,2,FALSE))*#REF!)</f>
        <v>#REF!</v>
      </c>
      <c r="HY80" s="342" t="e">
        <f>IF(#REF!="","",IF(OR(#REF!=Moutarde,#REF!=Phacélie),0,IF(#REF!=Luzerne,10*#REF!*VLOOKUP(#REF!,BDD!$HN$5:$HU$38,3,FALSE),IF(#REF!=Miscanthus,10.5*#REF!*VLOOKUP(#REF!,BDD!$HN$5:$HU$38,3,FALSE),INDEX(#REF!:#REF!,MATCH(#REF!,#REF!:#REF!,0),MATCH(#REF!,#REF!:#REF!,0))*#REF!*VLOOKUP(#REF!,BDD!$HN$5:$HU$38,3,FALSE)))))</f>
        <v>#REF!</v>
      </c>
      <c r="HZ80" s="342" t="e">
        <f>IF(#REF!="","",IF(OR(#REF!=Moutarde,#REF!=Phacélie),0,IF(#REF!=Luzerne,10*#REF!*VLOOKUP(#REF!,BDD!$HN$5:$HU$38,4,FALSE),IF(#REF!=Miscanthus,10.5*#REF!*VLOOKUP(#REF!,BDD!$HN$5:$HU$38,4,FALSE),INDEX(#REF!:#REF!,MATCH(#REF!,#REF!:#REF!,0),MATCH(#REF!,#REF!:#REF!,0))*#REF!*VLOOKUP(#REF!,BDD!$HN$5:$HU$38,4,FALSE)))))</f>
        <v>#REF!</v>
      </c>
      <c r="IA80" s="342" t="e">
        <f>IF(#REF!="","",IF(OR(#REF!=Moutarde,#REF!=Phacélie),0,IF(#REF!=Luzerne,10*#REF!*VLOOKUP(#REF!,BDD!$HN$5:$HU$38,5,FALSE),IF(#REF!=Miscanthus,10.5*#REF!*VLOOKUP(#REF!,BDD!$HN$5:$HU$38,5,FALSE),INDEX(#REF!:#REF!,MATCH(#REF!,#REF!:#REF!,0),MATCH(#REF!,#REF!:#REF!,0))*#REF!*VLOOKUP(#REF!,BDD!$HN$5:$HU$38,5,FALSE)))))</f>
        <v>#REF!</v>
      </c>
      <c r="IB80" s="342" t="e">
        <f>IF(#REF!="","",IF(OR(#REF!=Moutarde,#REF!=Phacélie),0,IF(#REF!=Luzerne,10*#REF!*VLOOKUP(#REF!,BDD!$HN$5:$HU$38,6,FALSE),IF(#REF!=Miscanthus,10.5*#REF!*VLOOKUP(#REF!,BDD!$HN$5:$HU$38,6,FALSE),INDEX(#REF!:#REF!,MATCH(#REF!,#REF!:#REF!,0),MATCH(#REF!,#REF!:#REF!,0))*#REF!*VLOOKUP(#REF!,BDD!$HN$5:$HU$38,6,FALSE)))))</f>
        <v>#REF!</v>
      </c>
      <c r="IC80" s="342" t="e">
        <f>IF(#REF!="","",IF(OR(#REF!=Moutarde,#REF!=Phacélie),0,IF(#REF!=Luzerne,10*#REF!*VLOOKUP(#REF!,BDD!$HN$5:$HU$38,7,FALSE),IF(#REF!=Miscanthus,10.5*#REF!*VLOOKUP(#REF!,BDD!$HN$5:$HU$38,7,FALSE),INDEX(#REF!:#REF!,MATCH(#REF!,#REF!:#REF!,0),MATCH(#REF!,#REF!:#REF!,0))*#REF!*VLOOKUP(#REF!,BDD!$HN$5:$HU$38,7,FALSE)))))</f>
        <v>#REF!</v>
      </c>
      <c r="ID80" s="342" t="e">
        <f>IF(#REF!="","",IF(OR(#REF!=Moutarde,#REF!=Phacélie),0,IF(#REF!=Luzerne,10*#REF!*VLOOKUP(#REF!,BDD!$HN$5:$HU$38,8,FALSE),IF(#REF!=Miscanthus,10.5*#REF!*VLOOKUP(#REF!,BDD!$HN$5:$HU$38,8,FALSE),INDEX(#REF!:#REF!,MATCH(#REF!,#REF!:#REF!,0),MATCH(#REF!,#REF!:#REF!,0))*#REF!*VLOOKUP(#REF!,BDD!$HN$5:$HU$38,8,FALSE)))))</f>
        <v>#REF!</v>
      </c>
      <c r="IE80" s="342" t="e">
        <f>IF(#REF!="","",IF(OR(#REF!=Moutarde,#REF!=Phacélie),0,1.6*#REF!))</f>
        <v>#REF!</v>
      </c>
      <c r="IF80" s="342" t="e">
        <f>IF(#REF!="","",IF(OR(#REF!=Moutarde,#REF!=Phacélie),0,1.6*#REF!))</f>
        <v>#REF!</v>
      </c>
      <c r="IG80" s="342" t="e">
        <f>IF(#REF!="","",IF(OR(#REF!=Moutarde,#REF!=Phacélie),0,1.6*#REF!))</f>
        <v>#REF!</v>
      </c>
    </row>
    <row r="81" spans="1:241" ht="12.75" customHeight="1" x14ac:dyDescent="0.2">
      <c r="A81" s="373"/>
      <c r="B81" s="380"/>
      <c r="F81" s="280"/>
      <c r="G81" s="280"/>
      <c r="H81" s="321"/>
      <c r="I81" s="280"/>
      <c r="J81" s="321"/>
      <c r="K81" s="321"/>
      <c r="L81" s="321"/>
      <c r="P81" s="283"/>
      <c r="Q81" s="384" t="s">
        <v>1012</v>
      </c>
      <c r="Y81" s="385" t="s">
        <v>1120</v>
      </c>
      <c r="Z81" s="385">
        <f>IF('coût alimentation'!$B$6=$Y$81,6,0)</f>
        <v>0</v>
      </c>
      <c r="AA81" s="385">
        <f>IF('coût alimentation'!$B$6=$Y$81,6,0)</f>
        <v>0</v>
      </c>
      <c r="AB81" s="385">
        <f>IF('coût alimentation'!$B$6=$Y$81,6,0)</f>
        <v>0</v>
      </c>
      <c r="AC81" s="385">
        <f>IF('coût alimentation'!$B$6=$Y$81,6,0)</f>
        <v>0</v>
      </c>
      <c r="AD81" s="385">
        <f>IF('coût alimentation'!$B$6=$Y$81,6,0)</f>
        <v>0</v>
      </c>
      <c r="AE81" s="385">
        <f>IF('coût alimentation'!$B$6=$Y$81,6,0)</f>
        <v>0</v>
      </c>
      <c r="AF81" s="385">
        <f>IF('coût alimentation'!$B$6=$Y$81,6,0)</f>
        <v>0</v>
      </c>
      <c r="AG81" s="385">
        <f>IF('coût alimentation'!$B$6=$Y$81,6,0)</f>
        <v>0</v>
      </c>
      <c r="BB81" s="387" t="s">
        <v>511</v>
      </c>
      <c r="BC81" s="362" t="s">
        <v>1166</v>
      </c>
      <c r="BD81" s="362" t="s">
        <v>886</v>
      </c>
      <c r="BE81" s="388">
        <v>0</v>
      </c>
      <c r="BF81" s="388">
        <v>0</v>
      </c>
      <c r="BG81" s="388">
        <v>0</v>
      </c>
      <c r="BH81" s="388">
        <v>0</v>
      </c>
      <c r="BI81" s="388">
        <v>0</v>
      </c>
      <c r="BJ81" s="388">
        <v>0</v>
      </c>
      <c r="BK81" s="389">
        <v>8</v>
      </c>
      <c r="BL81" s="312"/>
      <c r="BM81" s="350" t="str">
        <f t="shared" si="22"/>
        <v>concentré jeunes lapins</v>
      </c>
      <c r="BN81" s="350">
        <f t="array" ref="BN81">IF(Ration_hivernale_complète_bisons[somme]&gt;0,0,IFERROR(IF(OR(AND(INDEX(Règles_bison[Specificite],MATCH(ChoixRationBisons&amp;$BM81,Règles_bison[Ration]&amp;Règles_bison[Aliment],0))="s1",IF($BM81=ChoixSpécificité1Bisons,1)),
INDEX(Règles_bison[Specificite],MATCH(ChoixRationBisons&amp;$BM81,Règles_bison[Ration]&amp;Règles_bison[Aliment],0))="c"),
INDEX(Règles_bison[Valeur 36 et plus],MATCH(ChoixRationBisons&amp;$BM81,Règles_bison[Ration]&amp;Règles_bison[Aliment],0)),0),0)*TotalBisonnes*NbreJoursNourrirBisonsDaims)</f>
        <v>0</v>
      </c>
      <c r="BO81" s="350">
        <f t="array" ref="BO81">IF(Ration_hivernale_complète_bisons[somme]&gt;0,0,IFERROR(IF(OR(AND(INDEX(Règles_bison[Specificite],MATCH(ChoixRationBisons&amp;$BM81,Règles_bison[Ration]&amp;Règles_bison[Aliment],0))="s1",IF($BM81=ChoixSpécificité1Bisons,1)),
INDEX(Règles_bison[Specificite],MATCH(ChoixRationBisons&amp;$BM81,Règles_bison[Ration]&amp;Règles_bison[Aliment],0))="c"),
INDEX(Règles_bison[Valeur 24-36],MATCH(ChoixRationBisons&amp;$BM81,Règles_bison[Ration]&amp;Règles_bison[Aliment],0)),0),0)*TotalBisonsFemelles_24_36_mois*NbreJoursNourrirBisonsDaims)</f>
        <v>0</v>
      </c>
      <c r="BP81" s="350">
        <f t="array" ref="BP81">IF(Ration_hivernale_complète_bisons[somme]&gt;0,0,IFERROR(IF(OR(AND(INDEX(Règles_bison[Specificite],MATCH(ChoixRationBisons&amp;$BM81,Règles_bison[Ration]&amp;Règles_bison[Aliment],0))="s1",IF($BM81=ChoixSpécificité1Bisons,1)),
INDEX(Règles_bison[Specificite],MATCH(ChoixRationBisons&amp;$BM81,Règles_bison[Ration]&amp;Règles_bison[Aliment],0))="c"),
INDEX(Règles_bison[Valeur 18-24],MATCH(ChoixRationBisons&amp;$BM81,Règles_bison[Ration]&amp;Règles_bison[Aliment],0)),0),0)*TotalBisonsFemelles_18_24_mois*NbreJoursNourrirBisonsDaims)</f>
        <v>0</v>
      </c>
      <c r="BQ81" s="350">
        <f t="array" ref="BQ81">IF(Ration_hivernale_complète_bisons[somme]&gt;0,0,IFERROR(IF(OR(AND(INDEX(Règles_bison[Specificite],MATCH(ChoixRationBisons&amp;$BM81,Règles_bison[Ration]&amp;Règles_bison[Aliment],0))="s1",IF($BM81=ChoixSpécificité1Bisons,1)),
INDEX(Règles_bison[Specificite],MATCH(ChoixRationBisons&amp;$BM81,Règles_bison[Ration]&amp;Règles_bison[Aliment],0))="c"),
INDEX(Règles_bison[Valeur 12-18],MATCH(ChoixRationBisons&amp;$BM81,Règles_bison[Ration]&amp;Règles_bison[Aliment],0)),0),0)*TotalBisonsFemelles_12_18_mois*NbreJoursNourrirBisonsDaims)</f>
        <v>0</v>
      </c>
      <c r="BR81" s="350">
        <f t="array" ref="BR81">IF(Ration_hivernale_complète_bisons[somme]&gt;0,0,IFERROR(IF(OR(AND(INDEX(Règles_bison[Specificite],MATCH(ChoixRationBisons&amp;$BM81,Règles_bison[Ration]&amp;Règles_bison[Aliment],0))="s1",IF($BM81=ChoixSpécificité1Bisons,1)),
INDEX(Règles_bison[Specificite],MATCH(ChoixRationBisons&amp;$BM81,Règles_bison[Ration]&amp;Règles_bison[Aliment],0))="c"),
INDEX(Règles_bison[Valeur 6-12],MATCH(ChoixRationBisons&amp;$BM81,Règles_bison[Ration]&amp;Règles_bison[Aliment],0)),0),0)*TotalBisonsFemelles_6_12_mois*NbreJoursNourrirBisonsDaims)</f>
        <v>0</v>
      </c>
      <c r="BS81" s="350">
        <f t="array" ref="BS81">IF(Ration_hivernale_complète_bisons[somme]&gt;0,0,IFERROR(IF(OR(AND(INDEX(Règles_bison[Specificite],MATCH(ChoixRationBisons&amp;$BM81,Règles_bison[Ration]&amp;Règles_bison[Aliment],0))="s1",IF($BM81=ChoixSpécificité1Bisons,1)),
INDEX(Règles_bison[Specificite],MATCH(ChoixRationBisons&amp;$BM81,Règles_bison[Ration]&amp;Règles_bison[Aliment],0))="c"),
INDEX(Règles_bison[Valeur 3-6],MATCH(ChoixRationBisons&amp;$BM81,Règles_bison[Ration]&amp;Règles_bison[Aliment],0)),0),0)*TotalBisonsFemelles_3_6_mois*NbreJoursNourrirBisonsDaims)</f>
        <v>0</v>
      </c>
      <c r="BT81" s="350">
        <f t="array" ref="BT81">IF(Ration_hivernale_complète_bisons[somme]&gt;0,0,IFERROR(IF(OR(AND(INDEX(Règles_bison[Specificite],MATCH(ChoixRationBisons&amp;$BM81,Règles_bison[Ration]&amp;Règles_bison[Aliment],0))="s1",IF($BM81=ChoixSpécificité1Bisons,1)),
INDEX(Règles_bison[Specificite],MATCH(ChoixRationBisons&amp;$BM81,Règles_bison[Ration]&amp;Règles_bison[Aliment],0))="c"),
INDEX(Règles_bison[Valeur 0-3],MATCH(ChoixRationBisons&amp;$BM81,Règles_bison[Ration]&amp;Règles_bison[Aliment],0)),0),0)*TotalBisonsFemelles_0_3_mois*NbreJoursNourrirBisonsDaims)</f>
        <v>0</v>
      </c>
      <c r="BU81" s="350">
        <f t="shared" si="21"/>
        <v>0</v>
      </c>
      <c r="BV81" s="282"/>
      <c r="BW81" s="282"/>
      <c r="BX81" s="373" t="s">
        <v>550</v>
      </c>
      <c r="BY81" s="280" t="s">
        <v>508</v>
      </c>
      <c r="BZ81" s="280" t="s">
        <v>911</v>
      </c>
      <c r="CA81" s="280">
        <v>21</v>
      </c>
      <c r="CB81" s="280">
        <v>16</v>
      </c>
      <c r="CC81" s="280">
        <v>11</v>
      </c>
      <c r="CD81" s="410">
        <v>3</v>
      </c>
      <c r="CE81" s="304"/>
      <c r="CF81" s="304"/>
      <c r="CG81" s="304"/>
      <c r="CH81" s="304"/>
      <c r="CJ81" s="420" t="s">
        <v>908</v>
      </c>
      <c r="CK81" s="384">
        <f t="array" ref="CK8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81" s="384">
        <f t="array" ref="CL8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81" s="384">
        <f t="array" ref="CM8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81" s="384">
        <f t="array" ref="CN8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81" s="384">
        <f t="array" ref="CO8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81" s="426">
        <f>SUM(AlimentsRationPorcinsMâles[[#This Row],[Valeur 12 et plus]:[Valeur 0-1]])</f>
        <v>0</v>
      </c>
      <c r="CS81" s="420" t="s">
        <v>906</v>
      </c>
      <c r="CT81" s="433">
        <f t="array" ref="CT81">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81" s="433">
        <f t="array" ref="CU81">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81" s="433">
        <f t="array" ref="CV81">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81" s="434">
        <f>SUM(AlimentsRationLapinsMâles[[#This Row],[Valeur 3 et plus]:[Valeur 0-1]])</f>
        <v>0</v>
      </c>
      <c r="CZ81" s="420" t="s">
        <v>906</v>
      </c>
      <c r="DA81" s="433">
        <f t="array" ref="DA8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81" s="433">
        <f t="array" ref="DB8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81" s="433">
        <f t="array" ref="DC8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81" s="434">
        <f>SUM(AlimentsRationVolaillesMâles[[#This Row],[Valeur 6 et plus]:[Valeur 0-1]])</f>
        <v>0</v>
      </c>
      <c r="DE81" s="316"/>
      <c r="DF81" s="277"/>
      <c r="DG81" s="420"/>
      <c r="DH81" s="433">
        <f t="array" ref="DH8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81" s="433">
        <f t="array" ref="DI8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81" s="433">
        <f t="array" ref="DJ8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81" s="434">
        <f>SUM(AlimentsRationPintadesMâles[[#This Row],[Valeur 9 et plus]:[Valeur 0-1]])</f>
        <v>0</v>
      </c>
      <c r="DL81" s="316"/>
      <c r="DM81" s="316"/>
      <c r="DN81" s="373" t="s">
        <v>622</v>
      </c>
      <c r="DO81" s="280" t="s">
        <v>70</v>
      </c>
      <c r="DP81" s="280" t="s">
        <v>887</v>
      </c>
      <c r="DQ81" s="310">
        <v>1.6</v>
      </c>
      <c r="DR81" s="310">
        <v>1.4</v>
      </c>
      <c r="DS81" s="310">
        <v>1.2</v>
      </c>
      <c r="DT81" s="439">
        <v>1</v>
      </c>
      <c r="DU81" s="298"/>
      <c r="DV81" s="350" t="str">
        <f t="shared" si="23"/>
        <v>Bouchons luzerne</v>
      </c>
      <c r="DW81" s="351">
        <f t="array" ref="DW81">SUM((IF(QualitéAlimentsFaonMâle_0_3_mois=BONNE,VLOOKUP("Bouchons luzerne",AlimentsRationHivernaleDaims,8,FALSE),0)+(IF(QualitéAlimentsFaonFemelle_0_3_mois=BONNE,VLOOKUP("Bouchons luzerne",AlimentsRationHivernaleDaims,8,FALSE),0)+(IF(QualitéAlimentsFaonMâle_3_6_mois=BONNE,VLOOKUP("Bouchons luzerne",AlimentsRationHivernaleDaims,7,FALSE),0)+(IF(QualitéAlimentsFaonFemelle_3_6_mois=BONNE,VLOOKUP("Bouchons luzerne",AlimentsRationHivernaleDaims,7,FALSE),0)+(IF(QualitéAlimentsFaonMâle_6_12_mois=BONNE,VLOOKUP("Bouchons luzerne",AlimentsRationHivernaleDaims,6,FALSE),0)+(IF(QualitéAlimentsFaonFemelle_6_12_mois=BONNE,VLOOKUP("Bouchons luzerne",AlimentsRationHivernaleDaims,6,FALSE),0)+(IF(QualitéAlimentsJeuneDaim_12_18_mois=BONNE,VLOOKUP("Bouchons luzerne",AlimentsRationHivernaleDaims,5,FALSE),0)+(IF(QualitéAlimentsJeuneDaine_12_18_mois=BONNE,VLOOKUP("Bouchons luzerne",AlimentsRationHivernaleDaims,5,FALSE),0)+(IF(QualitéAlimentsJeuneDaim_18_24_mois=BONNE,VLOOKUP("Bouchons luzerne",AlimentsRationHivernaleDaims,4,FALSE),0)+(IF(QualitéAlimentsJeuneDaine_18_24_mois=BONNE,VLOOKUP("Bouchons luzerne",AlimentsRationHivernaleDaims,4,FALSE),0)+(IF(QualitéAlimentsJeuneDaim_24_36_mois=BONNE,VLOOKUP("Bouchons luzerne",AlimentsRationHivernaleDaims,3,FALSE),0)+(IF(QualitéAlimentsJeuneDaine_24_36_mois=BONNE,VLOOKUP("Bouchons luzerne",AlimentsRationHivernaleDaims,3,FALSE),0)+(IF(QualitéAlimentsDaim=BONNE,VLOOKUP("Bouchons luzerne",AlimentsRationHivernaleDaims,2,FALSE),0)+(IF(QualitéAlimentsDaine=BONNE,VLOOKUP("Bouchons luzerne",AlimentsRationHivernaleDaims,2,FALSE),0))))))))))))))))</f>
        <v>0</v>
      </c>
      <c r="DX81" s="351">
        <f t="array" ref="DX81">SUM((IF(QualitéAlimentsFaonMâle_0_3_mois=MOYENNE,VLOOKUP("Bouchons luzerne",AlimentsRationHivernaleDaims,8,FALSE),0)+(IF(QualitéAlimentsFaonFemelle_0_3_mois=MOYENNE,VLOOKUP("Bouchons luzerne",AlimentsRationHivernaleDaims,8,FALSE),0)+(IF(QualitéAlimentsFaonMâle_3_6_mois=MOYENNE,VLOOKUP("Bouchons luzerne",AlimentsRationHivernaleDaims,7,FALSE),0)+(IF(QualitéAlimentsFaonFemelle_3_6_mois=MOYENNE,VLOOKUP("Bouchons luzerne",AlimentsRationHivernaleDaims,7,FALSE),0)+(IF(QualitéAlimentsFaonMâle_6_12_mois=MOYENNE,VLOOKUP("Bouchons luzerne",AlimentsRationHivernaleDaims,6,FALSE),0)+(IF(QualitéAlimentsFaonFemelle_6_12_mois=MOYENNE,VLOOKUP("Bouchons luzerne",AlimentsRationHivernaleDaims,6,FALSE),0)+(IF(QualitéAlimentsJeuneDaim_12_18_mois=MOYENNE,VLOOKUP("Bouchons luzerne",AlimentsRationHivernaleDaims,5,FALSE),0)+(IF(QualitéAlimentsJeuneDaine_12_18_mois=MOYENNE,VLOOKUP("Bouchons luzerne",AlimentsRationHivernaleDaims,5,FALSE),0)+(IF(QualitéAlimentsJeuneDaim_18_24_mois=MOYENNE,VLOOKUP("Bouchons luzerne",AlimentsRationHivernaleDaims,4,FALSE),0)+(IF(QualitéAlimentsJeuneDaine_18_24_mois=MOYENNE,VLOOKUP("Bouchons luzerne",AlimentsRationHivernaleDaims,4,FALSE),0)+(IF(QualitéAlimentsJeuneDaim_24_36_mois=MOYENNE,VLOOKUP("Bouchons luzerne",AlimentsRationHivernaleDaims,3,FALSE),0)+(IF(QualitéAlimentsJeuneDaine_24_36_mois=MOYENNE,VLOOKUP("Bouchons luzerne",AlimentsRationHivernaleDaims,3,FALSE),0)+(IF(QualitéAlimentsDaim=MOYENNE,VLOOKUP("Bouchons luzerne",AlimentsRationHivernaleDaims,2,FALSE),0)+(IF(QualitéAlimentsDaine=MOYENNE,VLOOKUP("Bouchons luzerne",AlimentsRationHivernaleDaims,2,FALSE),0))))))))))))))))</f>
        <v>0</v>
      </c>
      <c r="DY81" s="351">
        <f t="array" ref="DY81">SUM((IF(QualitéAlimentsFaonMâle_0_3_mois=MAUVAISE,VLOOKUP("Bouchons luzerne",AlimentsRationHivernaleDaims,8,FALSE),0)+(IF(QualitéAlimentsFaonFemelle_0_3_mois=MAUVAISE,VLOOKUP("Bouchons luzerne",AlimentsRationHivernaleDaims,8,FALSE),0)+(IF(QualitéAlimentsFaonMâle_3_6_mois=MAUVAISE,VLOOKUP("Bouchons luzerne",AlimentsRationHivernaleDaims,7,FALSE),0)+(IF(QualitéAlimentsFaonFemelle_3_6_mois=MAUVAISE,VLOOKUP("Bouchons luzerne",AlimentsRationHivernaleDaims,7,FALSE),0)+(IF(QualitéAlimentsFaonMâle_6_12_mois=MAUVAISE,VLOOKUP("Bouchons luzerne",AlimentsRationHivernaleDaims,6,FALSE),0)+(IF(QualitéAlimentsFaonFemelle_6_12_mois=MAUVAISE,VLOOKUP("Bouchons luzerne",AlimentsRationHivernaleDaims,6,FALSE),0)+(IF(QualitéAlimentsJeuneDaim_12_18_mois=MAUVAISE,VLOOKUP("Bouchons luzerne",AlimentsRationHivernaleDaims,5,FALSE),0)+(IF(QualitéAlimentsJeuneDaine_12_18_mois=MAUVAISE,VLOOKUP("Bouchons luzerne",AlimentsRationHivernaleDaims,5,FALSE),0)+(IF(QualitéAlimentsJeuneDaim_18_24_mois=MAUVAISE,VLOOKUP("Bouchons luzerne",AlimentsRationHivernaleDaims,4,FALSE),0)+(IF(QualitéAlimentsJeuneDaine_18_24_mois=MAUVAISE,VLOOKUP("Bouchons luzerne",AlimentsRationHivernaleDaims,4,FALSE),0)+(IF(QualitéAlimentsJeuneDaim_24_36_mois=MAUVAISE,VLOOKUP("Bouchons luzerne",AlimentsRationHivernaleDaims,3,FALSE),0)+(IF(QualitéAlimentsJeuneDaine_24_36_mois=MAUVAISE,VLOOKUP("Bouchons luzerne",AlimentsRationHivernaleDaims,3,FALSE),0)+(IF(QualitéAlimentsDaim=MAUVAISE,VLOOKUP("Bouchons luzerne",AlimentsRationHivernaleDaims,2,FALSE),0)+(IF(QualitéAlimentsDaine=MAUVAISE,VLOOKUP("Bouchons luzerne",AlimentsRationHivernaleDaims,2,FALSE),0))))))))))))))))</f>
        <v>0</v>
      </c>
      <c r="DZ81" s="298"/>
      <c r="EA81" s="298"/>
      <c r="EB81" s="298"/>
      <c r="EC81" s="298"/>
      <c r="ED81" s="298"/>
      <c r="EE81" s="298"/>
      <c r="EG81" s="420" t="s">
        <v>488</v>
      </c>
      <c r="EH81" s="433">
        <f t="array" ref="EH8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81" s="433">
        <f t="array" ref="EI8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81" s="433">
        <f t="array" ref="EJ8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81" s="434">
        <f>SUM(AlimentsRationOiesMâles[[#This Row],[Valeur 6 et plus]:[Valeur 0-3]])</f>
        <v>0</v>
      </c>
      <c r="EL81" s="316"/>
      <c r="EN81" s="420" t="s">
        <v>231</v>
      </c>
      <c r="EO81" s="433">
        <f t="array" ref="EO81">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81" s="433">
        <f t="array" ref="EP81">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81" s="433">
        <f t="array" ref="EQ81">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81" s="434">
        <f>SUM(Ration_canards_Mâles[[#This Row],[Valeur 6 et plus]:[Valeur 0-3]])</f>
        <v>0</v>
      </c>
      <c r="ES81" s="316"/>
      <c r="EU81" s="457" t="s">
        <v>510</v>
      </c>
      <c r="EV81" s="458">
        <f t="array" ref="EV81">IF(OR(ChoixRationComplèteEtéChevauxSelle=OUI,ChoixRationComplèteEtéChevauxSelle="",AND(ChoixChevauxSellePréHiver=OUI,ChoixChevauxSellePréEté=OUI)),0,IFERROR(IF(OR(AND(INDEX(Règles_chevaux_selle[Specificite],MATCH(RationEtéChevauxSelle&amp;$EU81,Règles_chevaux_selle[Ration]&amp;Règles_chevaux_selle[Aliment],0))="s1",IF($EU81=Spécificité1ChevauxSelle,1)),
AND(INDEX(Règles_chevaux_selle[Specificite],MATCH(RationEtéChevauxSelle&amp;$EU81,Règles_chevaux_selle[Ration]&amp;Règles_chevaux_selle[Aliment],0))="s2",IF($EU81=Spécificité2ChevauxSelle,1)),
INDEX(Règles_chevaux_selle[Specificite],MATCH(RationEtéChevauxSelle&amp;$EU81,Règles_chevaux_selle[Ration]&amp;Règles_chevaux_selle[Aliment],0))="c"),
INDEX(Règles_chevaux_selle[Valeur 36 et plus],MATCH(RationEtéChevauxSelle&amp;$EU81,Règles_chevaux_selle[Ration]&amp;Règles_chevaux_selle[Aliment],0)),0),0)*TotalEtalonSelle*NbreJoursNourrirChevauxSelle)</f>
        <v>0</v>
      </c>
      <c r="EW81" s="458">
        <f t="array" ref="EW81">IF(OR(ChoixRationComplèteEtéChevauxSelle=OUI,ChoixRationComplèteEtéChevauxSelle="",AND(ChoixChevauxSellePréHiver=OUI,ChoixChevauxSellePréEté=OUI)),0,IFERROR(IF(OR(AND(INDEX(Règles_chevaux_selle[Specificite],MATCH(RationEtéChevauxSelle&amp;$EU81,Règles_chevaux_selle[Ration]&amp;Règles_chevaux_selle[Aliment],0))="s1",IF($EU81=Spécificité1ChevauxSelle,1)),
AND(INDEX(Règles_chevaux_selle[Specificite],MATCH(RationEtéChevauxSelle&amp;$EU81,Règles_chevaux_selle[Ration]&amp;Règles_chevaux_selle[Aliment],0))="s2",IF($EU81=Spécificité2ChevauxSelle,1)),
INDEX(Règles_chevaux_selle[Specificite],MATCH(RationEtéChevauxSelle&amp;$EU81,Règles_chevaux_selle[Ration]&amp;Règles_chevaux_selle[Aliment],0))="c"),
INDEX(Règles_chevaux_selle[Valeur 24-36],MATCH(RationEtéChevauxSelle&amp;$EU81,Règles_chevaux_selle[Ration]&amp;Règles_chevaux_selle[Aliment],0)),0),0)*TotalJeuneEtalonSelle_24_36_mois*NbreJoursNourrirChevauxSelle)</f>
        <v>0</v>
      </c>
      <c r="EX81" s="458">
        <f t="array" ref="EX81">IF(OR(ChoixRationComplèteEtéChevauxSelle=OUI,ChoixRationComplèteEtéChevauxSelle="",AND(ChoixChevauxSellePréHiver=OUI,ChoixChevauxSellePréEté=OUI)),0,IFERROR(IF(OR(AND(INDEX(Règles_chevaux_selle[Specificite],MATCH(RationEtéChevauxSelle&amp;$EU81,Règles_chevaux_selle[Ration]&amp;Règles_chevaux_selle[Aliment],0))="s1",IF($EU81=Spécificité1ChevauxSelle,1)),
AND(INDEX(Règles_chevaux_selle[Specificite],MATCH(RationEtéChevauxSelle&amp;$EU81,Règles_chevaux_selle[Ration]&amp;Règles_chevaux_selle[Aliment],0))="s2",IF($EU81=Spécificité2ChevauxSelle,1)),
INDEX(Règles_chevaux_selle[Specificite],MATCH(RationEtéChevauxSelle&amp;$EU81,Règles_chevaux_selle[Ration]&amp;Règles_chevaux_selle[Aliment],0))="c"),
INDEX(Règles_chevaux_selle[Valeur 12-24],MATCH(RationEtéChevauxSelle&amp;$EU81,Règles_chevaux_selle[Ration]&amp;Règles_chevaux_selle[Aliment],0)),0),0)*TotalJeuneEtalonSelle_12_24_mois*NbreJoursNourrirChevauxSelle)</f>
        <v>0</v>
      </c>
      <c r="EY81" s="460">
        <f t="array" ref="EY81">IF(OR(ChoixRationComplèteEtéChevauxSelle=OUI,ChoixRationComplèteEtéChevauxSelle="",AND(ChoixChevauxSellePréHiver=OUI,ChoixChevauxSellePréEté=OUI)),0,IFERROR(IF(OR(AND(INDEX(Règles_chevaux_selle[Specificite],MATCH(RationEtéChevauxSelle&amp;$EU81,Règles_chevaux_selle[Ration]&amp;Règles_chevaux_selle[Aliment],0))="s1",IF($EU81=Spécificité1ChevauxSelle,1)),
AND(INDEX(Règles_chevaux_selle[Specificite],MATCH(RationEtéChevauxSelle&amp;$EU81,Règles_chevaux_selle[Ration]&amp;Règles_chevaux_selle[Aliment],0))="s2",IF($EU81=Spécificité2ChevauxSelle,1)),
INDEX(Règles_chevaux_selle[Specificite],MATCH(RationEtéChevauxSelle&amp;$EU81,Règles_chevaux_selle[Ration]&amp;Règles_chevaux_selle[Aliment],0))="c"),
INDEX(Règles_chevaux_selle[Valeur 0-12],MATCH(RationEtéChevauxSelle&amp;$EU81,Règles_chevaux_selle[Ration]&amp;Règles_chevaux_selle[Aliment],0)),0),0)*TotalPoulainSelle_0_12_mois*NbreJoursNourrirChevauxSelle)</f>
        <v>0</v>
      </c>
      <c r="EZ81" s="460">
        <f t="shared" si="16"/>
        <v>0</v>
      </c>
      <c r="FA81" s="298"/>
      <c r="FB81" s="298"/>
      <c r="FD81" s="457" t="s">
        <v>57</v>
      </c>
      <c r="FE81" s="458">
        <f t="array" ref="FE81">IF(OR(ChoixRationComplèteEtéChevauxTrait=OUI,ChoixRationComplèteEtéChevauxTrait="",AND(ChoixChevauxTraitPréHiver=OUI,ChoixChevauxTraitPréEté=OUI)),0,IFERROR(IF(OR(AND(INDEX(Règles_chevaux_trait[Specificite],MATCH(RationEtéChevauxTrait&amp;$FD81,Règles_chevaux_trait[Ration]&amp;Règles_chevaux_trait[Aliment],0))="s1",IF($FD81=Spécificité1ChevauxTrait,1)),
AND(INDEX(Règles_chevaux_trait[Specificite],MATCH(RationEtéChevauxTrait&amp;$FD81,Règles_chevaux_trait[Ration]&amp;Règles_chevaux_trait[Aliment],0))="s2",IF($FD81=Spécificité2ChevauxTrait,1)),
INDEX(Règles_chevaux_trait[Specificite],MATCH(RationEtéChevauxTrait&amp;$FD81,Règles_chevaux_trait[Ration]&amp;Règles_chevaux_trait[Aliment],0))="c"),
INDEX(Règles_chevaux_trait[Valeur 36 et plus],MATCH(RationEtéChevauxTrait&amp;$FD81,Règles_chevaux_trait[Ration]&amp;Règles_chevaux_trait[Aliment],0)),0),0)*TotalEtalonTrait*NbreJoursNourrirChevauxTrait)</f>
        <v>0</v>
      </c>
      <c r="FF81" s="458">
        <f t="array" ref="FF81">IF(OR(ChoixRationComplèteEtéChevauxTrait=OUI,ChoixRationComplèteEtéChevauxTrait="",AND(ChoixChevauxTraitPréHiver=OUI,ChoixChevauxTraitPréEté=OUI)),0,IFERROR(IF(OR(AND(INDEX(Règles_chevaux_trait[Specificite],MATCH(RationEtéChevauxTrait&amp;$FD81,Règles_chevaux_trait[Ration]&amp;Règles_chevaux_trait[Aliment],0))="s1",IF($FD81=Spécificité1ChevauxTrait,1)),
AND(INDEX(Règles_chevaux_trait[Specificite],MATCH(RationEtéChevauxTrait&amp;$FD81,Règles_chevaux_trait[Ration]&amp;Règles_chevaux_trait[Aliment],0))="s2",IF($FD81=Spécificité2ChevauxTrait,1)),
INDEX(Règles_chevaux_trait[Specificite],MATCH(RationEtéChevauxTrait&amp;$FD81,Règles_chevaux_trait[Ration]&amp;Règles_chevaux_trait[Aliment],0))="c"),
INDEX(Règles_chevaux_trait[Valeur 24-36],MATCH(RationEtéChevauxTrait&amp;$FD81,Règles_chevaux_trait[Ration]&amp;Règles_chevaux_trait[Aliment],0)),0),0)*TotalJeuneEtalonTrait_24_36_mois*NbreJoursNourrirChevauxTrait)</f>
        <v>0</v>
      </c>
      <c r="FG81" s="458">
        <f t="array" ref="FG81">IF(OR(ChoixRationComplèteEtéChevauxTrait=OUI,ChoixRationComplèteEtéChevauxTrait="",AND(ChoixChevauxTraitPréHiver=OUI,ChoixChevauxTraitPréEté=OUI)),0,IFERROR(IF(OR(AND(INDEX(Règles_chevaux_trait[Specificite],MATCH(RationEtéChevauxTrait&amp;$FD81,Règles_chevaux_trait[Ration]&amp;Règles_chevaux_trait[Aliment],0))="s1",IF($FD81=Spécificité1ChevauxTrait,1)),
AND(INDEX(Règles_chevaux_trait[Specificite],MATCH(RationEtéChevauxTrait&amp;$FD81,Règles_chevaux_trait[Ration]&amp;Règles_chevaux_trait[Aliment],0))="s2",IF($FD81=Spécificité2ChevauxTrait,1)),
INDEX(Règles_chevaux_trait[Specificite],MATCH(RationEtéChevauxTrait&amp;$FD81,Règles_chevaux_trait[Ration]&amp;Règles_chevaux_trait[Aliment],0))="c"),
INDEX(Règles_chevaux_trait[Valeur 12-24],MATCH(RationEtéChevauxTrait&amp;$FD81,Règles_chevaux_trait[Ration]&amp;Règles_chevaux_trait[Aliment],0)),0),0)*TotalJeuneEtalonTrait_12_24_mois*NbreJoursNourrirChevauxTrait)</f>
        <v>0</v>
      </c>
      <c r="FH81" s="460">
        <f t="array" ref="FH81">IF(OR(ChoixRationComplèteEtéChevauxTrait=OUI,ChoixRationComplèteEtéChevauxTrait="",AND(ChoixChevauxTraitPréHiver=OUI,ChoixChevauxTraitPréEté=OUI)),0,IFERROR(IF(OR(AND(INDEX(Règles_chevaux_trait[Specificite],MATCH(RationEtéChevauxTrait&amp;$FD81,Règles_chevaux_trait[Ration]&amp;Règles_chevaux_trait[Aliment],0))="s1",IF($FD81=Spécificité1ChevauxTrait,1)),
AND(INDEX(Règles_chevaux_trait[Specificite],MATCH(RationEtéChevauxTrait&amp;$FD81,Règles_chevaux_trait[Ration]&amp;Règles_chevaux_trait[Aliment],0))="s2",IF($FD81=Spécificité2ChevauxTrait,1)),
INDEX(Règles_chevaux_trait[Specificite],MATCH(RationEtéChevauxTrait&amp;$FD81,Règles_chevaux_trait[Ration]&amp;Règles_chevaux_trait[Aliment],0))="c"),
INDEX(Règles_chevaux_trait[Valeur 0-12],MATCH(RationEtéChevauxTrait&amp;$FD81,Règles_chevaux_trait[Ration]&amp;Règles_chevaux_trait[Aliment],0)),0),0)*TotalPoulainTrait_0_12_mois*NbreJoursNourrirChevauxTrait)</f>
        <v>0</v>
      </c>
      <c r="FI81" s="460">
        <f t="shared" si="15"/>
        <v>0</v>
      </c>
      <c r="FJ81" s="298"/>
      <c r="FK81" s="298"/>
      <c r="FL81" s="298"/>
      <c r="FN81" s="457" t="s">
        <v>488</v>
      </c>
      <c r="FO81" s="458">
        <f t="array" ref="FO81">IF(OR(ChoixRationComplèteEtéPoneys=OUI,ChoixRationComplèteEtéPoneys="",AND(ChoixPoneysPréHiver=OUI,ChoixPoneysPréEté=OUI)),0,IFERROR(IF(OR(AND(INDEX(Règles_poneys[Specificite],MATCH(RationEtéPoneys&amp;$FN81,Règles_poneys[Ration]&amp;Règles_poneys[Aliment],0))="s1",IF($FN81=Spécificité1Poneys,1)),
AND(INDEX(Règles_poneys[Specificite],MATCH(RationEtéPoneys&amp;$FN81,Règles_poneys[Ration]&amp;Règles_poneys[Aliment],0))="s2",IF($FN81=Spécificité2Poneys,1)),
INDEX(Règles_poneys[Specificite],MATCH(RationEtéPoneys&amp;$FN81,Règles_poneys[Ration]&amp;Règles_poneys[Aliment],0))="c"),
INDEX(Règles_poneys[Valeur 36 et plus],MATCH(RationEtéPoneys&amp;$FN81,Règles_poneys[Ration]&amp;Règles_poneys[Aliment],0)),0),0)*TotalEtalonPoney*NbreJoursNourrirPoneys)</f>
        <v>0</v>
      </c>
      <c r="FP81" s="458">
        <f t="array" ref="FP81">IF(OR(ChoixRationComplèteEtéPoneys=OUI,ChoixRationComplèteEtéPoneys="",AND(ChoixPoneysPréHiver=OUI,ChoixPoneysPréEté=OUI)),0,IFERROR(IF(OR(AND(INDEX(Règles_poneys[Specificite],MATCH(RationEtéPoneys&amp;$FN81,Règles_poneys[Ration]&amp;Règles_poneys[Aliment],0))="s1",IF($FN81=Spécificité1Poneys,1)),
AND(INDEX(Règles_poneys[Specificite],MATCH(RationEtéPoneys&amp;$FN81,Règles_poneys[Ration]&amp;Règles_poneys[Aliment],0))="s2",IF($FN81=Spécificité2Poneys,1)),
INDEX(Règles_poneys[Specificite],MATCH(RationEtéPoneys&amp;$FN81,Règles_poneys[Ration]&amp;Règles_poneys[Aliment],0))="c"),
INDEX(Règles_poneys[Valeur 36 et plus],MATCH(RationEtéPoneys&amp;$FN81,Règles_poneys[Ration]&amp;Règles_poneys[Aliment],0)),0),0)*TotalJeuneEtalonPoney_24_36_mois*NbreJoursNourrirPoneys)</f>
        <v>0</v>
      </c>
      <c r="FQ81" s="458">
        <f t="array" ref="FQ81">IF(OR(ChoixRationComplèteEtéPoneys=OUI,ChoixRationComplèteEtéPoneys="",AND(ChoixPoneysPréHiver=OUI,ChoixPoneysPréEté=OUI)),0,IFERROR(IF(OR(AND(INDEX(Règles_poneys[Specificite],MATCH(RationEtéPoneys&amp;$FN81,Règles_poneys[Ration]&amp;Règles_poneys[Aliment],0))="s1",IF($FN81=Spécificité1Poneys,1)),
AND(INDEX(Règles_poneys[Specificite],MATCH(RationEtéPoneys&amp;$FN81,Règles_poneys[Ration]&amp;Règles_poneys[Aliment],0))="s2",IF($FN81=Spécificité2Poneys,1)),
INDEX(Règles_poneys[Specificite],MATCH(RationEtéPoneys&amp;$FN81,Règles_poneys[Ration]&amp;Règles_poneys[Aliment],0))="c"),
INDEX(Règles_poneys[Valeur 36 et plus],MATCH(RationEtéPoneys&amp;$FN81,Règles_poneys[Ration]&amp;Règles_poneys[Aliment],0)),0),0)*TotalJeuneEtalonPoney_12_24_mois*NbreJoursNourrirPoneys)</f>
        <v>0</v>
      </c>
      <c r="FR81" s="460">
        <f t="array" ref="FR81">IF(OR(ChoixRationComplèteEtéPoneys=OUI,ChoixRationComplèteEtéPoneys="",AND(ChoixPoneysPréHiver=OUI,ChoixPoneysPréEté=OUI)),0,IFERROR(IF(OR(AND(INDEX(Règles_poneys[Specificite],MATCH(RationEtéPoneys&amp;$FN81,Règles_poneys[Ration]&amp;Règles_poneys[Aliment],0))="s1",IF($FN81=Spécificité1Poneys,1)),
AND(INDEX(Règles_poneys[Specificite],MATCH(RationEtéPoneys&amp;$FN81,Règles_poneys[Ration]&amp;Règles_poneys[Aliment],0))="s2",IF($FN81=Spécificité2Poneys,1)),
INDEX(Règles_poneys[Specificite],MATCH(RationEtéPoneys&amp;$FN81,Règles_poneys[Ration]&amp;Règles_poneys[Aliment],0))="c"),
INDEX(Règles_poneys[Valeur 36 et plus],MATCH(RationEtéPoneys&amp;$FN81,Règles_poneys[Ration]&amp;Règles_poneys[Aliment],0)),0),0)*TotalPoulainPoney_0_12_mois*NbreJoursNourrirPoneys)</f>
        <v>0</v>
      </c>
      <c r="FS81" s="460">
        <f t="shared" si="14"/>
        <v>0</v>
      </c>
      <c r="FT81" s="298"/>
      <c r="FW81" s="421"/>
      <c r="FX81" s="452">
        <f t="array" ref="FX81">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6 et plus],MATCH(ChoixRationFoieGrasOies&amp;AlimentsGavageOies[[#This Row],[aliment]],Règles_gavage[Ration]&amp;Règles_gavage[Aliment],0)),0),0)*FoieGrasJeunesOies_3moisEtPlus*DuréePhaseGavageOie)</f>
        <v>0</v>
      </c>
      <c r="FY81" s="452">
        <f t="array" ref="FY81">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2-3],MATCH(ChoixRationFoieGrasOies&amp;AlimentsGavageOies[[#This Row],[aliment]],Règles_gavage[Ration]&amp;Règles_gavage[Aliment],0)),0),0)*FoieGrasOison_2_3mois*DuréePhaseElevage2_3)</f>
        <v>0</v>
      </c>
      <c r="FZ81" s="452">
        <f t="array" ref="FZ81">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1-2],MATCH(ChoixRationFoieGrasOies&amp;AlimentsGavageOies[[#This Row],[aliment]],Règles_gavage[Ration]&amp;Règles_gavage[Aliment],0)),0),0)*FoieGrasOison_1_2mois*DuréePhaseElevage1_2)</f>
        <v>0</v>
      </c>
      <c r="GA81" s="452">
        <f t="array" ref="GA81">IF(ChoixRationComplèteFoieGrasOies=OUI,0,IFERROR(IF(OR(AND(INDEX(Règles_gavage[Specificite],MATCH(ChoixRationFoieGrasOies&amp;AlimentsGavageOies[[#This Row],[aliment]],Règles_gavage[Ration]&amp;Règles_gavage[Aliment],0))="s1",IF(AlimentsGavageOies[[#This Row],[aliment]]=ChoixSpécificité1FoieGrasOies,1)),
AND(INDEX(Règles_gavage[Specificite],MATCH(ChoixRationFoieGrasOies&amp;AlimentsGavageOies[[#This Row],[aliment]],Règles_gavage[Ration]&amp;Règles_gavage[Aliment],0))="s2",IF(AlimentsGavageOies[[#This Row],[aliment]]=ChoixSpécificité2FoieGrasOies,1)),
INDEX(Règles_gavage[Specificite],MATCH(ChoixRationFoieGrasOies&amp;AlimentsGavageOies[[#This Row],[aliment]],Règles_gavage[Ration]&amp;Règles_gavage[Aliment],0))="c"),
INDEX(Règles_gavage[Valeur 0-1],MATCH(ChoixRationFoieGrasOies&amp;AlimentsGavageOies[[#This Row],[aliment]],Règles_gavage[Ration]&amp;Règles_gavage[Aliment],0)),0),0)*FoieGrasOison_0_1mois*DuréePhaseElevage0_1)</f>
        <v>0</v>
      </c>
      <c r="GB81" s="453">
        <f>SUM(AlimentsGavageOies[[#This Row],[Valeur 6 et plus]:[Valeur 0-1]])</f>
        <v>0</v>
      </c>
      <c r="GC81" s="316"/>
      <c r="GG81" s="276" t="s">
        <v>955</v>
      </c>
      <c r="GH81" s="276" t="s">
        <v>955</v>
      </c>
      <c r="GI81" s="276" t="s">
        <v>955</v>
      </c>
      <c r="GJ81" s="276" t="s">
        <v>955</v>
      </c>
      <c r="GK81" s="276" t="s">
        <v>955</v>
      </c>
      <c r="GL81" s="276" t="s">
        <v>955</v>
      </c>
      <c r="GM81" s="276" t="s">
        <v>955</v>
      </c>
      <c r="GN81" s="276" t="s">
        <v>955</v>
      </c>
      <c r="GO81" s="276" t="s">
        <v>955</v>
      </c>
      <c r="GP81" s="276" t="s">
        <v>955</v>
      </c>
      <c r="GQ81" s="276" t="s">
        <v>955</v>
      </c>
      <c r="GR81" s="276" t="s">
        <v>955</v>
      </c>
      <c r="GS81" s="276" t="s">
        <v>955</v>
      </c>
      <c r="GT81" s="276" t="s">
        <v>955</v>
      </c>
      <c r="GU81" s="276" t="s">
        <v>955</v>
      </c>
      <c r="GV81" s="276" t="s">
        <v>955</v>
      </c>
      <c r="GY81" s="444" t="s">
        <v>1101</v>
      </c>
      <c r="GZ81" s="444"/>
      <c r="HA81" s="342"/>
      <c r="HB81" s="342" t="e">
        <f>SUM(HB35:HB80)</f>
        <v>#REF!</v>
      </c>
      <c r="HN81" s="342" t="e">
        <f>IF(#REF!="","",(VLOOKUP(#REF!,BDD!$HN$5:$HU$38,2,FALSE))*#REF!)</f>
        <v>#REF!</v>
      </c>
      <c r="HO81" s="342" t="e">
        <f>IF(#REF!="","",IF(OR(#REF!=Moutarde,#REF!=Phacélie),0,IF(#REF!=Luzerne,10*#REF!*VLOOKUP(#REF!,BDD!$HN$5:$HU$38,3,FALSE),IF(#REF!=Miscanthus,10.5*#REF!*VLOOKUP(#REF!,BDD!$HN$5:$HU$38,3,FALSE),INDEX(#REF!:#REF!,MATCH(#REF!,#REF!:#REF!,0),MATCH(#REF!,#REF!:#REF!,0))*#REF!*VLOOKUP(#REF!,BDD!$HN$5:$HU$38,3,FALSE)))))</f>
        <v>#REF!</v>
      </c>
      <c r="HP81" s="342" t="e">
        <f>IF(#REF!="","",IF(OR(#REF!=Moutarde,#REF!=Phacélie),0,IF(#REF!=Luzerne,10*#REF!*VLOOKUP(#REF!,BDD!$HN$5:$HU$38,4,FALSE),IF(#REF!=Miscanthus,10.5*#REF!*VLOOKUP(#REF!,BDD!$HN$5:$HU$38,4,FALSE),INDEX(#REF!:#REF!,MATCH(#REF!,#REF!:#REF!,0),MATCH(#REF!,#REF!:#REF!,0))*#REF!*VLOOKUP(#REF!,BDD!$HN$5:$HU$38,4,FALSE)))))</f>
        <v>#REF!</v>
      </c>
      <c r="HQ81" s="342" t="e">
        <f>IF(#REF!="","",IF(OR(#REF!=Moutarde,#REF!=Phacélie),0,IF(#REF!=Luzerne,10*#REF!*VLOOKUP(#REF!,BDD!$HN$5:$HU$38,5,FALSE),IF(#REF!=Miscanthus,10.5*#REF!*VLOOKUP(#REF!,BDD!$HN$5:$HU$38,5,FALSE),INDEX(#REF!:#REF!,MATCH(#REF!,#REF!:#REF!,0),MATCH(#REF!,#REF!:#REF!,0))*#REF!*VLOOKUP(#REF!,BDD!$HN$5:$HU$38,5,FALSE)))))</f>
        <v>#REF!</v>
      </c>
      <c r="HR81" s="342" t="e">
        <f>IF(#REF!="","",IF(OR(#REF!=Moutarde,#REF!=Phacélie),0,IF(#REF!=Luzerne,10*#REF!*VLOOKUP(#REF!,BDD!$HN$5:$HU$38,6,FALSE),IF(#REF!=Miscanthus,10.5*#REF!*VLOOKUP(#REF!,BDD!$HN$5:$HU$38,6,FALSE),INDEX(#REF!:#REF!,MATCH(#REF!,#REF!:#REF!,0),MATCH(#REF!,#REF!:#REF!,0))*#REF!*VLOOKUP(#REF!,BDD!$HN$5:$HU$38,6,FALSE)))))</f>
        <v>#REF!</v>
      </c>
      <c r="HS81" s="342" t="e">
        <f>IF(#REF!="","",IF(OR(#REF!=Moutarde,#REF!=Phacélie),0,IF(#REF!=Luzerne,10*#REF!*VLOOKUP(#REF!,BDD!$HN$5:$HU$38,7,FALSE),IF(#REF!=Miscanthus,10.5*#REF!*VLOOKUP(#REF!,BDD!$HN$5:$HU$38,7,FALSE),INDEX(#REF!:#REF!,MATCH(#REF!,#REF!:#REF!,0),MATCH(#REF!,#REF!:#REF!,0))*#REF!*VLOOKUP(#REF!,BDD!$HN$5:$HU$38,7,FALSE)))))</f>
        <v>#REF!</v>
      </c>
      <c r="HT81" s="342" t="e">
        <f>IF(#REF!="","",IF(OR(#REF!=Moutarde,#REF!=Phacélie),0,IF(#REF!=Luzerne,10*#REF!*VLOOKUP(#REF!,BDD!$HN$5:$HU$38,8,FALSE),IF(#REF!=Miscanthus,10.5*#REF!*VLOOKUP(#REF!,BDD!$HN$5:$HU$38,8,FALSE),INDEX(#REF!:#REF!,MATCH(#REF!,#REF!:#REF!,0),MATCH(#REF!,#REF!:#REF!,0))*#REF!*VLOOKUP(#REF!,BDD!$HN$5:$HU$38,8,FALSE)))))</f>
        <v>#REF!</v>
      </c>
      <c r="HU81" s="342" t="e">
        <f>IF(#REF!="","",IF(OR(#REF!=Moutarde,#REF!=Phacélie),0,1.6*#REF!))</f>
        <v>#REF!</v>
      </c>
      <c r="HV81" s="342" t="e">
        <f>IF(#REF!="","",IF(OR(#REF!=Moutarde,#REF!=Phacélie),0,1.6*#REF!))</f>
        <v>#REF!</v>
      </c>
      <c r="HW81" s="342" t="e">
        <f>IF(#REF!="","",IF(OR(#REF!=Moutarde,#REF!=Phacélie),0,1.6*#REF!))</f>
        <v>#REF!</v>
      </c>
      <c r="HX81" s="342" t="e">
        <f>IF(#REF!="","",(VLOOKUP(#REF!,BDD!$HN$5:$HU$38,2,FALSE))*#REF!)</f>
        <v>#REF!</v>
      </c>
      <c r="HY81" s="342" t="e">
        <f>IF(#REF!="","",IF(OR(#REF!=Moutarde,#REF!=Phacélie),0,IF(#REF!=Luzerne,10*#REF!*VLOOKUP(#REF!,BDD!$HN$5:$HU$38,3,FALSE),IF(#REF!=Miscanthus,10.5*#REF!*VLOOKUP(#REF!,BDD!$HN$5:$HU$38,3,FALSE),INDEX(#REF!:#REF!,MATCH(#REF!,#REF!:#REF!,0),MATCH(#REF!,#REF!:#REF!,0))*#REF!*VLOOKUP(#REF!,BDD!$HN$5:$HU$38,3,FALSE)))))</f>
        <v>#REF!</v>
      </c>
      <c r="HZ81" s="342" t="e">
        <f>IF(#REF!="","",IF(OR(#REF!=Moutarde,#REF!=Phacélie),0,IF(#REF!=Luzerne,10*#REF!*VLOOKUP(#REF!,BDD!$HN$5:$HU$38,4,FALSE),IF(#REF!=Miscanthus,10.5*#REF!*VLOOKUP(#REF!,BDD!$HN$5:$HU$38,4,FALSE),INDEX(#REF!:#REF!,MATCH(#REF!,#REF!:#REF!,0),MATCH(#REF!,#REF!:#REF!,0))*#REF!*VLOOKUP(#REF!,BDD!$HN$5:$HU$38,4,FALSE)))))</f>
        <v>#REF!</v>
      </c>
      <c r="IA81" s="342" t="e">
        <f>IF(#REF!="","",IF(OR(#REF!=Moutarde,#REF!=Phacélie),0,IF(#REF!=Luzerne,10*#REF!*VLOOKUP(#REF!,BDD!$HN$5:$HU$38,5,FALSE),IF(#REF!=Miscanthus,10.5*#REF!*VLOOKUP(#REF!,BDD!$HN$5:$HU$38,5,FALSE),INDEX(#REF!:#REF!,MATCH(#REF!,#REF!:#REF!,0),MATCH(#REF!,#REF!:#REF!,0))*#REF!*VLOOKUP(#REF!,BDD!$HN$5:$HU$38,5,FALSE)))))</f>
        <v>#REF!</v>
      </c>
      <c r="IB81" s="342" t="e">
        <f>IF(#REF!="","",IF(OR(#REF!=Moutarde,#REF!=Phacélie),0,IF(#REF!=Luzerne,10*#REF!*VLOOKUP(#REF!,BDD!$HN$5:$HU$38,6,FALSE),IF(#REF!=Miscanthus,10.5*#REF!*VLOOKUP(#REF!,BDD!$HN$5:$HU$38,6,FALSE),INDEX(#REF!:#REF!,MATCH(#REF!,#REF!:#REF!,0),MATCH(#REF!,#REF!:#REF!,0))*#REF!*VLOOKUP(#REF!,BDD!$HN$5:$HU$38,6,FALSE)))))</f>
        <v>#REF!</v>
      </c>
      <c r="IC81" s="342" t="e">
        <f>IF(#REF!="","",IF(OR(#REF!=Moutarde,#REF!=Phacélie),0,IF(#REF!=Luzerne,10*#REF!*VLOOKUP(#REF!,BDD!$HN$5:$HU$38,7,FALSE),IF(#REF!=Miscanthus,10.5*#REF!*VLOOKUP(#REF!,BDD!$HN$5:$HU$38,7,FALSE),INDEX(#REF!:#REF!,MATCH(#REF!,#REF!:#REF!,0),MATCH(#REF!,#REF!:#REF!,0))*#REF!*VLOOKUP(#REF!,BDD!$HN$5:$HU$38,7,FALSE)))))</f>
        <v>#REF!</v>
      </c>
      <c r="ID81" s="342" t="e">
        <f>IF(#REF!="","",IF(OR(#REF!=Moutarde,#REF!=Phacélie),0,IF(#REF!=Luzerne,10*#REF!*VLOOKUP(#REF!,BDD!$HN$5:$HU$38,8,FALSE),IF(#REF!=Miscanthus,10.5*#REF!*VLOOKUP(#REF!,BDD!$HN$5:$HU$38,8,FALSE),INDEX(#REF!:#REF!,MATCH(#REF!,#REF!:#REF!,0),MATCH(#REF!,#REF!:#REF!,0))*#REF!*VLOOKUP(#REF!,BDD!$HN$5:$HU$38,8,FALSE)))))</f>
        <v>#REF!</v>
      </c>
      <c r="IE81" s="342" t="e">
        <f>IF(#REF!="","",IF(OR(#REF!=Moutarde,#REF!=Phacélie),0,1.6*#REF!))</f>
        <v>#REF!</v>
      </c>
      <c r="IF81" s="342" t="e">
        <f>IF(#REF!="","",IF(OR(#REF!=Moutarde,#REF!=Phacélie),0,1.6*#REF!))</f>
        <v>#REF!</v>
      </c>
      <c r="IG81" s="342" t="e">
        <f>IF(#REF!="","",IF(OR(#REF!=Moutarde,#REF!=Phacélie),0,1.6*#REF!))</f>
        <v>#REF!</v>
      </c>
    </row>
    <row r="82" spans="1:241" ht="12.75" customHeight="1" x14ac:dyDescent="0.2">
      <c r="A82" s="373"/>
      <c r="B82" s="380"/>
      <c r="F82" s="280"/>
      <c r="G82" s="280"/>
      <c r="H82" s="321"/>
      <c r="I82" s="280"/>
      <c r="J82" s="321"/>
      <c r="K82" s="321"/>
      <c r="L82" s="321"/>
      <c r="O82" s="384" t="s">
        <v>1011</v>
      </c>
      <c r="P82" s="283"/>
      <c r="Q82" s="384">
        <v>4</v>
      </c>
      <c r="Y82" s="385" t="s">
        <v>1121</v>
      </c>
      <c r="Z82" s="385">
        <f>IF('coût alimentation'!$B$6=$Y$82,7,0)</f>
        <v>0</v>
      </c>
      <c r="AA82" s="385">
        <f>IF('coût alimentation'!$B$6=$Y$82,7,0)</f>
        <v>0</v>
      </c>
      <c r="AB82" s="385">
        <f>IF('coût alimentation'!$B$6=$Y$82,7,0)</f>
        <v>0</v>
      </c>
      <c r="AC82" s="385">
        <f>IF('coût alimentation'!$B$6=$Y$82,7,0)</f>
        <v>0</v>
      </c>
      <c r="AD82" s="385">
        <f>IF('coût alimentation'!$B$6=$Y$82,7,0)</f>
        <v>0</v>
      </c>
      <c r="AE82" s="385">
        <f>IF('coût alimentation'!$B$6=$Y$82,7,0)</f>
        <v>0</v>
      </c>
      <c r="AF82" s="385">
        <f>IF('coût alimentation'!$B$6=$Y$82,7,0)</f>
        <v>0</v>
      </c>
      <c r="AG82" s="385">
        <f>IF('coût alimentation'!$B$6=$Y$82,7,0)</f>
        <v>0</v>
      </c>
      <c r="BB82" s="387" t="s">
        <v>511</v>
      </c>
      <c r="BC82" s="362" t="s">
        <v>518</v>
      </c>
      <c r="BD82" s="362" t="s">
        <v>886</v>
      </c>
      <c r="BE82" s="388">
        <v>200</v>
      </c>
      <c r="BF82" s="388">
        <v>100</v>
      </c>
      <c r="BG82" s="388">
        <v>80</v>
      </c>
      <c r="BH82" s="388">
        <v>60</v>
      </c>
      <c r="BI82" s="388">
        <v>40</v>
      </c>
      <c r="BJ82" s="388">
        <v>28</v>
      </c>
      <c r="BK82" s="389">
        <v>12</v>
      </c>
      <c r="BL82" s="312"/>
      <c r="BM82" s="350" t="str">
        <f t="shared" si="22"/>
        <v>concentré jeunes porcins</v>
      </c>
      <c r="BN82" s="350">
        <f t="array" ref="BN82">IF(Ration_hivernale_complète_bisons[somme]&gt;0,0,IFERROR(IF(OR(AND(INDEX(Règles_bison[Specificite],MATCH(ChoixRationBisons&amp;$BM82,Règles_bison[Ration]&amp;Règles_bison[Aliment],0))="s1",IF($BM82=ChoixSpécificité1Bisons,1)),
INDEX(Règles_bison[Specificite],MATCH(ChoixRationBisons&amp;$BM82,Règles_bison[Ration]&amp;Règles_bison[Aliment],0))="c"),
INDEX(Règles_bison[Valeur 36 et plus],MATCH(ChoixRationBisons&amp;$BM82,Règles_bison[Ration]&amp;Règles_bison[Aliment],0)),0),0)*TotalBisonnes*NbreJoursNourrirBisonsDaims)</f>
        <v>0</v>
      </c>
      <c r="BO82" s="350">
        <f t="array" ref="BO82">IF(Ration_hivernale_complète_bisons[somme]&gt;0,0,IFERROR(IF(OR(AND(INDEX(Règles_bison[Specificite],MATCH(ChoixRationBisons&amp;$BM82,Règles_bison[Ration]&amp;Règles_bison[Aliment],0))="s1",IF($BM82=ChoixSpécificité1Bisons,1)),
INDEX(Règles_bison[Specificite],MATCH(ChoixRationBisons&amp;$BM82,Règles_bison[Ration]&amp;Règles_bison[Aliment],0))="c"),
INDEX(Règles_bison[Valeur 24-36],MATCH(ChoixRationBisons&amp;$BM82,Règles_bison[Ration]&amp;Règles_bison[Aliment],0)),0),0)*TotalBisonsFemelles_24_36_mois*NbreJoursNourrirBisonsDaims)</f>
        <v>0</v>
      </c>
      <c r="BP82" s="350">
        <f t="array" ref="BP82">IF(Ration_hivernale_complète_bisons[somme]&gt;0,0,IFERROR(IF(OR(AND(INDEX(Règles_bison[Specificite],MATCH(ChoixRationBisons&amp;$BM82,Règles_bison[Ration]&amp;Règles_bison[Aliment],0))="s1",IF($BM82=ChoixSpécificité1Bisons,1)),
INDEX(Règles_bison[Specificite],MATCH(ChoixRationBisons&amp;$BM82,Règles_bison[Ration]&amp;Règles_bison[Aliment],0))="c"),
INDEX(Règles_bison[Valeur 18-24],MATCH(ChoixRationBisons&amp;$BM82,Règles_bison[Ration]&amp;Règles_bison[Aliment],0)),0),0)*TotalBisonsFemelles_18_24_mois*NbreJoursNourrirBisonsDaims)</f>
        <v>0</v>
      </c>
      <c r="BQ82" s="350">
        <f t="array" ref="BQ82">IF(Ration_hivernale_complète_bisons[somme]&gt;0,0,IFERROR(IF(OR(AND(INDEX(Règles_bison[Specificite],MATCH(ChoixRationBisons&amp;$BM82,Règles_bison[Ration]&amp;Règles_bison[Aliment],0))="s1",IF($BM82=ChoixSpécificité1Bisons,1)),
INDEX(Règles_bison[Specificite],MATCH(ChoixRationBisons&amp;$BM82,Règles_bison[Ration]&amp;Règles_bison[Aliment],0))="c"),
INDEX(Règles_bison[Valeur 12-18],MATCH(ChoixRationBisons&amp;$BM82,Règles_bison[Ration]&amp;Règles_bison[Aliment],0)),0),0)*TotalBisonsFemelles_12_18_mois*NbreJoursNourrirBisonsDaims)</f>
        <v>0</v>
      </c>
      <c r="BR82" s="350">
        <f t="array" ref="BR82">IF(Ration_hivernale_complète_bisons[somme]&gt;0,0,IFERROR(IF(OR(AND(INDEX(Règles_bison[Specificite],MATCH(ChoixRationBisons&amp;$BM82,Règles_bison[Ration]&amp;Règles_bison[Aliment],0))="s1",IF($BM82=ChoixSpécificité1Bisons,1)),
INDEX(Règles_bison[Specificite],MATCH(ChoixRationBisons&amp;$BM82,Règles_bison[Ration]&amp;Règles_bison[Aliment],0))="c"),
INDEX(Règles_bison[Valeur 6-12],MATCH(ChoixRationBisons&amp;$BM82,Règles_bison[Ration]&amp;Règles_bison[Aliment],0)),0),0)*TotalBisonsFemelles_6_12_mois*NbreJoursNourrirBisonsDaims)</f>
        <v>0</v>
      </c>
      <c r="BS82" s="350">
        <f t="array" ref="BS82">IF(Ration_hivernale_complète_bisons[somme]&gt;0,0,IFERROR(IF(OR(AND(INDEX(Règles_bison[Specificite],MATCH(ChoixRationBisons&amp;$BM82,Règles_bison[Ration]&amp;Règles_bison[Aliment],0))="s1",IF($BM82=ChoixSpécificité1Bisons,1)),
INDEX(Règles_bison[Specificite],MATCH(ChoixRationBisons&amp;$BM82,Règles_bison[Ration]&amp;Règles_bison[Aliment],0))="c"),
INDEX(Règles_bison[Valeur 3-6],MATCH(ChoixRationBisons&amp;$BM82,Règles_bison[Ration]&amp;Règles_bison[Aliment],0)),0),0)*TotalBisonsFemelles_3_6_mois*NbreJoursNourrirBisonsDaims)</f>
        <v>0</v>
      </c>
      <c r="BT82" s="350">
        <f t="array" ref="BT82">IF(Ration_hivernale_complète_bisons[somme]&gt;0,0,IFERROR(IF(OR(AND(INDEX(Règles_bison[Specificite],MATCH(ChoixRationBisons&amp;$BM82,Règles_bison[Ration]&amp;Règles_bison[Aliment],0))="s1",IF($BM82=ChoixSpécificité1Bisons,1)),
INDEX(Règles_bison[Specificite],MATCH(ChoixRationBisons&amp;$BM82,Règles_bison[Ration]&amp;Règles_bison[Aliment],0))="c"),
INDEX(Règles_bison[Valeur 0-3],MATCH(ChoixRationBisons&amp;$BM82,Règles_bison[Ration]&amp;Règles_bison[Aliment],0)),0),0)*TotalBisonsFemelles_0_3_mois*NbreJoursNourrirBisonsDaims)</f>
        <v>0</v>
      </c>
      <c r="BU82" s="350">
        <f t="shared" si="21"/>
        <v>0</v>
      </c>
      <c r="BV82" s="282"/>
      <c r="BW82" s="282"/>
      <c r="BX82" s="373" t="s">
        <v>550</v>
      </c>
      <c r="BY82" s="280" t="s">
        <v>488</v>
      </c>
      <c r="BZ82" s="280" t="s">
        <v>886</v>
      </c>
      <c r="CA82" s="280">
        <v>16</v>
      </c>
      <c r="CB82" s="280">
        <v>12</v>
      </c>
      <c r="CC82" s="280">
        <v>8</v>
      </c>
      <c r="CD82" s="410">
        <v>0</v>
      </c>
      <c r="CE82" s="304"/>
      <c r="CF82" s="304"/>
      <c r="CG82" s="304"/>
      <c r="CH82" s="304"/>
      <c r="CJ82" s="420" t="s">
        <v>70</v>
      </c>
      <c r="CK82" s="384">
        <f t="array" ref="CK8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82" s="384">
        <f t="array" ref="CL8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82" s="384">
        <f t="array" ref="CM8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82" s="384">
        <f t="array" ref="CN8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82" s="384">
        <f t="array" ref="CO8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82" s="426">
        <f>SUM(AlimentsRationPorcinsMâles[[#This Row],[Valeur 12 et plus]:[Valeur 0-1]])</f>
        <v>0</v>
      </c>
      <c r="CS82" s="420" t="s">
        <v>508</v>
      </c>
      <c r="CT82" s="433">
        <f t="array" ref="CT82">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82" s="433">
        <f t="array" ref="CU82">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82" s="433">
        <f t="array" ref="CV82">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82" s="434">
        <f>SUM(AlimentsRationLapinsMâles[[#This Row],[Valeur 3 et plus]:[Valeur 0-1]])</f>
        <v>0</v>
      </c>
      <c r="CZ82" s="420" t="s">
        <v>508</v>
      </c>
      <c r="DA82" s="433">
        <f t="array" ref="DA8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82" s="433">
        <f t="array" ref="DB8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82" s="433">
        <f t="array" ref="DC8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82" s="434">
        <f>SUM(AlimentsRationVolaillesMâles[[#This Row],[Valeur 6 et plus]:[Valeur 0-1]])</f>
        <v>0</v>
      </c>
      <c r="DE82" s="316"/>
      <c r="DF82" s="277"/>
      <c r="DG82" s="420"/>
      <c r="DH82" s="433">
        <f t="array" ref="DH8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82" s="433">
        <f t="array" ref="DI8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82" s="433">
        <f t="array" ref="DJ8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82" s="434">
        <f>SUM(AlimentsRationPintadesMâles[[#This Row],[Valeur 9 et plus]:[Valeur 0-1]])</f>
        <v>0</v>
      </c>
      <c r="DL82" s="316"/>
      <c r="DM82" s="316"/>
      <c r="DN82" s="373" t="s">
        <v>622</v>
      </c>
      <c r="DO82" s="280" t="s">
        <v>907</v>
      </c>
      <c r="DP82" s="280" t="s">
        <v>886</v>
      </c>
      <c r="DQ82" s="310">
        <v>1.2</v>
      </c>
      <c r="DR82" s="310">
        <v>0.8</v>
      </c>
      <c r="DS82" s="310">
        <v>0.6</v>
      </c>
      <c r="DT82" s="439">
        <v>0.4</v>
      </c>
      <c r="DU82" s="298"/>
      <c r="DV82" s="350" t="str">
        <f t="shared" si="23"/>
        <v>Chanvre</v>
      </c>
      <c r="DW82" s="351">
        <f t="array" ref="DW82">SUM((IF(QualitéAlimentsFaonMâle_0_3_mois=BONNE,VLOOKUP("Chanvre",AlimentsRationHivernaleDaims,8,FALSE),0)+(IF(QualitéAlimentsFaonFemelle_0_3_mois=BONNE,VLOOKUP("Chanvre",AlimentsRationHivernaleDaims,8,FALSE),0)+(IF(QualitéAlimentsFaonMâle_3_6_mois=BONNE,VLOOKUP("Chanvre",AlimentsRationHivernaleDaims,7,FALSE),0)+(IF(QualitéAlimentsFaonFemelle_3_6_mois=BONNE,VLOOKUP("Chanvre",AlimentsRationHivernaleDaims,7,FALSE),0)+(IF(QualitéAlimentsFaonMâle_6_12_mois=BONNE,VLOOKUP("Chanvre",AlimentsRationHivernaleDaims,6,FALSE),0)+(IF(QualitéAlimentsFaonFemelle_6_12_mois=BONNE,VLOOKUP("Chanvre",AlimentsRationHivernaleDaims,6,FALSE),0)+(IF(QualitéAlimentsJeuneDaim_12_18_mois=BONNE,VLOOKUP("Chanvre",AlimentsRationHivernaleDaims,5,FALSE),0)+(IF(QualitéAlimentsJeuneDaine_12_18_mois=BONNE,VLOOKUP("Chanvre",AlimentsRationHivernaleDaims,5,FALSE),0)+(IF(QualitéAlimentsJeuneDaim_18_24_mois=BONNE,VLOOKUP("Chanvre",AlimentsRationHivernaleDaims,4,FALSE),0)+(IF(QualitéAlimentsJeuneDaine_18_24_mois=BONNE,VLOOKUP("Chanvre",AlimentsRationHivernaleDaims,4,FALSE),0)+(IF(QualitéAlimentsJeuneDaim_24_36_mois=BONNE,VLOOKUP("Chanvre",AlimentsRationHivernaleDaims,3,FALSE),0)+(IF(QualitéAlimentsJeuneDaine_24_36_mois=BONNE,VLOOKUP("Chanvre",AlimentsRationHivernaleDaims,3,FALSE),0)+(IF(QualitéAlimentsDaim=BONNE,VLOOKUP("Chanvre",AlimentsRationHivernaleDaims,2,FALSE),0)+(IF(QualitéAlimentsDaine=BONNE,VLOOKUP("Chanvre",AlimentsRationHivernaleDaims,2,FALSE),0))))))))))))))))</f>
        <v>0</v>
      </c>
      <c r="DX82" s="351">
        <f t="array" ref="DX82">SUM((IF(QualitéAlimentsFaonMâle_0_3_mois=MOYENNE,VLOOKUP("Chanvre",AlimentsRationHivernaleDaims,8,FALSE),0)+(IF(QualitéAlimentsFaonFemelle_0_3_mois=MOYENNE,VLOOKUP("Chanvre",AlimentsRationHivernaleDaims,8,FALSE),0)+(IF(QualitéAlimentsFaonMâle_3_6_mois=MOYENNE,VLOOKUP("Chanvre",AlimentsRationHivernaleDaims,7,FALSE),0)+(IF(QualitéAlimentsFaonFemelle_3_6_mois=MOYENNE,VLOOKUP("Chanvre",AlimentsRationHivernaleDaims,7,FALSE),0)+(IF(QualitéAlimentsFaonMâle_6_12_mois=MOYENNE,VLOOKUP("Chanvre",AlimentsRationHivernaleDaims,6,FALSE),0)+(IF(QualitéAlimentsFaonFemelle_6_12_mois=MOYENNE,VLOOKUP("Chanvre",AlimentsRationHivernaleDaims,6,FALSE),0)+(IF(QualitéAlimentsJeuneDaim_12_18_mois=MOYENNE,VLOOKUP("Chanvre",AlimentsRationHivernaleDaims,5,FALSE),0)+(IF(QualitéAlimentsJeuneDaine_12_18_mois=MOYENNE,VLOOKUP("Chanvre",AlimentsRationHivernaleDaims,5,FALSE),0)+(IF(QualitéAlimentsJeuneDaim_18_24_mois=MOYENNE,VLOOKUP("Chanvre",AlimentsRationHivernaleDaims,4,FALSE),0)+(IF(QualitéAlimentsJeuneDaine_18_24_mois=MOYENNE,VLOOKUP("Chanvre",AlimentsRationHivernaleDaims,4,FALSE),0)+(IF(QualitéAlimentsJeuneDaim_24_36_mois=MOYENNE,VLOOKUP("Chanvre",AlimentsRationHivernaleDaims,3,FALSE),0)+(IF(QualitéAlimentsJeuneDaine_24_36_mois=MOYENNE,VLOOKUP("Chanvre",AlimentsRationHivernaleDaims,3,FALSE),0)+(IF(QualitéAlimentsDaim=MOYENNE,VLOOKUP("Chanvre",AlimentsRationHivernaleDaims,2,FALSE),0)+(IF(QualitéAlimentsDaine=MOYENNE,VLOOKUP("Chanvre",AlimentsRationHivernaleDaims,2,FALSE),0))))))))))))))))</f>
        <v>0</v>
      </c>
      <c r="DY82" s="351">
        <f t="array" ref="DY82">SUM((IF(QualitéAlimentsFaonMâle_0_3_mois=MAUVAISE,VLOOKUP("Chanvre",AlimentsRationHivernaleDaims,8,FALSE),0)+(IF(QualitéAlimentsFaonFemelle_0_3_mois=MAUVAISE,VLOOKUP("Chanvre",AlimentsRationHivernaleDaims,8,FALSE),0)+(IF(QualitéAlimentsFaonMâle_3_6_mois=MAUVAISE,VLOOKUP("Chanvre",AlimentsRationHivernaleDaims,7,FALSE),0)+(IF(QualitéAlimentsFaonFemelle_3_6_mois=MAUVAISE,VLOOKUP("Chanvre",AlimentsRationHivernaleDaims,7,FALSE),0)+(IF(QualitéAlimentsFaonMâle_6_12_mois=MAUVAISE,VLOOKUP("Chanvre",AlimentsRationHivernaleDaims,6,FALSE),0)+(IF(QualitéAlimentsFaonFemelle_6_12_mois=MAUVAISE,VLOOKUP("Chanvre",AlimentsRationHivernaleDaims,6,FALSE),0)+(IF(QualitéAlimentsJeuneDaim_12_18_mois=MAUVAISE,VLOOKUP("Chanvre",AlimentsRationHivernaleDaims,5,FALSE),0)+(IF(QualitéAlimentsJeuneDaine_12_18_mois=MAUVAISE,VLOOKUP("Chanvre",AlimentsRationHivernaleDaims,5,FALSE),0)+(IF(QualitéAlimentsJeuneDaim_18_24_mois=MAUVAISE,VLOOKUP("Chanvre",AlimentsRationHivernaleDaims,4,FALSE),0)+(IF(QualitéAlimentsJeuneDaine_18_24_mois=MAUVAISE,VLOOKUP("Chanvre",AlimentsRationHivernaleDaims,4,FALSE),0)+(IF(QualitéAlimentsJeuneDaim_24_36_mois=MAUVAISE,VLOOKUP("Chanvre",AlimentsRationHivernaleDaims,3,FALSE),0)+(IF(QualitéAlimentsJeuneDaine_24_36_mois=MAUVAISE,VLOOKUP("Chanvre",AlimentsRationHivernaleDaims,3,FALSE),0)+(IF(QualitéAlimentsDaim=MAUVAISE,VLOOKUP("Chanvre",AlimentsRationHivernaleDaims,2,FALSE),0)+(IF(QualitéAlimentsDaine=MAUVAISE,VLOOKUP("Chanvre",AlimentsRationHivernaleDaims,2,FALSE),0))))))))))))))))</f>
        <v>0</v>
      </c>
      <c r="DZ82" s="298"/>
      <c r="EA82" s="298"/>
      <c r="EB82" s="298"/>
      <c r="EC82" s="298"/>
      <c r="ED82" s="298"/>
      <c r="EE82" s="298"/>
      <c r="EG82" s="420" t="s">
        <v>231</v>
      </c>
      <c r="EH82" s="433">
        <f t="array" ref="EH8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82" s="433">
        <f t="array" ref="EI8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82" s="433">
        <f t="array" ref="EJ8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82" s="434">
        <f>SUM(AlimentsRationOiesMâles[[#This Row],[Valeur 6 et plus]:[Valeur 0-3]])</f>
        <v>0</v>
      </c>
      <c r="EL82" s="316"/>
      <c r="EN82" s="420" t="s">
        <v>907</v>
      </c>
      <c r="EO82" s="433">
        <f t="array" ref="EO82">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82" s="433">
        <f t="array" ref="EP82">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82" s="433">
        <f t="array" ref="EQ82">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82" s="434">
        <f>SUM(Ration_canards_Mâles[[#This Row],[Valeur 6 et plus]:[Valeur 0-3]])</f>
        <v>0</v>
      </c>
      <c r="ES82" s="316"/>
      <c r="EU82" s="457" t="s">
        <v>232</v>
      </c>
      <c r="EV82" s="458">
        <f t="array" ref="EV82">IF(OR(ChoixRationComplèteEtéChevauxSelle=OUI,ChoixRationComplèteEtéChevauxSelle="",AND(ChoixChevauxSellePréHiver=OUI,ChoixChevauxSellePréEté=OUI)),0,IFERROR(IF(OR(AND(INDEX(Règles_chevaux_selle[Specificite],MATCH(RationEtéChevauxSelle&amp;$EU82,Règles_chevaux_selle[Ration]&amp;Règles_chevaux_selle[Aliment],0))="s1",IF($EU82=Spécificité1ChevauxSelle,1)),
AND(INDEX(Règles_chevaux_selle[Specificite],MATCH(RationEtéChevauxSelle&amp;$EU82,Règles_chevaux_selle[Ration]&amp;Règles_chevaux_selle[Aliment],0))="s2",IF($EU82=Spécificité2ChevauxSelle,1)),
INDEX(Règles_chevaux_selle[Specificite],MATCH(RationEtéChevauxSelle&amp;$EU82,Règles_chevaux_selle[Ration]&amp;Règles_chevaux_selle[Aliment],0))="c"),
INDEX(Règles_chevaux_selle[Valeur 36 et plus],MATCH(RationEtéChevauxSelle&amp;$EU82,Règles_chevaux_selle[Ration]&amp;Règles_chevaux_selle[Aliment],0)),0),0)*TotalEtalonSelle*NbreJoursNourrirChevauxSelle)</f>
        <v>0</v>
      </c>
      <c r="EW82" s="458">
        <f t="array" ref="EW82">IF(OR(ChoixRationComplèteEtéChevauxSelle=OUI,ChoixRationComplèteEtéChevauxSelle="",AND(ChoixChevauxSellePréHiver=OUI,ChoixChevauxSellePréEté=OUI)),0,IFERROR(IF(OR(AND(INDEX(Règles_chevaux_selle[Specificite],MATCH(RationEtéChevauxSelle&amp;$EU82,Règles_chevaux_selle[Ration]&amp;Règles_chevaux_selle[Aliment],0))="s1",IF($EU82=Spécificité1ChevauxSelle,1)),
AND(INDEX(Règles_chevaux_selle[Specificite],MATCH(RationEtéChevauxSelle&amp;$EU82,Règles_chevaux_selle[Ration]&amp;Règles_chevaux_selle[Aliment],0))="s2",IF($EU82=Spécificité2ChevauxSelle,1)),
INDEX(Règles_chevaux_selle[Specificite],MATCH(RationEtéChevauxSelle&amp;$EU82,Règles_chevaux_selle[Ration]&amp;Règles_chevaux_selle[Aliment],0))="c"),
INDEX(Règles_chevaux_selle[Valeur 24-36],MATCH(RationEtéChevauxSelle&amp;$EU82,Règles_chevaux_selle[Ration]&amp;Règles_chevaux_selle[Aliment],0)),0),0)*TotalJeuneEtalonSelle_24_36_mois*NbreJoursNourrirChevauxSelle)</f>
        <v>0</v>
      </c>
      <c r="EX82" s="458">
        <f t="array" ref="EX82">IF(OR(ChoixRationComplèteEtéChevauxSelle=OUI,ChoixRationComplèteEtéChevauxSelle="",AND(ChoixChevauxSellePréHiver=OUI,ChoixChevauxSellePréEté=OUI)),0,IFERROR(IF(OR(AND(INDEX(Règles_chevaux_selle[Specificite],MATCH(RationEtéChevauxSelle&amp;$EU82,Règles_chevaux_selle[Ration]&amp;Règles_chevaux_selle[Aliment],0))="s1",IF($EU82=Spécificité1ChevauxSelle,1)),
AND(INDEX(Règles_chevaux_selle[Specificite],MATCH(RationEtéChevauxSelle&amp;$EU82,Règles_chevaux_selle[Ration]&amp;Règles_chevaux_selle[Aliment],0))="s2",IF($EU82=Spécificité2ChevauxSelle,1)),
INDEX(Règles_chevaux_selle[Specificite],MATCH(RationEtéChevauxSelle&amp;$EU82,Règles_chevaux_selle[Ration]&amp;Règles_chevaux_selle[Aliment],0))="c"),
INDEX(Règles_chevaux_selle[Valeur 12-24],MATCH(RationEtéChevauxSelle&amp;$EU82,Règles_chevaux_selle[Ration]&amp;Règles_chevaux_selle[Aliment],0)),0),0)*TotalJeuneEtalonSelle_12_24_mois*NbreJoursNourrirChevauxSelle)</f>
        <v>0</v>
      </c>
      <c r="EY82" s="460">
        <f t="array" ref="EY82">IF(OR(ChoixRationComplèteEtéChevauxSelle=OUI,ChoixRationComplèteEtéChevauxSelle="",AND(ChoixChevauxSellePréHiver=OUI,ChoixChevauxSellePréEté=OUI)),0,IFERROR(IF(OR(AND(INDEX(Règles_chevaux_selle[Specificite],MATCH(RationEtéChevauxSelle&amp;$EU82,Règles_chevaux_selle[Ration]&amp;Règles_chevaux_selle[Aliment],0))="s1",IF($EU82=Spécificité1ChevauxSelle,1)),
AND(INDEX(Règles_chevaux_selle[Specificite],MATCH(RationEtéChevauxSelle&amp;$EU82,Règles_chevaux_selle[Ration]&amp;Règles_chevaux_selle[Aliment],0))="s2",IF($EU82=Spécificité2ChevauxSelle,1)),
INDEX(Règles_chevaux_selle[Specificite],MATCH(RationEtéChevauxSelle&amp;$EU82,Règles_chevaux_selle[Ration]&amp;Règles_chevaux_selle[Aliment],0))="c"),
INDEX(Règles_chevaux_selle[Valeur 0-12],MATCH(RationEtéChevauxSelle&amp;$EU82,Règles_chevaux_selle[Ration]&amp;Règles_chevaux_selle[Aliment],0)),0),0)*TotalPoulainSelle_0_12_mois*NbreJoursNourrirChevauxSelle)</f>
        <v>0</v>
      </c>
      <c r="EZ82" s="460">
        <f t="shared" si="16"/>
        <v>0</v>
      </c>
      <c r="FD82" s="457" t="s">
        <v>488</v>
      </c>
      <c r="FE82" s="458">
        <f t="array" ref="FE82">IF(OR(ChoixRationComplèteEtéChevauxTrait=OUI,ChoixRationComplèteEtéChevauxTrait="",AND(ChoixChevauxTraitPréHiver=OUI,ChoixChevauxTraitPréEté=OUI)),0,IFERROR(IF(OR(AND(INDEX(Règles_chevaux_trait[Specificite],MATCH(RationEtéChevauxTrait&amp;$FD82,Règles_chevaux_trait[Ration]&amp;Règles_chevaux_trait[Aliment],0))="s1",IF($FD82=Spécificité1ChevauxTrait,1)),
AND(INDEX(Règles_chevaux_trait[Specificite],MATCH(RationEtéChevauxTrait&amp;$FD82,Règles_chevaux_trait[Ration]&amp;Règles_chevaux_trait[Aliment],0))="s2",IF($FD82=Spécificité2ChevauxTrait,1)),
INDEX(Règles_chevaux_trait[Specificite],MATCH(RationEtéChevauxTrait&amp;$FD82,Règles_chevaux_trait[Ration]&amp;Règles_chevaux_trait[Aliment],0))="c"),
INDEX(Règles_chevaux_trait[Valeur 36 et plus],MATCH(RationEtéChevauxTrait&amp;$FD82,Règles_chevaux_trait[Ration]&amp;Règles_chevaux_trait[Aliment],0)),0),0)*TotalEtalonTrait*NbreJoursNourrirChevauxTrait)</f>
        <v>0</v>
      </c>
      <c r="FF82" s="458">
        <f t="array" ref="FF82">IF(OR(ChoixRationComplèteEtéChevauxTrait=OUI,ChoixRationComplèteEtéChevauxTrait="",AND(ChoixChevauxTraitPréHiver=OUI,ChoixChevauxTraitPréEté=OUI)),0,IFERROR(IF(OR(AND(INDEX(Règles_chevaux_trait[Specificite],MATCH(RationEtéChevauxTrait&amp;$FD82,Règles_chevaux_trait[Ration]&amp;Règles_chevaux_trait[Aliment],0))="s1",IF($FD82=Spécificité1ChevauxTrait,1)),
AND(INDEX(Règles_chevaux_trait[Specificite],MATCH(RationEtéChevauxTrait&amp;$FD82,Règles_chevaux_trait[Ration]&amp;Règles_chevaux_trait[Aliment],0))="s2",IF($FD82=Spécificité2ChevauxTrait,1)),
INDEX(Règles_chevaux_trait[Specificite],MATCH(RationEtéChevauxTrait&amp;$FD82,Règles_chevaux_trait[Ration]&amp;Règles_chevaux_trait[Aliment],0))="c"),
INDEX(Règles_chevaux_trait[Valeur 24-36],MATCH(RationEtéChevauxTrait&amp;$FD82,Règles_chevaux_trait[Ration]&amp;Règles_chevaux_trait[Aliment],0)),0),0)*TotalJeuneEtalonTrait_24_36_mois*NbreJoursNourrirChevauxTrait)</f>
        <v>0</v>
      </c>
      <c r="FG82" s="458">
        <f t="array" ref="FG82">IF(OR(ChoixRationComplèteEtéChevauxTrait=OUI,ChoixRationComplèteEtéChevauxTrait="",AND(ChoixChevauxTraitPréHiver=OUI,ChoixChevauxTraitPréEté=OUI)),0,IFERROR(IF(OR(AND(INDEX(Règles_chevaux_trait[Specificite],MATCH(RationEtéChevauxTrait&amp;$FD82,Règles_chevaux_trait[Ration]&amp;Règles_chevaux_trait[Aliment],0))="s1",IF($FD82=Spécificité1ChevauxTrait,1)),
AND(INDEX(Règles_chevaux_trait[Specificite],MATCH(RationEtéChevauxTrait&amp;$FD82,Règles_chevaux_trait[Ration]&amp;Règles_chevaux_trait[Aliment],0))="s2",IF($FD82=Spécificité2ChevauxTrait,1)),
INDEX(Règles_chevaux_trait[Specificite],MATCH(RationEtéChevauxTrait&amp;$FD82,Règles_chevaux_trait[Ration]&amp;Règles_chevaux_trait[Aliment],0))="c"),
INDEX(Règles_chevaux_trait[Valeur 12-24],MATCH(RationEtéChevauxTrait&amp;$FD82,Règles_chevaux_trait[Ration]&amp;Règles_chevaux_trait[Aliment],0)),0),0)*TotalJeuneEtalonTrait_12_24_mois*NbreJoursNourrirChevauxTrait)</f>
        <v>0</v>
      </c>
      <c r="FH82" s="460">
        <f t="array" ref="FH82">IF(OR(ChoixRationComplèteEtéChevauxTrait=OUI,ChoixRationComplèteEtéChevauxTrait="",AND(ChoixChevauxTraitPréHiver=OUI,ChoixChevauxTraitPréEté=OUI)),0,IFERROR(IF(OR(AND(INDEX(Règles_chevaux_trait[Specificite],MATCH(RationEtéChevauxTrait&amp;$FD82,Règles_chevaux_trait[Ration]&amp;Règles_chevaux_trait[Aliment],0))="s1",IF($FD82=Spécificité1ChevauxTrait,1)),
AND(INDEX(Règles_chevaux_trait[Specificite],MATCH(RationEtéChevauxTrait&amp;$FD82,Règles_chevaux_trait[Ration]&amp;Règles_chevaux_trait[Aliment],0))="s2",IF($FD82=Spécificité2ChevauxTrait,1)),
INDEX(Règles_chevaux_trait[Specificite],MATCH(RationEtéChevauxTrait&amp;$FD82,Règles_chevaux_trait[Ration]&amp;Règles_chevaux_trait[Aliment],0))="c"),
INDEX(Règles_chevaux_trait[Valeur 0-12],MATCH(RationEtéChevauxTrait&amp;$FD82,Règles_chevaux_trait[Ration]&amp;Règles_chevaux_trait[Aliment],0)),0),0)*TotalPoulainTrait_0_12_mois*NbreJoursNourrirChevauxTrait)</f>
        <v>0</v>
      </c>
      <c r="FI82" s="460">
        <f t="shared" si="15"/>
        <v>0</v>
      </c>
      <c r="FJ82" s="298"/>
      <c r="FK82" s="298"/>
      <c r="FN82" s="457" t="s">
        <v>231</v>
      </c>
      <c r="FO82" s="458">
        <f t="array" ref="FO82">IF(OR(ChoixRationComplèteEtéPoneys=OUI,ChoixRationComplèteEtéPoneys="",AND(ChoixPoneysPréHiver=OUI,ChoixPoneysPréEté=OUI)),0,IFERROR(IF(OR(AND(INDEX(Règles_poneys[Specificite],MATCH(RationEtéPoneys&amp;$FN82,Règles_poneys[Ration]&amp;Règles_poneys[Aliment],0))="s1",IF($FN82=Spécificité1Poneys,1)),
AND(INDEX(Règles_poneys[Specificite],MATCH(RationEtéPoneys&amp;$FN82,Règles_poneys[Ration]&amp;Règles_poneys[Aliment],0))="s2",IF($FN82=Spécificité2Poneys,1)),
INDEX(Règles_poneys[Specificite],MATCH(RationEtéPoneys&amp;$FN82,Règles_poneys[Ration]&amp;Règles_poneys[Aliment],0))="c"),
INDEX(Règles_poneys[Valeur 36 et plus],MATCH(RationEtéPoneys&amp;$FN82,Règles_poneys[Ration]&amp;Règles_poneys[Aliment],0)),0),0)*TotalEtalonPoney*NbreJoursNourrirPoneys)</f>
        <v>0</v>
      </c>
      <c r="FP82" s="458">
        <f t="array" ref="FP82">IF(OR(ChoixRationComplèteEtéPoneys=OUI,ChoixRationComplèteEtéPoneys="",AND(ChoixPoneysPréHiver=OUI,ChoixPoneysPréEté=OUI)),0,IFERROR(IF(OR(AND(INDEX(Règles_poneys[Specificite],MATCH(RationEtéPoneys&amp;$FN82,Règles_poneys[Ration]&amp;Règles_poneys[Aliment],0))="s1",IF($FN82=Spécificité1Poneys,1)),
AND(INDEX(Règles_poneys[Specificite],MATCH(RationEtéPoneys&amp;$FN82,Règles_poneys[Ration]&amp;Règles_poneys[Aliment],0))="s2",IF($FN82=Spécificité2Poneys,1)),
INDEX(Règles_poneys[Specificite],MATCH(RationEtéPoneys&amp;$FN82,Règles_poneys[Ration]&amp;Règles_poneys[Aliment],0))="c"),
INDEX(Règles_poneys[Valeur 36 et plus],MATCH(RationEtéPoneys&amp;$FN82,Règles_poneys[Ration]&amp;Règles_poneys[Aliment],0)),0),0)*TotalJeuneEtalonPoney_24_36_mois*NbreJoursNourrirPoneys)</f>
        <v>0</v>
      </c>
      <c r="FQ82" s="458">
        <f t="array" ref="FQ82">IF(OR(ChoixRationComplèteEtéPoneys=OUI,ChoixRationComplèteEtéPoneys="",AND(ChoixPoneysPréHiver=OUI,ChoixPoneysPréEté=OUI)),0,IFERROR(IF(OR(AND(INDEX(Règles_poneys[Specificite],MATCH(RationEtéPoneys&amp;$FN82,Règles_poneys[Ration]&amp;Règles_poneys[Aliment],0))="s1",IF($FN82=Spécificité1Poneys,1)),
AND(INDEX(Règles_poneys[Specificite],MATCH(RationEtéPoneys&amp;$FN82,Règles_poneys[Ration]&amp;Règles_poneys[Aliment],0))="s2",IF($FN82=Spécificité2Poneys,1)),
INDEX(Règles_poneys[Specificite],MATCH(RationEtéPoneys&amp;$FN82,Règles_poneys[Ration]&amp;Règles_poneys[Aliment],0))="c"),
INDEX(Règles_poneys[Valeur 36 et plus],MATCH(RationEtéPoneys&amp;$FN82,Règles_poneys[Ration]&amp;Règles_poneys[Aliment],0)),0),0)*TotalJeuneEtalonPoney_12_24_mois*NbreJoursNourrirPoneys)</f>
        <v>0</v>
      </c>
      <c r="FR82" s="460">
        <f t="array" ref="FR82">IF(OR(ChoixRationComplèteEtéPoneys=OUI,ChoixRationComplèteEtéPoneys="",AND(ChoixPoneysPréHiver=OUI,ChoixPoneysPréEté=OUI)),0,IFERROR(IF(OR(AND(INDEX(Règles_poneys[Specificite],MATCH(RationEtéPoneys&amp;$FN82,Règles_poneys[Ration]&amp;Règles_poneys[Aliment],0))="s1",IF($FN82=Spécificité1Poneys,1)),
AND(INDEX(Règles_poneys[Specificite],MATCH(RationEtéPoneys&amp;$FN82,Règles_poneys[Ration]&amp;Règles_poneys[Aliment],0))="s2",IF($FN82=Spécificité2Poneys,1)),
INDEX(Règles_poneys[Specificite],MATCH(RationEtéPoneys&amp;$FN82,Règles_poneys[Ration]&amp;Règles_poneys[Aliment],0))="c"),
INDEX(Règles_poneys[Valeur 36 et plus],MATCH(RationEtéPoneys&amp;$FN82,Règles_poneys[Ration]&amp;Règles_poneys[Aliment],0)),0),0)*TotalPoulainPoney_0_12_mois*NbreJoursNourrirPoneys)</f>
        <v>0</v>
      </c>
      <c r="FS82" s="460">
        <f t="shared" si="14"/>
        <v>0</v>
      </c>
      <c r="GA82" s="276"/>
      <c r="GG82" s="276" t="s">
        <v>955</v>
      </c>
      <c r="GH82" s="276" t="s">
        <v>955</v>
      </c>
      <c r="GI82" s="276" t="s">
        <v>955</v>
      </c>
      <c r="GJ82" s="276" t="s">
        <v>955</v>
      </c>
      <c r="GK82" s="276" t="s">
        <v>955</v>
      </c>
      <c r="GL82" s="276" t="s">
        <v>955</v>
      </c>
      <c r="GM82" s="276" t="s">
        <v>955</v>
      </c>
      <c r="GN82" s="276" t="s">
        <v>955</v>
      </c>
      <c r="GO82" s="276" t="s">
        <v>955</v>
      </c>
      <c r="GP82" s="276" t="s">
        <v>955</v>
      </c>
      <c r="GQ82" s="276" t="s">
        <v>955</v>
      </c>
      <c r="GR82" s="276" t="s">
        <v>955</v>
      </c>
      <c r="GS82" s="276" t="s">
        <v>955</v>
      </c>
      <c r="GT82" s="276" t="s">
        <v>955</v>
      </c>
      <c r="GU82" s="276" t="s">
        <v>955</v>
      </c>
      <c r="GV82" s="276" t="s">
        <v>955</v>
      </c>
      <c r="GY82" s="444" t="str">
        <f>GH2</f>
        <v>engrais</v>
      </c>
      <c r="GZ82" s="444"/>
      <c r="HA82" s="342"/>
      <c r="HB82" s="342" t="e">
        <f>IF(COUNTIF(TypeArticleDansEntrepôt,GY82)=0,0,SUMIF(TypeArticleDansEntrepôt,GY82,QtéArticleDansEntrepôt)*VLOOKUP(GY82,#REF!,2,FALSE))</f>
        <v>#REF!</v>
      </c>
      <c r="HN82" s="342" t="e">
        <f>IF(#REF!="","",(VLOOKUP(#REF!,BDD!$HN$5:$HU$38,2,FALSE))*#REF!)</f>
        <v>#REF!</v>
      </c>
      <c r="HO82" s="342" t="e">
        <f>IF(#REF!="","",IF(OR(#REF!=Moutarde,#REF!=Phacélie),0,IF(#REF!=Luzerne,10*#REF!*VLOOKUP(#REF!,BDD!$HN$5:$HU$38,3,FALSE),IF(#REF!=Miscanthus,10.5*#REF!*VLOOKUP(#REF!,BDD!$HN$5:$HU$38,3,FALSE),INDEX(#REF!:#REF!,MATCH(#REF!,#REF!:#REF!,0),MATCH(#REF!,#REF!:#REF!,0))*#REF!*VLOOKUP(#REF!,BDD!$HN$5:$HU$38,3,FALSE)))))</f>
        <v>#REF!</v>
      </c>
      <c r="HP82" s="342" t="e">
        <f>IF(#REF!="","",IF(OR(#REF!=Moutarde,#REF!=Phacélie),0,IF(#REF!=Luzerne,10*#REF!*VLOOKUP(#REF!,BDD!$HN$5:$HU$38,4,FALSE),IF(#REF!=Miscanthus,10.5*#REF!*VLOOKUP(#REF!,BDD!$HN$5:$HU$38,4,FALSE),INDEX(#REF!:#REF!,MATCH(#REF!,#REF!:#REF!,0),MATCH(#REF!,#REF!:#REF!,0))*#REF!*VLOOKUP(#REF!,BDD!$HN$5:$HU$38,4,FALSE)))))</f>
        <v>#REF!</v>
      </c>
      <c r="HQ82" s="342" t="e">
        <f>IF(#REF!="","",IF(OR(#REF!=Moutarde,#REF!=Phacélie),0,IF(#REF!=Luzerne,10*#REF!*VLOOKUP(#REF!,BDD!$HN$5:$HU$38,5,FALSE),IF(#REF!=Miscanthus,10.5*#REF!*VLOOKUP(#REF!,BDD!$HN$5:$HU$38,5,FALSE),INDEX(#REF!:#REF!,MATCH(#REF!,#REF!:#REF!,0),MATCH(#REF!,#REF!:#REF!,0))*#REF!*VLOOKUP(#REF!,BDD!$HN$5:$HU$38,5,FALSE)))))</f>
        <v>#REF!</v>
      </c>
      <c r="HR82" s="342" t="e">
        <f>IF(#REF!="","",IF(OR(#REF!=Moutarde,#REF!=Phacélie),0,IF(#REF!=Luzerne,10*#REF!*VLOOKUP(#REF!,BDD!$HN$5:$HU$38,6,FALSE),IF(#REF!=Miscanthus,10.5*#REF!*VLOOKUP(#REF!,BDD!$HN$5:$HU$38,6,FALSE),INDEX(#REF!:#REF!,MATCH(#REF!,#REF!:#REF!,0),MATCH(#REF!,#REF!:#REF!,0))*#REF!*VLOOKUP(#REF!,BDD!$HN$5:$HU$38,6,FALSE)))))</f>
        <v>#REF!</v>
      </c>
      <c r="HS82" s="342" t="e">
        <f>IF(#REF!="","",IF(OR(#REF!=Moutarde,#REF!=Phacélie),0,IF(#REF!=Luzerne,10*#REF!*VLOOKUP(#REF!,BDD!$HN$5:$HU$38,7,FALSE),IF(#REF!=Miscanthus,10.5*#REF!*VLOOKUP(#REF!,BDD!$HN$5:$HU$38,7,FALSE),INDEX(#REF!:#REF!,MATCH(#REF!,#REF!:#REF!,0),MATCH(#REF!,#REF!:#REF!,0))*#REF!*VLOOKUP(#REF!,BDD!$HN$5:$HU$38,7,FALSE)))))</f>
        <v>#REF!</v>
      </c>
      <c r="HT82" s="342" t="e">
        <f>IF(#REF!="","",IF(OR(#REF!=Moutarde,#REF!=Phacélie),0,IF(#REF!=Luzerne,10*#REF!*VLOOKUP(#REF!,BDD!$HN$5:$HU$38,8,FALSE),IF(#REF!=Miscanthus,10.5*#REF!*VLOOKUP(#REF!,BDD!$HN$5:$HU$38,8,FALSE),INDEX(#REF!:#REF!,MATCH(#REF!,#REF!:#REF!,0),MATCH(#REF!,#REF!:#REF!,0))*#REF!*VLOOKUP(#REF!,BDD!$HN$5:$HU$38,8,FALSE)))))</f>
        <v>#REF!</v>
      </c>
      <c r="HU82" s="342" t="e">
        <f>IF(#REF!="","",IF(OR(#REF!=Moutarde,#REF!=Phacélie),0,1.6*#REF!))</f>
        <v>#REF!</v>
      </c>
      <c r="HV82" s="342" t="e">
        <f>IF(#REF!="","",IF(OR(#REF!=Moutarde,#REF!=Phacélie),0,1.6*#REF!))</f>
        <v>#REF!</v>
      </c>
      <c r="HW82" s="342" t="e">
        <f>IF(#REF!="","",IF(OR(#REF!=Moutarde,#REF!=Phacélie),0,1.6*#REF!))</f>
        <v>#REF!</v>
      </c>
      <c r="HX82" s="342" t="e">
        <f>IF(#REF!="","",(VLOOKUP(#REF!,BDD!$HN$5:$HU$38,2,FALSE))*#REF!)</f>
        <v>#REF!</v>
      </c>
      <c r="HY82" s="342" t="e">
        <f>IF(#REF!="","",IF(OR(#REF!=Moutarde,#REF!=Phacélie),0,IF(#REF!=Luzerne,10*#REF!*VLOOKUP(#REF!,BDD!$HN$5:$HU$38,3,FALSE),IF(#REF!=Miscanthus,10.5*#REF!*VLOOKUP(#REF!,BDD!$HN$5:$HU$38,3,FALSE),INDEX(#REF!:#REF!,MATCH(#REF!,#REF!:#REF!,0),MATCH(#REF!,#REF!:#REF!,0))*#REF!*VLOOKUP(#REF!,BDD!$HN$5:$HU$38,3,FALSE)))))</f>
        <v>#REF!</v>
      </c>
      <c r="HZ82" s="342" t="e">
        <f>IF(#REF!="","",IF(OR(#REF!=Moutarde,#REF!=Phacélie),0,IF(#REF!=Luzerne,10*#REF!*VLOOKUP(#REF!,BDD!$HN$5:$HU$38,4,FALSE),IF(#REF!=Miscanthus,10.5*#REF!*VLOOKUP(#REF!,BDD!$HN$5:$HU$38,4,FALSE),INDEX(#REF!:#REF!,MATCH(#REF!,#REF!:#REF!,0),MATCH(#REF!,#REF!:#REF!,0))*#REF!*VLOOKUP(#REF!,BDD!$HN$5:$HU$38,4,FALSE)))))</f>
        <v>#REF!</v>
      </c>
      <c r="IA82" s="342" t="e">
        <f>IF(#REF!="","",IF(OR(#REF!=Moutarde,#REF!=Phacélie),0,IF(#REF!=Luzerne,10*#REF!*VLOOKUP(#REF!,BDD!$HN$5:$HU$38,5,FALSE),IF(#REF!=Miscanthus,10.5*#REF!*VLOOKUP(#REF!,BDD!$HN$5:$HU$38,5,FALSE),INDEX(#REF!:#REF!,MATCH(#REF!,#REF!:#REF!,0),MATCH(#REF!,#REF!:#REF!,0))*#REF!*VLOOKUP(#REF!,BDD!$HN$5:$HU$38,5,FALSE)))))</f>
        <v>#REF!</v>
      </c>
      <c r="IB82" s="342" t="e">
        <f>IF(#REF!="","",IF(OR(#REF!=Moutarde,#REF!=Phacélie),0,IF(#REF!=Luzerne,10*#REF!*VLOOKUP(#REF!,BDD!$HN$5:$HU$38,6,FALSE),IF(#REF!=Miscanthus,10.5*#REF!*VLOOKUP(#REF!,BDD!$HN$5:$HU$38,6,FALSE),INDEX(#REF!:#REF!,MATCH(#REF!,#REF!:#REF!,0),MATCH(#REF!,#REF!:#REF!,0))*#REF!*VLOOKUP(#REF!,BDD!$HN$5:$HU$38,6,FALSE)))))</f>
        <v>#REF!</v>
      </c>
      <c r="IC82" s="342" t="e">
        <f>IF(#REF!="","",IF(OR(#REF!=Moutarde,#REF!=Phacélie),0,IF(#REF!=Luzerne,10*#REF!*VLOOKUP(#REF!,BDD!$HN$5:$HU$38,7,FALSE),IF(#REF!=Miscanthus,10.5*#REF!*VLOOKUP(#REF!,BDD!$HN$5:$HU$38,7,FALSE),INDEX(#REF!:#REF!,MATCH(#REF!,#REF!:#REF!,0),MATCH(#REF!,#REF!:#REF!,0))*#REF!*VLOOKUP(#REF!,BDD!$HN$5:$HU$38,7,FALSE)))))</f>
        <v>#REF!</v>
      </c>
      <c r="ID82" s="342" t="e">
        <f>IF(#REF!="","",IF(OR(#REF!=Moutarde,#REF!=Phacélie),0,IF(#REF!=Luzerne,10*#REF!*VLOOKUP(#REF!,BDD!$HN$5:$HU$38,8,FALSE),IF(#REF!=Miscanthus,10.5*#REF!*VLOOKUP(#REF!,BDD!$HN$5:$HU$38,8,FALSE),INDEX(#REF!:#REF!,MATCH(#REF!,#REF!:#REF!,0),MATCH(#REF!,#REF!:#REF!,0))*#REF!*VLOOKUP(#REF!,BDD!$HN$5:$HU$38,8,FALSE)))))</f>
        <v>#REF!</v>
      </c>
      <c r="IE82" s="342" t="e">
        <f>IF(#REF!="","",IF(OR(#REF!=Moutarde,#REF!=Phacélie),0,1.6*#REF!))</f>
        <v>#REF!</v>
      </c>
      <c r="IF82" s="342" t="e">
        <f>IF(#REF!="","",IF(OR(#REF!=Moutarde,#REF!=Phacélie),0,1.6*#REF!))</f>
        <v>#REF!</v>
      </c>
      <c r="IG82" s="342" t="e">
        <f>IF(#REF!="","",IF(OR(#REF!=Moutarde,#REF!=Phacélie),0,1.6*#REF!))</f>
        <v>#REF!</v>
      </c>
    </row>
    <row r="83" spans="1:241" ht="12.75" customHeight="1" x14ac:dyDescent="0.2">
      <c r="A83" s="373"/>
      <c r="B83" s="380"/>
      <c r="F83" s="280"/>
      <c r="G83" s="280"/>
      <c r="H83" s="321"/>
      <c r="I83" s="280"/>
      <c r="J83" s="321"/>
      <c r="K83" s="321"/>
      <c r="L83" s="321"/>
      <c r="O83" s="384" t="s">
        <v>990</v>
      </c>
      <c r="P83" s="283"/>
      <c r="Q83" s="384">
        <v>5</v>
      </c>
      <c r="Y83" s="385" t="s">
        <v>1122</v>
      </c>
      <c r="Z83" s="385">
        <f>IF('coût alimentation'!$B$6=$Y$83,8,0)</f>
        <v>0</v>
      </c>
      <c r="AA83" s="385">
        <f>IF('coût alimentation'!$B$6=$Y$83,8,0)</f>
        <v>0</v>
      </c>
      <c r="AB83" s="385">
        <f>IF('coût alimentation'!$B$6=$Y$83,8,0)</f>
        <v>0</v>
      </c>
      <c r="AC83" s="385">
        <f>IF('coût alimentation'!$B$6=$Y$83,8,0)</f>
        <v>0</v>
      </c>
      <c r="AD83" s="385">
        <f>IF('coût alimentation'!$B$6=$Y$83,8,0)</f>
        <v>0</v>
      </c>
      <c r="AE83" s="385">
        <f>IF('coût alimentation'!$B$6=$Y$83,8,0)</f>
        <v>0</v>
      </c>
      <c r="AF83" s="385">
        <f>IF('coût alimentation'!$B$6=$Y$83,8,0)</f>
        <v>0</v>
      </c>
      <c r="AG83" s="385">
        <f>IF('coût alimentation'!$B$6=$Y$83,8,0)</f>
        <v>0</v>
      </c>
      <c r="BB83" s="387" t="s">
        <v>512</v>
      </c>
      <c r="BC83" s="362" t="s">
        <v>508</v>
      </c>
      <c r="BD83" s="362" t="s">
        <v>911</v>
      </c>
      <c r="BE83" s="388">
        <v>161</v>
      </c>
      <c r="BF83" s="388">
        <v>137</v>
      </c>
      <c r="BG83" s="388">
        <v>107</v>
      </c>
      <c r="BH83" s="388">
        <v>81</v>
      </c>
      <c r="BI83" s="388">
        <v>55</v>
      </c>
      <c r="BJ83" s="388">
        <v>27</v>
      </c>
      <c r="BK83" s="389">
        <v>0</v>
      </c>
      <c r="BL83" s="312"/>
      <c r="BM83" s="350" t="str">
        <f t="shared" si="22"/>
        <v>Ensilage d'herbe</v>
      </c>
      <c r="BN83" s="350">
        <f t="array" ref="BN83">IF(Ration_hivernale_complète_bisons[somme]&gt;0,0,IFERROR(IF(OR(AND(INDEX(Règles_bison[Specificite],MATCH(ChoixRationBisons&amp;$BM83,Règles_bison[Ration]&amp;Règles_bison[Aliment],0))="s1",IF($BM83=ChoixSpécificité1Bisons,1)),
INDEX(Règles_bison[Specificite],MATCH(ChoixRationBisons&amp;$BM83,Règles_bison[Ration]&amp;Règles_bison[Aliment],0))="c"),
INDEX(Règles_bison[Valeur 36 et plus],MATCH(ChoixRationBisons&amp;$BM83,Règles_bison[Ration]&amp;Règles_bison[Aliment],0)),0),0)*TotalBisonnes*NbreJoursNourrirBisonsDaims)</f>
        <v>0</v>
      </c>
      <c r="BO83" s="350">
        <f t="array" ref="BO83">IF(Ration_hivernale_complète_bisons[somme]&gt;0,0,IFERROR(IF(OR(AND(INDEX(Règles_bison[Specificite],MATCH(ChoixRationBisons&amp;$BM83,Règles_bison[Ration]&amp;Règles_bison[Aliment],0))="s1",IF($BM83=ChoixSpécificité1Bisons,1)),
INDEX(Règles_bison[Specificite],MATCH(ChoixRationBisons&amp;$BM83,Règles_bison[Ration]&amp;Règles_bison[Aliment],0))="c"),
INDEX(Règles_bison[Valeur 24-36],MATCH(ChoixRationBisons&amp;$BM83,Règles_bison[Ration]&amp;Règles_bison[Aliment],0)),0),0)*TotalBisonsFemelles_24_36_mois*NbreJoursNourrirBisonsDaims)</f>
        <v>0</v>
      </c>
      <c r="BP83" s="350">
        <f t="array" ref="BP83">IF(Ration_hivernale_complète_bisons[somme]&gt;0,0,IFERROR(IF(OR(AND(INDEX(Règles_bison[Specificite],MATCH(ChoixRationBisons&amp;$BM83,Règles_bison[Ration]&amp;Règles_bison[Aliment],0))="s1",IF($BM83=ChoixSpécificité1Bisons,1)),
INDEX(Règles_bison[Specificite],MATCH(ChoixRationBisons&amp;$BM83,Règles_bison[Ration]&amp;Règles_bison[Aliment],0))="c"),
INDEX(Règles_bison[Valeur 18-24],MATCH(ChoixRationBisons&amp;$BM83,Règles_bison[Ration]&amp;Règles_bison[Aliment],0)),0),0)*TotalBisonsFemelles_18_24_mois*NbreJoursNourrirBisonsDaims)</f>
        <v>0</v>
      </c>
      <c r="BQ83" s="350">
        <f t="array" ref="BQ83">IF(Ration_hivernale_complète_bisons[somme]&gt;0,0,IFERROR(IF(OR(AND(INDEX(Règles_bison[Specificite],MATCH(ChoixRationBisons&amp;$BM83,Règles_bison[Ration]&amp;Règles_bison[Aliment],0))="s1",IF($BM83=ChoixSpécificité1Bisons,1)),
INDEX(Règles_bison[Specificite],MATCH(ChoixRationBisons&amp;$BM83,Règles_bison[Ration]&amp;Règles_bison[Aliment],0))="c"),
INDEX(Règles_bison[Valeur 12-18],MATCH(ChoixRationBisons&amp;$BM83,Règles_bison[Ration]&amp;Règles_bison[Aliment],0)),0),0)*TotalBisonsFemelles_12_18_mois*NbreJoursNourrirBisonsDaims)</f>
        <v>0</v>
      </c>
      <c r="BR83" s="350">
        <f t="array" ref="BR83">IF(Ration_hivernale_complète_bisons[somme]&gt;0,0,IFERROR(IF(OR(AND(INDEX(Règles_bison[Specificite],MATCH(ChoixRationBisons&amp;$BM83,Règles_bison[Ration]&amp;Règles_bison[Aliment],0))="s1",IF($BM83=ChoixSpécificité1Bisons,1)),
INDEX(Règles_bison[Specificite],MATCH(ChoixRationBisons&amp;$BM83,Règles_bison[Ration]&amp;Règles_bison[Aliment],0))="c"),
INDEX(Règles_bison[Valeur 6-12],MATCH(ChoixRationBisons&amp;$BM83,Règles_bison[Ration]&amp;Règles_bison[Aliment],0)),0),0)*TotalBisonsFemelles_6_12_mois*NbreJoursNourrirBisonsDaims)</f>
        <v>0</v>
      </c>
      <c r="BS83" s="350">
        <f t="array" ref="BS83">IF(Ration_hivernale_complète_bisons[somme]&gt;0,0,IFERROR(IF(OR(AND(INDEX(Règles_bison[Specificite],MATCH(ChoixRationBisons&amp;$BM83,Règles_bison[Ration]&amp;Règles_bison[Aliment],0))="s1",IF($BM83=ChoixSpécificité1Bisons,1)),
INDEX(Règles_bison[Specificite],MATCH(ChoixRationBisons&amp;$BM83,Règles_bison[Ration]&amp;Règles_bison[Aliment],0))="c"),
INDEX(Règles_bison[Valeur 3-6],MATCH(ChoixRationBisons&amp;$BM83,Règles_bison[Ration]&amp;Règles_bison[Aliment],0)),0),0)*TotalBisonsFemelles_3_6_mois*NbreJoursNourrirBisonsDaims)</f>
        <v>0</v>
      </c>
      <c r="BT83" s="350">
        <f t="array" ref="BT83">IF(Ration_hivernale_complète_bisons[somme]&gt;0,0,IFERROR(IF(OR(AND(INDEX(Règles_bison[Specificite],MATCH(ChoixRationBisons&amp;$BM83,Règles_bison[Ration]&amp;Règles_bison[Aliment],0))="s1",IF($BM83=ChoixSpécificité1Bisons,1)),
INDEX(Règles_bison[Specificite],MATCH(ChoixRationBisons&amp;$BM83,Règles_bison[Ration]&amp;Règles_bison[Aliment],0))="c"),
INDEX(Règles_bison[Valeur 0-3],MATCH(ChoixRationBisons&amp;$BM83,Règles_bison[Ration]&amp;Règles_bison[Aliment],0)),0),0)*TotalBisonsFemelles_0_3_mois*NbreJoursNourrirBisonsDaims)</f>
        <v>0</v>
      </c>
      <c r="BU83" s="350">
        <f t="shared" si="21"/>
        <v>0</v>
      </c>
      <c r="BV83" s="282"/>
      <c r="BW83" s="282"/>
      <c r="BX83" s="373" t="s">
        <v>550</v>
      </c>
      <c r="BY83" s="280" t="s">
        <v>168</v>
      </c>
      <c r="BZ83" s="280" t="s">
        <v>886</v>
      </c>
      <c r="CA83" s="280">
        <v>1.2</v>
      </c>
      <c r="CB83" s="280">
        <v>1.2</v>
      </c>
      <c r="CC83" s="280">
        <v>0.8</v>
      </c>
      <c r="CD83" s="410">
        <v>2.8</v>
      </c>
      <c r="CE83" s="304"/>
      <c r="CF83" s="304"/>
      <c r="CG83" s="304"/>
      <c r="CH83" s="304"/>
      <c r="CJ83" s="427"/>
      <c r="CK83" s="384">
        <f t="array" ref="CK8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83" s="384">
        <f t="array" ref="CL8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83" s="384">
        <f t="array" ref="CM8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83" s="384">
        <f t="array" ref="CN8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83" s="384">
        <f t="array" ref="CO8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83" s="426">
        <f>SUM(AlimentsRationPorcinsMâles[[#This Row],[Valeur 12 et plus]:[Valeur 0-1]])</f>
        <v>0</v>
      </c>
      <c r="CS83" s="420" t="s">
        <v>378</v>
      </c>
      <c r="CT83" s="433">
        <f t="array" ref="CT83">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83" s="433">
        <f t="array" ref="CU83">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83" s="433">
        <f t="array" ref="CV83">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83" s="434">
        <f>SUM(AlimentsRationLapinsMâles[[#This Row],[Valeur 3 et plus]:[Valeur 0-1]])</f>
        <v>0</v>
      </c>
      <c r="CZ83" s="420" t="s">
        <v>378</v>
      </c>
      <c r="DA83" s="433">
        <f t="array" ref="DA8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83" s="433">
        <f t="array" ref="DB8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83" s="433">
        <f t="array" ref="DC8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83" s="434">
        <f>SUM(AlimentsRationVolaillesMâles[[#This Row],[Valeur 6 et plus]:[Valeur 0-1]])</f>
        <v>0</v>
      </c>
      <c r="DE83" s="316"/>
      <c r="DF83" s="277"/>
      <c r="DG83" s="420"/>
      <c r="DH83" s="433">
        <f t="array" ref="DH8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83" s="433">
        <f t="array" ref="DI8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83" s="433">
        <f t="array" ref="DJ8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83" s="434">
        <f>SUM(AlimentsRationPintadesMâles[[#This Row],[Valeur 9 et plus]:[Valeur 0-1]])</f>
        <v>0</v>
      </c>
      <c r="DL83" s="316"/>
      <c r="DM83" s="316"/>
      <c r="DN83" s="373" t="s">
        <v>622</v>
      </c>
      <c r="DO83" s="280" t="s">
        <v>500</v>
      </c>
      <c r="DP83" s="280" t="s">
        <v>886</v>
      </c>
      <c r="DQ83" s="310">
        <v>1.2</v>
      </c>
      <c r="DR83" s="310">
        <v>0.8</v>
      </c>
      <c r="DS83" s="310">
        <v>0.6</v>
      </c>
      <c r="DT83" s="439">
        <v>0.4</v>
      </c>
      <c r="DU83" s="298"/>
      <c r="DV83" s="350" t="str">
        <f t="shared" si="23"/>
        <v>Canola</v>
      </c>
      <c r="DW83" s="351">
        <f t="array" ref="DW83">SUM((IF(QualitéAlimentsFaonMâle_0_3_mois=BONNE,VLOOKUP("Canola",AlimentsRationHivernaleDaims,8,FALSE),0)+(IF(QualitéAlimentsFaonFemelle_0_3_mois=BONNE,VLOOKUP("Canola",AlimentsRationHivernaleDaims,8,FALSE),0)+(IF(QualitéAlimentsFaonMâle_3_6_mois=BONNE,VLOOKUP("Canola",AlimentsRationHivernaleDaims,7,FALSE),0)+(IF(QualitéAlimentsFaonFemelle_3_6_mois=BONNE,VLOOKUP("Canola",AlimentsRationHivernaleDaims,7,FALSE),0)+(IF(QualitéAlimentsFaonMâle_6_12_mois=BONNE,VLOOKUP("Canola",AlimentsRationHivernaleDaims,6,FALSE),0)+(IF(QualitéAlimentsFaonFemelle_6_12_mois=BONNE,VLOOKUP("Canola",AlimentsRationHivernaleDaims,6,FALSE),0)+(IF(QualitéAlimentsJeuneDaim_12_18_mois=BONNE,VLOOKUP("Canola",AlimentsRationHivernaleDaims,5,FALSE),0)+(IF(QualitéAlimentsJeuneDaine_12_18_mois=BONNE,VLOOKUP("Canola",AlimentsRationHivernaleDaims,5,FALSE),0)+(IF(QualitéAlimentsJeuneDaim_18_24_mois=BONNE,VLOOKUP("Canola",AlimentsRationHivernaleDaims,4,FALSE),0)+(IF(QualitéAlimentsJeuneDaine_18_24_mois=BONNE,VLOOKUP("Canola",AlimentsRationHivernaleDaims,4,FALSE),0)+(IF(QualitéAlimentsJeuneDaim_24_36_mois=BONNE,VLOOKUP("Canola",AlimentsRationHivernaleDaims,3,FALSE),0)+(IF(QualitéAlimentsJeuneDaine_24_36_mois=BONNE,VLOOKUP("Canola",AlimentsRationHivernaleDaims,3,FALSE),0)+(IF(QualitéAlimentsDaim=BONNE,VLOOKUP("Canola",AlimentsRationHivernaleDaims,2,FALSE),0)+(IF(QualitéAlimentsDaine=BONNE,VLOOKUP("Canola",AlimentsRationHivernaleDaims,2,FALSE),0))))))))))))))))</f>
        <v>0</v>
      </c>
      <c r="DX83" s="351">
        <f t="array" ref="DX83">SUM((IF(QualitéAlimentsFaonMâle_0_3_mois=MOYENNE,VLOOKUP("Canola",AlimentsRationHivernaleDaims,8,FALSE),0)+(IF(QualitéAlimentsFaonFemelle_0_3_mois=MOYENNE,VLOOKUP("Canola",AlimentsRationHivernaleDaims,8,FALSE),0)+(IF(QualitéAlimentsFaonMâle_3_6_mois=MOYENNE,VLOOKUP("Canola",AlimentsRationHivernaleDaims,7,FALSE),0)+(IF(QualitéAlimentsFaonFemelle_3_6_mois=MOYENNE,VLOOKUP("Canola",AlimentsRationHivernaleDaims,7,FALSE),0)+(IF(QualitéAlimentsFaonMâle_6_12_mois=MOYENNE,VLOOKUP("Canola",AlimentsRationHivernaleDaims,6,FALSE),0)+(IF(QualitéAlimentsFaonFemelle_6_12_mois=MOYENNE,VLOOKUP("Canola",AlimentsRationHivernaleDaims,6,FALSE),0)+(IF(QualitéAlimentsJeuneDaim_12_18_mois=MOYENNE,VLOOKUP("Canola",AlimentsRationHivernaleDaims,5,FALSE),0)+(IF(QualitéAlimentsJeuneDaine_12_18_mois=MOYENNE,VLOOKUP("Canola",AlimentsRationHivernaleDaims,5,FALSE),0)+(IF(QualitéAlimentsJeuneDaim_18_24_mois=MOYENNE,VLOOKUP("Canola",AlimentsRationHivernaleDaims,4,FALSE),0)+(IF(QualitéAlimentsJeuneDaine_18_24_mois=MOYENNE,VLOOKUP("Canola",AlimentsRationHivernaleDaims,4,FALSE),0)+(IF(QualitéAlimentsJeuneDaim_24_36_mois=MOYENNE,VLOOKUP("Canola",AlimentsRationHivernaleDaims,3,FALSE),0)+(IF(QualitéAlimentsJeuneDaine_24_36_mois=MOYENNE,VLOOKUP("Canola",AlimentsRationHivernaleDaims,3,FALSE),0)+(IF(QualitéAlimentsDaim=MOYENNE,VLOOKUP("Canola",AlimentsRationHivernaleDaims,2,FALSE),0)+(IF(QualitéAlimentsDaine=MOYENNE,VLOOKUP("Canola",AlimentsRationHivernaleDaims,2,FALSE),0))))))))))))))))</f>
        <v>0</v>
      </c>
      <c r="DY83" s="351">
        <f t="array" ref="DY83">SUM((IF(QualitéAlimentsFaonMâle_0_3_mois=MAUVAISE,VLOOKUP("Canola",AlimentsRationHivernaleDaims,8,FALSE),0)+(IF(QualitéAlimentsFaonFemelle_0_3_mois=MAUVAISE,VLOOKUP("Canola",AlimentsRationHivernaleDaims,8,FALSE),0)+(IF(QualitéAlimentsFaonMâle_3_6_mois=MAUVAISE,VLOOKUP("Canola",AlimentsRationHivernaleDaims,7,FALSE),0)+(IF(QualitéAlimentsFaonFemelle_3_6_mois=MAUVAISE,VLOOKUP("Canola",AlimentsRationHivernaleDaims,7,FALSE),0)+(IF(QualitéAlimentsFaonMâle_6_12_mois=MAUVAISE,VLOOKUP("Canola",AlimentsRationHivernaleDaims,6,FALSE),0)+(IF(QualitéAlimentsFaonFemelle_6_12_mois=MAUVAISE,VLOOKUP("Canola",AlimentsRationHivernaleDaims,6,FALSE),0)+(IF(QualitéAlimentsJeuneDaim_12_18_mois=MAUVAISE,VLOOKUP("Canola",AlimentsRationHivernaleDaims,5,FALSE),0)+(IF(QualitéAlimentsJeuneDaine_12_18_mois=MAUVAISE,VLOOKUP("Canola",AlimentsRationHivernaleDaims,5,FALSE),0)+(IF(QualitéAlimentsJeuneDaim_18_24_mois=MAUVAISE,VLOOKUP("Canola",AlimentsRationHivernaleDaims,4,FALSE),0)+(IF(QualitéAlimentsJeuneDaine_18_24_mois=MAUVAISE,VLOOKUP("Canola",AlimentsRationHivernaleDaims,4,FALSE),0)+(IF(QualitéAlimentsJeuneDaim_24_36_mois=MAUVAISE,VLOOKUP("Canola",AlimentsRationHivernaleDaims,3,FALSE),0)+(IF(QualitéAlimentsJeuneDaine_24_36_mois=MAUVAISE,VLOOKUP("Canola",AlimentsRationHivernaleDaims,3,FALSE),0)+(IF(QualitéAlimentsDaim=MAUVAISE,VLOOKUP("Canola",AlimentsRationHivernaleDaims,2,FALSE),0)+(IF(QualitéAlimentsDaine=MAUVAISE,VLOOKUP("Canola",AlimentsRationHivernaleDaims,2,FALSE),0))))))))))))))))</f>
        <v>0</v>
      </c>
      <c r="DZ83" s="298"/>
      <c r="EA83" s="298"/>
      <c r="EB83" s="298"/>
      <c r="EC83" s="298"/>
      <c r="ED83" s="298"/>
      <c r="EE83" s="298"/>
      <c r="EG83" s="420" t="s">
        <v>907</v>
      </c>
      <c r="EH83" s="433">
        <f t="array" ref="EH8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83" s="433">
        <f t="array" ref="EI8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83" s="433">
        <f t="array" ref="EJ8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83" s="434">
        <f>SUM(AlimentsRationOiesMâles[[#This Row],[Valeur 6 et plus]:[Valeur 0-3]])</f>
        <v>0</v>
      </c>
      <c r="EL83" s="316"/>
      <c r="EN83" s="420" t="s">
        <v>908</v>
      </c>
      <c r="EO83" s="433">
        <f t="array" ref="EO83">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83" s="433">
        <f t="array" ref="EP83">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83" s="433">
        <f t="array" ref="EQ83">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83" s="434">
        <f>SUM(Ration_canards_Mâles[[#This Row],[Valeur 6 et plus]:[Valeur 0-3]])</f>
        <v>0</v>
      </c>
      <c r="ES83" s="316"/>
      <c r="EU83" s="457" t="s">
        <v>59</v>
      </c>
      <c r="EV83" s="458">
        <f t="array" ref="EV83">IF(OR(ChoixRationComplèteEtéChevauxSelle=OUI,ChoixRationComplèteEtéChevauxSelle="",AND(ChoixChevauxSellePréHiver=OUI,ChoixChevauxSellePréEté=OUI)),0,IFERROR(IF(OR(AND(INDEX(Règles_chevaux_selle[Specificite],MATCH(RationEtéChevauxSelle&amp;$EU83,Règles_chevaux_selle[Ration]&amp;Règles_chevaux_selle[Aliment],0))="s1",IF($EU83=Spécificité1ChevauxSelle,1)),
AND(INDEX(Règles_chevaux_selle[Specificite],MATCH(RationEtéChevauxSelle&amp;$EU83,Règles_chevaux_selle[Ration]&amp;Règles_chevaux_selle[Aliment],0))="s2",IF($EU83=Spécificité2ChevauxSelle,1)),
INDEX(Règles_chevaux_selle[Specificite],MATCH(RationEtéChevauxSelle&amp;$EU83,Règles_chevaux_selle[Ration]&amp;Règles_chevaux_selle[Aliment],0))="c"),
INDEX(Règles_chevaux_selle[Valeur 36 et plus],MATCH(RationEtéChevauxSelle&amp;$EU83,Règles_chevaux_selle[Ration]&amp;Règles_chevaux_selle[Aliment],0)),0),0)*TotalEtalonSelle*NbreJoursNourrirChevauxSelle)</f>
        <v>0</v>
      </c>
      <c r="EW83" s="458">
        <f t="array" ref="EW83">IF(OR(ChoixRationComplèteEtéChevauxSelle=OUI,ChoixRationComplèteEtéChevauxSelle="",AND(ChoixChevauxSellePréHiver=OUI,ChoixChevauxSellePréEté=OUI)),0,IFERROR(IF(OR(AND(INDEX(Règles_chevaux_selle[Specificite],MATCH(RationEtéChevauxSelle&amp;$EU83,Règles_chevaux_selle[Ration]&amp;Règles_chevaux_selle[Aliment],0))="s1",IF($EU83=Spécificité1ChevauxSelle,1)),
AND(INDEX(Règles_chevaux_selle[Specificite],MATCH(RationEtéChevauxSelle&amp;$EU83,Règles_chevaux_selle[Ration]&amp;Règles_chevaux_selle[Aliment],0))="s2",IF($EU83=Spécificité2ChevauxSelle,1)),
INDEX(Règles_chevaux_selle[Specificite],MATCH(RationEtéChevauxSelle&amp;$EU83,Règles_chevaux_selle[Ration]&amp;Règles_chevaux_selle[Aliment],0))="c"),
INDEX(Règles_chevaux_selle[Valeur 24-36],MATCH(RationEtéChevauxSelle&amp;$EU83,Règles_chevaux_selle[Ration]&amp;Règles_chevaux_selle[Aliment],0)),0),0)*TotalJeuneEtalonSelle_24_36_mois*NbreJoursNourrirChevauxSelle)</f>
        <v>0</v>
      </c>
      <c r="EX83" s="458">
        <f t="array" ref="EX83">IF(OR(ChoixRationComplèteEtéChevauxSelle=OUI,ChoixRationComplèteEtéChevauxSelle="",AND(ChoixChevauxSellePréHiver=OUI,ChoixChevauxSellePréEté=OUI)),0,IFERROR(IF(OR(AND(INDEX(Règles_chevaux_selle[Specificite],MATCH(RationEtéChevauxSelle&amp;$EU83,Règles_chevaux_selle[Ration]&amp;Règles_chevaux_selle[Aliment],0))="s1",IF($EU83=Spécificité1ChevauxSelle,1)),
AND(INDEX(Règles_chevaux_selle[Specificite],MATCH(RationEtéChevauxSelle&amp;$EU83,Règles_chevaux_selle[Ration]&amp;Règles_chevaux_selle[Aliment],0))="s2",IF($EU83=Spécificité2ChevauxSelle,1)),
INDEX(Règles_chevaux_selle[Specificite],MATCH(RationEtéChevauxSelle&amp;$EU83,Règles_chevaux_selle[Ration]&amp;Règles_chevaux_selle[Aliment],0))="c"),
INDEX(Règles_chevaux_selle[Valeur 12-24],MATCH(RationEtéChevauxSelle&amp;$EU83,Règles_chevaux_selle[Ration]&amp;Règles_chevaux_selle[Aliment],0)),0),0)*TotalJeuneEtalonSelle_12_24_mois*NbreJoursNourrirChevauxSelle)</f>
        <v>0</v>
      </c>
      <c r="EY83" s="460">
        <f t="array" ref="EY83">IF(OR(ChoixRationComplèteEtéChevauxSelle=OUI,ChoixRationComplèteEtéChevauxSelle="",AND(ChoixChevauxSellePréHiver=OUI,ChoixChevauxSellePréEté=OUI)),0,IFERROR(IF(OR(AND(INDEX(Règles_chevaux_selle[Specificite],MATCH(RationEtéChevauxSelle&amp;$EU83,Règles_chevaux_selle[Ration]&amp;Règles_chevaux_selle[Aliment],0))="s1",IF($EU83=Spécificité1ChevauxSelle,1)),
AND(INDEX(Règles_chevaux_selle[Specificite],MATCH(RationEtéChevauxSelle&amp;$EU83,Règles_chevaux_selle[Ration]&amp;Règles_chevaux_selle[Aliment],0))="s2",IF($EU83=Spécificité2ChevauxSelle,1)),
INDEX(Règles_chevaux_selle[Specificite],MATCH(RationEtéChevauxSelle&amp;$EU83,Règles_chevaux_selle[Ration]&amp;Règles_chevaux_selle[Aliment],0))="c"),
INDEX(Règles_chevaux_selle[Valeur 0-12],MATCH(RationEtéChevauxSelle&amp;$EU83,Règles_chevaux_selle[Ration]&amp;Règles_chevaux_selle[Aliment],0)),0),0)*TotalPoulainSelle_0_12_mois*NbreJoursNourrirChevauxSelle)</f>
        <v>0</v>
      </c>
      <c r="EZ83" s="460">
        <f t="shared" si="16"/>
        <v>0</v>
      </c>
      <c r="FD83" s="457" t="s">
        <v>231</v>
      </c>
      <c r="FE83" s="458">
        <f t="array" ref="FE83">IF(OR(ChoixRationComplèteEtéChevauxTrait=OUI,ChoixRationComplèteEtéChevauxTrait="",AND(ChoixChevauxTraitPréHiver=OUI,ChoixChevauxTraitPréEté=OUI)),0,IFERROR(IF(OR(AND(INDEX(Règles_chevaux_trait[Specificite],MATCH(RationEtéChevauxTrait&amp;$FD83,Règles_chevaux_trait[Ration]&amp;Règles_chevaux_trait[Aliment],0))="s1",IF($FD83=Spécificité1ChevauxTrait,1)),
AND(INDEX(Règles_chevaux_trait[Specificite],MATCH(RationEtéChevauxTrait&amp;$FD83,Règles_chevaux_trait[Ration]&amp;Règles_chevaux_trait[Aliment],0))="s2",IF($FD83=Spécificité2ChevauxTrait,1)),
INDEX(Règles_chevaux_trait[Specificite],MATCH(RationEtéChevauxTrait&amp;$FD83,Règles_chevaux_trait[Ration]&amp;Règles_chevaux_trait[Aliment],0))="c"),
INDEX(Règles_chevaux_trait[Valeur 36 et plus],MATCH(RationEtéChevauxTrait&amp;$FD83,Règles_chevaux_trait[Ration]&amp;Règles_chevaux_trait[Aliment],0)),0),0)*TotalEtalonTrait*NbreJoursNourrirChevauxTrait)</f>
        <v>0</v>
      </c>
      <c r="FF83" s="458">
        <f t="array" ref="FF83">IF(OR(ChoixRationComplèteEtéChevauxTrait=OUI,ChoixRationComplèteEtéChevauxTrait="",AND(ChoixChevauxTraitPréHiver=OUI,ChoixChevauxTraitPréEté=OUI)),0,IFERROR(IF(OR(AND(INDEX(Règles_chevaux_trait[Specificite],MATCH(RationEtéChevauxTrait&amp;$FD83,Règles_chevaux_trait[Ration]&amp;Règles_chevaux_trait[Aliment],0))="s1",IF($FD83=Spécificité1ChevauxTrait,1)),
AND(INDEX(Règles_chevaux_trait[Specificite],MATCH(RationEtéChevauxTrait&amp;$FD83,Règles_chevaux_trait[Ration]&amp;Règles_chevaux_trait[Aliment],0))="s2",IF($FD83=Spécificité2ChevauxTrait,1)),
INDEX(Règles_chevaux_trait[Specificite],MATCH(RationEtéChevauxTrait&amp;$FD83,Règles_chevaux_trait[Ration]&amp;Règles_chevaux_trait[Aliment],0))="c"),
INDEX(Règles_chevaux_trait[Valeur 24-36],MATCH(RationEtéChevauxTrait&amp;$FD83,Règles_chevaux_trait[Ration]&amp;Règles_chevaux_trait[Aliment],0)),0),0)*TotalJeuneEtalonTrait_24_36_mois*NbreJoursNourrirChevauxTrait)</f>
        <v>0</v>
      </c>
      <c r="FG83" s="458">
        <f t="array" ref="FG83">IF(OR(ChoixRationComplèteEtéChevauxTrait=OUI,ChoixRationComplèteEtéChevauxTrait="",AND(ChoixChevauxTraitPréHiver=OUI,ChoixChevauxTraitPréEté=OUI)),0,IFERROR(IF(OR(AND(INDEX(Règles_chevaux_trait[Specificite],MATCH(RationEtéChevauxTrait&amp;$FD83,Règles_chevaux_trait[Ration]&amp;Règles_chevaux_trait[Aliment],0))="s1",IF($FD83=Spécificité1ChevauxTrait,1)),
AND(INDEX(Règles_chevaux_trait[Specificite],MATCH(RationEtéChevauxTrait&amp;$FD83,Règles_chevaux_trait[Ration]&amp;Règles_chevaux_trait[Aliment],0))="s2",IF($FD83=Spécificité2ChevauxTrait,1)),
INDEX(Règles_chevaux_trait[Specificite],MATCH(RationEtéChevauxTrait&amp;$FD83,Règles_chevaux_trait[Ration]&amp;Règles_chevaux_trait[Aliment],0))="c"),
INDEX(Règles_chevaux_trait[Valeur 12-24],MATCH(RationEtéChevauxTrait&amp;$FD83,Règles_chevaux_trait[Ration]&amp;Règles_chevaux_trait[Aliment],0)),0),0)*TotalJeuneEtalonTrait_12_24_mois*NbreJoursNourrirChevauxTrait)</f>
        <v>0</v>
      </c>
      <c r="FH83" s="460">
        <f t="array" ref="FH83">IF(OR(ChoixRationComplèteEtéChevauxTrait=OUI,ChoixRationComplèteEtéChevauxTrait="",AND(ChoixChevauxTraitPréHiver=OUI,ChoixChevauxTraitPréEté=OUI)),0,IFERROR(IF(OR(AND(INDEX(Règles_chevaux_trait[Specificite],MATCH(RationEtéChevauxTrait&amp;$FD83,Règles_chevaux_trait[Ration]&amp;Règles_chevaux_trait[Aliment],0))="s1",IF($FD83=Spécificité1ChevauxTrait,1)),
AND(INDEX(Règles_chevaux_trait[Specificite],MATCH(RationEtéChevauxTrait&amp;$FD83,Règles_chevaux_trait[Ration]&amp;Règles_chevaux_trait[Aliment],0))="s2",IF($FD83=Spécificité2ChevauxTrait,1)),
INDEX(Règles_chevaux_trait[Specificite],MATCH(RationEtéChevauxTrait&amp;$FD83,Règles_chevaux_trait[Ration]&amp;Règles_chevaux_trait[Aliment],0))="c"),
INDEX(Règles_chevaux_trait[Valeur 0-12],MATCH(RationEtéChevauxTrait&amp;$FD83,Règles_chevaux_trait[Ration]&amp;Règles_chevaux_trait[Aliment],0)),0),0)*TotalPoulainTrait_0_12_mois*NbreJoursNourrirChevauxTrait)</f>
        <v>0</v>
      </c>
      <c r="FI83" s="460">
        <f t="shared" si="15"/>
        <v>0</v>
      </c>
      <c r="FN83" s="457" t="s">
        <v>907</v>
      </c>
      <c r="FO83" s="458">
        <f t="array" ref="FO83">IF(OR(ChoixRationComplèteEtéPoneys=OUI,ChoixRationComplèteEtéPoneys="",AND(ChoixPoneysPréHiver=OUI,ChoixPoneysPréEté=OUI)),0,IFERROR(IF(OR(AND(INDEX(Règles_poneys[Specificite],MATCH(RationEtéPoneys&amp;$FN83,Règles_poneys[Ration]&amp;Règles_poneys[Aliment],0))="s1",IF($FN83=Spécificité1Poneys,1)),
AND(INDEX(Règles_poneys[Specificite],MATCH(RationEtéPoneys&amp;$FN83,Règles_poneys[Ration]&amp;Règles_poneys[Aliment],0))="s2",IF($FN83=Spécificité2Poneys,1)),
INDEX(Règles_poneys[Specificite],MATCH(RationEtéPoneys&amp;$FN83,Règles_poneys[Ration]&amp;Règles_poneys[Aliment],0))="c"),
INDEX(Règles_poneys[Valeur 36 et plus],MATCH(RationEtéPoneys&amp;$FN83,Règles_poneys[Ration]&amp;Règles_poneys[Aliment],0)),0),0)*TotalEtalonPoney*NbreJoursNourrirPoneys)</f>
        <v>0</v>
      </c>
      <c r="FP83" s="458">
        <f t="array" ref="FP83">IF(OR(ChoixRationComplèteEtéPoneys=OUI,ChoixRationComplèteEtéPoneys="",AND(ChoixPoneysPréHiver=OUI,ChoixPoneysPréEté=OUI)),0,IFERROR(IF(OR(AND(INDEX(Règles_poneys[Specificite],MATCH(RationEtéPoneys&amp;$FN83,Règles_poneys[Ration]&amp;Règles_poneys[Aliment],0))="s1",IF($FN83=Spécificité1Poneys,1)),
AND(INDEX(Règles_poneys[Specificite],MATCH(RationEtéPoneys&amp;$FN83,Règles_poneys[Ration]&amp;Règles_poneys[Aliment],0))="s2",IF($FN83=Spécificité2Poneys,1)),
INDEX(Règles_poneys[Specificite],MATCH(RationEtéPoneys&amp;$FN83,Règles_poneys[Ration]&amp;Règles_poneys[Aliment],0))="c"),
INDEX(Règles_poneys[Valeur 36 et plus],MATCH(RationEtéPoneys&amp;$FN83,Règles_poneys[Ration]&amp;Règles_poneys[Aliment],0)),0),0)*TotalJeuneEtalonPoney_24_36_mois*NbreJoursNourrirPoneys)</f>
        <v>0</v>
      </c>
      <c r="FQ83" s="458">
        <f t="array" ref="FQ83">IF(OR(ChoixRationComplèteEtéPoneys=OUI,ChoixRationComplèteEtéPoneys="",AND(ChoixPoneysPréHiver=OUI,ChoixPoneysPréEté=OUI)),0,IFERROR(IF(OR(AND(INDEX(Règles_poneys[Specificite],MATCH(RationEtéPoneys&amp;$FN83,Règles_poneys[Ration]&amp;Règles_poneys[Aliment],0))="s1",IF($FN83=Spécificité1Poneys,1)),
AND(INDEX(Règles_poneys[Specificite],MATCH(RationEtéPoneys&amp;$FN83,Règles_poneys[Ration]&amp;Règles_poneys[Aliment],0))="s2",IF($FN83=Spécificité2Poneys,1)),
INDEX(Règles_poneys[Specificite],MATCH(RationEtéPoneys&amp;$FN83,Règles_poneys[Ration]&amp;Règles_poneys[Aliment],0))="c"),
INDEX(Règles_poneys[Valeur 36 et plus],MATCH(RationEtéPoneys&amp;$FN83,Règles_poneys[Ration]&amp;Règles_poneys[Aliment],0)),0),0)*TotalJeuneEtalonPoney_12_24_mois*NbreJoursNourrirPoneys)</f>
        <v>0</v>
      </c>
      <c r="FR83" s="460">
        <f t="array" ref="FR83">IF(OR(ChoixRationComplèteEtéPoneys=OUI,ChoixRationComplèteEtéPoneys="",AND(ChoixPoneysPréHiver=OUI,ChoixPoneysPréEté=OUI)),0,IFERROR(IF(OR(AND(INDEX(Règles_poneys[Specificite],MATCH(RationEtéPoneys&amp;$FN83,Règles_poneys[Ration]&amp;Règles_poneys[Aliment],0))="s1",IF($FN83=Spécificité1Poneys,1)),
AND(INDEX(Règles_poneys[Specificite],MATCH(RationEtéPoneys&amp;$FN83,Règles_poneys[Ration]&amp;Règles_poneys[Aliment],0))="s2",IF($FN83=Spécificité2Poneys,1)),
INDEX(Règles_poneys[Specificite],MATCH(RationEtéPoneys&amp;$FN83,Règles_poneys[Ration]&amp;Règles_poneys[Aliment],0))="c"),
INDEX(Règles_poneys[Valeur 36 et plus],MATCH(RationEtéPoneys&amp;$FN83,Règles_poneys[Ration]&amp;Règles_poneys[Aliment],0)),0),0)*TotalPoulainPoney_0_12_mois*NbreJoursNourrirPoneys)</f>
        <v>0</v>
      </c>
      <c r="FS83" s="460">
        <f t="shared" si="14"/>
        <v>0</v>
      </c>
      <c r="FW83" s="335" t="s">
        <v>942</v>
      </c>
      <c r="FX83" s="343"/>
      <c r="FY83" s="343"/>
      <c r="FZ83" s="343"/>
      <c r="GA83" s="335"/>
      <c r="GB83" s="335"/>
      <c r="GG83" s="276" t="s">
        <v>955</v>
      </c>
      <c r="GH83" s="276" t="s">
        <v>955</v>
      </c>
      <c r="GI83" s="276" t="s">
        <v>955</v>
      </c>
      <c r="GJ83" s="276" t="s">
        <v>955</v>
      </c>
      <c r="GK83" s="276" t="s">
        <v>955</v>
      </c>
      <c r="GL83" s="276" t="s">
        <v>955</v>
      </c>
      <c r="GM83" s="276" t="s">
        <v>955</v>
      </c>
      <c r="GN83" s="276" t="s">
        <v>955</v>
      </c>
      <c r="GO83" s="276" t="s">
        <v>955</v>
      </c>
      <c r="GP83" s="276" t="s">
        <v>955</v>
      </c>
      <c r="GQ83" s="276" t="s">
        <v>955</v>
      </c>
      <c r="GR83" s="276" t="s">
        <v>955</v>
      </c>
      <c r="GS83" s="276" t="s">
        <v>955</v>
      </c>
      <c r="GT83" s="276" t="s">
        <v>955</v>
      </c>
      <c r="GU83" s="276" t="s">
        <v>955</v>
      </c>
      <c r="GV83" s="276" t="s">
        <v>955</v>
      </c>
      <c r="GY83" s="444" t="str">
        <f t="shared" ref="GY83:GY94" si="24">GH3</f>
        <v>engrais pêchers</v>
      </c>
      <c r="GZ83" s="444"/>
      <c r="HA83" s="342"/>
      <c r="HB83" s="342" t="e">
        <f>IF(COUNTIF(TypeArticleDansEntrepôt,GY83)=0,0,SUMIF(TypeArticleDansEntrepôt,GY83,QtéArticleDansEntrepôt)*VLOOKUP(GY83,#REF!,2,FALSE))</f>
        <v>#REF!</v>
      </c>
      <c r="HN83" s="342" t="e">
        <f>IF(#REF!="","",(VLOOKUP(#REF!,BDD!$HN$5:$HU$38,2,FALSE))*#REF!)</f>
        <v>#REF!</v>
      </c>
      <c r="HO83" s="342" t="e">
        <f>IF(#REF!="","",IF(OR(#REF!=Moutarde,#REF!=Phacélie),0,IF(#REF!=Luzerne,10*#REF!*VLOOKUP(#REF!,BDD!$HN$5:$HU$38,3,FALSE),IF(#REF!=Miscanthus,10.5*#REF!*VLOOKUP(#REF!,BDD!$HN$5:$HU$38,3,FALSE),INDEX(#REF!:#REF!,MATCH(#REF!,#REF!:#REF!,0),MATCH(#REF!,#REF!:#REF!,0))*#REF!*VLOOKUP(#REF!,BDD!$HN$5:$HU$38,3,FALSE)))))</f>
        <v>#REF!</v>
      </c>
      <c r="HP83" s="342" t="e">
        <f>IF(#REF!="","",IF(OR(#REF!=Moutarde,#REF!=Phacélie),0,IF(#REF!=Luzerne,10*#REF!*VLOOKUP(#REF!,BDD!$HN$5:$HU$38,4,FALSE),IF(#REF!=Miscanthus,10.5*#REF!*VLOOKUP(#REF!,BDD!$HN$5:$HU$38,4,FALSE),INDEX(#REF!:#REF!,MATCH(#REF!,#REF!:#REF!,0),MATCH(#REF!,#REF!:#REF!,0))*#REF!*VLOOKUP(#REF!,BDD!$HN$5:$HU$38,4,FALSE)))))</f>
        <v>#REF!</v>
      </c>
      <c r="HQ83" s="342" t="e">
        <f>IF(#REF!="","",IF(OR(#REF!=Moutarde,#REF!=Phacélie),0,IF(#REF!=Luzerne,10*#REF!*VLOOKUP(#REF!,BDD!$HN$5:$HU$38,5,FALSE),IF(#REF!=Miscanthus,10.5*#REF!*VLOOKUP(#REF!,BDD!$HN$5:$HU$38,5,FALSE),INDEX(#REF!:#REF!,MATCH(#REF!,#REF!:#REF!,0),MATCH(#REF!,#REF!:#REF!,0))*#REF!*VLOOKUP(#REF!,BDD!$HN$5:$HU$38,5,FALSE)))))</f>
        <v>#REF!</v>
      </c>
      <c r="HR83" s="342" t="e">
        <f>IF(#REF!="","",IF(OR(#REF!=Moutarde,#REF!=Phacélie),0,IF(#REF!=Luzerne,10*#REF!*VLOOKUP(#REF!,BDD!$HN$5:$HU$38,6,FALSE),IF(#REF!=Miscanthus,10.5*#REF!*VLOOKUP(#REF!,BDD!$HN$5:$HU$38,6,FALSE),INDEX(#REF!:#REF!,MATCH(#REF!,#REF!:#REF!,0),MATCH(#REF!,#REF!:#REF!,0))*#REF!*VLOOKUP(#REF!,BDD!$HN$5:$HU$38,6,FALSE)))))</f>
        <v>#REF!</v>
      </c>
      <c r="HS83" s="342" t="e">
        <f>IF(#REF!="","",IF(OR(#REF!=Moutarde,#REF!=Phacélie),0,IF(#REF!=Luzerne,10*#REF!*VLOOKUP(#REF!,BDD!$HN$5:$HU$38,7,FALSE),IF(#REF!=Miscanthus,10.5*#REF!*VLOOKUP(#REF!,BDD!$HN$5:$HU$38,7,FALSE),INDEX(#REF!:#REF!,MATCH(#REF!,#REF!:#REF!,0),MATCH(#REF!,#REF!:#REF!,0))*#REF!*VLOOKUP(#REF!,BDD!$HN$5:$HU$38,7,FALSE)))))</f>
        <v>#REF!</v>
      </c>
      <c r="HT83" s="342" t="e">
        <f>IF(#REF!="","",IF(OR(#REF!=Moutarde,#REF!=Phacélie),0,IF(#REF!=Luzerne,10*#REF!*VLOOKUP(#REF!,BDD!$HN$5:$HU$38,8,FALSE),IF(#REF!=Miscanthus,10.5*#REF!*VLOOKUP(#REF!,BDD!$HN$5:$HU$38,8,FALSE),INDEX(#REF!:#REF!,MATCH(#REF!,#REF!:#REF!,0),MATCH(#REF!,#REF!:#REF!,0))*#REF!*VLOOKUP(#REF!,BDD!$HN$5:$HU$38,8,FALSE)))))</f>
        <v>#REF!</v>
      </c>
      <c r="HU83" s="342" t="e">
        <f>IF(#REF!="","",IF(OR(#REF!=Moutarde,#REF!=Phacélie),0,1.6*#REF!))</f>
        <v>#REF!</v>
      </c>
      <c r="HV83" s="342" t="e">
        <f>IF(#REF!="","",IF(OR(#REF!=Moutarde,#REF!=Phacélie),0,1.6*#REF!))</f>
        <v>#REF!</v>
      </c>
      <c r="HW83" s="342" t="e">
        <f>IF(#REF!="","",IF(OR(#REF!=Moutarde,#REF!=Phacélie),0,1.6*#REF!))</f>
        <v>#REF!</v>
      </c>
      <c r="HX83" s="342" t="e">
        <f>IF(#REF!="","",(VLOOKUP(#REF!,BDD!$HN$5:$HU$38,2,FALSE))*#REF!)</f>
        <v>#REF!</v>
      </c>
      <c r="HY83" s="342" t="e">
        <f>IF(#REF!="","",IF(OR(#REF!=Moutarde,#REF!=Phacélie),0,IF(#REF!=Luzerne,10*#REF!*VLOOKUP(#REF!,BDD!$HN$5:$HU$38,3,FALSE),IF(#REF!=Miscanthus,10.5*#REF!*VLOOKUP(#REF!,BDD!$HN$5:$HU$38,3,FALSE),INDEX(#REF!:#REF!,MATCH(#REF!,#REF!:#REF!,0),MATCH(#REF!,#REF!:#REF!,0))*#REF!*VLOOKUP(#REF!,BDD!$HN$5:$HU$38,3,FALSE)))))</f>
        <v>#REF!</v>
      </c>
      <c r="HZ83" s="342" t="e">
        <f>IF(#REF!="","",IF(OR(#REF!=Moutarde,#REF!=Phacélie),0,IF(#REF!=Luzerne,10*#REF!*VLOOKUP(#REF!,BDD!$HN$5:$HU$38,4,FALSE),IF(#REF!=Miscanthus,10.5*#REF!*VLOOKUP(#REF!,BDD!$HN$5:$HU$38,4,FALSE),INDEX(#REF!:#REF!,MATCH(#REF!,#REF!:#REF!,0),MATCH(#REF!,#REF!:#REF!,0))*#REF!*VLOOKUP(#REF!,BDD!$HN$5:$HU$38,4,FALSE)))))</f>
        <v>#REF!</v>
      </c>
      <c r="IA83" s="342" t="e">
        <f>IF(#REF!="","",IF(OR(#REF!=Moutarde,#REF!=Phacélie),0,IF(#REF!=Luzerne,10*#REF!*VLOOKUP(#REF!,BDD!$HN$5:$HU$38,5,FALSE),IF(#REF!=Miscanthus,10.5*#REF!*VLOOKUP(#REF!,BDD!$HN$5:$HU$38,5,FALSE),INDEX(#REF!:#REF!,MATCH(#REF!,#REF!:#REF!,0),MATCH(#REF!,#REF!:#REF!,0))*#REF!*VLOOKUP(#REF!,BDD!$HN$5:$HU$38,5,FALSE)))))</f>
        <v>#REF!</v>
      </c>
      <c r="IB83" s="342" t="e">
        <f>IF(#REF!="","",IF(OR(#REF!=Moutarde,#REF!=Phacélie),0,IF(#REF!=Luzerne,10*#REF!*VLOOKUP(#REF!,BDD!$HN$5:$HU$38,6,FALSE),IF(#REF!=Miscanthus,10.5*#REF!*VLOOKUP(#REF!,BDD!$HN$5:$HU$38,6,FALSE),INDEX(#REF!:#REF!,MATCH(#REF!,#REF!:#REF!,0),MATCH(#REF!,#REF!:#REF!,0))*#REF!*VLOOKUP(#REF!,BDD!$HN$5:$HU$38,6,FALSE)))))</f>
        <v>#REF!</v>
      </c>
      <c r="IC83" s="342" t="e">
        <f>IF(#REF!="","",IF(OR(#REF!=Moutarde,#REF!=Phacélie),0,IF(#REF!=Luzerne,10*#REF!*VLOOKUP(#REF!,BDD!$HN$5:$HU$38,7,FALSE),IF(#REF!=Miscanthus,10.5*#REF!*VLOOKUP(#REF!,BDD!$HN$5:$HU$38,7,FALSE),INDEX(#REF!:#REF!,MATCH(#REF!,#REF!:#REF!,0),MATCH(#REF!,#REF!:#REF!,0))*#REF!*VLOOKUP(#REF!,BDD!$HN$5:$HU$38,7,FALSE)))))</f>
        <v>#REF!</v>
      </c>
      <c r="ID83" s="342" t="e">
        <f>IF(#REF!="","",IF(OR(#REF!=Moutarde,#REF!=Phacélie),0,IF(#REF!=Luzerne,10*#REF!*VLOOKUP(#REF!,BDD!$HN$5:$HU$38,8,FALSE),IF(#REF!=Miscanthus,10.5*#REF!*VLOOKUP(#REF!,BDD!$HN$5:$HU$38,8,FALSE),INDEX(#REF!:#REF!,MATCH(#REF!,#REF!:#REF!,0),MATCH(#REF!,#REF!:#REF!,0))*#REF!*VLOOKUP(#REF!,BDD!$HN$5:$HU$38,8,FALSE)))))</f>
        <v>#REF!</v>
      </c>
      <c r="IE83" s="342" t="e">
        <f>IF(#REF!="","",IF(OR(#REF!=Moutarde,#REF!=Phacélie),0,1.6*#REF!))</f>
        <v>#REF!</v>
      </c>
      <c r="IF83" s="342" t="e">
        <f>IF(#REF!="","",IF(OR(#REF!=Moutarde,#REF!=Phacélie),0,1.6*#REF!))</f>
        <v>#REF!</v>
      </c>
      <c r="IG83" s="342" t="e">
        <f>IF(#REF!="","",IF(OR(#REF!=Moutarde,#REF!=Phacélie),0,1.6*#REF!))</f>
        <v>#REF!</v>
      </c>
    </row>
    <row r="84" spans="1:241" ht="12.75" customHeight="1" x14ac:dyDescent="0.2">
      <c r="A84" s="373"/>
      <c r="B84" s="380"/>
      <c r="F84" s="280"/>
      <c r="G84" s="280"/>
      <c r="H84" s="321"/>
      <c r="I84" s="280"/>
      <c r="J84" s="280"/>
      <c r="K84" s="321"/>
      <c r="L84" s="321"/>
      <c r="O84" s="384" t="s">
        <v>988</v>
      </c>
      <c r="P84" s="283"/>
      <c r="Y84" s="385" t="s">
        <v>1123</v>
      </c>
      <c r="Z84" s="385">
        <f>IF('coût alimentation'!$B$6=$Y$84,9,0)</f>
        <v>0</v>
      </c>
      <c r="AA84" s="385">
        <f>IF('coût alimentation'!$B$6=$Y$84,9,0)</f>
        <v>0</v>
      </c>
      <c r="AB84" s="385">
        <f>IF('coût alimentation'!$B$6=$Y$84,9,0)</f>
        <v>0</v>
      </c>
      <c r="AC84" s="385">
        <f>IF('coût alimentation'!$B$6=$Y$84,9,0)</f>
        <v>0</v>
      </c>
      <c r="AD84" s="385">
        <f>IF('coût alimentation'!$B$6=$Y$84,9,0)</f>
        <v>0</v>
      </c>
      <c r="AE84" s="385">
        <f>IF('coût alimentation'!$B$6=$Y$84,9,0)</f>
        <v>0</v>
      </c>
      <c r="AF84" s="385">
        <f>IF('coût alimentation'!$B$6=$Y$84,9,0)</f>
        <v>0</v>
      </c>
      <c r="AG84" s="385">
        <f>IF('coût alimentation'!$B$6=$Y$84,9,0)</f>
        <v>0</v>
      </c>
      <c r="BB84" s="387" t="s">
        <v>512</v>
      </c>
      <c r="BC84" s="362" t="s">
        <v>510</v>
      </c>
      <c r="BD84" s="362" t="s">
        <v>886</v>
      </c>
      <c r="BE84" s="388">
        <v>28</v>
      </c>
      <c r="BF84" s="388">
        <v>24</v>
      </c>
      <c r="BG84" s="388">
        <v>20</v>
      </c>
      <c r="BH84" s="388">
        <v>16</v>
      </c>
      <c r="BI84" s="388">
        <v>8</v>
      </c>
      <c r="BJ84" s="388">
        <v>4</v>
      </c>
      <c r="BK84" s="389">
        <v>0</v>
      </c>
      <c r="BL84" s="312"/>
      <c r="BM84" s="350" t="str">
        <f t="shared" si="22"/>
        <v>Eau</v>
      </c>
      <c r="BN84" s="350">
        <f t="array" ref="BN84">IF(Ration_hivernale_complète_bisons[somme]&gt;0,0,IFERROR(IF(OR(AND(INDEX(Règles_bison[Specificite],MATCH(ChoixRationBisons&amp;$BM84,Règles_bison[Ration]&amp;Règles_bison[Aliment],0))="s1",IF($BM84=ChoixSpécificité1Bisons,1)),
INDEX(Règles_bison[Specificite],MATCH(ChoixRationBisons&amp;$BM84,Règles_bison[Ration]&amp;Règles_bison[Aliment],0))="c"),
INDEX(Règles_bison[Valeur 36 et plus],MATCH(ChoixRationBisons&amp;$BM84,Règles_bison[Ration]&amp;Règles_bison[Aliment],0)),0),0)*TotalBisonnes*NbreJoursNourrirBisonsDaims)</f>
        <v>0</v>
      </c>
      <c r="BO84" s="350">
        <f t="array" ref="BO84">IF(Ration_hivernale_complète_bisons[somme]&gt;0,0,IFERROR(IF(OR(AND(INDEX(Règles_bison[Specificite],MATCH(ChoixRationBisons&amp;$BM84,Règles_bison[Ration]&amp;Règles_bison[Aliment],0))="s1",IF($BM84=ChoixSpécificité1Bisons,1)),
INDEX(Règles_bison[Specificite],MATCH(ChoixRationBisons&amp;$BM84,Règles_bison[Ration]&amp;Règles_bison[Aliment],0))="c"),
INDEX(Règles_bison[Valeur 24-36],MATCH(ChoixRationBisons&amp;$BM84,Règles_bison[Ration]&amp;Règles_bison[Aliment],0)),0),0)*TotalBisonsFemelles_24_36_mois*NbreJoursNourrirBisonsDaims)</f>
        <v>0</v>
      </c>
      <c r="BP84" s="350">
        <f t="array" ref="BP84">IF(Ration_hivernale_complète_bisons[somme]&gt;0,0,IFERROR(IF(OR(AND(INDEX(Règles_bison[Specificite],MATCH(ChoixRationBisons&amp;$BM84,Règles_bison[Ration]&amp;Règles_bison[Aliment],0))="s1",IF($BM84=ChoixSpécificité1Bisons,1)),
INDEX(Règles_bison[Specificite],MATCH(ChoixRationBisons&amp;$BM84,Règles_bison[Ration]&amp;Règles_bison[Aliment],0))="c"),
INDEX(Règles_bison[Valeur 18-24],MATCH(ChoixRationBisons&amp;$BM84,Règles_bison[Ration]&amp;Règles_bison[Aliment],0)),0),0)*TotalBisonsFemelles_18_24_mois*NbreJoursNourrirBisonsDaims)</f>
        <v>0</v>
      </c>
      <c r="BQ84" s="350">
        <f t="array" ref="BQ84">IF(Ration_hivernale_complète_bisons[somme]&gt;0,0,IFERROR(IF(OR(AND(INDEX(Règles_bison[Specificite],MATCH(ChoixRationBisons&amp;$BM84,Règles_bison[Ration]&amp;Règles_bison[Aliment],0))="s1",IF($BM84=ChoixSpécificité1Bisons,1)),
INDEX(Règles_bison[Specificite],MATCH(ChoixRationBisons&amp;$BM84,Règles_bison[Ration]&amp;Règles_bison[Aliment],0))="c"),
INDEX(Règles_bison[Valeur 12-18],MATCH(ChoixRationBisons&amp;$BM84,Règles_bison[Ration]&amp;Règles_bison[Aliment],0)),0),0)*TotalBisonsFemelles_12_18_mois*NbreJoursNourrirBisonsDaims)</f>
        <v>0</v>
      </c>
      <c r="BR84" s="350">
        <f t="array" ref="BR84">IF(Ration_hivernale_complète_bisons[somme]&gt;0,0,IFERROR(IF(OR(AND(INDEX(Règles_bison[Specificite],MATCH(ChoixRationBisons&amp;$BM84,Règles_bison[Ration]&amp;Règles_bison[Aliment],0))="s1",IF($BM84=ChoixSpécificité1Bisons,1)),
INDEX(Règles_bison[Specificite],MATCH(ChoixRationBisons&amp;$BM84,Règles_bison[Ration]&amp;Règles_bison[Aliment],0))="c"),
INDEX(Règles_bison[Valeur 6-12],MATCH(ChoixRationBisons&amp;$BM84,Règles_bison[Ration]&amp;Règles_bison[Aliment],0)),0),0)*TotalBisonsFemelles_6_12_mois*NbreJoursNourrirBisonsDaims)</f>
        <v>0</v>
      </c>
      <c r="BS84" s="350">
        <f t="array" ref="BS84">IF(Ration_hivernale_complète_bisons[somme]&gt;0,0,IFERROR(IF(OR(AND(INDEX(Règles_bison[Specificite],MATCH(ChoixRationBisons&amp;$BM84,Règles_bison[Ration]&amp;Règles_bison[Aliment],0))="s1",IF($BM84=ChoixSpécificité1Bisons,1)),
INDEX(Règles_bison[Specificite],MATCH(ChoixRationBisons&amp;$BM84,Règles_bison[Ration]&amp;Règles_bison[Aliment],0))="c"),
INDEX(Règles_bison[Valeur 3-6],MATCH(ChoixRationBisons&amp;$BM84,Règles_bison[Ration]&amp;Règles_bison[Aliment],0)),0),0)*TotalBisonsFemelles_3_6_mois*NbreJoursNourrirBisonsDaims)</f>
        <v>0</v>
      </c>
      <c r="BT84" s="350">
        <f t="array" ref="BT84">IF(Ration_hivernale_complète_bisons[somme]&gt;0,0,IFERROR(IF(OR(AND(INDEX(Règles_bison[Specificite],MATCH(ChoixRationBisons&amp;$BM84,Règles_bison[Ration]&amp;Règles_bison[Aliment],0))="s1",IF($BM84=ChoixSpécificité1Bisons,1)),
INDEX(Règles_bison[Specificite],MATCH(ChoixRationBisons&amp;$BM84,Règles_bison[Ration]&amp;Règles_bison[Aliment],0))="c"),
INDEX(Règles_bison[Valeur 0-3],MATCH(ChoixRationBisons&amp;$BM84,Règles_bison[Ration]&amp;Règles_bison[Aliment],0)),0),0)*TotalBisonsFemelles_0_3_mois*NbreJoursNourrirBisonsDaims)</f>
        <v>0</v>
      </c>
      <c r="BU84" s="350">
        <f t="shared" si="21"/>
        <v>0</v>
      </c>
      <c r="BV84" s="282"/>
      <c r="BW84" s="282"/>
      <c r="BX84" s="373" t="s">
        <v>550</v>
      </c>
      <c r="BY84" s="280" t="s">
        <v>489</v>
      </c>
      <c r="BZ84" s="280" t="s">
        <v>886</v>
      </c>
      <c r="CA84" s="280">
        <v>1.6</v>
      </c>
      <c r="CB84" s="280">
        <v>1.4</v>
      </c>
      <c r="CC84" s="280">
        <v>1.2</v>
      </c>
      <c r="CD84" s="410">
        <v>1</v>
      </c>
      <c r="CE84" s="304"/>
      <c r="CF84" s="304"/>
      <c r="CG84" s="304"/>
      <c r="CH84" s="304"/>
      <c r="CJ84" s="428"/>
      <c r="CK84" s="429">
        <f t="array" ref="CK8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Row],[aliment]],Règles_porcins[Ration]&amp;Règles_porcins[Aliment],0)),0),0)*TotalVerrats*NbreJoursNourrirAutres)</f>
        <v>0</v>
      </c>
      <c r="CL84" s="429">
        <f t="array" ref="CL8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Row],[aliment]],Règles_porcins[Ration]&amp;Règles_porcins[Aliment],0)),0),0)*jeune_verrat_6_12_mois*NbreJoursNourrirAutres)</f>
        <v>0</v>
      </c>
      <c r="CM84" s="429">
        <f t="array" ref="CM8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Row],[aliment]],Règles_porcins[Ration]&amp;Règles_porcins[Aliment],0)),0),0)*jeune_verrat_3_6_mois*NbreJoursNourrirAutres)</f>
        <v>0</v>
      </c>
      <c r="CN84" s="429">
        <f t="array" ref="CN8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Row],[aliment]],Règles_porcins[Ration]&amp;Règles_porcins[Aliment],0)),0),0)*porcelet_mâle_1_3_mois*NbreJoursNourrirAutres)</f>
        <v>0</v>
      </c>
      <c r="CO84" s="429">
        <f t="array" ref="CO8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Row],[aliment]],Règles_porcins[Ration]&amp;Règles_porcins[Aliment],0)),0),0)*porcelet_mâle_0_1_mois*NbreJoursNourrirAutres)</f>
        <v>0</v>
      </c>
      <c r="CP84" s="430">
        <f>SUM(AlimentsRationPorcinsMâles[[#This Row],[Valeur 12 et plus]:[Valeur 0-1]])</f>
        <v>0</v>
      </c>
      <c r="CS84" s="420" t="s">
        <v>57</v>
      </c>
      <c r="CT84" s="433">
        <f t="array" ref="CT84">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84" s="433">
        <f t="array" ref="CU84">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84" s="433">
        <f t="array" ref="CV84">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84" s="434">
        <f>SUM(AlimentsRationLapinsMâles[[#This Row],[Valeur 3 et plus]:[Valeur 0-1]])</f>
        <v>0</v>
      </c>
      <c r="CZ84" s="420" t="s">
        <v>57</v>
      </c>
      <c r="DA84" s="433">
        <f t="array" ref="DA8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84" s="433">
        <f t="array" ref="DB8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84" s="433">
        <f t="array" ref="DC8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84" s="434">
        <f>SUM(AlimentsRationVolaillesMâles[[#This Row],[Valeur 6 et plus]:[Valeur 0-1]])</f>
        <v>0</v>
      </c>
      <c r="DE84" s="316"/>
      <c r="DF84" s="277"/>
      <c r="DG84" s="420"/>
      <c r="DH84" s="433">
        <f t="array" ref="DH8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84" s="433">
        <f t="array" ref="DI8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84" s="433">
        <f t="array" ref="DJ8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84" s="434">
        <f>SUM(AlimentsRationPintadesMâles[[#This Row],[Valeur 9 et plus]:[Valeur 0-1]])</f>
        <v>0</v>
      </c>
      <c r="DL84" s="316"/>
      <c r="DM84" s="316"/>
      <c r="DN84" s="373" t="s">
        <v>622</v>
      </c>
      <c r="DO84" s="280" t="s">
        <v>905</v>
      </c>
      <c r="DP84" s="280" t="s">
        <v>886</v>
      </c>
      <c r="DQ84" s="310">
        <v>0.14000000000000001</v>
      </c>
      <c r="DR84" s="310">
        <v>0.08</v>
      </c>
      <c r="DS84" s="310">
        <v>0.04</v>
      </c>
      <c r="DT84" s="439">
        <v>0.04</v>
      </c>
      <c r="DU84" s="298"/>
      <c r="DV84" s="350" t="str">
        <f t="shared" si="23"/>
        <v>Colza</v>
      </c>
      <c r="DW84" s="351">
        <f t="array" ref="DW84">SUM((IF(QualitéAlimentsFaonMâle_0_3_mois=BONNE,VLOOKUP("Colza",AlimentsRationHivernaleDaims,8,FALSE),0)+(IF(QualitéAlimentsFaonFemelle_0_3_mois=BONNE,VLOOKUP("Colza",AlimentsRationHivernaleDaims,8,FALSE),0)+(IF(QualitéAlimentsFaonMâle_3_6_mois=BONNE,VLOOKUP("Colza",AlimentsRationHivernaleDaims,7,FALSE),0)+(IF(QualitéAlimentsFaonFemelle_3_6_mois=BONNE,VLOOKUP("Colza",AlimentsRationHivernaleDaims,7,FALSE),0)+(IF(QualitéAlimentsFaonMâle_6_12_mois=BONNE,VLOOKUP("Colza",AlimentsRationHivernaleDaims,6,FALSE),0)+(IF(QualitéAlimentsFaonFemelle_6_12_mois=BONNE,VLOOKUP("Colza",AlimentsRationHivernaleDaims,6,FALSE),0)+(IF(QualitéAlimentsJeuneDaim_12_18_mois=BONNE,VLOOKUP("Colza",AlimentsRationHivernaleDaims,5,FALSE),0)+(IF(QualitéAlimentsJeuneDaine_12_18_mois=BONNE,VLOOKUP("Colza",AlimentsRationHivernaleDaims,5,FALSE),0)+(IF(QualitéAlimentsJeuneDaim_18_24_mois=BONNE,VLOOKUP("Colza",AlimentsRationHivernaleDaims,4,FALSE),0)+(IF(QualitéAlimentsJeuneDaine_18_24_mois=BONNE,VLOOKUP("Colza",AlimentsRationHivernaleDaims,4,FALSE),0)+(IF(QualitéAlimentsJeuneDaim_24_36_mois=BONNE,VLOOKUP("Colza",AlimentsRationHivernaleDaims,3,FALSE),0)+(IF(QualitéAlimentsJeuneDaine_24_36_mois=BONNE,VLOOKUP("Colza",AlimentsRationHivernaleDaims,3,FALSE),0)+(IF(QualitéAlimentsDaim=BONNE,VLOOKUP("Colza",AlimentsRationHivernaleDaims,2,FALSE),0)+(IF(QualitéAlimentsDaine=BONNE,VLOOKUP("Colza",AlimentsRationHivernaleDaims,2,FALSE),0))))))))))))))))</f>
        <v>0</v>
      </c>
      <c r="DX84" s="351">
        <f t="array" ref="DX84">SUM((IF(QualitéAlimentsFaonMâle_0_3_mois=MOYENNE,VLOOKUP("Colza",AlimentsRationHivernaleDaims,8,FALSE),0)+(IF(QualitéAlimentsFaonFemelle_0_3_mois=MOYENNE,VLOOKUP("Colza",AlimentsRationHivernaleDaims,8,FALSE),0)+(IF(QualitéAlimentsFaonMâle_3_6_mois=MOYENNE,VLOOKUP("Colza",AlimentsRationHivernaleDaims,7,FALSE),0)+(IF(QualitéAlimentsFaonFemelle_3_6_mois=MOYENNE,VLOOKUP("Colza",AlimentsRationHivernaleDaims,7,FALSE),0)+(IF(QualitéAlimentsFaonMâle_6_12_mois=MOYENNE,VLOOKUP("Colza",AlimentsRationHivernaleDaims,6,FALSE),0)+(IF(QualitéAlimentsFaonFemelle_6_12_mois=MOYENNE,VLOOKUP("Colza",AlimentsRationHivernaleDaims,6,FALSE),0)+(IF(QualitéAlimentsJeuneDaim_12_18_mois=MOYENNE,VLOOKUP("Colza",AlimentsRationHivernaleDaims,5,FALSE),0)+(IF(QualitéAlimentsJeuneDaine_12_18_mois=MOYENNE,VLOOKUP("Colza",AlimentsRationHivernaleDaims,5,FALSE),0)+(IF(QualitéAlimentsJeuneDaim_18_24_mois=MOYENNE,VLOOKUP("Colza",AlimentsRationHivernaleDaims,4,FALSE),0)+(IF(QualitéAlimentsJeuneDaine_18_24_mois=MOYENNE,VLOOKUP("Colza",AlimentsRationHivernaleDaims,4,FALSE),0)+(IF(QualitéAlimentsJeuneDaim_24_36_mois=MOYENNE,VLOOKUP("Colza",AlimentsRationHivernaleDaims,3,FALSE),0)+(IF(QualitéAlimentsJeuneDaine_24_36_mois=MOYENNE,VLOOKUP("Colza",AlimentsRationHivernaleDaims,3,FALSE),0)+(IF(QualitéAlimentsDaim=MOYENNE,VLOOKUP("Colza",AlimentsRationHivernaleDaims,2,FALSE),0)+(IF(QualitéAlimentsDaine=MOYENNE,VLOOKUP("Colza",AlimentsRationHivernaleDaims,2,FALSE),0))))))))))))))))</f>
        <v>0</v>
      </c>
      <c r="DY84" s="351">
        <f t="array" ref="DY84">SUM((IF(QualitéAlimentsFaonMâle_0_3_mois=MAUVAISE,VLOOKUP("Colza",AlimentsRationHivernaleDaims,8,FALSE),0)+(IF(QualitéAlimentsFaonFemelle_0_3_mois=MAUVAISE,VLOOKUP("Colza",AlimentsRationHivernaleDaims,8,FALSE),0)+(IF(QualitéAlimentsFaonMâle_3_6_mois=MAUVAISE,VLOOKUP("Colza",AlimentsRationHivernaleDaims,7,FALSE),0)+(IF(QualitéAlimentsFaonFemelle_3_6_mois=MAUVAISE,VLOOKUP("Colza",AlimentsRationHivernaleDaims,7,FALSE),0)+(IF(QualitéAlimentsFaonMâle_6_12_mois=MAUVAISE,VLOOKUP("Colza",AlimentsRationHivernaleDaims,6,FALSE),0)+(IF(QualitéAlimentsFaonFemelle_6_12_mois=MAUVAISE,VLOOKUP("Colza",AlimentsRationHivernaleDaims,6,FALSE),0)+(IF(QualitéAlimentsJeuneDaim_12_18_mois=MAUVAISE,VLOOKUP("Colza",AlimentsRationHivernaleDaims,5,FALSE),0)+(IF(QualitéAlimentsJeuneDaine_12_18_mois=MAUVAISE,VLOOKUP("Colza",AlimentsRationHivernaleDaims,5,FALSE),0)+(IF(QualitéAlimentsJeuneDaim_18_24_mois=MAUVAISE,VLOOKUP("Colza",AlimentsRationHivernaleDaims,4,FALSE),0)+(IF(QualitéAlimentsJeuneDaine_18_24_mois=MAUVAISE,VLOOKUP("Colza",AlimentsRationHivernaleDaims,4,FALSE),0)+(IF(QualitéAlimentsJeuneDaim_24_36_mois=MAUVAISE,VLOOKUP("Colza",AlimentsRationHivernaleDaims,3,FALSE),0)+(IF(QualitéAlimentsJeuneDaine_24_36_mois=MAUVAISE,VLOOKUP("Colza",AlimentsRationHivernaleDaims,3,FALSE),0)+(IF(QualitéAlimentsDaim=MAUVAISE,VLOOKUP("Colza",AlimentsRationHivernaleDaims,2,FALSE),0)+(IF(QualitéAlimentsDaine=MAUVAISE,VLOOKUP("Colza",AlimentsRationHivernaleDaims,2,FALSE),0))))))))))))))))</f>
        <v>0</v>
      </c>
      <c r="DZ84" s="298"/>
      <c r="EA84" s="298"/>
      <c r="EB84" s="298"/>
      <c r="EC84" s="298"/>
      <c r="ED84" s="298"/>
      <c r="EE84" s="298"/>
      <c r="EG84" s="420" t="s">
        <v>908</v>
      </c>
      <c r="EH84" s="433">
        <f t="array" ref="EH8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84" s="433">
        <f t="array" ref="EI8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84" s="433">
        <f t="array" ref="EJ8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84" s="434">
        <f>SUM(AlimentsRationOiesMâles[[#This Row],[Valeur 6 et plus]:[Valeur 0-3]])</f>
        <v>0</v>
      </c>
      <c r="EL84" s="316"/>
      <c r="EN84" s="420" t="s">
        <v>70</v>
      </c>
      <c r="EO84" s="433">
        <f t="array" ref="EO84">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84" s="433">
        <f t="array" ref="EP84">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84" s="433">
        <f t="array" ref="EQ84">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84" s="434">
        <f>SUM(Ration_canards_Mâles[[#This Row],[Valeur 6 et plus]:[Valeur 0-3]])</f>
        <v>0</v>
      </c>
      <c r="ES84" s="316"/>
      <c r="EU84" s="457" t="s">
        <v>906</v>
      </c>
      <c r="EV84" s="458">
        <f t="array" ref="EV84">IF(OR(ChoixRationComplèteEtéChevauxSelle=OUI,ChoixRationComplèteEtéChevauxSelle="",AND(ChoixChevauxSellePréHiver=OUI,ChoixChevauxSellePréEté=OUI)),0,IFERROR(IF(OR(AND(INDEX(Règles_chevaux_selle[Specificite],MATCH(RationEtéChevauxSelle&amp;$EU84,Règles_chevaux_selle[Ration]&amp;Règles_chevaux_selle[Aliment],0))="s1",IF($EU84=Spécificité1ChevauxSelle,1)),
AND(INDEX(Règles_chevaux_selle[Specificite],MATCH(RationEtéChevauxSelle&amp;$EU84,Règles_chevaux_selle[Ration]&amp;Règles_chevaux_selle[Aliment],0))="s2",IF($EU84=Spécificité2ChevauxSelle,1)),
INDEX(Règles_chevaux_selle[Specificite],MATCH(RationEtéChevauxSelle&amp;$EU84,Règles_chevaux_selle[Ration]&amp;Règles_chevaux_selle[Aliment],0))="c"),
INDEX(Règles_chevaux_selle[Valeur 36 et plus],MATCH(RationEtéChevauxSelle&amp;$EU84,Règles_chevaux_selle[Ration]&amp;Règles_chevaux_selle[Aliment],0)),0),0)*TotalEtalonSelle*NbreJoursNourrirChevauxSelle)</f>
        <v>0</v>
      </c>
      <c r="EW84" s="458">
        <f t="array" ref="EW84">IF(OR(ChoixRationComplèteEtéChevauxSelle=OUI,ChoixRationComplèteEtéChevauxSelle="",AND(ChoixChevauxSellePréHiver=OUI,ChoixChevauxSellePréEté=OUI)),0,IFERROR(IF(OR(AND(INDEX(Règles_chevaux_selle[Specificite],MATCH(RationEtéChevauxSelle&amp;$EU84,Règles_chevaux_selle[Ration]&amp;Règles_chevaux_selle[Aliment],0))="s1",IF($EU84=Spécificité1ChevauxSelle,1)),
AND(INDEX(Règles_chevaux_selle[Specificite],MATCH(RationEtéChevauxSelle&amp;$EU84,Règles_chevaux_selle[Ration]&amp;Règles_chevaux_selle[Aliment],0))="s2",IF($EU84=Spécificité2ChevauxSelle,1)),
INDEX(Règles_chevaux_selle[Specificite],MATCH(RationEtéChevauxSelle&amp;$EU84,Règles_chevaux_selle[Ration]&amp;Règles_chevaux_selle[Aliment],0))="c"),
INDEX(Règles_chevaux_selle[Valeur 24-36],MATCH(RationEtéChevauxSelle&amp;$EU84,Règles_chevaux_selle[Ration]&amp;Règles_chevaux_selle[Aliment],0)),0),0)*TotalJeuneEtalonSelle_24_36_mois*NbreJoursNourrirChevauxSelle)</f>
        <v>0</v>
      </c>
      <c r="EX84" s="458">
        <f t="array" ref="EX84">IF(OR(ChoixRationComplèteEtéChevauxSelle=OUI,ChoixRationComplèteEtéChevauxSelle="",AND(ChoixChevauxSellePréHiver=OUI,ChoixChevauxSellePréEté=OUI)),0,IFERROR(IF(OR(AND(INDEX(Règles_chevaux_selle[Specificite],MATCH(RationEtéChevauxSelle&amp;$EU84,Règles_chevaux_selle[Ration]&amp;Règles_chevaux_selle[Aliment],0))="s1",IF($EU84=Spécificité1ChevauxSelle,1)),
AND(INDEX(Règles_chevaux_selle[Specificite],MATCH(RationEtéChevauxSelle&amp;$EU84,Règles_chevaux_selle[Ration]&amp;Règles_chevaux_selle[Aliment],0))="s2",IF($EU84=Spécificité2ChevauxSelle,1)),
INDEX(Règles_chevaux_selle[Specificite],MATCH(RationEtéChevauxSelle&amp;$EU84,Règles_chevaux_selle[Ration]&amp;Règles_chevaux_selle[Aliment],0))="c"),
INDEX(Règles_chevaux_selle[Valeur 12-24],MATCH(RationEtéChevauxSelle&amp;$EU84,Règles_chevaux_selle[Ration]&amp;Règles_chevaux_selle[Aliment],0)),0),0)*TotalJeuneEtalonSelle_12_24_mois*NbreJoursNourrirChevauxSelle)</f>
        <v>0</v>
      </c>
      <c r="EY84" s="460">
        <f t="array" ref="EY84">IF(OR(ChoixRationComplèteEtéChevauxSelle=OUI,ChoixRationComplèteEtéChevauxSelle="",AND(ChoixChevauxSellePréHiver=OUI,ChoixChevauxSellePréEté=OUI)),0,IFERROR(IF(OR(AND(INDEX(Règles_chevaux_selle[Specificite],MATCH(RationEtéChevauxSelle&amp;$EU84,Règles_chevaux_selle[Ration]&amp;Règles_chevaux_selle[Aliment],0))="s1",IF($EU84=Spécificité1ChevauxSelle,1)),
AND(INDEX(Règles_chevaux_selle[Specificite],MATCH(RationEtéChevauxSelle&amp;$EU84,Règles_chevaux_selle[Ration]&amp;Règles_chevaux_selle[Aliment],0))="s2",IF($EU84=Spécificité2ChevauxSelle,1)),
INDEX(Règles_chevaux_selle[Specificite],MATCH(RationEtéChevauxSelle&amp;$EU84,Règles_chevaux_selle[Ration]&amp;Règles_chevaux_selle[Aliment],0))="c"),
INDEX(Règles_chevaux_selle[Valeur 0-12],MATCH(RationEtéChevauxSelle&amp;$EU84,Règles_chevaux_selle[Ration]&amp;Règles_chevaux_selle[Aliment],0)),0),0)*TotalPoulainSelle_0_12_mois*NbreJoursNourrirChevauxSelle)</f>
        <v>0</v>
      </c>
      <c r="EZ84" s="460">
        <f t="shared" si="16"/>
        <v>0</v>
      </c>
      <c r="FA84" s="298"/>
      <c r="FB84" s="298"/>
      <c r="FD84" s="457" t="s">
        <v>907</v>
      </c>
      <c r="FE84" s="458">
        <f t="array" ref="FE84">IF(OR(ChoixRationComplèteEtéChevauxTrait=OUI,ChoixRationComplèteEtéChevauxTrait="",AND(ChoixChevauxTraitPréHiver=OUI,ChoixChevauxTraitPréEté=OUI)),0,IFERROR(IF(OR(AND(INDEX(Règles_chevaux_trait[Specificite],MATCH(RationEtéChevauxTrait&amp;$FD84,Règles_chevaux_trait[Ration]&amp;Règles_chevaux_trait[Aliment],0))="s1",IF($FD84=Spécificité1ChevauxTrait,1)),
AND(INDEX(Règles_chevaux_trait[Specificite],MATCH(RationEtéChevauxTrait&amp;$FD84,Règles_chevaux_trait[Ration]&amp;Règles_chevaux_trait[Aliment],0))="s2",IF($FD84=Spécificité2ChevauxTrait,1)),
INDEX(Règles_chevaux_trait[Specificite],MATCH(RationEtéChevauxTrait&amp;$FD84,Règles_chevaux_trait[Ration]&amp;Règles_chevaux_trait[Aliment],0))="c"),
INDEX(Règles_chevaux_trait[Valeur 36 et plus],MATCH(RationEtéChevauxTrait&amp;$FD84,Règles_chevaux_trait[Ration]&amp;Règles_chevaux_trait[Aliment],0)),0),0)*TotalEtalonTrait*NbreJoursNourrirChevauxTrait)</f>
        <v>0</v>
      </c>
      <c r="FF84" s="458">
        <f t="array" ref="FF84">IF(OR(ChoixRationComplèteEtéChevauxTrait=OUI,ChoixRationComplèteEtéChevauxTrait="",AND(ChoixChevauxTraitPréHiver=OUI,ChoixChevauxTraitPréEté=OUI)),0,IFERROR(IF(OR(AND(INDEX(Règles_chevaux_trait[Specificite],MATCH(RationEtéChevauxTrait&amp;$FD84,Règles_chevaux_trait[Ration]&amp;Règles_chevaux_trait[Aliment],0))="s1",IF($FD84=Spécificité1ChevauxTrait,1)),
AND(INDEX(Règles_chevaux_trait[Specificite],MATCH(RationEtéChevauxTrait&amp;$FD84,Règles_chevaux_trait[Ration]&amp;Règles_chevaux_trait[Aliment],0))="s2",IF($FD84=Spécificité2ChevauxTrait,1)),
INDEX(Règles_chevaux_trait[Specificite],MATCH(RationEtéChevauxTrait&amp;$FD84,Règles_chevaux_trait[Ration]&amp;Règles_chevaux_trait[Aliment],0))="c"),
INDEX(Règles_chevaux_trait[Valeur 24-36],MATCH(RationEtéChevauxTrait&amp;$FD84,Règles_chevaux_trait[Ration]&amp;Règles_chevaux_trait[Aliment],0)),0),0)*TotalJeuneEtalonTrait_24_36_mois*NbreJoursNourrirChevauxTrait)</f>
        <v>0</v>
      </c>
      <c r="FG84" s="458">
        <f t="array" ref="FG84">IF(OR(ChoixRationComplèteEtéChevauxTrait=OUI,ChoixRationComplèteEtéChevauxTrait="",AND(ChoixChevauxTraitPréHiver=OUI,ChoixChevauxTraitPréEté=OUI)),0,IFERROR(IF(OR(AND(INDEX(Règles_chevaux_trait[Specificite],MATCH(RationEtéChevauxTrait&amp;$FD84,Règles_chevaux_trait[Ration]&amp;Règles_chevaux_trait[Aliment],0))="s1",IF($FD84=Spécificité1ChevauxTrait,1)),
AND(INDEX(Règles_chevaux_trait[Specificite],MATCH(RationEtéChevauxTrait&amp;$FD84,Règles_chevaux_trait[Ration]&amp;Règles_chevaux_trait[Aliment],0))="s2",IF($FD84=Spécificité2ChevauxTrait,1)),
INDEX(Règles_chevaux_trait[Specificite],MATCH(RationEtéChevauxTrait&amp;$FD84,Règles_chevaux_trait[Ration]&amp;Règles_chevaux_trait[Aliment],0))="c"),
INDEX(Règles_chevaux_trait[Valeur 12-24],MATCH(RationEtéChevauxTrait&amp;$FD84,Règles_chevaux_trait[Ration]&amp;Règles_chevaux_trait[Aliment],0)),0),0)*TotalJeuneEtalonTrait_12_24_mois*NbreJoursNourrirChevauxTrait)</f>
        <v>0</v>
      </c>
      <c r="FH84" s="460">
        <f t="array" ref="FH84">IF(OR(ChoixRationComplèteEtéChevauxTrait=OUI,ChoixRationComplèteEtéChevauxTrait="",AND(ChoixChevauxTraitPréHiver=OUI,ChoixChevauxTraitPréEté=OUI)),0,IFERROR(IF(OR(AND(INDEX(Règles_chevaux_trait[Specificite],MATCH(RationEtéChevauxTrait&amp;$FD84,Règles_chevaux_trait[Ration]&amp;Règles_chevaux_trait[Aliment],0))="s1",IF($FD84=Spécificité1ChevauxTrait,1)),
AND(INDEX(Règles_chevaux_trait[Specificite],MATCH(RationEtéChevauxTrait&amp;$FD84,Règles_chevaux_trait[Ration]&amp;Règles_chevaux_trait[Aliment],0))="s2",IF($FD84=Spécificité2ChevauxTrait,1)),
INDEX(Règles_chevaux_trait[Specificite],MATCH(RationEtéChevauxTrait&amp;$FD84,Règles_chevaux_trait[Ration]&amp;Règles_chevaux_trait[Aliment],0))="c"),
INDEX(Règles_chevaux_trait[Valeur 0-12],MATCH(RationEtéChevauxTrait&amp;$FD84,Règles_chevaux_trait[Ration]&amp;Règles_chevaux_trait[Aliment],0)),0),0)*TotalPoulainTrait_0_12_mois*NbreJoursNourrirChevauxTrait)</f>
        <v>0</v>
      </c>
      <c r="FI84" s="460">
        <f t="shared" si="15"/>
        <v>0</v>
      </c>
      <c r="FN84" s="457" t="s">
        <v>908</v>
      </c>
      <c r="FO84" s="458">
        <f t="array" ref="FO84">IF(OR(ChoixRationComplèteEtéPoneys=OUI,ChoixRationComplèteEtéPoneys="",AND(ChoixPoneysPréHiver=OUI,ChoixPoneysPréEté=OUI)),0,IFERROR(IF(OR(AND(INDEX(Règles_poneys[Specificite],MATCH(RationEtéPoneys&amp;$FN84,Règles_poneys[Ration]&amp;Règles_poneys[Aliment],0))="s1",IF($FN84=Spécificité1Poneys,1)),
AND(INDEX(Règles_poneys[Specificite],MATCH(RationEtéPoneys&amp;$FN84,Règles_poneys[Ration]&amp;Règles_poneys[Aliment],0))="s2",IF($FN84=Spécificité2Poneys,1)),
INDEX(Règles_poneys[Specificite],MATCH(RationEtéPoneys&amp;$FN84,Règles_poneys[Ration]&amp;Règles_poneys[Aliment],0))="c"),
INDEX(Règles_poneys[Valeur 36 et plus],MATCH(RationEtéPoneys&amp;$FN84,Règles_poneys[Ration]&amp;Règles_poneys[Aliment],0)),0),0)*TotalEtalonPoney*NbreJoursNourrirPoneys)</f>
        <v>0</v>
      </c>
      <c r="FP84" s="458">
        <f t="array" ref="FP84">IF(OR(ChoixRationComplèteEtéPoneys=OUI,ChoixRationComplèteEtéPoneys="",AND(ChoixPoneysPréHiver=OUI,ChoixPoneysPréEté=OUI)),0,IFERROR(IF(OR(AND(INDEX(Règles_poneys[Specificite],MATCH(RationEtéPoneys&amp;$FN84,Règles_poneys[Ration]&amp;Règles_poneys[Aliment],0))="s1",IF($FN84=Spécificité1Poneys,1)),
AND(INDEX(Règles_poneys[Specificite],MATCH(RationEtéPoneys&amp;$FN84,Règles_poneys[Ration]&amp;Règles_poneys[Aliment],0))="s2",IF($FN84=Spécificité2Poneys,1)),
INDEX(Règles_poneys[Specificite],MATCH(RationEtéPoneys&amp;$FN84,Règles_poneys[Ration]&amp;Règles_poneys[Aliment],0))="c"),
INDEX(Règles_poneys[Valeur 36 et plus],MATCH(RationEtéPoneys&amp;$FN84,Règles_poneys[Ration]&amp;Règles_poneys[Aliment],0)),0),0)*TotalJeuneEtalonPoney_24_36_mois*NbreJoursNourrirPoneys)</f>
        <v>0</v>
      </c>
      <c r="FQ84" s="458">
        <f t="array" ref="FQ84">IF(OR(ChoixRationComplèteEtéPoneys=OUI,ChoixRationComplèteEtéPoneys="",AND(ChoixPoneysPréHiver=OUI,ChoixPoneysPréEté=OUI)),0,IFERROR(IF(OR(AND(INDEX(Règles_poneys[Specificite],MATCH(RationEtéPoneys&amp;$FN84,Règles_poneys[Ration]&amp;Règles_poneys[Aliment],0))="s1",IF($FN84=Spécificité1Poneys,1)),
AND(INDEX(Règles_poneys[Specificite],MATCH(RationEtéPoneys&amp;$FN84,Règles_poneys[Ration]&amp;Règles_poneys[Aliment],0))="s2",IF($FN84=Spécificité2Poneys,1)),
INDEX(Règles_poneys[Specificite],MATCH(RationEtéPoneys&amp;$FN84,Règles_poneys[Ration]&amp;Règles_poneys[Aliment],0))="c"),
INDEX(Règles_poneys[Valeur 36 et plus],MATCH(RationEtéPoneys&amp;$FN84,Règles_poneys[Ration]&amp;Règles_poneys[Aliment],0)),0),0)*TotalJeuneEtalonPoney_12_24_mois*NbreJoursNourrirPoneys)</f>
        <v>0</v>
      </c>
      <c r="FR84" s="460">
        <f t="array" ref="FR84">IF(OR(ChoixRationComplèteEtéPoneys=OUI,ChoixRationComplèteEtéPoneys="",AND(ChoixPoneysPréHiver=OUI,ChoixPoneysPréEté=OUI)),0,IFERROR(IF(OR(AND(INDEX(Règles_poneys[Specificite],MATCH(RationEtéPoneys&amp;$FN84,Règles_poneys[Ration]&amp;Règles_poneys[Aliment],0))="s1",IF($FN84=Spécificité1Poneys,1)),
AND(INDEX(Règles_poneys[Specificite],MATCH(RationEtéPoneys&amp;$FN84,Règles_poneys[Ration]&amp;Règles_poneys[Aliment],0))="s2",IF($FN84=Spécificité2Poneys,1)),
INDEX(Règles_poneys[Specificite],MATCH(RationEtéPoneys&amp;$FN84,Règles_poneys[Ration]&amp;Règles_poneys[Aliment],0))="c"),
INDEX(Règles_poneys[Valeur 36 et plus],MATCH(RationEtéPoneys&amp;$FN84,Règles_poneys[Ration]&amp;Règles_poneys[Aliment],0)),0),0)*TotalPoulainPoney_0_12_mois*NbreJoursNourrirPoneys)</f>
        <v>0</v>
      </c>
      <c r="FS84" s="460">
        <f t="shared" si="14"/>
        <v>0</v>
      </c>
      <c r="FW84" s="394" t="s">
        <v>910</v>
      </c>
      <c r="FX84" s="461" t="s">
        <v>929</v>
      </c>
      <c r="FY84" s="395" t="s">
        <v>946</v>
      </c>
      <c r="FZ84" s="395" t="s">
        <v>945</v>
      </c>
      <c r="GA84" s="395" t="s">
        <v>918</v>
      </c>
      <c r="GB84" s="396" t="s">
        <v>903</v>
      </c>
      <c r="GG84" s="276" t="s">
        <v>955</v>
      </c>
      <c r="GH84" s="276" t="s">
        <v>955</v>
      </c>
      <c r="GI84" s="276" t="s">
        <v>955</v>
      </c>
      <c r="GJ84" s="276" t="s">
        <v>955</v>
      </c>
      <c r="GK84" s="276" t="s">
        <v>955</v>
      </c>
      <c r="GL84" s="276" t="s">
        <v>955</v>
      </c>
      <c r="GM84" s="276" t="s">
        <v>955</v>
      </c>
      <c r="GN84" s="276" t="s">
        <v>955</v>
      </c>
      <c r="GO84" s="276" t="s">
        <v>955</v>
      </c>
      <c r="GP84" s="276" t="s">
        <v>955</v>
      </c>
      <c r="GQ84" s="276" t="s">
        <v>955</v>
      </c>
      <c r="GR84" s="276" t="s">
        <v>955</v>
      </c>
      <c r="GS84" s="276" t="s">
        <v>955</v>
      </c>
      <c r="GT84" s="276" t="s">
        <v>955</v>
      </c>
      <c r="GU84" s="276" t="s">
        <v>955</v>
      </c>
      <c r="GV84" s="276" t="s">
        <v>955</v>
      </c>
      <c r="GY84" s="444" t="str">
        <f t="shared" si="24"/>
        <v>engrais poiriers</v>
      </c>
      <c r="GZ84" s="444"/>
      <c r="HA84" s="342"/>
      <c r="HB84" s="342" t="e">
        <f>IF(COUNTIF(TypeArticleDansEntrepôt,GY84)=0,0,SUMIF(TypeArticleDansEntrepôt,GY84,QtéArticleDansEntrepôt)*VLOOKUP(GY84,#REF!,2,FALSE))</f>
        <v>#REF!</v>
      </c>
      <c r="HN84" s="342" t="e">
        <f>IF(#REF!="","",(VLOOKUP(#REF!,BDD!$HN$5:$HU$38,2,FALSE))*#REF!)</f>
        <v>#REF!</v>
      </c>
      <c r="HO84" s="342" t="e">
        <f>IF(#REF!="","",IF(OR(#REF!=Moutarde,#REF!=Phacélie),0,IF(#REF!=Luzerne,10*#REF!*VLOOKUP(#REF!,BDD!$HN$5:$HU$38,3,FALSE),IF(#REF!=Miscanthus,10.5*#REF!*VLOOKUP(#REF!,BDD!$HN$5:$HU$38,3,FALSE),INDEX(#REF!:#REF!,MATCH(#REF!,#REF!:#REF!,0),MATCH(#REF!,#REF!:#REF!,0))*#REF!*VLOOKUP(#REF!,BDD!$HN$5:$HU$38,3,FALSE)))))</f>
        <v>#REF!</v>
      </c>
      <c r="HP84" s="342" t="e">
        <f>IF(#REF!="","",IF(OR(#REF!=Moutarde,#REF!=Phacélie),0,IF(#REF!=Luzerne,10*#REF!*VLOOKUP(#REF!,BDD!$HN$5:$HU$38,4,FALSE),IF(#REF!=Miscanthus,10.5*#REF!*VLOOKUP(#REF!,BDD!$HN$5:$HU$38,4,FALSE),INDEX(#REF!:#REF!,MATCH(#REF!,#REF!:#REF!,0),MATCH(#REF!,#REF!:#REF!,0))*#REF!*VLOOKUP(#REF!,BDD!$HN$5:$HU$38,4,FALSE)))))</f>
        <v>#REF!</v>
      </c>
      <c r="HQ84" s="342" t="e">
        <f>IF(#REF!="","",IF(OR(#REF!=Moutarde,#REF!=Phacélie),0,IF(#REF!=Luzerne,10*#REF!*VLOOKUP(#REF!,BDD!$HN$5:$HU$38,5,FALSE),IF(#REF!=Miscanthus,10.5*#REF!*VLOOKUP(#REF!,BDD!$HN$5:$HU$38,5,FALSE),INDEX(#REF!:#REF!,MATCH(#REF!,#REF!:#REF!,0),MATCH(#REF!,#REF!:#REF!,0))*#REF!*VLOOKUP(#REF!,BDD!$HN$5:$HU$38,5,FALSE)))))</f>
        <v>#REF!</v>
      </c>
      <c r="HR84" s="342" t="e">
        <f>IF(#REF!="","",IF(OR(#REF!=Moutarde,#REF!=Phacélie),0,IF(#REF!=Luzerne,10*#REF!*VLOOKUP(#REF!,BDD!$HN$5:$HU$38,6,FALSE),IF(#REF!=Miscanthus,10.5*#REF!*VLOOKUP(#REF!,BDD!$HN$5:$HU$38,6,FALSE),INDEX(#REF!:#REF!,MATCH(#REF!,#REF!:#REF!,0),MATCH(#REF!,#REF!:#REF!,0))*#REF!*VLOOKUP(#REF!,BDD!$HN$5:$HU$38,6,FALSE)))))</f>
        <v>#REF!</v>
      </c>
      <c r="HS84" s="342" t="e">
        <f>IF(#REF!="","",IF(OR(#REF!=Moutarde,#REF!=Phacélie),0,IF(#REF!=Luzerne,10*#REF!*VLOOKUP(#REF!,BDD!$HN$5:$HU$38,7,FALSE),IF(#REF!=Miscanthus,10.5*#REF!*VLOOKUP(#REF!,BDD!$HN$5:$HU$38,7,FALSE),INDEX(#REF!:#REF!,MATCH(#REF!,#REF!:#REF!,0),MATCH(#REF!,#REF!:#REF!,0))*#REF!*VLOOKUP(#REF!,BDD!$HN$5:$HU$38,7,FALSE)))))</f>
        <v>#REF!</v>
      </c>
      <c r="HT84" s="342" t="e">
        <f>IF(#REF!="","",IF(OR(#REF!=Moutarde,#REF!=Phacélie),0,IF(#REF!=Luzerne,10*#REF!*VLOOKUP(#REF!,BDD!$HN$5:$HU$38,8,FALSE),IF(#REF!=Miscanthus,10.5*#REF!*VLOOKUP(#REF!,BDD!$HN$5:$HU$38,8,FALSE),INDEX(#REF!:#REF!,MATCH(#REF!,#REF!:#REF!,0),MATCH(#REF!,#REF!:#REF!,0))*#REF!*VLOOKUP(#REF!,BDD!$HN$5:$HU$38,8,FALSE)))))</f>
        <v>#REF!</v>
      </c>
      <c r="HU84" s="342" t="e">
        <f>IF(#REF!="","",IF(OR(#REF!=Moutarde,#REF!=Phacélie),0,1.6*#REF!))</f>
        <v>#REF!</v>
      </c>
      <c r="HV84" s="342" t="e">
        <f>IF(#REF!="","",IF(OR(#REF!=Moutarde,#REF!=Phacélie),0,1.6*#REF!))</f>
        <v>#REF!</v>
      </c>
      <c r="HW84" s="342" t="e">
        <f>IF(#REF!="","",IF(OR(#REF!=Moutarde,#REF!=Phacélie),0,1.6*#REF!))</f>
        <v>#REF!</v>
      </c>
      <c r="HX84" s="342" t="e">
        <f>IF(#REF!="","",(VLOOKUP(#REF!,BDD!$HN$5:$HU$38,2,FALSE))*#REF!)</f>
        <v>#REF!</v>
      </c>
      <c r="HY84" s="342" t="e">
        <f>IF(#REF!="","",IF(OR(#REF!=Moutarde,#REF!=Phacélie),0,IF(#REF!=Luzerne,10*#REF!*VLOOKUP(#REF!,BDD!$HN$5:$HU$38,3,FALSE),IF(#REF!=Miscanthus,10.5*#REF!*VLOOKUP(#REF!,BDD!$HN$5:$HU$38,3,FALSE),INDEX(#REF!:#REF!,MATCH(#REF!,#REF!:#REF!,0),MATCH(#REF!,#REF!:#REF!,0))*#REF!*VLOOKUP(#REF!,BDD!$HN$5:$HU$38,3,FALSE)))))</f>
        <v>#REF!</v>
      </c>
      <c r="HZ84" s="342" t="e">
        <f>IF(#REF!="","",IF(OR(#REF!=Moutarde,#REF!=Phacélie),0,IF(#REF!=Luzerne,10*#REF!*VLOOKUP(#REF!,BDD!$HN$5:$HU$38,4,FALSE),IF(#REF!=Miscanthus,10.5*#REF!*VLOOKUP(#REF!,BDD!$HN$5:$HU$38,4,FALSE),INDEX(#REF!:#REF!,MATCH(#REF!,#REF!:#REF!,0),MATCH(#REF!,#REF!:#REF!,0))*#REF!*VLOOKUP(#REF!,BDD!$HN$5:$HU$38,4,FALSE)))))</f>
        <v>#REF!</v>
      </c>
      <c r="IA84" s="342" t="e">
        <f>IF(#REF!="","",IF(OR(#REF!=Moutarde,#REF!=Phacélie),0,IF(#REF!=Luzerne,10*#REF!*VLOOKUP(#REF!,BDD!$HN$5:$HU$38,5,FALSE),IF(#REF!=Miscanthus,10.5*#REF!*VLOOKUP(#REF!,BDD!$HN$5:$HU$38,5,FALSE),INDEX(#REF!:#REF!,MATCH(#REF!,#REF!:#REF!,0),MATCH(#REF!,#REF!:#REF!,0))*#REF!*VLOOKUP(#REF!,BDD!$HN$5:$HU$38,5,FALSE)))))</f>
        <v>#REF!</v>
      </c>
      <c r="IB84" s="342" t="e">
        <f>IF(#REF!="","",IF(OR(#REF!=Moutarde,#REF!=Phacélie),0,IF(#REF!=Luzerne,10*#REF!*VLOOKUP(#REF!,BDD!$HN$5:$HU$38,6,FALSE),IF(#REF!=Miscanthus,10.5*#REF!*VLOOKUP(#REF!,BDD!$HN$5:$HU$38,6,FALSE),INDEX(#REF!:#REF!,MATCH(#REF!,#REF!:#REF!,0),MATCH(#REF!,#REF!:#REF!,0))*#REF!*VLOOKUP(#REF!,BDD!$HN$5:$HU$38,6,FALSE)))))</f>
        <v>#REF!</v>
      </c>
      <c r="IC84" s="342" t="e">
        <f>IF(#REF!="","",IF(OR(#REF!=Moutarde,#REF!=Phacélie),0,IF(#REF!=Luzerne,10*#REF!*VLOOKUP(#REF!,BDD!$HN$5:$HU$38,7,FALSE),IF(#REF!=Miscanthus,10.5*#REF!*VLOOKUP(#REF!,BDD!$HN$5:$HU$38,7,FALSE),INDEX(#REF!:#REF!,MATCH(#REF!,#REF!:#REF!,0),MATCH(#REF!,#REF!:#REF!,0))*#REF!*VLOOKUP(#REF!,BDD!$HN$5:$HU$38,7,FALSE)))))</f>
        <v>#REF!</v>
      </c>
      <c r="ID84" s="342" t="e">
        <f>IF(#REF!="","",IF(OR(#REF!=Moutarde,#REF!=Phacélie),0,IF(#REF!=Luzerne,10*#REF!*VLOOKUP(#REF!,BDD!$HN$5:$HU$38,8,FALSE),IF(#REF!=Miscanthus,10.5*#REF!*VLOOKUP(#REF!,BDD!$HN$5:$HU$38,8,FALSE),INDEX(#REF!:#REF!,MATCH(#REF!,#REF!:#REF!,0),MATCH(#REF!,#REF!:#REF!,0))*#REF!*VLOOKUP(#REF!,BDD!$HN$5:$HU$38,8,FALSE)))))</f>
        <v>#REF!</v>
      </c>
      <c r="IE84" s="342" t="e">
        <f>IF(#REF!="","",IF(OR(#REF!=Moutarde,#REF!=Phacélie),0,1.6*#REF!))</f>
        <v>#REF!</v>
      </c>
      <c r="IF84" s="342" t="e">
        <f>IF(#REF!="","",IF(OR(#REF!=Moutarde,#REF!=Phacélie),0,1.6*#REF!))</f>
        <v>#REF!</v>
      </c>
      <c r="IG84" s="342" t="e">
        <f>IF(#REF!="","",IF(OR(#REF!=Moutarde,#REF!=Phacélie),0,1.6*#REF!))</f>
        <v>#REF!</v>
      </c>
    </row>
    <row r="85" spans="1:241" ht="12.75" customHeight="1" x14ac:dyDescent="0.2">
      <c r="A85" s="373"/>
      <c r="B85" s="380"/>
      <c r="F85" s="280"/>
      <c r="G85" s="280"/>
      <c r="H85" s="321"/>
      <c r="I85" s="280"/>
      <c r="J85" s="280"/>
      <c r="K85" s="321"/>
      <c r="L85" s="321"/>
      <c r="P85" s="283"/>
      <c r="Y85" s="385" t="s">
        <v>1124</v>
      </c>
      <c r="Z85" s="385">
        <f>IF('coût alimentation'!$B$6=$Y$85,10,0)</f>
        <v>0</v>
      </c>
      <c r="AA85" s="385">
        <f>IF('coût alimentation'!$B$6=$Y$85,10,0)</f>
        <v>0</v>
      </c>
      <c r="AB85" s="385">
        <f>IF('coût alimentation'!$B$6=$Y$85,10,0)</f>
        <v>0</v>
      </c>
      <c r="AC85" s="385">
        <f>IF('coût alimentation'!$B$6=$Y$85,10,0)</f>
        <v>0</v>
      </c>
      <c r="AD85" s="385">
        <f>IF('coût alimentation'!$B$6=$Y$85,10,0)</f>
        <v>0</v>
      </c>
      <c r="AE85" s="385">
        <f>IF('coût alimentation'!$B$6=$Y$85,10,0)</f>
        <v>0</v>
      </c>
      <c r="AF85" s="385">
        <f>IF('coût alimentation'!$B$6=$Y$85,10,0)</f>
        <v>0</v>
      </c>
      <c r="AG85" s="385">
        <f>IF('coût alimentation'!$B$6=$Y$85,10,0)</f>
        <v>0</v>
      </c>
      <c r="BB85" s="387" t="s">
        <v>512</v>
      </c>
      <c r="BC85" s="362" t="s">
        <v>392</v>
      </c>
      <c r="BD85" s="362" t="s">
        <v>886</v>
      </c>
      <c r="BE85" s="388">
        <v>120</v>
      </c>
      <c r="BF85" s="388">
        <v>100</v>
      </c>
      <c r="BG85" s="388">
        <v>84</v>
      </c>
      <c r="BH85" s="388">
        <v>60</v>
      </c>
      <c r="BI85" s="388">
        <v>36</v>
      </c>
      <c r="BJ85" s="388">
        <v>16</v>
      </c>
      <c r="BK85" s="389">
        <v>0</v>
      </c>
      <c r="BL85" s="312"/>
      <c r="BM85" s="350" t="str">
        <f t="shared" si="22"/>
        <v>Epinard</v>
      </c>
      <c r="BN85" s="350">
        <f t="array" ref="BN85">IF(Ration_hivernale_complète_bisons[somme]&gt;0,0,IFERROR(IF(OR(AND(INDEX(Règles_bison[Specificite],MATCH(ChoixRationBisons&amp;$BM85,Règles_bison[Ration]&amp;Règles_bison[Aliment],0))="s1",IF($BM85=ChoixSpécificité1Bisons,1)),
INDEX(Règles_bison[Specificite],MATCH(ChoixRationBisons&amp;$BM85,Règles_bison[Ration]&amp;Règles_bison[Aliment],0))="c"),
INDEX(Règles_bison[Valeur 36 et plus],MATCH(ChoixRationBisons&amp;$BM85,Règles_bison[Ration]&amp;Règles_bison[Aliment],0)),0),0)*TotalBisonnes*NbreJoursNourrirBisonsDaims)</f>
        <v>0</v>
      </c>
      <c r="BO85" s="350">
        <f t="array" ref="BO85">IF(Ration_hivernale_complète_bisons[somme]&gt;0,0,IFERROR(IF(OR(AND(INDEX(Règles_bison[Specificite],MATCH(ChoixRationBisons&amp;$BM85,Règles_bison[Ration]&amp;Règles_bison[Aliment],0))="s1",IF($BM85=ChoixSpécificité1Bisons,1)),
INDEX(Règles_bison[Specificite],MATCH(ChoixRationBisons&amp;$BM85,Règles_bison[Ration]&amp;Règles_bison[Aliment],0))="c"),
INDEX(Règles_bison[Valeur 24-36],MATCH(ChoixRationBisons&amp;$BM85,Règles_bison[Ration]&amp;Règles_bison[Aliment],0)),0),0)*TotalBisonsFemelles_24_36_mois*NbreJoursNourrirBisonsDaims)</f>
        <v>0</v>
      </c>
      <c r="BP85" s="350">
        <f t="array" ref="BP85">IF(Ration_hivernale_complète_bisons[somme]&gt;0,0,IFERROR(IF(OR(AND(INDEX(Règles_bison[Specificite],MATCH(ChoixRationBisons&amp;$BM85,Règles_bison[Ration]&amp;Règles_bison[Aliment],0))="s1",IF($BM85=ChoixSpécificité1Bisons,1)),
INDEX(Règles_bison[Specificite],MATCH(ChoixRationBisons&amp;$BM85,Règles_bison[Ration]&amp;Règles_bison[Aliment],0))="c"),
INDEX(Règles_bison[Valeur 18-24],MATCH(ChoixRationBisons&amp;$BM85,Règles_bison[Ration]&amp;Règles_bison[Aliment],0)),0),0)*TotalBisonsFemelles_18_24_mois*NbreJoursNourrirBisonsDaims)</f>
        <v>0</v>
      </c>
      <c r="BQ85" s="350">
        <f t="array" ref="BQ85">IF(Ration_hivernale_complète_bisons[somme]&gt;0,0,IFERROR(IF(OR(AND(INDEX(Règles_bison[Specificite],MATCH(ChoixRationBisons&amp;$BM85,Règles_bison[Ration]&amp;Règles_bison[Aliment],0))="s1",IF($BM85=ChoixSpécificité1Bisons,1)),
INDEX(Règles_bison[Specificite],MATCH(ChoixRationBisons&amp;$BM85,Règles_bison[Ration]&amp;Règles_bison[Aliment],0))="c"),
INDEX(Règles_bison[Valeur 12-18],MATCH(ChoixRationBisons&amp;$BM85,Règles_bison[Ration]&amp;Règles_bison[Aliment],0)),0),0)*TotalBisonsFemelles_12_18_mois*NbreJoursNourrirBisonsDaims)</f>
        <v>0</v>
      </c>
      <c r="BR85" s="350">
        <f t="array" ref="BR85">IF(Ration_hivernale_complète_bisons[somme]&gt;0,0,IFERROR(IF(OR(AND(INDEX(Règles_bison[Specificite],MATCH(ChoixRationBisons&amp;$BM85,Règles_bison[Ration]&amp;Règles_bison[Aliment],0))="s1",IF($BM85=ChoixSpécificité1Bisons,1)),
INDEX(Règles_bison[Specificite],MATCH(ChoixRationBisons&amp;$BM85,Règles_bison[Ration]&amp;Règles_bison[Aliment],0))="c"),
INDEX(Règles_bison[Valeur 6-12],MATCH(ChoixRationBisons&amp;$BM85,Règles_bison[Ration]&amp;Règles_bison[Aliment],0)),0),0)*TotalBisonsFemelles_6_12_mois*NbreJoursNourrirBisonsDaims)</f>
        <v>0</v>
      </c>
      <c r="BS85" s="350">
        <f t="array" ref="BS85">IF(Ration_hivernale_complète_bisons[somme]&gt;0,0,IFERROR(IF(OR(AND(INDEX(Règles_bison[Specificite],MATCH(ChoixRationBisons&amp;$BM85,Règles_bison[Ration]&amp;Règles_bison[Aliment],0))="s1",IF($BM85=ChoixSpécificité1Bisons,1)),
INDEX(Règles_bison[Specificite],MATCH(ChoixRationBisons&amp;$BM85,Règles_bison[Ration]&amp;Règles_bison[Aliment],0))="c"),
INDEX(Règles_bison[Valeur 3-6],MATCH(ChoixRationBisons&amp;$BM85,Règles_bison[Ration]&amp;Règles_bison[Aliment],0)),0),0)*TotalBisonsFemelles_3_6_mois*NbreJoursNourrirBisonsDaims)</f>
        <v>0</v>
      </c>
      <c r="BT85" s="350">
        <f t="array" ref="BT85">IF(Ration_hivernale_complète_bisons[somme]&gt;0,0,IFERROR(IF(OR(AND(INDEX(Règles_bison[Specificite],MATCH(ChoixRationBisons&amp;$BM85,Règles_bison[Ration]&amp;Règles_bison[Aliment],0))="s1",IF($BM85=ChoixSpécificité1Bisons,1)),
INDEX(Règles_bison[Specificite],MATCH(ChoixRationBisons&amp;$BM85,Règles_bison[Ration]&amp;Règles_bison[Aliment],0))="c"),
INDEX(Règles_bison[Valeur 0-3],MATCH(ChoixRationBisons&amp;$BM85,Règles_bison[Ration]&amp;Règles_bison[Aliment],0)),0),0)*TotalBisonsFemelles_0_3_mois*NbreJoursNourrirBisonsDaims)</f>
        <v>0</v>
      </c>
      <c r="BU85" s="350">
        <f t="shared" si="21"/>
        <v>0</v>
      </c>
      <c r="BV85" s="282"/>
      <c r="BW85" s="282"/>
      <c r="BX85" s="373" t="s">
        <v>550</v>
      </c>
      <c r="BY85" s="280" t="s">
        <v>220</v>
      </c>
      <c r="BZ85" s="280" t="s">
        <v>887</v>
      </c>
      <c r="CA85" s="280">
        <v>1.6</v>
      </c>
      <c r="CB85" s="280">
        <v>1.4</v>
      </c>
      <c r="CC85" s="280">
        <v>1.2</v>
      </c>
      <c r="CD85" s="410">
        <v>1</v>
      </c>
      <c r="CE85" s="304"/>
      <c r="CF85" s="304"/>
      <c r="CG85" s="304"/>
      <c r="CH85" s="304"/>
      <c r="CJ85" s="276"/>
      <c r="CS85" s="420" t="s">
        <v>488</v>
      </c>
      <c r="CT85" s="433">
        <f t="array" ref="CT85">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85" s="433">
        <f t="array" ref="CU85">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85" s="433">
        <f t="array" ref="CV85">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85" s="434">
        <f>SUM(AlimentsRationLapinsMâles[[#This Row],[Valeur 3 et plus]:[Valeur 0-1]])</f>
        <v>0</v>
      </c>
      <c r="CZ85" s="420" t="s">
        <v>488</v>
      </c>
      <c r="DA85" s="433">
        <f t="array" ref="DA8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85" s="433">
        <f t="array" ref="DB8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85" s="433">
        <f t="array" ref="DC8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85" s="434">
        <f>SUM(AlimentsRationVolaillesMâles[[#This Row],[Valeur 6 et plus]:[Valeur 0-1]])</f>
        <v>0</v>
      </c>
      <c r="DE85" s="316"/>
      <c r="DF85" s="277"/>
      <c r="DG85" s="420"/>
      <c r="DH85" s="433">
        <f t="array" ref="DH8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85" s="433">
        <f t="array" ref="DI8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85" s="433">
        <f t="array" ref="DJ8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85" s="434">
        <f>SUM(AlimentsRationPintadesMâles[[#This Row],[Valeur 9 et plus]:[Valeur 0-1]])</f>
        <v>0</v>
      </c>
      <c r="DL85" s="316"/>
      <c r="DN85" s="373" t="s">
        <v>622</v>
      </c>
      <c r="DO85" s="280" t="s">
        <v>518</v>
      </c>
      <c r="DP85" s="280" t="s">
        <v>886</v>
      </c>
      <c r="DQ85" s="310">
        <v>20</v>
      </c>
      <c r="DR85" s="310">
        <v>12</v>
      </c>
      <c r="DS85" s="310">
        <v>8</v>
      </c>
      <c r="DT85" s="439">
        <v>4</v>
      </c>
      <c r="DU85" s="298"/>
      <c r="DV85" s="350" t="str">
        <f t="shared" si="23"/>
        <v>concentré jeunes bovins</v>
      </c>
      <c r="DW85" s="351">
        <f t="array" ref="DW85">SUM((IF(QualitéAlimentsFaonMâle_0_3_mois=BONNE,VLOOKUP("concentré jeunes bovins",AlimentsRationHivernaleDaims,8,FALSE),0)+(IF(QualitéAlimentsFaonFemelle_0_3_mois=BONNE,VLOOKUP("concentré jeunes bovins",AlimentsRationHivernaleDaims,8,FALSE),0)+(IF(QualitéAlimentsFaonMâle_3_6_mois=BONNE,VLOOKUP("concentré jeunes bovins",AlimentsRationHivernaleDaims,7,FALSE),0)+(IF(QualitéAlimentsFaonFemelle_3_6_mois=BONNE,VLOOKUP("concentré jeunes bovins",AlimentsRationHivernaleDaims,7,FALSE),0)+(IF(QualitéAlimentsFaonMâle_6_12_mois=BONNE,VLOOKUP("concentré jeunes bovins",AlimentsRationHivernaleDaims,6,FALSE),0)+(IF(QualitéAlimentsFaonFemelle_6_12_mois=BONNE,VLOOKUP("concentré jeunes bovins",AlimentsRationHivernaleDaims,6,FALSE),0)+(IF(QualitéAlimentsJeuneDaim_12_18_mois=BONNE,VLOOKUP("concentré jeunes bovins",AlimentsRationHivernaleDaims,5,FALSE),0)+(IF(QualitéAlimentsJeuneDaine_12_18_mois=BONNE,VLOOKUP("concentré jeunes bovins",AlimentsRationHivernaleDaims,5,FALSE),0)+(IF(QualitéAlimentsJeuneDaim_18_24_mois=BONNE,VLOOKUP("concentré jeunes bovins",AlimentsRationHivernaleDaims,4,FALSE),0)+(IF(QualitéAlimentsJeuneDaine_18_24_mois=BONNE,VLOOKUP("concentré jeunes bovins",AlimentsRationHivernaleDaims,4,FALSE),0)+(IF(QualitéAlimentsJeuneDaim_24_36_mois=BONNE,VLOOKUP("concentré jeunes bovins",AlimentsRationHivernaleDaims,3,FALSE),0)+(IF(QualitéAlimentsJeuneDaine_24_36_mois=BONNE,VLOOKUP("concentré jeunes bovins",AlimentsRationHivernaleDaims,3,FALSE),0)+(IF(QualitéAlimentsDaim=BONNE,VLOOKUP("concentré jeunes bovins",AlimentsRationHivernaleDaims,2,FALSE),0)+(IF(QualitéAlimentsDaine=BONNE,VLOOKUP("concentré jeunes bovins",AlimentsRationHivernaleDaims,2,FALSE),0))))))))))))))))</f>
        <v>0</v>
      </c>
      <c r="DX85" s="351">
        <f t="array" ref="DX85">SUM((IF(QualitéAlimentsFaonMâle_0_3_mois=MOYENNE,VLOOKUP("concentré jeunes bovins",AlimentsRationHivernaleDaims,8,FALSE),0)+(IF(QualitéAlimentsFaonFemelle_0_3_mois=MOYENNE,VLOOKUP("concentré jeunes bovins",AlimentsRationHivernaleDaims,8,FALSE),0)+(IF(QualitéAlimentsFaonMâle_3_6_mois=MOYENNE,VLOOKUP("concentré jeunes bovins",AlimentsRationHivernaleDaims,7,FALSE),0)+(IF(QualitéAlimentsFaonFemelle_3_6_mois=MOYENNE,VLOOKUP("concentré jeunes bovins",AlimentsRationHivernaleDaims,7,FALSE),0)+(IF(QualitéAlimentsFaonMâle_6_12_mois=MOYENNE,VLOOKUP("concentré jeunes bovins",AlimentsRationHivernaleDaims,6,FALSE),0)+(IF(QualitéAlimentsFaonFemelle_6_12_mois=MOYENNE,VLOOKUP("concentré jeunes bovins",AlimentsRationHivernaleDaims,6,FALSE),0)+(IF(QualitéAlimentsJeuneDaim_12_18_mois=MOYENNE,VLOOKUP("concentré jeunes bovins",AlimentsRationHivernaleDaims,5,FALSE),0)+(IF(QualitéAlimentsJeuneDaine_12_18_mois=MOYENNE,VLOOKUP("concentré jeunes bovins",AlimentsRationHivernaleDaims,5,FALSE),0)+(IF(QualitéAlimentsJeuneDaim_18_24_mois=MOYENNE,VLOOKUP("concentré jeunes bovins",AlimentsRationHivernaleDaims,4,FALSE),0)+(IF(QualitéAlimentsJeuneDaine_18_24_mois=MOYENNE,VLOOKUP("concentré jeunes bovins",AlimentsRationHivernaleDaims,4,FALSE),0)+(IF(QualitéAlimentsJeuneDaim_24_36_mois=MOYENNE,VLOOKUP("concentré jeunes bovins",AlimentsRationHivernaleDaims,3,FALSE),0)+(IF(QualitéAlimentsJeuneDaine_24_36_mois=MOYENNE,VLOOKUP("concentré jeunes bovins",AlimentsRationHivernaleDaims,3,FALSE),0)+(IF(QualitéAlimentsDaim=MOYENNE,VLOOKUP("concentré jeunes bovins",AlimentsRationHivernaleDaims,2,FALSE),0)+(IF(QualitéAlimentsDaine=MOYENNE,VLOOKUP("concentré jeunes bovins",AlimentsRationHivernaleDaims,2,FALSE),0))))))))))))))))</f>
        <v>0</v>
      </c>
      <c r="DY85" s="351">
        <f t="array" ref="DY85">SUM((IF(QualitéAlimentsFaonMâle_0_3_mois=MAUVAISE,VLOOKUP("concentré jeunes bovins",AlimentsRationHivernaleDaims,8,FALSE),0)+(IF(QualitéAlimentsFaonFemelle_0_3_mois=MAUVAISE,VLOOKUP("concentré jeunes bovins",AlimentsRationHivernaleDaims,8,FALSE),0)+(IF(QualitéAlimentsFaonMâle_3_6_mois=MAUVAISE,VLOOKUP("concentré jeunes bovins",AlimentsRationHivernaleDaims,7,FALSE),0)+(IF(QualitéAlimentsFaonFemelle_3_6_mois=MAUVAISE,VLOOKUP("concentré jeunes bovins",AlimentsRationHivernaleDaims,7,FALSE),0)+(IF(QualitéAlimentsFaonMâle_6_12_mois=MAUVAISE,VLOOKUP("concentré jeunes bovins",AlimentsRationHivernaleDaims,6,FALSE),0)+(IF(QualitéAlimentsFaonFemelle_6_12_mois=MAUVAISE,VLOOKUP("concentré jeunes bovins",AlimentsRationHivernaleDaims,6,FALSE),0)+(IF(QualitéAlimentsJeuneDaim_12_18_mois=MAUVAISE,VLOOKUP("concentré jeunes bovins",AlimentsRationHivernaleDaims,5,FALSE),0)+(IF(QualitéAlimentsJeuneDaine_12_18_mois=MAUVAISE,VLOOKUP("concentré jeunes bovins",AlimentsRationHivernaleDaims,5,FALSE),0)+(IF(QualitéAlimentsJeuneDaim_18_24_mois=MAUVAISE,VLOOKUP("concentré jeunes bovins",AlimentsRationHivernaleDaims,4,FALSE),0)+(IF(QualitéAlimentsJeuneDaine_18_24_mois=MAUVAISE,VLOOKUP("concentré jeunes bovins",AlimentsRationHivernaleDaims,4,FALSE),0)+(IF(QualitéAlimentsJeuneDaim_24_36_mois=MAUVAISE,VLOOKUP("concentré jeunes bovins",AlimentsRationHivernaleDaims,3,FALSE),0)+(IF(QualitéAlimentsJeuneDaine_24_36_mois=MAUVAISE,VLOOKUP("concentré jeunes bovins",AlimentsRationHivernaleDaims,3,FALSE),0)+(IF(QualitéAlimentsDaim=MAUVAISE,VLOOKUP("concentré jeunes bovins",AlimentsRationHivernaleDaims,2,FALSE),0)+(IF(QualitéAlimentsDaine=MAUVAISE,VLOOKUP("concentré jeunes bovins",AlimentsRationHivernaleDaims,2,FALSE),0))))))))))))))))</f>
        <v>0</v>
      </c>
      <c r="DZ85" s="298"/>
      <c r="EA85" s="298"/>
      <c r="EB85" s="298"/>
      <c r="EC85" s="298"/>
      <c r="ED85" s="298"/>
      <c r="EE85" s="298"/>
      <c r="EG85" s="420" t="s">
        <v>70</v>
      </c>
      <c r="EH85" s="433">
        <f t="array" ref="EH8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85" s="433">
        <f t="array" ref="EI8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85" s="433">
        <f t="array" ref="EJ8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85" s="434">
        <f>SUM(AlimentsRationOiesMâles[[#This Row],[Valeur 6 et plus]:[Valeur 0-3]])</f>
        <v>0</v>
      </c>
      <c r="EL85" s="316"/>
      <c r="EN85" s="420"/>
      <c r="EO85" s="433">
        <f t="array" ref="EO85">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85" s="433">
        <f t="array" ref="EP85">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85" s="433">
        <f t="array" ref="EQ85">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85" s="434">
        <f>SUM(Ration_canards_Mâles[[#This Row],[Valeur 6 et plus]:[Valeur 0-3]])</f>
        <v>0</v>
      </c>
      <c r="ES85" s="316"/>
      <c r="EU85" s="457" t="s">
        <v>508</v>
      </c>
      <c r="EV85" s="458">
        <f t="array" ref="EV85">IF(OR(ChoixRationComplèteEtéChevauxSelle=OUI,ChoixRationComplèteEtéChevauxSelle="",AND(ChoixChevauxSellePréHiver=OUI,ChoixChevauxSellePréEté=OUI)),0,IFERROR(IF(OR(AND(INDEX(Règles_chevaux_selle[Specificite],MATCH(RationEtéChevauxSelle&amp;$EU85,Règles_chevaux_selle[Ration]&amp;Règles_chevaux_selle[Aliment],0))="s1",IF($EU85=Spécificité1ChevauxSelle,1)),
AND(INDEX(Règles_chevaux_selle[Specificite],MATCH(RationEtéChevauxSelle&amp;$EU85,Règles_chevaux_selle[Ration]&amp;Règles_chevaux_selle[Aliment],0))="s2",IF($EU85=Spécificité2ChevauxSelle,1)),
INDEX(Règles_chevaux_selle[Specificite],MATCH(RationEtéChevauxSelle&amp;$EU85,Règles_chevaux_selle[Ration]&amp;Règles_chevaux_selle[Aliment],0))="c"),
INDEX(Règles_chevaux_selle[Valeur 36 et plus],MATCH(RationEtéChevauxSelle&amp;$EU85,Règles_chevaux_selle[Ration]&amp;Règles_chevaux_selle[Aliment],0)),0),0)*TotalEtalonSelle*NbreJoursNourrirChevauxSelle)</f>
        <v>0</v>
      </c>
      <c r="EW85" s="458">
        <f t="array" ref="EW85">IF(OR(ChoixRationComplèteEtéChevauxSelle=OUI,ChoixRationComplèteEtéChevauxSelle="",AND(ChoixChevauxSellePréHiver=OUI,ChoixChevauxSellePréEté=OUI)),0,IFERROR(IF(OR(AND(INDEX(Règles_chevaux_selle[Specificite],MATCH(RationEtéChevauxSelle&amp;$EU85,Règles_chevaux_selle[Ration]&amp;Règles_chevaux_selle[Aliment],0))="s1",IF($EU85=Spécificité1ChevauxSelle,1)),
AND(INDEX(Règles_chevaux_selle[Specificite],MATCH(RationEtéChevauxSelle&amp;$EU85,Règles_chevaux_selle[Ration]&amp;Règles_chevaux_selle[Aliment],0))="s2",IF($EU85=Spécificité2ChevauxSelle,1)),
INDEX(Règles_chevaux_selle[Specificite],MATCH(RationEtéChevauxSelle&amp;$EU85,Règles_chevaux_selle[Ration]&amp;Règles_chevaux_selle[Aliment],0))="c"),
INDEX(Règles_chevaux_selle[Valeur 24-36],MATCH(RationEtéChevauxSelle&amp;$EU85,Règles_chevaux_selle[Ration]&amp;Règles_chevaux_selle[Aliment],0)),0),0)*TotalJeuneEtalonSelle_24_36_mois*NbreJoursNourrirChevauxSelle)</f>
        <v>0</v>
      </c>
      <c r="EX85" s="458">
        <f t="array" ref="EX85">IF(OR(ChoixRationComplèteEtéChevauxSelle=OUI,ChoixRationComplèteEtéChevauxSelle="",AND(ChoixChevauxSellePréHiver=OUI,ChoixChevauxSellePréEté=OUI)),0,IFERROR(IF(OR(AND(INDEX(Règles_chevaux_selle[Specificite],MATCH(RationEtéChevauxSelle&amp;$EU85,Règles_chevaux_selle[Ration]&amp;Règles_chevaux_selle[Aliment],0))="s1",IF($EU85=Spécificité1ChevauxSelle,1)),
AND(INDEX(Règles_chevaux_selle[Specificite],MATCH(RationEtéChevauxSelle&amp;$EU85,Règles_chevaux_selle[Ration]&amp;Règles_chevaux_selle[Aliment],0))="s2",IF($EU85=Spécificité2ChevauxSelle,1)),
INDEX(Règles_chevaux_selle[Specificite],MATCH(RationEtéChevauxSelle&amp;$EU85,Règles_chevaux_selle[Ration]&amp;Règles_chevaux_selle[Aliment],0))="c"),
INDEX(Règles_chevaux_selle[Valeur 12-24],MATCH(RationEtéChevauxSelle&amp;$EU85,Règles_chevaux_selle[Ration]&amp;Règles_chevaux_selle[Aliment],0)),0),0)*TotalJeuneEtalonSelle_12_24_mois*NbreJoursNourrirChevauxSelle)</f>
        <v>0</v>
      </c>
      <c r="EY85" s="460">
        <f t="array" ref="EY85">IF(OR(ChoixRationComplèteEtéChevauxSelle=OUI,ChoixRationComplèteEtéChevauxSelle="",AND(ChoixChevauxSellePréHiver=OUI,ChoixChevauxSellePréEté=OUI)),0,IFERROR(IF(OR(AND(INDEX(Règles_chevaux_selle[Specificite],MATCH(RationEtéChevauxSelle&amp;$EU85,Règles_chevaux_selle[Ration]&amp;Règles_chevaux_selle[Aliment],0))="s1",IF($EU85=Spécificité1ChevauxSelle,1)),
AND(INDEX(Règles_chevaux_selle[Specificite],MATCH(RationEtéChevauxSelle&amp;$EU85,Règles_chevaux_selle[Ration]&amp;Règles_chevaux_selle[Aliment],0))="s2",IF($EU85=Spécificité2ChevauxSelle,1)),
INDEX(Règles_chevaux_selle[Specificite],MATCH(RationEtéChevauxSelle&amp;$EU85,Règles_chevaux_selle[Ration]&amp;Règles_chevaux_selle[Aliment],0))="c"),
INDEX(Règles_chevaux_selle[Valeur 0-12],MATCH(RationEtéChevauxSelle&amp;$EU85,Règles_chevaux_selle[Ration]&amp;Règles_chevaux_selle[Aliment],0)),0),0)*TotalPoulainSelle_0_12_mois*NbreJoursNourrirChevauxSelle)</f>
        <v>0</v>
      </c>
      <c r="EZ85" s="460">
        <f t="shared" si="16"/>
        <v>0</v>
      </c>
      <c r="FA85" s="298"/>
      <c r="FB85" s="298"/>
      <c r="FD85" s="457" t="s">
        <v>908</v>
      </c>
      <c r="FE85" s="458">
        <f t="array" ref="FE85">IF(OR(ChoixRationComplèteEtéChevauxTrait=OUI,ChoixRationComplèteEtéChevauxTrait="",AND(ChoixChevauxTraitPréHiver=OUI,ChoixChevauxTraitPréEté=OUI)),0,IFERROR(IF(OR(AND(INDEX(Règles_chevaux_trait[Specificite],MATCH(RationEtéChevauxTrait&amp;$FD85,Règles_chevaux_trait[Ration]&amp;Règles_chevaux_trait[Aliment],0))="s1",IF($FD85=Spécificité1ChevauxTrait,1)),
AND(INDEX(Règles_chevaux_trait[Specificite],MATCH(RationEtéChevauxTrait&amp;$FD85,Règles_chevaux_trait[Ration]&amp;Règles_chevaux_trait[Aliment],0))="s2",IF($FD85=Spécificité2ChevauxTrait,1)),
INDEX(Règles_chevaux_trait[Specificite],MATCH(RationEtéChevauxTrait&amp;$FD85,Règles_chevaux_trait[Ration]&amp;Règles_chevaux_trait[Aliment],0))="c"),
INDEX(Règles_chevaux_trait[Valeur 36 et plus],MATCH(RationEtéChevauxTrait&amp;$FD85,Règles_chevaux_trait[Ration]&amp;Règles_chevaux_trait[Aliment],0)),0),0)*TotalEtalonTrait*NbreJoursNourrirChevauxTrait)</f>
        <v>0</v>
      </c>
      <c r="FF85" s="458">
        <f t="array" ref="FF85">IF(OR(ChoixRationComplèteEtéChevauxTrait=OUI,ChoixRationComplèteEtéChevauxTrait="",AND(ChoixChevauxTraitPréHiver=OUI,ChoixChevauxTraitPréEté=OUI)),0,IFERROR(IF(OR(AND(INDEX(Règles_chevaux_trait[Specificite],MATCH(RationEtéChevauxTrait&amp;$FD85,Règles_chevaux_trait[Ration]&amp;Règles_chevaux_trait[Aliment],0))="s1",IF($FD85=Spécificité1ChevauxTrait,1)),
AND(INDEX(Règles_chevaux_trait[Specificite],MATCH(RationEtéChevauxTrait&amp;$FD85,Règles_chevaux_trait[Ration]&amp;Règles_chevaux_trait[Aliment],0))="s2",IF($FD85=Spécificité2ChevauxTrait,1)),
INDEX(Règles_chevaux_trait[Specificite],MATCH(RationEtéChevauxTrait&amp;$FD85,Règles_chevaux_trait[Ration]&amp;Règles_chevaux_trait[Aliment],0))="c"),
INDEX(Règles_chevaux_trait[Valeur 24-36],MATCH(RationEtéChevauxTrait&amp;$FD85,Règles_chevaux_trait[Ration]&amp;Règles_chevaux_trait[Aliment],0)),0),0)*TotalJeuneEtalonTrait_24_36_mois*NbreJoursNourrirChevauxTrait)</f>
        <v>0</v>
      </c>
      <c r="FG85" s="458">
        <f t="array" ref="FG85">IF(OR(ChoixRationComplèteEtéChevauxTrait=OUI,ChoixRationComplèteEtéChevauxTrait="",AND(ChoixChevauxTraitPréHiver=OUI,ChoixChevauxTraitPréEté=OUI)),0,IFERROR(IF(OR(AND(INDEX(Règles_chevaux_trait[Specificite],MATCH(RationEtéChevauxTrait&amp;$FD85,Règles_chevaux_trait[Ration]&amp;Règles_chevaux_trait[Aliment],0))="s1",IF($FD85=Spécificité1ChevauxTrait,1)),
AND(INDEX(Règles_chevaux_trait[Specificite],MATCH(RationEtéChevauxTrait&amp;$FD85,Règles_chevaux_trait[Ration]&amp;Règles_chevaux_trait[Aliment],0))="s2",IF($FD85=Spécificité2ChevauxTrait,1)),
INDEX(Règles_chevaux_trait[Specificite],MATCH(RationEtéChevauxTrait&amp;$FD85,Règles_chevaux_trait[Ration]&amp;Règles_chevaux_trait[Aliment],0))="c"),
INDEX(Règles_chevaux_trait[Valeur 12-24],MATCH(RationEtéChevauxTrait&amp;$FD85,Règles_chevaux_trait[Ration]&amp;Règles_chevaux_trait[Aliment],0)),0),0)*TotalJeuneEtalonTrait_12_24_mois*NbreJoursNourrirChevauxTrait)</f>
        <v>0</v>
      </c>
      <c r="FH85" s="460">
        <f t="array" ref="FH85">IF(OR(ChoixRationComplèteEtéChevauxTrait=OUI,ChoixRationComplèteEtéChevauxTrait="",AND(ChoixChevauxTraitPréHiver=OUI,ChoixChevauxTraitPréEté=OUI)),0,IFERROR(IF(OR(AND(INDEX(Règles_chevaux_trait[Specificite],MATCH(RationEtéChevauxTrait&amp;$FD85,Règles_chevaux_trait[Ration]&amp;Règles_chevaux_trait[Aliment],0))="s1",IF($FD85=Spécificité1ChevauxTrait,1)),
AND(INDEX(Règles_chevaux_trait[Specificite],MATCH(RationEtéChevauxTrait&amp;$FD85,Règles_chevaux_trait[Ration]&amp;Règles_chevaux_trait[Aliment],0))="s2",IF($FD85=Spécificité2ChevauxTrait,1)),
INDEX(Règles_chevaux_trait[Specificite],MATCH(RationEtéChevauxTrait&amp;$FD85,Règles_chevaux_trait[Ration]&amp;Règles_chevaux_trait[Aliment],0))="c"),
INDEX(Règles_chevaux_trait[Valeur 0-12],MATCH(RationEtéChevauxTrait&amp;$FD85,Règles_chevaux_trait[Ration]&amp;Règles_chevaux_trait[Aliment],0)),0),0)*TotalPoulainTrait_0_12_mois*NbreJoursNourrirChevauxTrait)</f>
        <v>0</v>
      </c>
      <c r="FI85" s="460">
        <f t="shared" si="15"/>
        <v>0</v>
      </c>
      <c r="FN85" s="457" t="s">
        <v>70</v>
      </c>
      <c r="FO85" s="458">
        <f t="array" ref="FO85">IF(OR(ChoixRationComplèteEtéPoneys=OUI,ChoixRationComplèteEtéPoneys="",AND(ChoixPoneysPréHiver=OUI,ChoixPoneysPréEté=OUI)),0,IFERROR(IF(OR(AND(INDEX(Règles_poneys[Specificite],MATCH(RationEtéPoneys&amp;$FN85,Règles_poneys[Ration]&amp;Règles_poneys[Aliment],0))="s1",IF($FN85=Spécificité1Poneys,1)),
AND(INDEX(Règles_poneys[Specificite],MATCH(RationEtéPoneys&amp;$FN85,Règles_poneys[Ration]&amp;Règles_poneys[Aliment],0))="s2",IF($FN85=Spécificité2Poneys,1)),
INDEX(Règles_poneys[Specificite],MATCH(RationEtéPoneys&amp;$FN85,Règles_poneys[Ration]&amp;Règles_poneys[Aliment],0))="c"),
INDEX(Règles_poneys[Valeur 36 et plus],MATCH(RationEtéPoneys&amp;$FN85,Règles_poneys[Ration]&amp;Règles_poneys[Aliment],0)),0),0)*TotalEtalonPoney*NbreJoursNourrirPoneys)</f>
        <v>0</v>
      </c>
      <c r="FP85" s="458">
        <f t="array" ref="FP85">IF(OR(ChoixRationComplèteEtéPoneys=OUI,ChoixRationComplèteEtéPoneys="",AND(ChoixPoneysPréHiver=OUI,ChoixPoneysPréEté=OUI)),0,IFERROR(IF(OR(AND(INDEX(Règles_poneys[Specificite],MATCH(RationEtéPoneys&amp;$FN85,Règles_poneys[Ration]&amp;Règles_poneys[Aliment],0))="s1",IF($FN85=Spécificité1Poneys,1)),
AND(INDEX(Règles_poneys[Specificite],MATCH(RationEtéPoneys&amp;$FN85,Règles_poneys[Ration]&amp;Règles_poneys[Aliment],0))="s2",IF($FN85=Spécificité2Poneys,1)),
INDEX(Règles_poneys[Specificite],MATCH(RationEtéPoneys&amp;$FN85,Règles_poneys[Ration]&amp;Règles_poneys[Aliment],0))="c"),
INDEX(Règles_poneys[Valeur 36 et plus],MATCH(RationEtéPoneys&amp;$FN85,Règles_poneys[Ration]&amp;Règles_poneys[Aliment],0)),0),0)*TotalJeuneEtalonPoney_24_36_mois*NbreJoursNourrirPoneys)</f>
        <v>0</v>
      </c>
      <c r="FQ85" s="458">
        <f t="array" ref="FQ85">IF(OR(ChoixRationComplèteEtéPoneys=OUI,ChoixRationComplèteEtéPoneys="",AND(ChoixPoneysPréHiver=OUI,ChoixPoneysPréEté=OUI)),0,IFERROR(IF(OR(AND(INDEX(Règles_poneys[Specificite],MATCH(RationEtéPoneys&amp;$FN85,Règles_poneys[Ration]&amp;Règles_poneys[Aliment],0))="s1",IF($FN85=Spécificité1Poneys,1)),
AND(INDEX(Règles_poneys[Specificite],MATCH(RationEtéPoneys&amp;$FN85,Règles_poneys[Ration]&amp;Règles_poneys[Aliment],0))="s2",IF($FN85=Spécificité2Poneys,1)),
INDEX(Règles_poneys[Specificite],MATCH(RationEtéPoneys&amp;$FN85,Règles_poneys[Ration]&amp;Règles_poneys[Aliment],0))="c"),
INDEX(Règles_poneys[Valeur 36 et plus],MATCH(RationEtéPoneys&amp;$FN85,Règles_poneys[Ration]&amp;Règles_poneys[Aliment],0)),0),0)*TotalJeuneEtalonPoney_12_24_mois*NbreJoursNourrirPoneys)</f>
        <v>0</v>
      </c>
      <c r="FR85" s="460">
        <f t="array" ref="FR85">IF(OR(ChoixRationComplèteEtéPoneys=OUI,ChoixRationComplèteEtéPoneys="",AND(ChoixPoneysPréHiver=OUI,ChoixPoneysPréEté=OUI)),0,IFERROR(IF(OR(AND(INDEX(Règles_poneys[Specificite],MATCH(RationEtéPoneys&amp;$FN85,Règles_poneys[Ration]&amp;Règles_poneys[Aliment],0))="s1",IF($FN85=Spécificité1Poneys,1)),
AND(INDEX(Règles_poneys[Specificite],MATCH(RationEtéPoneys&amp;$FN85,Règles_poneys[Ration]&amp;Règles_poneys[Aliment],0))="s2",IF($FN85=Spécificité2Poneys,1)),
INDEX(Règles_poneys[Specificite],MATCH(RationEtéPoneys&amp;$FN85,Règles_poneys[Ration]&amp;Règles_poneys[Aliment],0))="c"),
INDEX(Règles_poneys[Valeur 36 et plus],MATCH(RationEtéPoneys&amp;$FN85,Règles_poneys[Ration]&amp;Règles_poneys[Aliment],0)),0),0)*TotalPoulainPoney_0_12_mois*NbreJoursNourrirPoneys)</f>
        <v>0</v>
      </c>
      <c r="FS85" s="460">
        <f t="shared" si="14"/>
        <v>0</v>
      </c>
      <c r="FW85" s="421" t="s">
        <v>508</v>
      </c>
      <c r="FX85" s="452">
        <f t="array" ref="FX85">IF(ChoixRationComplèteFoieGrasOies=NON,0,IFERROR(IF(OR(AND(INDEX(Règles_gavage[Specificite],MATCH(ChoixRationFoieGrasOies&amp;Ration_complète_gavage_oies[aliment],Règles_gavage[Ration]&amp;Règles_gavage[Aliment],0))="s1",IF(Ration_complète_gavage_oies[aliment]=ChoixSpécificité1FoieGrasOies,1)),
AND(INDEX(Règles_gavage[Specificite],MATCH(ChoixRationFoieGrasOies&amp;Ration_complète_gavage_oies[aliment],Règles_gavage[Ration]&amp;Règles_gavage[Aliment],0))="s2",IF(Ration_complète_gavage_oies[aliment]=ChoixSpécificité2FoieGrasOies,1)),
INDEX(Règles_gavage[Specificite],MATCH(ChoixRationFoieGrasOies&amp;Ration_complète_gavage_oies[aliment],Règles_gavage[Ration]&amp;Règles_gavage[Aliment],0))="c",INDEX(Règles_gavage[Specificite],MATCH(ChoixRationFoieGrasOies&amp;Ration_complète_gavage_oies[aliment],Règles_gavage[Ration]&amp;Règles_gavage[Aliment],0))="complet"),
INDEX(Règles_gavage[Valeur 6 et plus],MATCH(ChoixRationFoieGrasOies&amp;Ration_complète_gavage_oies[aliment],Règles_gavage[Ration]&amp;Règles_gavage[Aliment],0)),0),0)*FoieGrasJeunesOies_3moisEtPlus*DuréePhaseGavageOie)</f>
        <v>0</v>
      </c>
      <c r="FY85" s="452">
        <f t="array" ref="FY85">IF(ChoixRationComplèteFoieGrasOies=NON,0,IFERROR(IF(OR(AND(INDEX(Règles_gavage[Specificite],MATCH(ChoixRationFoieGrasOies&amp;Ration_complète_gavage_oies[aliment],Règles_gavage[Ration]&amp;Règles_gavage[Aliment],0))="s1",IF(Ration_complète_gavage_oies[aliment]=ChoixSpécificité1FoieGrasOies,1)),
AND(INDEX(Règles_gavage[Specificite],MATCH(ChoixRationFoieGrasOies&amp;Ration_complète_gavage_oies[aliment],Règles_gavage[Ration]&amp;Règles_gavage[Aliment],0))="s2",IF(Ration_complète_gavage_oies[aliment]=ChoixSpécificité2FoieGrasOies,1)),
INDEX(Règles_gavage[Specificite],MATCH(ChoixRationFoieGrasOies&amp;Ration_complète_gavage_oies[aliment],Règles_gavage[Ration]&amp;Règles_gavage[Aliment],0))="c",INDEX(Règles_gavage[Specificite],MATCH(ChoixRationFoieGrasOies&amp;Ration_complète_gavage_oies[aliment],Règles_gavage[Ration]&amp;Règles_gavage[Aliment],0))="complet"),
INDEX(Règles_gavage[Valeur 2-3],MATCH(ChoixRationFoieGrasOies&amp;Ration_complète_gavage_oies[aliment],Règles_gavage[Ration]&amp;Règles_gavage[Aliment],0)),0),0)*FoieGrasOison_2_3mois*DuréePhaseElevage2_3)</f>
        <v>0</v>
      </c>
      <c r="FZ85" s="452">
        <f t="array" ref="FZ85">IF(ChoixRationComplèteFoieGrasOies=NON,0,IFERROR(IF(OR(AND(INDEX(Règles_gavage[Specificite],MATCH(ChoixRationFoieGrasOies&amp;Ration_complète_gavage_oies[aliment],Règles_gavage[Ration]&amp;Règles_gavage[Aliment],0))="s1",IF(Ration_complète_gavage_oies[aliment]=ChoixSpécificité1FoieGrasOies,1)),
AND(INDEX(Règles_gavage[Specificite],MATCH(ChoixRationFoieGrasOies&amp;Ration_complète_gavage_oies[aliment],Règles_gavage[Ration]&amp;Règles_gavage[Aliment],0))="s2",IF(Ration_complète_gavage_oies[aliment]=ChoixSpécificité2FoieGrasOies,1)),
INDEX(Règles_gavage[Specificite],MATCH(ChoixRationFoieGrasOies&amp;Ration_complète_gavage_oies[aliment],Règles_gavage[Ration]&amp;Règles_gavage[Aliment],0))="c",INDEX(Règles_gavage[Specificite],MATCH(ChoixRationFoieGrasOies&amp;Ration_complète_gavage_oies[aliment],Règles_gavage[Ration]&amp;Règles_gavage[Aliment],0))="complet"),
INDEX(Règles_gavage[Valeur 1-2],MATCH(ChoixRationFoieGrasOies&amp;Ration_complète_gavage_oies[aliment],Règles_gavage[Ration]&amp;Règles_gavage[Aliment],0)),0),0)*FoieGrasOison_1_2mois*DuréePhaseElevage1_2)</f>
        <v>0</v>
      </c>
      <c r="GA85" s="452">
        <f t="array" ref="GA85">IF(ChoixRationComplèteFoieGrasOies=NON,0,IFERROR(IF(OR(AND(INDEX(Règles_gavage[Specificite],MATCH(ChoixRationFoieGrasOies&amp;Ration_complète_gavage_oies[aliment],Règles_gavage[Ration]&amp;Règles_gavage[Aliment],0))="s1",IF(Ration_complète_gavage_oies[aliment]=ChoixSpécificité1FoieGrasOies,1)),
AND(INDEX(Règles_gavage[Specificite],MATCH(ChoixRationFoieGrasOies&amp;Ration_complète_gavage_oies[aliment],Règles_gavage[Ration]&amp;Règles_gavage[Aliment],0))="s2",IF(Ration_complète_gavage_oies[aliment]=ChoixSpécificité2FoieGrasOies,1)),
INDEX(Règles_gavage[Specificite],MATCH(ChoixRationFoieGrasOies&amp;Ration_complète_gavage_oies[aliment],Règles_gavage[Ration]&amp;Règles_gavage[Aliment],0))="c",INDEX(Règles_gavage[Specificite],MATCH(ChoixRationFoieGrasOies&amp;Ration_complète_gavage_oies[aliment],Règles_gavage[Ration]&amp;Règles_gavage[Aliment],0))="complet"),
INDEX(Règles_gavage[Valeur 0-1],MATCH(ChoixRationFoieGrasOies&amp;Ration_complète_gavage_oies[aliment],Règles_gavage[Ration]&amp;Règles_gavage[Aliment],0)),0),0)*FoieGrasOison_0_1mois*DuréePhaseElevage0_1)</f>
        <v>0</v>
      </c>
      <c r="GB85" s="454">
        <f>SUM(Ration_complète_gavage_oies[[Valeur 6 et plus]:[Valeur 0-1]])</f>
        <v>0</v>
      </c>
      <c r="GG85" s="276" t="s">
        <v>955</v>
      </c>
      <c r="GH85" s="276" t="s">
        <v>955</v>
      </c>
      <c r="GI85" s="276" t="s">
        <v>955</v>
      </c>
      <c r="GJ85" s="276" t="s">
        <v>955</v>
      </c>
      <c r="GK85" s="276" t="s">
        <v>955</v>
      </c>
      <c r="GL85" s="276" t="s">
        <v>955</v>
      </c>
      <c r="GM85" s="276" t="s">
        <v>955</v>
      </c>
      <c r="GN85" s="276" t="s">
        <v>955</v>
      </c>
      <c r="GO85" s="276" t="s">
        <v>955</v>
      </c>
      <c r="GP85" s="276" t="s">
        <v>955</v>
      </c>
      <c r="GQ85" s="276" t="s">
        <v>955</v>
      </c>
      <c r="GR85" s="276" t="s">
        <v>955</v>
      </c>
      <c r="GS85" s="276" t="s">
        <v>955</v>
      </c>
      <c r="GT85" s="276" t="s">
        <v>955</v>
      </c>
      <c r="GU85" s="276" t="s">
        <v>955</v>
      </c>
      <c r="GV85" s="276" t="s">
        <v>955</v>
      </c>
      <c r="GY85" s="444" t="str">
        <f t="shared" si="24"/>
        <v>engrais pommiers</v>
      </c>
      <c r="GZ85" s="444"/>
      <c r="HA85" s="342"/>
      <c r="HB85" s="342" t="e">
        <f>IF(COUNTIF(TypeArticleDansEntrepôt,GY85)=0,0,SUMIF(TypeArticleDansEntrepôt,GY85,QtéArticleDansEntrepôt)*VLOOKUP(GY85,#REF!,2,FALSE))</f>
        <v>#REF!</v>
      </c>
      <c r="HN85" s="342" t="e">
        <f>IF(#REF!="","",(VLOOKUP(#REF!,BDD!$HN$5:$HU$38,2,FALSE))*#REF!)</f>
        <v>#REF!</v>
      </c>
      <c r="HO85" s="342" t="e">
        <f>IF(#REF!="","",IF(OR(#REF!=Moutarde,#REF!=Phacélie),0,IF(#REF!=Luzerne,10*#REF!*VLOOKUP(#REF!,BDD!$HN$5:$HU$38,3,FALSE),IF(#REF!=Miscanthus,10.5*#REF!*VLOOKUP(#REF!,BDD!$HN$5:$HU$38,3,FALSE),INDEX(#REF!:#REF!,MATCH(#REF!,#REF!:#REF!,0),MATCH(#REF!,#REF!:#REF!,0))*#REF!*VLOOKUP(#REF!,BDD!$HN$5:$HU$38,3,FALSE)))))</f>
        <v>#REF!</v>
      </c>
      <c r="HP85" s="342" t="e">
        <f>IF(#REF!="","",IF(OR(#REF!=Moutarde,#REF!=Phacélie),0,IF(#REF!=Luzerne,10*#REF!*VLOOKUP(#REF!,BDD!$HN$5:$HU$38,4,FALSE),IF(#REF!=Miscanthus,10.5*#REF!*VLOOKUP(#REF!,BDD!$HN$5:$HU$38,4,FALSE),INDEX(#REF!:#REF!,MATCH(#REF!,#REF!:#REF!,0),MATCH(#REF!,#REF!:#REF!,0))*#REF!*VLOOKUP(#REF!,BDD!$HN$5:$HU$38,4,FALSE)))))</f>
        <v>#REF!</v>
      </c>
      <c r="HQ85" s="342" t="e">
        <f>IF(#REF!="","",IF(OR(#REF!=Moutarde,#REF!=Phacélie),0,IF(#REF!=Luzerne,10*#REF!*VLOOKUP(#REF!,BDD!$HN$5:$HU$38,5,FALSE),IF(#REF!=Miscanthus,10.5*#REF!*VLOOKUP(#REF!,BDD!$HN$5:$HU$38,5,FALSE),INDEX(#REF!:#REF!,MATCH(#REF!,#REF!:#REF!,0),MATCH(#REF!,#REF!:#REF!,0))*#REF!*VLOOKUP(#REF!,BDD!$HN$5:$HU$38,5,FALSE)))))</f>
        <v>#REF!</v>
      </c>
      <c r="HR85" s="342" t="e">
        <f>IF(#REF!="","",IF(OR(#REF!=Moutarde,#REF!=Phacélie),0,IF(#REF!=Luzerne,10*#REF!*VLOOKUP(#REF!,BDD!$HN$5:$HU$38,6,FALSE),IF(#REF!=Miscanthus,10.5*#REF!*VLOOKUP(#REF!,BDD!$HN$5:$HU$38,6,FALSE),INDEX(#REF!:#REF!,MATCH(#REF!,#REF!:#REF!,0),MATCH(#REF!,#REF!:#REF!,0))*#REF!*VLOOKUP(#REF!,BDD!$HN$5:$HU$38,6,FALSE)))))</f>
        <v>#REF!</v>
      </c>
      <c r="HS85" s="342" t="e">
        <f>IF(#REF!="","",IF(OR(#REF!=Moutarde,#REF!=Phacélie),0,IF(#REF!=Luzerne,10*#REF!*VLOOKUP(#REF!,BDD!$HN$5:$HU$38,7,FALSE),IF(#REF!=Miscanthus,10.5*#REF!*VLOOKUP(#REF!,BDD!$HN$5:$HU$38,7,FALSE),INDEX(#REF!:#REF!,MATCH(#REF!,#REF!:#REF!,0),MATCH(#REF!,#REF!:#REF!,0))*#REF!*VLOOKUP(#REF!,BDD!$HN$5:$HU$38,7,FALSE)))))</f>
        <v>#REF!</v>
      </c>
      <c r="HT85" s="342" t="e">
        <f>IF(#REF!="","",IF(OR(#REF!=Moutarde,#REF!=Phacélie),0,IF(#REF!=Luzerne,10*#REF!*VLOOKUP(#REF!,BDD!$HN$5:$HU$38,8,FALSE),IF(#REF!=Miscanthus,10.5*#REF!*VLOOKUP(#REF!,BDD!$HN$5:$HU$38,8,FALSE),INDEX(#REF!:#REF!,MATCH(#REF!,#REF!:#REF!,0),MATCH(#REF!,#REF!:#REF!,0))*#REF!*VLOOKUP(#REF!,BDD!$HN$5:$HU$38,8,FALSE)))))</f>
        <v>#REF!</v>
      </c>
      <c r="HU85" s="342" t="e">
        <f>IF(#REF!="","",IF(OR(#REF!=Moutarde,#REF!=Phacélie),0,1.6*#REF!))</f>
        <v>#REF!</v>
      </c>
      <c r="HV85" s="342" t="e">
        <f>IF(#REF!="","",IF(OR(#REF!=Moutarde,#REF!=Phacélie),0,1.6*#REF!))</f>
        <v>#REF!</v>
      </c>
      <c r="HW85" s="342" t="e">
        <f>IF(#REF!="","",IF(OR(#REF!=Moutarde,#REF!=Phacélie),0,1.6*#REF!))</f>
        <v>#REF!</v>
      </c>
      <c r="HX85" s="342" t="e">
        <f>IF(#REF!="","",(VLOOKUP(#REF!,BDD!$HN$5:$HU$38,2,FALSE))*#REF!)</f>
        <v>#REF!</v>
      </c>
      <c r="HY85" s="342" t="e">
        <f>IF(#REF!="","",IF(OR(#REF!=Moutarde,#REF!=Phacélie),0,IF(#REF!=Luzerne,10*#REF!*VLOOKUP(#REF!,BDD!$HN$5:$HU$38,3,FALSE),IF(#REF!=Miscanthus,10.5*#REF!*VLOOKUP(#REF!,BDD!$HN$5:$HU$38,3,FALSE),INDEX(#REF!:#REF!,MATCH(#REF!,#REF!:#REF!,0),MATCH(#REF!,#REF!:#REF!,0))*#REF!*VLOOKUP(#REF!,BDD!$HN$5:$HU$38,3,FALSE)))))</f>
        <v>#REF!</v>
      </c>
      <c r="HZ85" s="342" t="e">
        <f>IF(#REF!="","",IF(OR(#REF!=Moutarde,#REF!=Phacélie),0,IF(#REF!=Luzerne,10*#REF!*VLOOKUP(#REF!,BDD!$HN$5:$HU$38,4,FALSE),IF(#REF!=Miscanthus,10.5*#REF!*VLOOKUP(#REF!,BDD!$HN$5:$HU$38,4,FALSE),INDEX(#REF!:#REF!,MATCH(#REF!,#REF!:#REF!,0),MATCH(#REF!,#REF!:#REF!,0))*#REF!*VLOOKUP(#REF!,BDD!$HN$5:$HU$38,4,FALSE)))))</f>
        <v>#REF!</v>
      </c>
      <c r="IA85" s="342" t="e">
        <f>IF(#REF!="","",IF(OR(#REF!=Moutarde,#REF!=Phacélie),0,IF(#REF!=Luzerne,10*#REF!*VLOOKUP(#REF!,BDD!$HN$5:$HU$38,5,FALSE),IF(#REF!=Miscanthus,10.5*#REF!*VLOOKUP(#REF!,BDD!$HN$5:$HU$38,5,FALSE),INDEX(#REF!:#REF!,MATCH(#REF!,#REF!:#REF!,0),MATCH(#REF!,#REF!:#REF!,0))*#REF!*VLOOKUP(#REF!,BDD!$HN$5:$HU$38,5,FALSE)))))</f>
        <v>#REF!</v>
      </c>
      <c r="IB85" s="342" t="e">
        <f>IF(#REF!="","",IF(OR(#REF!=Moutarde,#REF!=Phacélie),0,IF(#REF!=Luzerne,10*#REF!*VLOOKUP(#REF!,BDD!$HN$5:$HU$38,6,FALSE),IF(#REF!=Miscanthus,10.5*#REF!*VLOOKUP(#REF!,BDD!$HN$5:$HU$38,6,FALSE),INDEX(#REF!:#REF!,MATCH(#REF!,#REF!:#REF!,0),MATCH(#REF!,#REF!:#REF!,0))*#REF!*VLOOKUP(#REF!,BDD!$HN$5:$HU$38,6,FALSE)))))</f>
        <v>#REF!</v>
      </c>
      <c r="IC85" s="342" t="e">
        <f>IF(#REF!="","",IF(OR(#REF!=Moutarde,#REF!=Phacélie),0,IF(#REF!=Luzerne,10*#REF!*VLOOKUP(#REF!,BDD!$HN$5:$HU$38,7,FALSE),IF(#REF!=Miscanthus,10.5*#REF!*VLOOKUP(#REF!,BDD!$HN$5:$HU$38,7,FALSE),INDEX(#REF!:#REF!,MATCH(#REF!,#REF!:#REF!,0),MATCH(#REF!,#REF!:#REF!,0))*#REF!*VLOOKUP(#REF!,BDD!$HN$5:$HU$38,7,FALSE)))))</f>
        <v>#REF!</v>
      </c>
      <c r="ID85" s="342" t="e">
        <f>IF(#REF!="","",IF(OR(#REF!=Moutarde,#REF!=Phacélie),0,IF(#REF!=Luzerne,10*#REF!*VLOOKUP(#REF!,BDD!$HN$5:$HU$38,8,FALSE),IF(#REF!=Miscanthus,10.5*#REF!*VLOOKUP(#REF!,BDD!$HN$5:$HU$38,8,FALSE),INDEX(#REF!:#REF!,MATCH(#REF!,#REF!:#REF!,0),MATCH(#REF!,#REF!:#REF!,0))*#REF!*VLOOKUP(#REF!,BDD!$HN$5:$HU$38,8,FALSE)))))</f>
        <v>#REF!</v>
      </c>
      <c r="IE85" s="342" t="e">
        <f>IF(#REF!="","",IF(OR(#REF!=Moutarde,#REF!=Phacélie),0,1.6*#REF!))</f>
        <v>#REF!</v>
      </c>
      <c r="IF85" s="342" t="e">
        <f>IF(#REF!="","",IF(OR(#REF!=Moutarde,#REF!=Phacélie),0,1.6*#REF!))</f>
        <v>#REF!</v>
      </c>
      <c r="IG85" s="342" t="e">
        <f>IF(#REF!="","",IF(OR(#REF!=Moutarde,#REF!=Phacélie),0,1.6*#REF!))</f>
        <v>#REF!</v>
      </c>
    </row>
    <row r="86" spans="1:241" ht="12.75" customHeight="1" x14ac:dyDescent="0.2">
      <c r="A86" s="373"/>
      <c r="B86" s="380"/>
      <c r="P86" s="283"/>
      <c r="Y86" s="385" t="s">
        <v>1125</v>
      </c>
      <c r="Z86" s="385">
        <f>IF('coût alimentation'!$B$6=$Y$86,11,0)</f>
        <v>0</v>
      </c>
      <c r="AA86" s="385">
        <f>IF('coût alimentation'!$B$6=$Y$86,11,0)</f>
        <v>0</v>
      </c>
      <c r="AB86" s="385">
        <f>IF('coût alimentation'!$B$6=$Y$86,11,0)</f>
        <v>0</v>
      </c>
      <c r="AC86" s="385">
        <f>IF('coût alimentation'!$B$6=$Y$86,11,0)</f>
        <v>0</v>
      </c>
      <c r="AD86" s="385">
        <f>IF('coût alimentation'!$B$6=$Y$86,11,0)</f>
        <v>0</v>
      </c>
      <c r="AE86" s="385">
        <f>IF('coût alimentation'!$B$6=$Y$86,11,0)</f>
        <v>0</v>
      </c>
      <c r="AF86" s="385">
        <f>IF('coût alimentation'!$B$6=$Y$86,11,0)</f>
        <v>0</v>
      </c>
      <c r="AG86" s="385">
        <f>IF('coût alimentation'!$B$6=$Y$86,11,0)</f>
        <v>0</v>
      </c>
      <c r="BB86" s="387" t="s">
        <v>512</v>
      </c>
      <c r="BC86" s="362" t="s">
        <v>489</v>
      </c>
      <c r="BD86" s="362" t="s">
        <v>887</v>
      </c>
      <c r="BE86" s="388">
        <v>7.2</v>
      </c>
      <c r="BF86" s="388">
        <v>6</v>
      </c>
      <c r="BG86" s="388">
        <v>4</v>
      </c>
      <c r="BH86" s="388">
        <v>2</v>
      </c>
      <c r="BI86" s="388">
        <v>1.2</v>
      </c>
      <c r="BJ86" s="388">
        <v>0.6</v>
      </c>
      <c r="BK86" s="389">
        <v>0</v>
      </c>
      <c r="BL86" s="312"/>
      <c r="BM86" s="350" t="str">
        <f t="shared" si="22"/>
        <v>Féverole</v>
      </c>
      <c r="BN86" s="350">
        <f t="array" ref="BN86">IF(Ration_hivernale_complète_bisons[somme]&gt;0,0,IFERROR(IF(OR(AND(INDEX(Règles_bison[Specificite],MATCH(ChoixRationBisons&amp;$BM86,Règles_bison[Ration]&amp;Règles_bison[Aliment],0))="s1",IF($BM86=ChoixSpécificité1Bisons,1)),
INDEX(Règles_bison[Specificite],MATCH(ChoixRationBisons&amp;$BM86,Règles_bison[Ration]&amp;Règles_bison[Aliment],0))="c"),
INDEX(Règles_bison[Valeur 36 et plus],MATCH(ChoixRationBisons&amp;$BM86,Règles_bison[Ration]&amp;Règles_bison[Aliment],0)),0),0)*TotalBisonnes*NbreJoursNourrirBisonsDaims)</f>
        <v>0</v>
      </c>
      <c r="BO86" s="350">
        <f t="array" ref="BO86">IF(Ration_hivernale_complète_bisons[somme]&gt;0,0,IFERROR(IF(OR(AND(INDEX(Règles_bison[Specificite],MATCH(ChoixRationBisons&amp;$BM86,Règles_bison[Ration]&amp;Règles_bison[Aliment],0))="s1",IF($BM86=ChoixSpécificité1Bisons,1)),
INDEX(Règles_bison[Specificite],MATCH(ChoixRationBisons&amp;$BM86,Règles_bison[Ration]&amp;Règles_bison[Aliment],0))="c"),
INDEX(Règles_bison[Valeur 24-36],MATCH(ChoixRationBisons&amp;$BM86,Règles_bison[Ration]&amp;Règles_bison[Aliment],0)),0),0)*TotalBisonsFemelles_24_36_mois*NbreJoursNourrirBisonsDaims)</f>
        <v>0</v>
      </c>
      <c r="BP86" s="350">
        <f t="array" ref="BP86">IF(Ration_hivernale_complète_bisons[somme]&gt;0,0,IFERROR(IF(OR(AND(INDEX(Règles_bison[Specificite],MATCH(ChoixRationBisons&amp;$BM86,Règles_bison[Ration]&amp;Règles_bison[Aliment],0))="s1",IF($BM86=ChoixSpécificité1Bisons,1)),
INDEX(Règles_bison[Specificite],MATCH(ChoixRationBisons&amp;$BM86,Règles_bison[Ration]&amp;Règles_bison[Aliment],0))="c"),
INDEX(Règles_bison[Valeur 18-24],MATCH(ChoixRationBisons&amp;$BM86,Règles_bison[Ration]&amp;Règles_bison[Aliment],0)),0),0)*TotalBisonsFemelles_18_24_mois*NbreJoursNourrirBisonsDaims)</f>
        <v>0</v>
      </c>
      <c r="BQ86" s="350">
        <f t="array" ref="BQ86">IF(Ration_hivernale_complète_bisons[somme]&gt;0,0,IFERROR(IF(OR(AND(INDEX(Règles_bison[Specificite],MATCH(ChoixRationBisons&amp;$BM86,Règles_bison[Ration]&amp;Règles_bison[Aliment],0))="s1",IF($BM86=ChoixSpécificité1Bisons,1)),
INDEX(Règles_bison[Specificite],MATCH(ChoixRationBisons&amp;$BM86,Règles_bison[Ration]&amp;Règles_bison[Aliment],0))="c"),
INDEX(Règles_bison[Valeur 12-18],MATCH(ChoixRationBisons&amp;$BM86,Règles_bison[Ration]&amp;Règles_bison[Aliment],0)),0),0)*TotalBisonsFemelles_12_18_mois*NbreJoursNourrirBisonsDaims)</f>
        <v>0</v>
      </c>
      <c r="BR86" s="350">
        <f t="array" ref="BR86">IF(Ration_hivernale_complète_bisons[somme]&gt;0,0,IFERROR(IF(OR(AND(INDEX(Règles_bison[Specificite],MATCH(ChoixRationBisons&amp;$BM86,Règles_bison[Ration]&amp;Règles_bison[Aliment],0))="s1",IF($BM86=ChoixSpécificité1Bisons,1)),
INDEX(Règles_bison[Specificite],MATCH(ChoixRationBisons&amp;$BM86,Règles_bison[Ration]&amp;Règles_bison[Aliment],0))="c"),
INDEX(Règles_bison[Valeur 6-12],MATCH(ChoixRationBisons&amp;$BM86,Règles_bison[Ration]&amp;Règles_bison[Aliment],0)),0),0)*TotalBisonsFemelles_6_12_mois*NbreJoursNourrirBisonsDaims)</f>
        <v>0</v>
      </c>
      <c r="BS86" s="350">
        <f t="array" ref="BS86">IF(Ration_hivernale_complète_bisons[somme]&gt;0,0,IFERROR(IF(OR(AND(INDEX(Règles_bison[Specificite],MATCH(ChoixRationBisons&amp;$BM86,Règles_bison[Ration]&amp;Règles_bison[Aliment],0))="s1",IF($BM86=ChoixSpécificité1Bisons,1)),
INDEX(Règles_bison[Specificite],MATCH(ChoixRationBisons&amp;$BM86,Règles_bison[Ration]&amp;Règles_bison[Aliment],0))="c"),
INDEX(Règles_bison[Valeur 3-6],MATCH(ChoixRationBisons&amp;$BM86,Règles_bison[Ration]&amp;Règles_bison[Aliment],0)),0),0)*TotalBisonsFemelles_3_6_mois*NbreJoursNourrirBisonsDaims)</f>
        <v>0</v>
      </c>
      <c r="BT86" s="350">
        <f t="array" ref="BT86">IF(Ration_hivernale_complète_bisons[somme]&gt;0,0,IFERROR(IF(OR(AND(INDEX(Règles_bison[Specificite],MATCH(ChoixRationBisons&amp;$BM86,Règles_bison[Ration]&amp;Règles_bison[Aliment],0))="s1",IF($BM86=ChoixSpécificité1Bisons,1)),
INDEX(Règles_bison[Specificite],MATCH(ChoixRationBisons&amp;$BM86,Règles_bison[Ration]&amp;Règles_bison[Aliment],0))="c"),
INDEX(Règles_bison[Valeur 0-3],MATCH(ChoixRationBisons&amp;$BM86,Règles_bison[Ration]&amp;Règles_bison[Aliment],0)),0),0)*TotalBisonsFemelles_0_3_mois*NbreJoursNourrirBisonsDaims)</f>
        <v>0</v>
      </c>
      <c r="BU86" s="350">
        <f t="shared" si="21"/>
        <v>0</v>
      </c>
      <c r="BV86" s="282"/>
      <c r="BW86" s="282"/>
      <c r="BX86" s="373" t="s">
        <v>550</v>
      </c>
      <c r="BY86" s="280" t="s">
        <v>70</v>
      </c>
      <c r="BZ86" s="280" t="s">
        <v>887</v>
      </c>
      <c r="CA86" s="280">
        <v>1.6</v>
      </c>
      <c r="CB86" s="280">
        <v>1.4</v>
      </c>
      <c r="CC86" s="280">
        <v>1.2</v>
      </c>
      <c r="CD86" s="410">
        <v>1</v>
      </c>
      <c r="CE86" s="304"/>
      <c r="CF86" s="304"/>
      <c r="CG86" s="304"/>
      <c r="CH86" s="304"/>
      <c r="CJ86" s="338" t="s">
        <v>1155</v>
      </c>
      <c r="CK86" s="229"/>
      <c r="CL86" s="229"/>
      <c r="CM86" s="229"/>
      <c r="CN86" s="229"/>
      <c r="CO86" s="229"/>
      <c r="CP86" s="229"/>
      <c r="CS86" s="420" t="s">
        <v>231</v>
      </c>
      <c r="CT86" s="433">
        <f t="array" ref="CT86">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86" s="433">
        <f t="array" ref="CU86">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86" s="433">
        <f t="array" ref="CV86">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86" s="434">
        <f>SUM(AlimentsRationLapinsMâles[[#This Row],[Valeur 3 et plus]:[Valeur 0-1]])</f>
        <v>0</v>
      </c>
      <c r="CZ86" s="420" t="s">
        <v>231</v>
      </c>
      <c r="DA86" s="433">
        <f t="array" ref="DA8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86" s="433">
        <f t="array" ref="DB8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86" s="433">
        <f t="array" ref="DC8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86" s="434">
        <f>SUM(AlimentsRationVolaillesMâles[[#This Row],[Valeur 6 et plus]:[Valeur 0-1]])</f>
        <v>0</v>
      </c>
      <c r="DE86" s="316"/>
      <c r="DF86" s="277"/>
      <c r="DG86" s="397"/>
      <c r="DH86" s="398">
        <f t="array" ref="DH8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Row],[aliment]],Règles_pintades[Ration]&amp;Règles_pintades[Aliment],0)),0),0)*Total_PintadeMâle*NbreJoursNourrirAutres)</f>
        <v>0</v>
      </c>
      <c r="DI86" s="398">
        <f t="array" ref="DI8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Row],[aliment]],Règles_pintades[Ration]&amp;Règles_pintades[Aliment],0)),0),0)*JeunePintadeMâle_1_9_mois*NbreJoursNourrirAutres)</f>
        <v>0</v>
      </c>
      <c r="DJ86" s="398">
        <f t="array" ref="DJ8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Row],[aliment]],Règles_pintades[Ration]&amp;Règles_pintades[Aliment],0)),0),0)*pintadeau_mâle_0_1_mois*NbreJoursNourrirAutres)</f>
        <v>0</v>
      </c>
      <c r="DK86" s="435">
        <f>SUM(AlimentsRationPintadesMâles[[#This Row],[Valeur 9 et plus]:[Valeur 0-1]])</f>
        <v>0</v>
      </c>
      <c r="DL86" s="316"/>
      <c r="DN86" s="373" t="s">
        <v>512</v>
      </c>
      <c r="DO86" s="280" t="s">
        <v>508</v>
      </c>
      <c r="DP86" s="280" t="s">
        <v>886</v>
      </c>
      <c r="DQ86" s="310"/>
      <c r="DR86" s="310"/>
      <c r="DS86" s="310"/>
      <c r="DT86" s="439"/>
      <c r="DU86" s="298"/>
      <c r="DV86" s="350" t="str">
        <f t="shared" si="23"/>
        <v>concentré jeunes lapins</v>
      </c>
      <c r="DW86" s="351">
        <f t="array" ref="DW86">SUM((IF(QualitéAlimentsFaonMâle_0_3_mois=BONNE,VLOOKUP("concentré jeunes lapins",AlimentsRationHivernaleDaims,8,FALSE),0)+(IF(QualitéAlimentsFaonFemelle_0_3_mois=BONNE,VLOOKUP("concentré jeunes lapins",AlimentsRationHivernaleDaims,8,FALSE),0)+(IF(QualitéAlimentsFaonMâle_3_6_mois=BONNE,VLOOKUP("concentré jeunes lapins",AlimentsRationHivernaleDaims,7,FALSE),0)+(IF(QualitéAlimentsFaonFemelle_3_6_mois=BONNE,VLOOKUP("concentré jeunes lapins",AlimentsRationHivernaleDaims,7,FALSE),0)+(IF(QualitéAlimentsFaonMâle_6_12_mois=BONNE,VLOOKUP("concentré jeunes lapins",AlimentsRationHivernaleDaims,6,FALSE),0)+(IF(QualitéAlimentsFaonFemelle_6_12_mois=BONNE,VLOOKUP("concentré jeunes lapins",AlimentsRationHivernaleDaims,6,FALSE),0)+(IF(QualitéAlimentsJeuneDaim_12_18_mois=BONNE,VLOOKUP("concentré jeunes lapins",AlimentsRationHivernaleDaims,5,FALSE),0)+(IF(QualitéAlimentsJeuneDaine_12_18_mois=BONNE,VLOOKUP("concentré jeunes lapins",AlimentsRationHivernaleDaims,5,FALSE),0)+(IF(QualitéAlimentsJeuneDaim_18_24_mois=BONNE,VLOOKUP("concentré jeunes lapins",AlimentsRationHivernaleDaims,4,FALSE),0)+(IF(QualitéAlimentsJeuneDaine_18_24_mois=BONNE,VLOOKUP("concentré jeunes lapins",AlimentsRationHivernaleDaims,4,FALSE),0)+(IF(QualitéAlimentsJeuneDaim_24_36_mois=BONNE,VLOOKUP("concentré jeunes lapins",AlimentsRationHivernaleDaims,3,FALSE),0)+(IF(QualitéAlimentsJeuneDaine_24_36_mois=BONNE,VLOOKUP("concentré jeunes lapins",AlimentsRationHivernaleDaims,3,FALSE),0)+(IF(QualitéAlimentsDaim=BONNE,VLOOKUP("concentré jeunes lapins",AlimentsRationHivernaleDaims,2,FALSE),0)+(IF(QualitéAlimentsDaine=BONNE,VLOOKUP("concentré jeunes lapins",AlimentsRationHivernaleDaims,2,FALSE),0))))))))))))))))</f>
        <v>0</v>
      </c>
      <c r="DX86" s="351">
        <f t="array" ref="DX86">SUM((IF(QualitéAlimentsFaonMâle_0_3_mois=MOYENNE,VLOOKUP("concentré jeunes lapins",AlimentsRationHivernaleDaims,8,FALSE),0)+(IF(QualitéAlimentsFaonFemelle_0_3_mois=MOYENNE,VLOOKUP("concentré jeunes lapins",AlimentsRationHivernaleDaims,8,FALSE),0)+(IF(QualitéAlimentsFaonMâle_3_6_mois=MOYENNE,VLOOKUP("concentré jeunes lapins",AlimentsRationHivernaleDaims,7,FALSE),0)+(IF(QualitéAlimentsFaonFemelle_3_6_mois=MOYENNE,VLOOKUP("concentré jeunes lapins",AlimentsRationHivernaleDaims,7,FALSE),0)+(IF(QualitéAlimentsFaonMâle_6_12_mois=MOYENNE,VLOOKUP("concentré jeunes lapins",AlimentsRationHivernaleDaims,6,FALSE),0)+(IF(QualitéAlimentsFaonFemelle_6_12_mois=MOYENNE,VLOOKUP("concentré jeunes lapins",AlimentsRationHivernaleDaims,6,FALSE),0)+(IF(QualitéAlimentsJeuneDaim_12_18_mois=MOYENNE,VLOOKUP("concentré jeunes lapins",AlimentsRationHivernaleDaims,5,FALSE),0)+(IF(QualitéAlimentsJeuneDaine_12_18_mois=MOYENNE,VLOOKUP("concentré jeunes lapins",AlimentsRationHivernaleDaims,5,FALSE),0)+(IF(QualitéAlimentsJeuneDaim_18_24_mois=MOYENNE,VLOOKUP("concentré jeunes lapins",AlimentsRationHivernaleDaims,4,FALSE),0)+(IF(QualitéAlimentsJeuneDaine_18_24_mois=MOYENNE,VLOOKUP("concentré jeunes lapins",AlimentsRationHivernaleDaims,4,FALSE),0)+(IF(QualitéAlimentsJeuneDaim_24_36_mois=MOYENNE,VLOOKUP("concentré jeunes lapins",AlimentsRationHivernaleDaims,3,FALSE),0)+(IF(QualitéAlimentsJeuneDaine_24_36_mois=MOYENNE,VLOOKUP("concentré jeunes lapins",AlimentsRationHivernaleDaims,3,FALSE),0)+(IF(QualitéAlimentsDaim=MOYENNE,VLOOKUP("concentré jeunes lapins",AlimentsRationHivernaleDaims,2,FALSE),0)+(IF(QualitéAlimentsDaine=MOYENNE,VLOOKUP("concentré jeunes lapins",AlimentsRationHivernaleDaims,2,FALSE),0))))))))))))))))</f>
        <v>0</v>
      </c>
      <c r="DY86" s="351">
        <f t="array" ref="DY86">SUM((IF(QualitéAlimentsFaonMâle_0_3_mois=MAUVAISE,VLOOKUP("concentré jeunes lapins",AlimentsRationHivernaleDaims,8,FALSE),0)+(IF(QualitéAlimentsFaonFemelle_0_3_mois=MAUVAISE,VLOOKUP("concentré jeunes lapins",AlimentsRationHivernaleDaims,8,FALSE),0)+(IF(QualitéAlimentsFaonMâle_3_6_mois=MAUVAISE,VLOOKUP("concentré jeunes lapins",AlimentsRationHivernaleDaims,7,FALSE),0)+(IF(QualitéAlimentsFaonFemelle_3_6_mois=MAUVAISE,VLOOKUP("concentré jeunes lapins",AlimentsRationHivernaleDaims,7,FALSE),0)+(IF(QualitéAlimentsFaonMâle_6_12_mois=MAUVAISE,VLOOKUP("concentré jeunes lapins",AlimentsRationHivernaleDaims,6,FALSE),0)+(IF(QualitéAlimentsFaonFemelle_6_12_mois=MAUVAISE,VLOOKUP("concentré jeunes lapins",AlimentsRationHivernaleDaims,6,FALSE),0)+(IF(QualitéAlimentsJeuneDaim_12_18_mois=MAUVAISE,VLOOKUP("concentré jeunes lapins",AlimentsRationHivernaleDaims,5,FALSE),0)+(IF(QualitéAlimentsJeuneDaine_12_18_mois=MAUVAISE,VLOOKUP("concentré jeunes lapins",AlimentsRationHivernaleDaims,5,FALSE),0)+(IF(QualitéAlimentsJeuneDaim_18_24_mois=MAUVAISE,VLOOKUP("concentré jeunes lapins",AlimentsRationHivernaleDaims,4,FALSE),0)+(IF(QualitéAlimentsJeuneDaine_18_24_mois=MAUVAISE,VLOOKUP("concentré jeunes lapins",AlimentsRationHivernaleDaims,4,FALSE),0)+(IF(QualitéAlimentsJeuneDaim_24_36_mois=MAUVAISE,VLOOKUP("concentré jeunes lapins",AlimentsRationHivernaleDaims,3,FALSE),0)+(IF(QualitéAlimentsJeuneDaine_24_36_mois=MAUVAISE,VLOOKUP("concentré jeunes lapins",AlimentsRationHivernaleDaims,3,FALSE),0)+(IF(QualitéAlimentsDaim=MAUVAISE,VLOOKUP("concentré jeunes lapins",AlimentsRationHivernaleDaims,2,FALSE),0)+(IF(QualitéAlimentsDaine=MAUVAISE,VLOOKUP("concentré jeunes lapins",AlimentsRationHivernaleDaims,2,FALSE),0))))))))))))))))</f>
        <v>0</v>
      </c>
      <c r="DZ86" s="298"/>
      <c r="EA86" s="298"/>
      <c r="EB86" s="298"/>
      <c r="EC86" s="298"/>
      <c r="ED86" s="298"/>
      <c r="EE86" s="298"/>
      <c r="EG86" s="420"/>
      <c r="EH86" s="433">
        <f t="array" ref="EH8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86" s="433">
        <f t="array" ref="EI8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86" s="433">
        <f t="array" ref="EJ8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86" s="434">
        <f>SUM(AlimentsRationOiesMâles[[#This Row],[Valeur 6 et plus]:[Valeur 0-3]])</f>
        <v>0</v>
      </c>
      <c r="EL86" s="316"/>
      <c r="EN86" s="420"/>
      <c r="EO86" s="433">
        <f t="array" ref="EO86">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86" s="433">
        <f t="array" ref="EP86">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86" s="433">
        <f t="array" ref="EQ86">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86" s="434">
        <f>SUM(Ration_canards_Mâles[[#This Row],[Valeur 6 et plus]:[Valeur 0-3]])</f>
        <v>0</v>
      </c>
      <c r="ES86" s="316"/>
      <c r="EU86" s="457" t="s">
        <v>378</v>
      </c>
      <c r="EV86" s="458">
        <f t="array" ref="EV86">IF(OR(ChoixRationComplèteEtéChevauxSelle=OUI,ChoixRationComplèteEtéChevauxSelle="",AND(ChoixChevauxSellePréHiver=OUI,ChoixChevauxSellePréEté=OUI)),0,IFERROR(IF(OR(AND(INDEX(Règles_chevaux_selle[Specificite],MATCH(RationEtéChevauxSelle&amp;$EU86,Règles_chevaux_selle[Ration]&amp;Règles_chevaux_selle[Aliment],0))="s1",IF($EU86=Spécificité1ChevauxSelle,1)),
AND(INDEX(Règles_chevaux_selle[Specificite],MATCH(RationEtéChevauxSelle&amp;$EU86,Règles_chevaux_selle[Ration]&amp;Règles_chevaux_selle[Aliment],0))="s2",IF($EU86=Spécificité2ChevauxSelle,1)),
INDEX(Règles_chevaux_selle[Specificite],MATCH(RationEtéChevauxSelle&amp;$EU86,Règles_chevaux_selle[Ration]&amp;Règles_chevaux_selle[Aliment],0))="c"),
INDEX(Règles_chevaux_selle[Valeur 36 et plus],MATCH(RationEtéChevauxSelle&amp;$EU86,Règles_chevaux_selle[Ration]&amp;Règles_chevaux_selle[Aliment],0)),0),0)*TotalEtalonSelle*NbreJoursNourrirChevauxSelle)</f>
        <v>0</v>
      </c>
      <c r="EW86" s="458">
        <f t="array" ref="EW86">IF(OR(ChoixRationComplèteEtéChevauxSelle=OUI,ChoixRationComplèteEtéChevauxSelle="",AND(ChoixChevauxSellePréHiver=OUI,ChoixChevauxSellePréEté=OUI)),0,IFERROR(IF(OR(AND(INDEX(Règles_chevaux_selle[Specificite],MATCH(RationEtéChevauxSelle&amp;$EU86,Règles_chevaux_selle[Ration]&amp;Règles_chevaux_selle[Aliment],0))="s1",IF($EU86=Spécificité1ChevauxSelle,1)),
AND(INDEX(Règles_chevaux_selle[Specificite],MATCH(RationEtéChevauxSelle&amp;$EU86,Règles_chevaux_selle[Ration]&amp;Règles_chevaux_selle[Aliment],0))="s2",IF($EU86=Spécificité2ChevauxSelle,1)),
INDEX(Règles_chevaux_selle[Specificite],MATCH(RationEtéChevauxSelle&amp;$EU86,Règles_chevaux_selle[Ration]&amp;Règles_chevaux_selle[Aliment],0))="c"),
INDEX(Règles_chevaux_selle[Valeur 24-36],MATCH(RationEtéChevauxSelle&amp;$EU86,Règles_chevaux_selle[Ration]&amp;Règles_chevaux_selle[Aliment],0)),0),0)*TotalJeuneEtalonSelle_24_36_mois*NbreJoursNourrirChevauxSelle)</f>
        <v>0</v>
      </c>
      <c r="EX86" s="458">
        <f t="array" ref="EX86">IF(OR(ChoixRationComplèteEtéChevauxSelle=OUI,ChoixRationComplèteEtéChevauxSelle="",AND(ChoixChevauxSellePréHiver=OUI,ChoixChevauxSellePréEté=OUI)),0,IFERROR(IF(OR(AND(INDEX(Règles_chevaux_selle[Specificite],MATCH(RationEtéChevauxSelle&amp;$EU86,Règles_chevaux_selle[Ration]&amp;Règles_chevaux_selle[Aliment],0))="s1",IF($EU86=Spécificité1ChevauxSelle,1)),
AND(INDEX(Règles_chevaux_selle[Specificite],MATCH(RationEtéChevauxSelle&amp;$EU86,Règles_chevaux_selle[Ration]&amp;Règles_chevaux_selle[Aliment],0))="s2",IF($EU86=Spécificité2ChevauxSelle,1)),
INDEX(Règles_chevaux_selle[Specificite],MATCH(RationEtéChevauxSelle&amp;$EU86,Règles_chevaux_selle[Ration]&amp;Règles_chevaux_selle[Aliment],0))="c"),
INDEX(Règles_chevaux_selle[Valeur 12-24],MATCH(RationEtéChevauxSelle&amp;$EU86,Règles_chevaux_selle[Ration]&amp;Règles_chevaux_selle[Aliment],0)),0),0)*TotalJeuneEtalonSelle_12_24_mois*NbreJoursNourrirChevauxSelle)</f>
        <v>0</v>
      </c>
      <c r="EY86" s="460">
        <f t="array" ref="EY86">IF(OR(ChoixRationComplèteEtéChevauxSelle=OUI,ChoixRationComplèteEtéChevauxSelle="",AND(ChoixChevauxSellePréHiver=OUI,ChoixChevauxSellePréEté=OUI)),0,IFERROR(IF(OR(AND(INDEX(Règles_chevaux_selle[Specificite],MATCH(RationEtéChevauxSelle&amp;$EU86,Règles_chevaux_selle[Ration]&amp;Règles_chevaux_selle[Aliment],0))="s1",IF($EU86=Spécificité1ChevauxSelle,1)),
AND(INDEX(Règles_chevaux_selle[Specificite],MATCH(RationEtéChevauxSelle&amp;$EU86,Règles_chevaux_selle[Ration]&amp;Règles_chevaux_selle[Aliment],0))="s2",IF($EU86=Spécificité2ChevauxSelle,1)),
INDEX(Règles_chevaux_selle[Specificite],MATCH(RationEtéChevauxSelle&amp;$EU86,Règles_chevaux_selle[Ration]&amp;Règles_chevaux_selle[Aliment],0))="c"),
INDEX(Règles_chevaux_selle[Valeur 0-12],MATCH(RationEtéChevauxSelle&amp;$EU86,Règles_chevaux_selle[Ration]&amp;Règles_chevaux_selle[Aliment],0)),0),0)*TotalPoulainSelle_0_12_mois*NbreJoursNourrirChevauxSelle)</f>
        <v>0</v>
      </c>
      <c r="EZ86" s="460">
        <f t="shared" si="16"/>
        <v>0</v>
      </c>
      <c r="FA86" s="298"/>
      <c r="FB86" s="298"/>
      <c r="FD86" s="457" t="s">
        <v>70</v>
      </c>
      <c r="FE86" s="458">
        <f t="array" ref="FE86">IF(OR(ChoixRationComplèteEtéChevauxTrait=OUI,ChoixRationComplèteEtéChevauxTrait="",AND(ChoixChevauxTraitPréHiver=OUI,ChoixChevauxTraitPréEté=OUI)),0,IFERROR(IF(OR(AND(INDEX(Règles_chevaux_trait[Specificite],MATCH(RationEtéChevauxTrait&amp;$FD86,Règles_chevaux_trait[Ration]&amp;Règles_chevaux_trait[Aliment],0))="s1",IF($FD86=Spécificité1ChevauxTrait,1)),
AND(INDEX(Règles_chevaux_trait[Specificite],MATCH(RationEtéChevauxTrait&amp;$FD86,Règles_chevaux_trait[Ration]&amp;Règles_chevaux_trait[Aliment],0))="s2",IF($FD86=Spécificité2ChevauxTrait,1)),
INDEX(Règles_chevaux_trait[Specificite],MATCH(RationEtéChevauxTrait&amp;$FD86,Règles_chevaux_trait[Ration]&amp;Règles_chevaux_trait[Aliment],0))="c"),
INDEX(Règles_chevaux_trait[Valeur 36 et plus],MATCH(RationEtéChevauxTrait&amp;$FD86,Règles_chevaux_trait[Ration]&amp;Règles_chevaux_trait[Aliment],0)),0),0)*TotalEtalonTrait*NbreJoursNourrirChevauxTrait)</f>
        <v>0</v>
      </c>
      <c r="FF86" s="458">
        <f t="array" ref="FF86">IF(OR(ChoixRationComplèteEtéChevauxTrait=OUI,ChoixRationComplèteEtéChevauxTrait="",AND(ChoixChevauxTraitPréHiver=OUI,ChoixChevauxTraitPréEté=OUI)),0,IFERROR(IF(OR(AND(INDEX(Règles_chevaux_trait[Specificite],MATCH(RationEtéChevauxTrait&amp;$FD86,Règles_chevaux_trait[Ration]&amp;Règles_chevaux_trait[Aliment],0))="s1",IF($FD86=Spécificité1ChevauxTrait,1)),
AND(INDEX(Règles_chevaux_trait[Specificite],MATCH(RationEtéChevauxTrait&amp;$FD86,Règles_chevaux_trait[Ration]&amp;Règles_chevaux_trait[Aliment],0))="s2",IF($FD86=Spécificité2ChevauxTrait,1)),
INDEX(Règles_chevaux_trait[Specificite],MATCH(RationEtéChevauxTrait&amp;$FD86,Règles_chevaux_trait[Ration]&amp;Règles_chevaux_trait[Aliment],0))="c"),
INDEX(Règles_chevaux_trait[Valeur 24-36],MATCH(RationEtéChevauxTrait&amp;$FD86,Règles_chevaux_trait[Ration]&amp;Règles_chevaux_trait[Aliment],0)),0),0)*TotalJeuneEtalonTrait_24_36_mois*NbreJoursNourrirChevauxTrait)</f>
        <v>0</v>
      </c>
      <c r="FG86" s="458">
        <f t="array" ref="FG86">IF(OR(ChoixRationComplèteEtéChevauxTrait=OUI,ChoixRationComplèteEtéChevauxTrait="",AND(ChoixChevauxTraitPréHiver=OUI,ChoixChevauxTraitPréEté=OUI)),0,IFERROR(IF(OR(AND(INDEX(Règles_chevaux_trait[Specificite],MATCH(RationEtéChevauxTrait&amp;$FD86,Règles_chevaux_trait[Ration]&amp;Règles_chevaux_trait[Aliment],0))="s1",IF($FD86=Spécificité1ChevauxTrait,1)),
AND(INDEX(Règles_chevaux_trait[Specificite],MATCH(RationEtéChevauxTrait&amp;$FD86,Règles_chevaux_trait[Ration]&amp;Règles_chevaux_trait[Aliment],0))="s2",IF($FD86=Spécificité2ChevauxTrait,1)),
INDEX(Règles_chevaux_trait[Specificite],MATCH(RationEtéChevauxTrait&amp;$FD86,Règles_chevaux_trait[Ration]&amp;Règles_chevaux_trait[Aliment],0))="c"),
INDEX(Règles_chevaux_trait[Valeur 12-24],MATCH(RationEtéChevauxTrait&amp;$FD86,Règles_chevaux_trait[Ration]&amp;Règles_chevaux_trait[Aliment],0)),0),0)*TotalJeuneEtalonTrait_12_24_mois*NbreJoursNourrirChevauxTrait)</f>
        <v>0</v>
      </c>
      <c r="FH86" s="460">
        <f t="array" ref="FH86">IF(OR(ChoixRationComplèteEtéChevauxTrait=OUI,ChoixRationComplèteEtéChevauxTrait="",AND(ChoixChevauxTraitPréHiver=OUI,ChoixChevauxTraitPréEté=OUI)),0,IFERROR(IF(OR(AND(INDEX(Règles_chevaux_trait[Specificite],MATCH(RationEtéChevauxTrait&amp;$FD86,Règles_chevaux_trait[Ration]&amp;Règles_chevaux_trait[Aliment],0))="s1",IF($FD86=Spécificité1ChevauxTrait,1)),
AND(INDEX(Règles_chevaux_trait[Specificite],MATCH(RationEtéChevauxTrait&amp;$FD86,Règles_chevaux_trait[Ration]&amp;Règles_chevaux_trait[Aliment],0))="s2",IF($FD86=Spécificité2ChevauxTrait,1)),
INDEX(Règles_chevaux_trait[Specificite],MATCH(RationEtéChevauxTrait&amp;$FD86,Règles_chevaux_trait[Ration]&amp;Règles_chevaux_trait[Aliment],0))="c"),
INDEX(Règles_chevaux_trait[Valeur 0-12],MATCH(RationEtéChevauxTrait&amp;$FD86,Règles_chevaux_trait[Ration]&amp;Règles_chevaux_trait[Aliment],0)),0),0)*TotalPoulainTrait_0_12_mois*NbreJoursNourrirChevauxTrait)</f>
        <v>0</v>
      </c>
      <c r="FI86" s="460">
        <f t="shared" si="15"/>
        <v>0</v>
      </c>
      <c r="FN86" s="457"/>
      <c r="FO86" s="458">
        <f t="array" ref="FO86">IF(OR(ChoixRationComplèteEtéPoneys=OUI,ChoixRationComplèteEtéPoneys="",AND(ChoixPoneysPréHiver=OUI,ChoixPoneysPréEté=OUI)),0,IFERROR(IF(OR(AND(INDEX(Règles_poneys[Specificite],MATCH(RationEtéPoneys&amp;$FN86,Règles_poneys[Ration]&amp;Règles_poneys[Aliment],0))="s1",IF($FN86=Spécificité1Poneys,1)),
AND(INDEX(Règles_poneys[Specificite],MATCH(RationEtéPoneys&amp;$FN86,Règles_poneys[Ration]&amp;Règles_poneys[Aliment],0))="s2",IF($FN86=Spécificité2Poneys,1)),
INDEX(Règles_poneys[Specificite],MATCH(RationEtéPoneys&amp;$FN86,Règles_poneys[Ration]&amp;Règles_poneys[Aliment],0))="c"),
INDEX(Règles_poneys[Valeur 36 et plus],MATCH(RationEtéPoneys&amp;$FN86,Règles_poneys[Ration]&amp;Règles_poneys[Aliment],0)),0),0)*TotalEtalonPoney*NbreJoursNourrirPoneys)</f>
        <v>0</v>
      </c>
      <c r="FP86" s="458">
        <f t="array" ref="FP86">IF(OR(ChoixRationComplèteEtéPoneys=OUI,ChoixRationComplèteEtéPoneys="",AND(ChoixPoneysPréHiver=OUI,ChoixPoneysPréEté=OUI)),0,IFERROR(IF(OR(AND(INDEX(Règles_poneys[Specificite],MATCH(RationEtéPoneys&amp;$FN86,Règles_poneys[Ration]&amp;Règles_poneys[Aliment],0))="s1",IF($FN86=Spécificité1Poneys,1)),
AND(INDEX(Règles_poneys[Specificite],MATCH(RationEtéPoneys&amp;$FN86,Règles_poneys[Ration]&amp;Règles_poneys[Aliment],0))="s2",IF($FN86=Spécificité2Poneys,1)),
INDEX(Règles_poneys[Specificite],MATCH(RationEtéPoneys&amp;$FN86,Règles_poneys[Ration]&amp;Règles_poneys[Aliment],0))="c"),
INDEX(Règles_poneys[Valeur 36 et plus],MATCH(RationEtéPoneys&amp;$FN86,Règles_poneys[Ration]&amp;Règles_poneys[Aliment],0)),0),0)*TotalJeuneEtalonPoney_24_36_mois*NbreJoursNourrirPoneys)</f>
        <v>0</v>
      </c>
      <c r="FQ86" s="458">
        <f t="array" ref="FQ86">IF(OR(ChoixRationComplèteEtéPoneys=OUI,ChoixRationComplèteEtéPoneys="",AND(ChoixPoneysPréHiver=OUI,ChoixPoneysPréEté=OUI)),0,IFERROR(IF(OR(AND(INDEX(Règles_poneys[Specificite],MATCH(RationEtéPoneys&amp;$FN86,Règles_poneys[Ration]&amp;Règles_poneys[Aliment],0))="s1",IF($FN86=Spécificité1Poneys,1)),
AND(INDEX(Règles_poneys[Specificite],MATCH(RationEtéPoneys&amp;$FN86,Règles_poneys[Ration]&amp;Règles_poneys[Aliment],0))="s2",IF($FN86=Spécificité2Poneys,1)),
INDEX(Règles_poneys[Specificite],MATCH(RationEtéPoneys&amp;$FN86,Règles_poneys[Ration]&amp;Règles_poneys[Aliment],0))="c"),
INDEX(Règles_poneys[Valeur 36 et plus],MATCH(RationEtéPoneys&amp;$FN86,Règles_poneys[Ration]&amp;Règles_poneys[Aliment],0)),0),0)*TotalJeuneEtalonPoney_12_24_mois*NbreJoursNourrirPoneys)</f>
        <v>0</v>
      </c>
      <c r="FR86" s="460">
        <f t="array" ref="FR86">IF(OR(ChoixRationComplèteEtéPoneys=OUI,ChoixRationComplèteEtéPoneys="",AND(ChoixPoneysPréHiver=OUI,ChoixPoneysPréEté=OUI)),0,IFERROR(IF(OR(AND(INDEX(Règles_poneys[Specificite],MATCH(RationEtéPoneys&amp;$FN86,Règles_poneys[Ration]&amp;Règles_poneys[Aliment],0))="s1",IF($FN86=Spécificité1Poneys,1)),
AND(INDEX(Règles_poneys[Specificite],MATCH(RationEtéPoneys&amp;$FN86,Règles_poneys[Ration]&amp;Règles_poneys[Aliment],0))="s2",IF($FN86=Spécificité2Poneys,1)),
INDEX(Règles_poneys[Specificite],MATCH(RationEtéPoneys&amp;$FN86,Règles_poneys[Ration]&amp;Règles_poneys[Aliment],0))="c"),
INDEX(Règles_poneys[Valeur 36 et plus],MATCH(RationEtéPoneys&amp;$FN86,Règles_poneys[Ration]&amp;Règles_poneys[Aliment],0)),0),0)*TotalPoulainPoney_0_12_mois*NbreJoursNourrirPoneys)</f>
        <v>0</v>
      </c>
      <c r="FS86" s="460">
        <f t="shared" si="14"/>
        <v>0</v>
      </c>
      <c r="FX86" s="315"/>
      <c r="FY86" s="315"/>
      <c r="FZ86" s="315"/>
      <c r="GA86" s="315"/>
      <c r="GG86" s="276" t="s">
        <v>955</v>
      </c>
      <c r="GH86" s="276" t="s">
        <v>955</v>
      </c>
      <c r="GI86" s="276" t="s">
        <v>955</v>
      </c>
      <c r="GJ86" s="276" t="s">
        <v>955</v>
      </c>
      <c r="GK86" s="276" t="s">
        <v>955</v>
      </c>
      <c r="GL86" s="276" t="s">
        <v>955</v>
      </c>
      <c r="GM86" s="276" t="s">
        <v>955</v>
      </c>
      <c r="GN86" s="276" t="s">
        <v>955</v>
      </c>
      <c r="GO86" s="276" t="s">
        <v>955</v>
      </c>
      <c r="GP86" s="276" t="s">
        <v>955</v>
      </c>
      <c r="GQ86" s="276" t="s">
        <v>955</v>
      </c>
      <c r="GR86" s="276" t="s">
        <v>955</v>
      </c>
      <c r="GS86" s="276" t="s">
        <v>955</v>
      </c>
      <c r="GT86" s="276" t="s">
        <v>955</v>
      </c>
      <c r="GU86" s="276" t="s">
        <v>955</v>
      </c>
      <c r="GV86" s="276" t="s">
        <v>955</v>
      </c>
      <c r="GY86" s="444" t="str">
        <f t="shared" si="24"/>
        <v>engrais pré</v>
      </c>
      <c r="GZ86" s="444"/>
      <c r="HA86" s="342"/>
      <c r="HB86" s="342" t="e">
        <f>IF(COUNTIF(TypeArticleDansEntrepôt,GY86)=0,0,SUMIF(TypeArticleDansEntrepôt,GY86,QtéArticleDansEntrepôt)*VLOOKUP(GY86,#REF!,2,FALSE))</f>
        <v>#REF!</v>
      </c>
      <c r="HN86" s="342" t="e">
        <f>IF(#REF!="","",(VLOOKUP(#REF!,BDD!$HN$5:$HU$38,2,FALSE))*#REF!)</f>
        <v>#REF!</v>
      </c>
      <c r="HO86" s="342" t="e">
        <f>IF(#REF!="","",IF(OR(#REF!=Moutarde,#REF!=Phacélie),0,IF(#REF!=Luzerne,10*#REF!*VLOOKUP(#REF!,BDD!$HN$5:$HU$38,3,FALSE),IF(#REF!=Miscanthus,10.5*#REF!*VLOOKUP(#REF!,BDD!$HN$5:$HU$38,3,FALSE),INDEX(#REF!:#REF!,MATCH(#REF!,#REF!:#REF!,0),MATCH(#REF!,#REF!:#REF!,0))*#REF!*VLOOKUP(#REF!,BDD!$HN$5:$HU$38,3,FALSE)))))</f>
        <v>#REF!</v>
      </c>
      <c r="HP86" s="342" t="e">
        <f>IF(#REF!="","",IF(OR(#REF!=Moutarde,#REF!=Phacélie),0,IF(#REF!=Luzerne,10*#REF!*VLOOKUP(#REF!,BDD!$HN$5:$HU$38,4,FALSE),IF(#REF!=Miscanthus,10.5*#REF!*VLOOKUP(#REF!,BDD!$HN$5:$HU$38,4,FALSE),INDEX(#REF!:#REF!,MATCH(#REF!,#REF!:#REF!,0),MATCH(#REF!,#REF!:#REF!,0))*#REF!*VLOOKUP(#REF!,BDD!$HN$5:$HU$38,4,FALSE)))))</f>
        <v>#REF!</v>
      </c>
      <c r="HQ86" s="342" t="e">
        <f>IF(#REF!="","",IF(OR(#REF!=Moutarde,#REF!=Phacélie),0,IF(#REF!=Luzerne,10*#REF!*VLOOKUP(#REF!,BDD!$HN$5:$HU$38,5,FALSE),IF(#REF!=Miscanthus,10.5*#REF!*VLOOKUP(#REF!,BDD!$HN$5:$HU$38,5,FALSE),INDEX(#REF!:#REF!,MATCH(#REF!,#REF!:#REF!,0),MATCH(#REF!,#REF!:#REF!,0))*#REF!*VLOOKUP(#REF!,BDD!$HN$5:$HU$38,5,FALSE)))))</f>
        <v>#REF!</v>
      </c>
      <c r="HR86" s="342" t="e">
        <f>IF(#REF!="","",IF(OR(#REF!=Moutarde,#REF!=Phacélie),0,IF(#REF!=Luzerne,10*#REF!*VLOOKUP(#REF!,BDD!$HN$5:$HU$38,6,FALSE),IF(#REF!=Miscanthus,10.5*#REF!*VLOOKUP(#REF!,BDD!$HN$5:$HU$38,6,FALSE),INDEX(#REF!:#REF!,MATCH(#REF!,#REF!:#REF!,0),MATCH(#REF!,#REF!:#REF!,0))*#REF!*VLOOKUP(#REF!,BDD!$HN$5:$HU$38,6,FALSE)))))</f>
        <v>#REF!</v>
      </c>
      <c r="HS86" s="342" t="e">
        <f>IF(#REF!="","",IF(OR(#REF!=Moutarde,#REF!=Phacélie),0,IF(#REF!=Luzerne,10*#REF!*VLOOKUP(#REF!,BDD!$HN$5:$HU$38,7,FALSE),IF(#REF!=Miscanthus,10.5*#REF!*VLOOKUP(#REF!,BDD!$HN$5:$HU$38,7,FALSE),INDEX(#REF!:#REF!,MATCH(#REF!,#REF!:#REF!,0),MATCH(#REF!,#REF!:#REF!,0))*#REF!*VLOOKUP(#REF!,BDD!$HN$5:$HU$38,7,FALSE)))))</f>
        <v>#REF!</v>
      </c>
      <c r="HT86" s="342" t="e">
        <f>IF(#REF!="","",IF(OR(#REF!=Moutarde,#REF!=Phacélie),0,IF(#REF!=Luzerne,10*#REF!*VLOOKUP(#REF!,BDD!$HN$5:$HU$38,8,FALSE),IF(#REF!=Miscanthus,10.5*#REF!*VLOOKUP(#REF!,BDD!$HN$5:$HU$38,8,FALSE),INDEX(#REF!:#REF!,MATCH(#REF!,#REF!:#REF!,0),MATCH(#REF!,#REF!:#REF!,0))*#REF!*VLOOKUP(#REF!,BDD!$HN$5:$HU$38,8,FALSE)))))</f>
        <v>#REF!</v>
      </c>
      <c r="HU86" s="342" t="e">
        <f>IF(#REF!="","",IF(OR(#REF!=Moutarde,#REF!=Phacélie),0,1.6*#REF!))</f>
        <v>#REF!</v>
      </c>
      <c r="HV86" s="342" t="e">
        <f>IF(#REF!="","",IF(OR(#REF!=Moutarde,#REF!=Phacélie),0,1.6*#REF!))</f>
        <v>#REF!</v>
      </c>
      <c r="HW86" s="342" t="e">
        <f>IF(#REF!="","",IF(OR(#REF!=Moutarde,#REF!=Phacélie),0,1.6*#REF!))</f>
        <v>#REF!</v>
      </c>
      <c r="HX86" s="342" t="e">
        <f>IF(#REF!="","",(VLOOKUP(#REF!,BDD!$HN$5:$HU$38,2,FALSE))*#REF!)</f>
        <v>#REF!</v>
      </c>
      <c r="HY86" s="342" t="e">
        <f>IF(#REF!="","",IF(OR(#REF!=Moutarde,#REF!=Phacélie),0,IF(#REF!=Luzerne,10*#REF!*VLOOKUP(#REF!,BDD!$HN$5:$HU$38,3,FALSE),IF(#REF!=Miscanthus,10.5*#REF!*VLOOKUP(#REF!,BDD!$HN$5:$HU$38,3,FALSE),INDEX(#REF!:#REF!,MATCH(#REF!,#REF!:#REF!,0),MATCH(#REF!,#REF!:#REF!,0))*#REF!*VLOOKUP(#REF!,BDD!$HN$5:$HU$38,3,FALSE)))))</f>
        <v>#REF!</v>
      </c>
      <c r="HZ86" s="342" t="e">
        <f>IF(#REF!="","",IF(OR(#REF!=Moutarde,#REF!=Phacélie),0,IF(#REF!=Luzerne,10*#REF!*VLOOKUP(#REF!,BDD!$HN$5:$HU$38,4,FALSE),IF(#REF!=Miscanthus,10.5*#REF!*VLOOKUP(#REF!,BDD!$HN$5:$HU$38,4,FALSE),INDEX(#REF!:#REF!,MATCH(#REF!,#REF!:#REF!,0),MATCH(#REF!,#REF!:#REF!,0))*#REF!*VLOOKUP(#REF!,BDD!$HN$5:$HU$38,4,FALSE)))))</f>
        <v>#REF!</v>
      </c>
      <c r="IA86" s="342" t="e">
        <f>IF(#REF!="","",IF(OR(#REF!=Moutarde,#REF!=Phacélie),0,IF(#REF!=Luzerne,10*#REF!*VLOOKUP(#REF!,BDD!$HN$5:$HU$38,5,FALSE),IF(#REF!=Miscanthus,10.5*#REF!*VLOOKUP(#REF!,BDD!$HN$5:$HU$38,5,FALSE),INDEX(#REF!:#REF!,MATCH(#REF!,#REF!:#REF!,0),MATCH(#REF!,#REF!:#REF!,0))*#REF!*VLOOKUP(#REF!,BDD!$HN$5:$HU$38,5,FALSE)))))</f>
        <v>#REF!</v>
      </c>
      <c r="IB86" s="342" t="e">
        <f>IF(#REF!="","",IF(OR(#REF!=Moutarde,#REF!=Phacélie),0,IF(#REF!=Luzerne,10*#REF!*VLOOKUP(#REF!,BDD!$HN$5:$HU$38,6,FALSE),IF(#REF!=Miscanthus,10.5*#REF!*VLOOKUP(#REF!,BDD!$HN$5:$HU$38,6,FALSE),INDEX(#REF!:#REF!,MATCH(#REF!,#REF!:#REF!,0),MATCH(#REF!,#REF!:#REF!,0))*#REF!*VLOOKUP(#REF!,BDD!$HN$5:$HU$38,6,FALSE)))))</f>
        <v>#REF!</v>
      </c>
      <c r="IC86" s="342" t="e">
        <f>IF(#REF!="","",IF(OR(#REF!=Moutarde,#REF!=Phacélie),0,IF(#REF!=Luzerne,10*#REF!*VLOOKUP(#REF!,BDD!$HN$5:$HU$38,7,FALSE),IF(#REF!=Miscanthus,10.5*#REF!*VLOOKUP(#REF!,BDD!$HN$5:$HU$38,7,FALSE),INDEX(#REF!:#REF!,MATCH(#REF!,#REF!:#REF!,0),MATCH(#REF!,#REF!:#REF!,0))*#REF!*VLOOKUP(#REF!,BDD!$HN$5:$HU$38,7,FALSE)))))</f>
        <v>#REF!</v>
      </c>
      <c r="ID86" s="342" t="e">
        <f>IF(#REF!="","",IF(OR(#REF!=Moutarde,#REF!=Phacélie),0,IF(#REF!=Luzerne,10*#REF!*VLOOKUP(#REF!,BDD!$HN$5:$HU$38,8,FALSE),IF(#REF!=Miscanthus,10.5*#REF!*VLOOKUP(#REF!,BDD!$HN$5:$HU$38,8,FALSE),INDEX(#REF!:#REF!,MATCH(#REF!,#REF!:#REF!,0),MATCH(#REF!,#REF!:#REF!,0))*#REF!*VLOOKUP(#REF!,BDD!$HN$5:$HU$38,8,FALSE)))))</f>
        <v>#REF!</v>
      </c>
      <c r="IE86" s="342" t="e">
        <f>IF(#REF!="","",IF(OR(#REF!=Moutarde,#REF!=Phacélie),0,1.6*#REF!))</f>
        <v>#REF!</v>
      </c>
      <c r="IF86" s="342" t="e">
        <f>IF(#REF!="","",IF(OR(#REF!=Moutarde,#REF!=Phacélie),0,1.6*#REF!))</f>
        <v>#REF!</v>
      </c>
      <c r="IG86" s="342" t="e">
        <f>IF(#REF!="","",IF(OR(#REF!=Moutarde,#REF!=Phacélie),0,1.6*#REF!))</f>
        <v>#REF!</v>
      </c>
    </row>
    <row r="87" spans="1:241" ht="12.75" customHeight="1" x14ac:dyDescent="0.2">
      <c r="A87" s="373"/>
      <c r="B87" s="380"/>
      <c r="F87" s="283"/>
      <c r="P87" s="283"/>
      <c r="Y87" s="385" t="s">
        <v>1126</v>
      </c>
      <c r="Z87" s="385">
        <f>IF('coût alimentation'!$B$6=$Y$87,12,0)</f>
        <v>0</v>
      </c>
      <c r="AA87" s="385">
        <f>IF('coût alimentation'!$B$6=$Y$87,12,0)</f>
        <v>0</v>
      </c>
      <c r="AB87" s="385">
        <f>IF('coût alimentation'!$B$6=$Y$87,12,0)</f>
        <v>0</v>
      </c>
      <c r="AC87" s="385">
        <f>IF('coût alimentation'!$B$6=$Y$87,12,0)</f>
        <v>0</v>
      </c>
      <c r="AD87" s="385">
        <f>IF('coût alimentation'!$B$6=$Y$87,12,0)</f>
        <v>0</v>
      </c>
      <c r="AE87" s="385">
        <f>IF('coût alimentation'!$B$6=$Y$87,12,0)</f>
        <v>0</v>
      </c>
      <c r="AF87" s="385">
        <f>IF('coût alimentation'!$B$6=$Y$87,12,0)</f>
        <v>0</v>
      </c>
      <c r="AG87" s="385">
        <f>IF('coût alimentation'!$B$6=$Y$87,12,0)</f>
        <v>0</v>
      </c>
      <c r="BB87" s="387" t="s">
        <v>512</v>
      </c>
      <c r="BC87" s="362" t="s">
        <v>220</v>
      </c>
      <c r="BD87" s="362" t="s">
        <v>887</v>
      </c>
      <c r="BE87" s="388">
        <v>7.2</v>
      </c>
      <c r="BF87" s="388">
        <v>6</v>
      </c>
      <c r="BG87" s="388">
        <v>4</v>
      </c>
      <c r="BH87" s="388">
        <v>2</v>
      </c>
      <c r="BI87" s="388">
        <v>1.2</v>
      </c>
      <c r="BJ87" s="388">
        <v>0.6</v>
      </c>
      <c r="BK87" s="389">
        <v>0</v>
      </c>
      <c r="BL87" s="312"/>
      <c r="BM87" s="350" t="str">
        <f t="shared" si="22"/>
        <v>Foin</v>
      </c>
      <c r="BN87" s="350">
        <f t="array" ref="BN87">IF(Ration_hivernale_complète_bisons[somme]&gt;0,0,IFERROR(IF(OR(AND(INDEX(Règles_bison[Specificite],MATCH(ChoixRationBisons&amp;$BM87,Règles_bison[Ration]&amp;Règles_bison[Aliment],0))="s1",IF($BM87=ChoixSpécificité1Bisons,1)),
INDEX(Règles_bison[Specificite],MATCH(ChoixRationBisons&amp;$BM87,Règles_bison[Ration]&amp;Règles_bison[Aliment],0))="c"),
INDEX(Règles_bison[Valeur 36 et plus],MATCH(ChoixRationBisons&amp;$BM87,Règles_bison[Ration]&amp;Règles_bison[Aliment],0)),0),0)*TotalBisonnes*NbreJoursNourrirBisonsDaims)</f>
        <v>0</v>
      </c>
      <c r="BO87" s="350">
        <f t="array" ref="BO87">IF(Ration_hivernale_complète_bisons[somme]&gt;0,0,IFERROR(IF(OR(AND(INDEX(Règles_bison[Specificite],MATCH(ChoixRationBisons&amp;$BM87,Règles_bison[Ration]&amp;Règles_bison[Aliment],0))="s1",IF($BM87=ChoixSpécificité1Bisons,1)),
INDEX(Règles_bison[Specificite],MATCH(ChoixRationBisons&amp;$BM87,Règles_bison[Ration]&amp;Règles_bison[Aliment],0))="c"),
INDEX(Règles_bison[Valeur 24-36],MATCH(ChoixRationBisons&amp;$BM87,Règles_bison[Ration]&amp;Règles_bison[Aliment],0)),0),0)*TotalBisonsFemelles_24_36_mois*NbreJoursNourrirBisonsDaims)</f>
        <v>0</v>
      </c>
      <c r="BP87" s="350">
        <f t="array" ref="BP87">IF(Ration_hivernale_complète_bisons[somme]&gt;0,0,IFERROR(IF(OR(AND(INDEX(Règles_bison[Specificite],MATCH(ChoixRationBisons&amp;$BM87,Règles_bison[Ration]&amp;Règles_bison[Aliment],0))="s1",IF($BM87=ChoixSpécificité1Bisons,1)),
INDEX(Règles_bison[Specificite],MATCH(ChoixRationBisons&amp;$BM87,Règles_bison[Ration]&amp;Règles_bison[Aliment],0))="c"),
INDEX(Règles_bison[Valeur 18-24],MATCH(ChoixRationBisons&amp;$BM87,Règles_bison[Ration]&amp;Règles_bison[Aliment],0)),0),0)*TotalBisonsFemelles_18_24_mois*NbreJoursNourrirBisonsDaims)</f>
        <v>0</v>
      </c>
      <c r="BQ87" s="350">
        <f t="array" ref="BQ87">IF(Ration_hivernale_complète_bisons[somme]&gt;0,0,IFERROR(IF(OR(AND(INDEX(Règles_bison[Specificite],MATCH(ChoixRationBisons&amp;$BM87,Règles_bison[Ration]&amp;Règles_bison[Aliment],0))="s1",IF($BM87=ChoixSpécificité1Bisons,1)),
INDEX(Règles_bison[Specificite],MATCH(ChoixRationBisons&amp;$BM87,Règles_bison[Ration]&amp;Règles_bison[Aliment],0))="c"),
INDEX(Règles_bison[Valeur 12-18],MATCH(ChoixRationBisons&amp;$BM87,Règles_bison[Ration]&amp;Règles_bison[Aliment],0)),0),0)*TotalBisonsFemelles_12_18_mois*NbreJoursNourrirBisonsDaims)</f>
        <v>0</v>
      </c>
      <c r="BR87" s="350">
        <f t="array" ref="BR87">IF(Ration_hivernale_complète_bisons[somme]&gt;0,0,IFERROR(IF(OR(AND(INDEX(Règles_bison[Specificite],MATCH(ChoixRationBisons&amp;$BM87,Règles_bison[Ration]&amp;Règles_bison[Aliment],0))="s1",IF($BM87=ChoixSpécificité1Bisons,1)),
INDEX(Règles_bison[Specificite],MATCH(ChoixRationBisons&amp;$BM87,Règles_bison[Ration]&amp;Règles_bison[Aliment],0))="c"),
INDEX(Règles_bison[Valeur 6-12],MATCH(ChoixRationBisons&amp;$BM87,Règles_bison[Ration]&amp;Règles_bison[Aliment],0)),0),0)*TotalBisonsFemelles_6_12_mois*NbreJoursNourrirBisonsDaims)</f>
        <v>0</v>
      </c>
      <c r="BS87" s="350">
        <f t="array" ref="BS87">IF(Ration_hivernale_complète_bisons[somme]&gt;0,0,IFERROR(IF(OR(AND(INDEX(Règles_bison[Specificite],MATCH(ChoixRationBisons&amp;$BM87,Règles_bison[Ration]&amp;Règles_bison[Aliment],0))="s1",IF($BM87=ChoixSpécificité1Bisons,1)),
INDEX(Règles_bison[Specificite],MATCH(ChoixRationBisons&amp;$BM87,Règles_bison[Ration]&amp;Règles_bison[Aliment],0))="c"),
INDEX(Règles_bison[Valeur 3-6],MATCH(ChoixRationBisons&amp;$BM87,Règles_bison[Ration]&amp;Règles_bison[Aliment],0)),0),0)*TotalBisonsFemelles_3_6_mois*NbreJoursNourrirBisonsDaims)</f>
        <v>0</v>
      </c>
      <c r="BT87" s="350">
        <f t="array" ref="BT87">IF(Ration_hivernale_complète_bisons[somme]&gt;0,0,IFERROR(IF(OR(AND(INDEX(Règles_bison[Specificite],MATCH(ChoixRationBisons&amp;$BM87,Règles_bison[Ration]&amp;Règles_bison[Aliment],0))="s1",IF($BM87=ChoixSpécificité1Bisons,1)),
INDEX(Règles_bison[Specificite],MATCH(ChoixRationBisons&amp;$BM87,Règles_bison[Ration]&amp;Règles_bison[Aliment],0))="c"),
INDEX(Règles_bison[Valeur 0-3],MATCH(ChoixRationBisons&amp;$BM87,Règles_bison[Ration]&amp;Règles_bison[Aliment],0)),0),0)*TotalBisonsFemelles_0_3_mois*NbreJoursNourrirBisonsDaims)</f>
        <v>0</v>
      </c>
      <c r="BU87" s="350">
        <f t="shared" si="21"/>
        <v>0</v>
      </c>
      <c r="BV87" s="282"/>
      <c r="BW87" s="282"/>
      <c r="BX87" s="373" t="s">
        <v>550</v>
      </c>
      <c r="BY87" s="280" t="s">
        <v>905</v>
      </c>
      <c r="BZ87" s="280" t="s">
        <v>886</v>
      </c>
      <c r="CA87" s="280">
        <v>0.08</v>
      </c>
      <c r="CB87" s="280">
        <v>0.04</v>
      </c>
      <c r="CC87" s="280">
        <v>0.04</v>
      </c>
      <c r="CD87" s="410">
        <v>0.04</v>
      </c>
      <c r="CE87" s="304"/>
      <c r="CF87" s="304"/>
      <c r="CG87" s="304"/>
      <c r="CH87" s="304"/>
      <c r="CJ87" s="425" t="s">
        <v>910</v>
      </c>
      <c r="CK87" s="395" t="s">
        <v>914</v>
      </c>
      <c r="CL87" s="395" t="s">
        <v>891</v>
      </c>
      <c r="CM87" s="395" t="s">
        <v>890</v>
      </c>
      <c r="CN87" s="395" t="s">
        <v>917</v>
      </c>
      <c r="CO87" s="395" t="s">
        <v>918</v>
      </c>
      <c r="CP87" s="396" t="s">
        <v>921</v>
      </c>
      <c r="CS87" s="420" t="s">
        <v>907</v>
      </c>
      <c r="CT87" s="433">
        <f t="array" ref="CT87">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87" s="433">
        <f t="array" ref="CU87">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87" s="433">
        <f t="array" ref="CV87">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87" s="434">
        <f>SUM(AlimentsRationLapinsMâles[[#This Row],[Valeur 3 et plus]:[Valeur 0-1]])</f>
        <v>0</v>
      </c>
      <c r="CZ87" s="420" t="s">
        <v>907</v>
      </c>
      <c r="DA87" s="433">
        <f t="array" ref="DA8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87" s="433">
        <f t="array" ref="DB8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87" s="433">
        <f t="array" ref="DC8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87" s="434">
        <f>SUM(AlimentsRationVolaillesMâles[[#This Row],[Valeur 6 et plus]:[Valeur 0-1]])</f>
        <v>0</v>
      </c>
      <c r="DE87" s="316"/>
      <c r="DF87" s="277"/>
      <c r="DN87" s="373" t="s">
        <v>512</v>
      </c>
      <c r="DO87" s="280" t="s">
        <v>510</v>
      </c>
      <c r="DP87" s="280" t="s">
        <v>886</v>
      </c>
      <c r="DQ87" s="310">
        <v>8</v>
      </c>
      <c r="DR87" s="310">
        <v>6</v>
      </c>
      <c r="DS87" s="310">
        <v>4</v>
      </c>
      <c r="DT87" s="439">
        <v>0</v>
      </c>
      <c r="DU87" s="298"/>
      <c r="DV87" s="350" t="str">
        <f t="shared" si="23"/>
        <v>concentré jeunes porcins</v>
      </c>
      <c r="DW87" s="351">
        <f t="array" ref="DW87">SUM((IF(QualitéAlimentsFaonMâle_0_3_mois=BONNE,VLOOKUP("concentré jeunes porcins",AlimentsRationHivernaleDaims,8,FALSE),0)+(IF(QualitéAlimentsFaonFemelle_0_3_mois=BONNE,VLOOKUP("concentré jeunes porcins",AlimentsRationHivernaleDaims,8,FALSE),0)+(IF(QualitéAlimentsFaonMâle_3_6_mois=BONNE,VLOOKUP("concentré jeunes porcins",AlimentsRationHivernaleDaims,7,FALSE),0)+(IF(QualitéAlimentsFaonFemelle_3_6_mois=BONNE,VLOOKUP("concentré jeunes porcins",AlimentsRationHivernaleDaims,7,FALSE),0)+(IF(QualitéAlimentsFaonMâle_6_12_mois=BONNE,VLOOKUP("concentré jeunes porcins",AlimentsRationHivernaleDaims,6,FALSE),0)+(IF(QualitéAlimentsFaonFemelle_6_12_mois=BONNE,VLOOKUP("concentré jeunes porcins",AlimentsRationHivernaleDaims,6,FALSE),0)+(IF(QualitéAlimentsJeuneDaim_12_18_mois=BONNE,VLOOKUP("concentré jeunes porcins",AlimentsRationHivernaleDaims,5,FALSE),0)+(IF(QualitéAlimentsJeuneDaine_12_18_mois=BONNE,VLOOKUP("concentré jeunes porcins",AlimentsRationHivernaleDaims,5,FALSE),0)+(IF(QualitéAlimentsJeuneDaim_18_24_mois=BONNE,VLOOKUP("concentré jeunes porcins",AlimentsRationHivernaleDaims,4,FALSE),0)+(IF(QualitéAlimentsJeuneDaine_18_24_mois=BONNE,VLOOKUP("concentré jeunes porcins",AlimentsRationHivernaleDaims,4,FALSE),0)+(IF(QualitéAlimentsJeuneDaim_24_36_mois=BONNE,VLOOKUP("concentré jeunes porcins",AlimentsRationHivernaleDaims,3,FALSE),0)+(IF(QualitéAlimentsJeuneDaine_24_36_mois=BONNE,VLOOKUP("concentré jeunes porcins",AlimentsRationHivernaleDaims,3,FALSE),0)+(IF(QualitéAlimentsDaim=BONNE,VLOOKUP("concentré jeunes porcins",AlimentsRationHivernaleDaims,2,FALSE),0)+(IF(QualitéAlimentsDaine=BONNE,VLOOKUP("concentré jeunes porcins",AlimentsRationHivernaleDaims,2,FALSE),0))))))))))))))))</f>
        <v>0</v>
      </c>
      <c r="DX87" s="351">
        <f t="array" ref="DX87">SUM((IF(QualitéAlimentsFaonMâle_0_3_mois=MOYENNE,VLOOKUP("concentré jeunes porcins",AlimentsRationHivernaleDaims,8,FALSE),0)+(IF(QualitéAlimentsFaonFemelle_0_3_mois=MOYENNE,VLOOKUP("concentré jeunes porcins",AlimentsRationHivernaleDaims,8,FALSE),0)+(IF(QualitéAlimentsFaonMâle_3_6_mois=MOYENNE,VLOOKUP("concentré jeunes porcins",AlimentsRationHivernaleDaims,7,FALSE),0)+(IF(QualitéAlimentsFaonFemelle_3_6_mois=MOYENNE,VLOOKUP("concentré jeunes porcins",AlimentsRationHivernaleDaims,7,FALSE),0)+(IF(QualitéAlimentsFaonMâle_6_12_mois=MOYENNE,VLOOKUP("concentré jeunes porcins",AlimentsRationHivernaleDaims,6,FALSE),0)+(IF(QualitéAlimentsFaonFemelle_6_12_mois=MOYENNE,VLOOKUP("concentré jeunes porcins",AlimentsRationHivernaleDaims,6,FALSE),0)+(IF(QualitéAlimentsJeuneDaim_12_18_mois=MOYENNE,VLOOKUP("concentré jeunes porcins",AlimentsRationHivernaleDaims,5,FALSE),0)+(IF(QualitéAlimentsJeuneDaine_12_18_mois=MOYENNE,VLOOKUP("concentré jeunes porcins",AlimentsRationHivernaleDaims,5,FALSE),0)+(IF(QualitéAlimentsJeuneDaim_18_24_mois=MOYENNE,VLOOKUP("concentré jeunes porcins",AlimentsRationHivernaleDaims,4,FALSE),0)+(IF(QualitéAlimentsJeuneDaine_18_24_mois=MOYENNE,VLOOKUP("concentré jeunes porcins",AlimentsRationHivernaleDaims,4,FALSE),0)+(IF(QualitéAlimentsJeuneDaim_24_36_mois=MOYENNE,VLOOKUP("concentré jeunes porcins",AlimentsRationHivernaleDaims,3,FALSE),0)+(IF(QualitéAlimentsJeuneDaine_24_36_mois=MOYENNE,VLOOKUP("concentré jeunes porcins",AlimentsRationHivernaleDaims,3,FALSE),0)+(IF(QualitéAlimentsDaim=MOYENNE,VLOOKUP("concentré jeunes porcins",AlimentsRationHivernaleDaims,2,FALSE),0)+(IF(QualitéAlimentsDaine=MOYENNE,VLOOKUP("concentré jeunes porcins",AlimentsRationHivernaleDaims,2,FALSE),0))))))))))))))))</f>
        <v>0</v>
      </c>
      <c r="DY87" s="351">
        <f t="array" ref="DY87">SUM((IF(QualitéAlimentsFaonMâle_0_3_mois=MAUVAISE,VLOOKUP("concentré jeunes porcins",AlimentsRationHivernaleDaims,8,FALSE),0)+(IF(QualitéAlimentsFaonFemelle_0_3_mois=MAUVAISE,VLOOKUP("concentré jeunes porcins",AlimentsRationHivernaleDaims,8,FALSE),0)+(IF(QualitéAlimentsFaonMâle_3_6_mois=MAUVAISE,VLOOKUP("concentré jeunes porcins",AlimentsRationHivernaleDaims,7,FALSE),0)+(IF(QualitéAlimentsFaonFemelle_3_6_mois=MAUVAISE,VLOOKUP("concentré jeunes porcins",AlimentsRationHivernaleDaims,7,FALSE),0)+(IF(QualitéAlimentsFaonMâle_6_12_mois=MAUVAISE,VLOOKUP("concentré jeunes porcins",AlimentsRationHivernaleDaims,6,FALSE),0)+(IF(QualitéAlimentsFaonFemelle_6_12_mois=MAUVAISE,VLOOKUP("concentré jeunes porcins",AlimentsRationHivernaleDaims,6,FALSE),0)+(IF(QualitéAlimentsJeuneDaim_12_18_mois=MAUVAISE,VLOOKUP("concentré jeunes porcins",AlimentsRationHivernaleDaims,5,FALSE),0)+(IF(QualitéAlimentsJeuneDaine_12_18_mois=MAUVAISE,VLOOKUP("concentré jeunes porcins",AlimentsRationHivernaleDaims,5,FALSE),0)+(IF(QualitéAlimentsJeuneDaim_18_24_mois=MAUVAISE,VLOOKUP("concentré jeunes porcins",AlimentsRationHivernaleDaims,4,FALSE),0)+(IF(QualitéAlimentsJeuneDaine_18_24_mois=MAUVAISE,VLOOKUP("concentré jeunes porcins",AlimentsRationHivernaleDaims,4,FALSE),0)+(IF(QualitéAlimentsJeuneDaim_24_36_mois=MAUVAISE,VLOOKUP("concentré jeunes porcins",AlimentsRationHivernaleDaims,3,FALSE),0)+(IF(QualitéAlimentsJeuneDaine_24_36_mois=MAUVAISE,VLOOKUP("concentré jeunes porcins",AlimentsRationHivernaleDaims,3,FALSE),0)+(IF(QualitéAlimentsDaim=MAUVAISE,VLOOKUP("concentré jeunes porcins",AlimentsRationHivernaleDaims,2,FALSE),0)+(IF(QualitéAlimentsDaine=MAUVAISE,VLOOKUP("concentré jeunes porcins",AlimentsRationHivernaleDaims,2,FALSE),0))))))))))))))))</f>
        <v>0</v>
      </c>
      <c r="DZ87" s="298"/>
      <c r="EA87" s="298"/>
      <c r="EB87" s="298"/>
      <c r="EC87" s="298"/>
      <c r="ED87" s="298"/>
      <c r="EE87" s="298"/>
      <c r="EG87" s="420"/>
      <c r="EH87" s="433">
        <f t="array" ref="EH8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87" s="433">
        <f t="array" ref="EI8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87" s="433">
        <f t="array" ref="EJ8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87" s="434">
        <f>SUM(AlimentsRationOiesMâles[[#This Row],[Valeur 6 et plus]:[Valeur 0-3]])</f>
        <v>0</v>
      </c>
      <c r="EL87" s="316"/>
      <c r="EN87" s="420"/>
      <c r="EO87" s="433">
        <f t="array" ref="EO87">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87" s="433">
        <f t="array" ref="EP87">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87" s="433">
        <f t="array" ref="EQ87">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87" s="434">
        <f>SUM(Ration_canards_Mâles[[#This Row],[Valeur 6 et plus]:[Valeur 0-3]])</f>
        <v>0</v>
      </c>
      <c r="ES87" s="316"/>
      <c r="EU87" s="457" t="s">
        <v>57</v>
      </c>
      <c r="EV87" s="458">
        <f t="array" ref="EV87">IF(OR(ChoixRationComplèteEtéChevauxSelle=OUI,ChoixRationComplèteEtéChevauxSelle="",AND(ChoixChevauxSellePréHiver=OUI,ChoixChevauxSellePréEté=OUI)),0,IFERROR(IF(OR(AND(INDEX(Règles_chevaux_selle[Specificite],MATCH(RationEtéChevauxSelle&amp;$EU87,Règles_chevaux_selle[Ration]&amp;Règles_chevaux_selle[Aliment],0))="s1",IF($EU87=Spécificité1ChevauxSelle,1)),
AND(INDEX(Règles_chevaux_selle[Specificite],MATCH(RationEtéChevauxSelle&amp;$EU87,Règles_chevaux_selle[Ration]&amp;Règles_chevaux_selle[Aliment],0))="s2",IF($EU87=Spécificité2ChevauxSelle,1)),
INDEX(Règles_chevaux_selle[Specificite],MATCH(RationEtéChevauxSelle&amp;$EU87,Règles_chevaux_selle[Ration]&amp;Règles_chevaux_selle[Aliment],0))="c"),
INDEX(Règles_chevaux_selle[Valeur 36 et plus],MATCH(RationEtéChevauxSelle&amp;$EU87,Règles_chevaux_selle[Ration]&amp;Règles_chevaux_selle[Aliment],0)),0),0)*TotalEtalonSelle*NbreJoursNourrirChevauxSelle)</f>
        <v>0</v>
      </c>
      <c r="EW87" s="458">
        <f t="array" ref="EW87">IF(OR(ChoixRationComplèteEtéChevauxSelle=OUI,ChoixRationComplèteEtéChevauxSelle="",AND(ChoixChevauxSellePréHiver=OUI,ChoixChevauxSellePréEté=OUI)),0,IFERROR(IF(OR(AND(INDEX(Règles_chevaux_selle[Specificite],MATCH(RationEtéChevauxSelle&amp;$EU87,Règles_chevaux_selle[Ration]&amp;Règles_chevaux_selle[Aliment],0))="s1",IF($EU87=Spécificité1ChevauxSelle,1)),
AND(INDEX(Règles_chevaux_selle[Specificite],MATCH(RationEtéChevauxSelle&amp;$EU87,Règles_chevaux_selle[Ration]&amp;Règles_chevaux_selle[Aliment],0))="s2",IF($EU87=Spécificité2ChevauxSelle,1)),
INDEX(Règles_chevaux_selle[Specificite],MATCH(RationEtéChevauxSelle&amp;$EU87,Règles_chevaux_selle[Ration]&amp;Règles_chevaux_selle[Aliment],0))="c"),
INDEX(Règles_chevaux_selle[Valeur 24-36],MATCH(RationEtéChevauxSelle&amp;$EU87,Règles_chevaux_selle[Ration]&amp;Règles_chevaux_selle[Aliment],0)),0),0)*TotalJeuneEtalonSelle_24_36_mois*NbreJoursNourrirChevauxSelle)</f>
        <v>0</v>
      </c>
      <c r="EX87" s="458">
        <f t="array" ref="EX87">IF(OR(ChoixRationComplèteEtéChevauxSelle=OUI,ChoixRationComplèteEtéChevauxSelle="",AND(ChoixChevauxSellePréHiver=OUI,ChoixChevauxSellePréEté=OUI)),0,IFERROR(IF(OR(AND(INDEX(Règles_chevaux_selle[Specificite],MATCH(RationEtéChevauxSelle&amp;$EU87,Règles_chevaux_selle[Ration]&amp;Règles_chevaux_selle[Aliment],0))="s1",IF($EU87=Spécificité1ChevauxSelle,1)),
AND(INDEX(Règles_chevaux_selle[Specificite],MATCH(RationEtéChevauxSelle&amp;$EU87,Règles_chevaux_selle[Ration]&amp;Règles_chevaux_selle[Aliment],0))="s2",IF($EU87=Spécificité2ChevauxSelle,1)),
INDEX(Règles_chevaux_selle[Specificite],MATCH(RationEtéChevauxSelle&amp;$EU87,Règles_chevaux_selle[Ration]&amp;Règles_chevaux_selle[Aliment],0))="c"),
INDEX(Règles_chevaux_selle[Valeur 12-24],MATCH(RationEtéChevauxSelle&amp;$EU87,Règles_chevaux_selle[Ration]&amp;Règles_chevaux_selle[Aliment],0)),0),0)*TotalJeuneEtalonSelle_12_24_mois*NbreJoursNourrirChevauxSelle)</f>
        <v>0</v>
      </c>
      <c r="EY87" s="460">
        <f t="array" ref="EY87">IF(OR(ChoixRationComplèteEtéChevauxSelle=OUI,ChoixRationComplèteEtéChevauxSelle="",AND(ChoixChevauxSellePréHiver=OUI,ChoixChevauxSellePréEté=OUI)),0,IFERROR(IF(OR(AND(INDEX(Règles_chevaux_selle[Specificite],MATCH(RationEtéChevauxSelle&amp;$EU87,Règles_chevaux_selle[Ration]&amp;Règles_chevaux_selle[Aliment],0))="s1",IF($EU87=Spécificité1ChevauxSelle,1)),
AND(INDEX(Règles_chevaux_selle[Specificite],MATCH(RationEtéChevauxSelle&amp;$EU87,Règles_chevaux_selle[Ration]&amp;Règles_chevaux_selle[Aliment],0))="s2",IF($EU87=Spécificité2ChevauxSelle,1)),
INDEX(Règles_chevaux_selle[Specificite],MATCH(RationEtéChevauxSelle&amp;$EU87,Règles_chevaux_selle[Ration]&amp;Règles_chevaux_selle[Aliment],0))="c"),
INDEX(Règles_chevaux_selle[Valeur 0-12],MATCH(RationEtéChevauxSelle&amp;$EU87,Règles_chevaux_selle[Ration]&amp;Règles_chevaux_selle[Aliment],0)),0),0)*TotalPoulainSelle_0_12_mois*NbreJoursNourrirChevauxSelle)</f>
        <v>0</v>
      </c>
      <c r="EZ87" s="460">
        <f t="shared" si="16"/>
        <v>0</v>
      </c>
      <c r="FA87" s="298"/>
      <c r="FB87" s="298"/>
      <c r="FD87" s="457"/>
      <c r="FE87" s="458">
        <f t="array" ref="FE87">IF(OR(ChoixRationComplèteEtéChevauxTrait=OUI,ChoixRationComplèteEtéChevauxTrait="",AND(ChoixChevauxTraitPréHiver=OUI,ChoixChevauxTraitPréEté=OUI)),0,IFERROR(IF(OR(AND(INDEX(Règles_chevaux_trait[Specificite],MATCH(RationEtéChevauxTrait&amp;$FD87,Règles_chevaux_trait[Ration]&amp;Règles_chevaux_trait[Aliment],0))="s1",IF($FD87=Spécificité1ChevauxTrait,1)),
AND(INDEX(Règles_chevaux_trait[Specificite],MATCH(RationEtéChevauxTrait&amp;$FD87,Règles_chevaux_trait[Ration]&amp;Règles_chevaux_trait[Aliment],0))="s2",IF($FD87=Spécificité2ChevauxTrait,1)),
INDEX(Règles_chevaux_trait[Specificite],MATCH(RationEtéChevauxTrait&amp;$FD87,Règles_chevaux_trait[Ration]&amp;Règles_chevaux_trait[Aliment],0))="c"),
INDEX(Règles_chevaux_trait[Valeur 36 et plus],MATCH(RationEtéChevauxTrait&amp;$FD87,Règles_chevaux_trait[Ration]&amp;Règles_chevaux_trait[Aliment],0)),0),0)*TotalEtalonTrait*NbreJoursNourrirChevauxTrait)</f>
        <v>0</v>
      </c>
      <c r="FF87" s="458">
        <f t="array" ref="FF87">IF(OR(ChoixRationComplèteEtéChevauxTrait=OUI,ChoixRationComplèteEtéChevauxTrait="",AND(ChoixChevauxTraitPréHiver=OUI,ChoixChevauxTraitPréEté=OUI)),0,IFERROR(IF(OR(AND(INDEX(Règles_chevaux_trait[Specificite],MATCH(RationEtéChevauxTrait&amp;$FD87,Règles_chevaux_trait[Ration]&amp;Règles_chevaux_trait[Aliment],0))="s1",IF($FD87=Spécificité1ChevauxTrait,1)),
AND(INDEX(Règles_chevaux_trait[Specificite],MATCH(RationEtéChevauxTrait&amp;$FD87,Règles_chevaux_trait[Ration]&amp;Règles_chevaux_trait[Aliment],0))="s2",IF($FD87=Spécificité2ChevauxTrait,1)),
INDEX(Règles_chevaux_trait[Specificite],MATCH(RationEtéChevauxTrait&amp;$FD87,Règles_chevaux_trait[Ration]&amp;Règles_chevaux_trait[Aliment],0))="c"),
INDEX(Règles_chevaux_trait[Valeur 24-36],MATCH(RationEtéChevauxTrait&amp;$FD87,Règles_chevaux_trait[Ration]&amp;Règles_chevaux_trait[Aliment],0)),0),0)*TotalJeuneEtalonTrait_24_36_mois*NbreJoursNourrirChevauxTrait)</f>
        <v>0</v>
      </c>
      <c r="FG87" s="458">
        <f t="array" ref="FG87">IF(OR(ChoixRationComplèteEtéChevauxTrait=OUI,ChoixRationComplèteEtéChevauxTrait="",AND(ChoixChevauxTraitPréHiver=OUI,ChoixChevauxTraitPréEté=OUI)),0,IFERROR(IF(OR(AND(INDEX(Règles_chevaux_trait[Specificite],MATCH(RationEtéChevauxTrait&amp;$FD87,Règles_chevaux_trait[Ration]&amp;Règles_chevaux_trait[Aliment],0))="s1",IF($FD87=Spécificité1ChevauxTrait,1)),
AND(INDEX(Règles_chevaux_trait[Specificite],MATCH(RationEtéChevauxTrait&amp;$FD87,Règles_chevaux_trait[Ration]&amp;Règles_chevaux_trait[Aliment],0))="s2",IF($FD87=Spécificité2ChevauxTrait,1)),
INDEX(Règles_chevaux_trait[Specificite],MATCH(RationEtéChevauxTrait&amp;$FD87,Règles_chevaux_trait[Ration]&amp;Règles_chevaux_trait[Aliment],0))="c"),
INDEX(Règles_chevaux_trait[Valeur 12-24],MATCH(RationEtéChevauxTrait&amp;$FD87,Règles_chevaux_trait[Ration]&amp;Règles_chevaux_trait[Aliment],0)),0),0)*TotalJeuneEtalonTrait_12_24_mois*NbreJoursNourrirChevauxTrait)</f>
        <v>0</v>
      </c>
      <c r="FH87" s="460">
        <f t="array" ref="FH87">IF(OR(ChoixRationComplèteEtéChevauxTrait=OUI,ChoixRationComplèteEtéChevauxTrait="",AND(ChoixChevauxTraitPréHiver=OUI,ChoixChevauxTraitPréEté=OUI)),0,IFERROR(IF(OR(AND(INDEX(Règles_chevaux_trait[Specificite],MATCH(RationEtéChevauxTrait&amp;$FD87,Règles_chevaux_trait[Ration]&amp;Règles_chevaux_trait[Aliment],0))="s1",IF($FD87=Spécificité1ChevauxTrait,1)),
AND(INDEX(Règles_chevaux_trait[Specificite],MATCH(RationEtéChevauxTrait&amp;$FD87,Règles_chevaux_trait[Ration]&amp;Règles_chevaux_trait[Aliment],0))="s2",IF($FD87=Spécificité2ChevauxTrait,1)),
INDEX(Règles_chevaux_trait[Specificite],MATCH(RationEtéChevauxTrait&amp;$FD87,Règles_chevaux_trait[Ration]&amp;Règles_chevaux_trait[Aliment],0))="c"),
INDEX(Règles_chevaux_trait[Valeur 0-12],MATCH(RationEtéChevauxTrait&amp;$FD87,Règles_chevaux_trait[Ration]&amp;Règles_chevaux_trait[Aliment],0)),0),0)*TotalPoulainTrait_0_12_mois*NbreJoursNourrirChevauxTrait)</f>
        <v>0</v>
      </c>
      <c r="FI87" s="460">
        <f t="shared" si="15"/>
        <v>0</v>
      </c>
      <c r="FN87" s="457"/>
      <c r="FO87" s="458">
        <f t="array" ref="FO87">IF(OR(ChoixRationComplèteEtéPoneys=OUI,ChoixRationComplèteEtéPoneys="",AND(ChoixPoneysPréHiver=OUI,ChoixPoneysPréEté=OUI)),0,IFERROR(IF(OR(AND(INDEX(Règles_poneys[Specificite],MATCH(RationEtéPoneys&amp;$FN87,Règles_poneys[Ration]&amp;Règles_poneys[Aliment],0))="s1",IF($FN87=Spécificité1Poneys,1)),
AND(INDEX(Règles_poneys[Specificite],MATCH(RationEtéPoneys&amp;$FN87,Règles_poneys[Ration]&amp;Règles_poneys[Aliment],0))="s2",IF($FN87=Spécificité2Poneys,1)),
INDEX(Règles_poneys[Specificite],MATCH(RationEtéPoneys&amp;$FN87,Règles_poneys[Ration]&amp;Règles_poneys[Aliment],0))="c"),
INDEX(Règles_poneys[Valeur 36 et plus],MATCH(RationEtéPoneys&amp;$FN87,Règles_poneys[Ration]&amp;Règles_poneys[Aliment],0)),0),0)*TotalEtalonPoney*NbreJoursNourrirPoneys)</f>
        <v>0</v>
      </c>
      <c r="FP87" s="458">
        <f t="array" ref="FP87">IF(OR(ChoixRationComplèteEtéPoneys=OUI,ChoixRationComplèteEtéPoneys="",AND(ChoixPoneysPréHiver=OUI,ChoixPoneysPréEté=OUI)),0,IFERROR(IF(OR(AND(INDEX(Règles_poneys[Specificite],MATCH(RationEtéPoneys&amp;$FN87,Règles_poneys[Ration]&amp;Règles_poneys[Aliment],0))="s1",IF($FN87=Spécificité1Poneys,1)),
AND(INDEX(Règles_poneys[Specificite],MATCH(RationEtéPoneys&amp;$FN87,Règles_poneys[Ration]&amp;Règles_poneys[Aliment],0))="s2",IF($FN87=Spécificité2Poneys,1)),
INDEX(Règles_poneys[Specificite],MATCH(RationEtéPoneys&amp;$FN87,Règles_poneys[Ration]&amp;Règles_poneys[Aliment],0))="c"),
INDEX(Règles_poneys[Valeur 36 et plus],MATCH(RationEtéPoneys&amp;$FN87,Règles_poneys[Ration]&amp;Règles_poneys[Aliment],0)),0),0)*TotalJeuneEtalonPoney_24_36_mois*NbreJoursNourrirPoneys)</f>
        <v>0</v>
      </c>
      <c r="FQ87" s="458">
        <f t="array" ref="FQ87">IF(OR(ChoixRationComplèteEtéPoneys=OUI,ChoixRationComplèteEtéPoneys="",AND(ChoixPoneysPréHiver=OUI,ChoixPoneysPréEté=OUI)),0,IFERROR(IF(OR(AND(INDEX(Règles_poneys[Specificite],MATCH(RationEtéPoneys&amp;$FN87,Règles_poneys[Ration]&amp;Règles_poneys[Aliment],0))="s1",IF($FN87=Spécificité1Poneys,1)),
AND(INDEX(Règles_poneys[Specificite],MATCH(RationEtéPoneys&amp;$FN87,Règles_poneys[Ration]&amp;Règles_poneys[Aliment],0))="s2",IF($FN87=Spécificité2Poneys,1)),
INDEX(Règles_poneys[Specificite],MATCH(RationEtéPoneys&amp;$FN87,Règles_poneys[Ration]&amp;Règles_poneys[Aliment],0))="c"),
INDEX(Règles_poneys[Valeur 36 et plus],MATCH(RationEtéPoneys&amp;$FN87,Règles_poneys[Ration]&amp;Règles_poneys[Aliment],0)),0),0)*TotalJeuneEtalonPoney_12_24_mois*NbreJoursNourrirPoneys)</f>
        <v>0</v>
      </c>
      <c r="FR87" s="460">
        <f t="array" ref="FR87">IF(OR(ChoixRationComplèteEtéPoneys=OUI,ChoixRationComplèteEtéPoneys="",AND(ChoixPoneysPréHiver=OUI,ChoixPoneysPréEté=OUI)),0,IFERROR(IF(OR(AND(INDEX(Règles_poneys[Specificite],MATCH(RationEtéPoneys&amp;$FN87,Règles_poneys[Ration]&amp;Règles_poneys[Aliment],0))="s1",IF($FN87=Spécificité1Poneys,1)),
AND(INDEX(Règles_poneys[Specificite],MATCH(RationEtéPoneys&amp;$FN87,Règles_poneys[Ration]&amp;Règles_poneys[Aliment],0))="s2",IF($FN87=Spécificité2Poneys,1)),
INDEX(Règles_poneys[Specificite],MATCH(RationEtéPoneys&amp;$FN87,Règles_poneys[Ration]&amp;Règles_poneys[Aliment],0))="c"),
INDEX(Règles_poneys[Valeur 36 et plus],MATCH(RationEtéPoneys&amp;$FN87,Règles_poneys[Ration]&amp;Règles_poneys[Aliment],0)),0),0)*TotalPoulainPoney_0_12_mois*NbreJoursNourrirPoneys)</f>
        <v>0</v>
      </c>
      <c r="FS87" s="460">
        <f t="shared" si="14"/>
        <v>0</v>
      </c>
      <c r="FX87" s="315"/>
      <c r="FY87" s="315"/>
      <c r="FZ87" s="315"/>
      <c r="GA87" s="315"/>
      <c r="GG87" s="276" t="s">
        <v>955</v>
      </c>
      <c r="GH87" s="276" t="s">
        <v>955</v>
      </c>
      <c r="GI87" s="276" t="s">
        <v>955</v>
      </c>
      <c r="GJ87" s="276" t="s">
        <v>955</v>
      </c>
      <c r="GK87" s="276" t="s">
        <v>955</v>
      </c>
      <c r="GL87" s="276" t="s">
        <v>955</v>
      </c>
      <c r="GM87" s="276" t="s">
        <v>955</v>
      </c>
      <c r="GN87" s="276" t="s">
        <v>955</v>
      </c>
      <c r="GO87" s="276" t="s">
        <v>955</v>
      </c>
      <c r="GP87" s="276" t="s">
        <v>955</v>
      </c>
      <c r="GQ87" s="276" t="s">
        <v>955</v>
      </c>
      <c r="GR87" s="276" t="s">
        <v>955</v>
      </c>
      <c r="GS87" s="276" t="s">
        <v>955</v>
      </c>
      <c r="GT87" s="276" t="s">
        <v>955</v>
      </c>
      <c r="GU87" s="276" t="s">
        <v>955</v>
      </c>
      <c r="GV87" s="276" t="s">
        <v>955</v>
      </c>
      <c r="GY87" s="444" t="str">
        <f t="shared" si="24"/>
        <v>engrais pruniers</v>
      </c>
      <c r="GZ87" s="444"/>
      <c r="HA87" s="342"/>
      <c r="HB87" s="342" t="e">
        <f>IF(COUNTIF(TypeArticleDansEntrepôt,GY87)=0,0,SUMIF(TypeArticleDansEntrepôt,GY87,QtéArticleDansEntrepôt)*VLOOKUP(GY87,#REF!,2,FALSE))</f>
        <v>#REF!</v>
      </c>
      <c r="HN87" s="342" t="e">
        <f>IF(#REF!="","",(VLOOKUP(#REF!,BDD!$HN$5:$HU$38,2,FALSE))*#REF!)</f>
        <v>#REF!</v>
      </c>
      <c r="HO87" s="342" t="e">
        <f>IF(#REF!="","",IF(OR(#REF!=Moutarde,#REF!=Phacélie),0,IF(#REF!=Luzerne,10*#REF!*VLOOKUP(#REF!,BDD!$HN$5:$HU$38,3,FALSE),IF(#REF!=Miscanthus,10.5*#REF!*VLOOKUP(#REF!,BDD!$HN$5:$HU$38,3,FALSE),INDEX(#REF!:#REF!,MATCH(#REF!,#REF!:#REF!,0),MATCH(#REF!,#REF!:#REF!,0))*#REF!*VLOOKUP(#REF!,BDD!$HN$5:$HU$38,3,FALSE)))))</f>
        <v>#REF!</v>
      </c>
      <c r="HP87" s="342" t="e">
        <f>IF(#REF!="","",IF(OR(#REF!=Moutarde,#REF!=Phacélie),0,IF(#REF!=Luzerne,10*#REF!*VLOOKUP(#REF!,BDD!$HN$5:$HU$38,4,FALSE),IF(#REF!=Miscanthus,10.5*#REF!*VLOOKUP(#REF!,BDD!$HN$5:$HU$38,4,FALSE),INDEX(#REF!:#REF!,MATCH(#REF!,#REF!:#REF!,0),MATCH(#REF!,#REF!:#REF!,0))*#REF!*VLOOKUP(#REF!,BDD!$HN$5:$HU$38,4,FALSE)))))</f>
        <v>#REF!</v>
      </c>
      <c r="HQ87" s="342" t="e">
        <f>IF(#REF!="","",IF(OR(#REF!=Moutarde,#REF!=Phacélie),0,IF(#REF!=Luzerne,10*#REF!*VLOOKUP(#REF!,BDD!$HN$5:$HU$38,5,FALSE),IF(#REF!=Miscanthus,10.5*#REF!*VLOOKUP(#REF!,BDD!$HN$5:$HU$38,5,FALSE),INDEX(#REF!:#REF!,MATCH(#REF!,#REF!:#REF!,0),MATCH(#REF!,#REF!:#REF!,0))*#REF!*VLOOKUP(#REF!,BDD!$HN$5:$HU$38,5,FALSE)))))</f>
        <v>#REF!</v>
      </c>
      <c r="HR87" s="342" t="e">
        <f>IF(#REF!="","",IF(OR(#REF!=Moutarde,#REF!=Phacélie),0,IF(#REF!=Luzerne,10*#REF!*VLOOKUP(#REF!,BDD!$HN$5:$HU$38,6,FALSE),IF(#REF!=Miscanthus,10.5*#REF!*VLOOKUP(#REF!,BDD!$HN$5:$HU$38,6,FALSE),INDEX(#REF!:#REF!,MATCH(#REF!,#REF!:#REF!,0),MATCH(#REF!,#REF!:#REF!,0))*#REF!*VLOOKUP(#REF!,BDD!$HN$5:$HU$38,6,FALSE)))))</f>
        <v>#REF!</v>
      </c>
      <c r="HS87" s="342" t="e">
        <f>IF(#REF!="","",IF(OR(#REF!=Moutarde,#REF!=Phacélie),0,IF(#REF!=Luzerne,10*#REF!*VLOOKUP(#REF!,BDD!$HN$5:$HU$38,7,FALSE),IF(#REF!=Miscanthus,10.5*#REF!*VLOOKUP(#REF!,BDD!$HN$5:$HU$38,7,FALSE),INDEX(#REF!:#REF!,MATCH(#REF!,#REF!:#REF!,0),MATCH(#REF!,#REF!:#REF!,0))*#REF!*VLOOKUP(#REF!,BDD!$HN$5:$HU$38,7,FALSE)))))</f>
        <v>#REF!</v>
      </c>
      <c r="HT87" s="342" t="e">
        <f>IF(#REF!="","",IF(OR(#REF!=Moutarde,#REF!=Phacélie),0,IF(#REF!=Luzerne,10*#REF!*VLOOKUP(#REF!,BDD!$HN$5:$HU$38,8,FALSE),IF(#REF!=Miscanthus,10.5*#REF!*VLOOKUP(#REF!,BDD!$HN$5:$HU$38,8,FALSE),INDEX(#REF!:#REF!,MATCH(#REF!,#REF!:#REF!,0),MATCH(#REF!,#REF!:#REF!,0))*#REF!*VLOOKUP(#REF!,BDD!$HN$5:$HU$38,8,FALSE)))))</f>
        <v>#REF!</v>
      </c>
      <c r="HU87" s="342" t="e">
        <f>IF(#REF!="","",IF(OR(#REF!=Moutarde,#REF!=Phacélie),0,1.6*#REF!))</f>
        <v>#REF!</v>
      </c>
      <c r="HV87" s="342" t="e">
        <f>IF(#REF!="","",IF(OR(#REF!=Moutarde,#REF!=Phacélie),0,1.6*#REF!))</f>
        <v>#REF!</v>
      </c>
      <c r="HW87" s="342" t="e">
        <f>IF(#REF!="","",IF(OR(#REF!=Moutarde,#REF!=Phacélie),0,1.6*#REF!))</f>
        <v>#REF!</v>
      </c>
      <c r="HX87" s="342" t="e">
        <f>IF(#REF!="","",(VLOOKUP(#REF!,BDD!$HN$5:$HU$38,2,FALSE))*#REF!)</f>
        <v>#REF!</v>
      </c>
      <c r="HY87" s="342" t="e">
        <f>IF(#REF!="","",IF(OR(#REF!=Moutarde,#REF!=Phacélie),0,IF(#REF!=Luzerne,10*#REF!*VLOOKUP(#REF!,BDD!$HN$5:$HU$38,3,FALSE),IF(#REF!=Miscanthus,10.5*#REF!*VLOOKUP(#REF!,BDD!$HN$5:$HU$38,3,FALSE),INDEX(#REF!:#REF!,MATCH(#REF!,#REF!:#REF!,0),MATCH(#REF!,#REF!:#REF!,0))*#REF!*VLOOKUP(#REF!,BDD!$HN$5:$HU$38,3,FALSE)))))</f>
        <v>#REF!</v>
      </c>
      <c r="HZ87" s="342" t="e">
        <f>IF(#REF!="","",IF(OR(#REF!=Moutarde,#REF!=Phacélie),0,IF(#REF!=Luzerne,10*#REF!*VLOOKUP(#REF!,BDD!$HN$5:$HU$38,4,FALSE),IF(#REF!=Miscanthus,10.5*#REF!*VLOOKUP(#REF!,BDD!$HN$5:$HU$38,4,FALSE),INDEX(#REF!:#REF!,MATCH(#REF!,#REF!:#REF!,0),MATCH(#REF!,#REF!:#REF!,0))*#REF!*VLOOKUP(#REF!,BDD!$HN$5:$HU$38,4,FALSE)))))</f>
        <v>#REF!</v>
      </c>
      <c r="IA87" s="342" t="e">
        <f>IF(#REF!="","",IF(OR(#REF!=Moutarde,#REF!=Phacélie),0,IF(#REF!=Luzerne,10*#REF!*VLOOKUP(#REF!,BDD!$HN$5:$HU$38,5,FALSE),IF(#REF!=Miscanthus,10.5*#REF!*VLOOKUP(#REF!,BDD!$HN$5:$HU$38,5,FALSE),INDEX(#REF!:#REF!,MATCH(#REF!,#REF!:#REF!,0),MATCH(#REF!,#REF!:#REF!,0))*#REF!*VLOOKUP(#REF!,BDD!$HN$5:$HU$38,5,FALSE)))))</f>
        <v>#REF!</v>
      </c>
      <c r="IB87" s="342" t="e">
        <f>IF(#REF!="","",IF(OR(#REF!=Moutarde,#REF!=Phacélie),0,IF(#REF!=Luzerne,10*#REF!*VLOOKUP(#REF!,BDD!$HN$5:$HU$38,6,FALSE),IF(#REF!=Miscanthus,10.5*#REF!*VLOOKUP(#REF!,BDD!$HN$5:$HU$38,6,FALSE),INDEX(#REF!:#REF!,MATCH(#REF!,#REF!:#REF!,0),MATCH(#REF!,#REF!:#REF!,0))*#REF!*VLOOKUP(#REF!,BDD!$HN$5:$HU$38,6,FALSE)))))</f>
        <v>#REF!</v>
      </c>
      <c r="IC87" s="342" t="e">
        <f>IF(#REF!="","",IF(OR(#REF!=Moutarde,#REF!=Phacélie),0,IF(#REF!=Luzerne,10*#REF!*VLOOKUP(#REF!,BDD!$HN$5:$HU$38,7,FALSE),IF(#REF!=Miscanthus,10.5*#REF!*VLOOKUP(#REF!,BDD!$HN$5:$HU$38,7,FALSE),INDEX(#REF!:#REF!,MATCH(#REF!,#REF!:#REF!,0),MATCH(#REF!,#REF!:#REF!,0))*#REF!*VLOOKUP(#REF!,BDD!$HN$5:$HU$38,7,FALSE)))))</f>
        <v>#REF!</v>
      </c>
      <c r="ID87" s="342" t="e">
        <f>IF(#REF!="","",IF(OR(#REF!=Moutarde,#REF!=Phacélie),0,IF(#REF!=Luzerne,10*#REF!*VLOOKUP(#REF!,BDD!$HN$5:$HU$38,8,FALSE),IF(#REF!=Miscanthus,10.5*#REF!*VLOOKUP(#REF!,BDD!$HN$5:$HU$38,8,FALSE),INDEX(#REF!:#REF!,MATCH(#REF!,#REF!:#REF!,0),MATCH(#REF!,#REF!:#REF!,0))*#REF!*VLOOKUP(#REF!,BDD!$HN$5:$HU$38,8,FALSE)))))</f>
        <v>#REF!</v>
      </c>
      <c r="IE87" s="342" t="e">
        <f>IF(#REF!="","",IF(OR(#REF!=Moutarde,#REF!=Phacélie),0,1.6*#REF!))</f>
        <v>#REF!</v>
      </c>
      <c r="IF87" s="342" t="e">
        <f>IF(#REF!="","",IF(OR(#REF!=Moutarde,#REF!=Phacélie),0,1.6*#REF!))</f>
        <v>#REF!</v>
      </c>
      <c r="IG87" s="342" t="e">
        <f>IF(#REF!="","",IF(OR(#REF!=Moutarde,#REF!=Phacélie),0,1.6*#REF!))</f>
        <v>#REF!</v>
      </c>
    </row>
    <row r="88" spans="1:241" ht="12.75" customHeight="1" x14ac:dyDescent="0.2">
      <c r="A88" s="373"/>
      <c r="B88" s="380"/>
      <c r="F88" s="280"/>
      <c r="G88" s="280"/>
      <c r="H88" s="280"/>
      <c r="I88" s="280"/>
      <c r="J88" s="280"/>
      <c r="K88" s="280"/>
      <c r="L88" s="280"/>
      <c r="Y88" s="385" t="s">
        <v>1127</v>
      </c>
      <c r="Z88" s="385">
        <f>IF('coût alimentation'!$B$6=$Y$88,13,0)</f>
        <v>0</v>
      </c>
      <c r="AA88" s="385">
        <f>IF('coût alimentation'!$B$6=$Y$88,13,0)</f>
        <v>0</v>
      </c>
      <c r="AB88" s="385">
        <f>IF('coût alimentation'!$B$6=$Y$88,13,0)</f>
        <v>0</v>
      </c>
      <c r="AC88" s="385">
        <f>IF('coût alimentation'!$B$6=$Y$88,13,0)</f>
        <v>0</v>
      </c>
      <c r="AD88" s="385">
        <f>IF('coût alimentation'!$B$6=$Y$88,13,0)</f>
        <v>0</v>
      </c>
      <c r="AE88" s="385">
        <f>IF('coût alimentation'!$B$6=$Y$88,13,0)</f>
        <v>0</v>
      </c>
      <c r="AF88" s="385">
        <f>IF('coût alimentation'!$B$6=$Y$88,13,0)</f>
        <v>0</v>
      </c>
      <c r="AG88" s="385">
        <f>IF('coût alimentation'!$B$6=$Y$88,13,0)</f>
        <v>0</v>
      </c>
      <c r="BB88" s="387" t="s">
        <v>512</v>
      </c>
      <c r="BC88" s="362" t="s">
        <v>70</v>
      </c>
      <c r="BD88" s="362" t="s">
        <v>887</v>
      </c>
      <c r="BE88" s="388">
        <v>7.2</v>
      </c>
      <c r="BF88" s="388">
        <v>6</v>
      </c>
      <c r="BG88" s="388">
        <v>4</v>
      </c>
      <c r="BH88" s="388">
        <v>2</v>
      </c>
      <c r="BI88" s="388">
        <v>1.2</v>
      </c>
      <c r="BJ88" s="388">
        <v>0.6</v>
      </c>
      <c r="BK88" s="389">
        <v>0</v>
      </c>
      <c r="BL88" s="312"/>
      <c r="BM88" s="350" t="str">
        <f t="shared" si="22"/>
        <v>Haricot vert</v>
      </c>
      <c r="BN88" s="350">
        <f t="array" ref="BN88">IF(Ration_hivernale_complète_bisons[somme]&gt;0,0,IFERROR(IF(OR(AND(INDEX(Règles_bison[Specificite],MATCH(ChoixRationBisons&amp;$BM88,Règles_bison[Ration]&amp;Règles_bison[Aliment],0))="s1",IF($BM88=ChoixSpécificité1Bisons,1)),
INDEX(Règles_bison[Specificite],MATCH(ChoixRationBisons&amp;$BM88,Règles_bison[Ration]&amp;Règles_bison[Aliment],0))="c"),
INDEX(Règles_bison[Valeur 36 et plus],MATCH(ChoixRationBisons&amp;$BM88,Règles_bison[Ration]&amp;Règles_bison[Aliment],0)),0),0)*TotalBisonnes*NbreJoursNourrirBisonsDaims)</f>
        <v>0</v>
      </c>
      <c r="BO88" s="350">
        <f t="array" ref="BO88">IF(Ration_hivernale_complète_bisons[somme]&gt;0,0,IFERROR(IF(OR(AND(INDEX(Règles_bison[Specificite],MATCH(ChoixRationBisons&amp;$BM88,Règles_bison[Ration]&amp;Règles_bison[Aliment],0))="s1",IF($BM88=ChoixSpécificité1Bisons,1)),
INDEX(Règles_bison[Specificite],MATCH(ChoixRationBisons&amp;$BM88,Règles_bison[Ration]&amp;Règles_bison[Aliment],0))="c"),
INDEX(Règles_bison[Valeur 24-36],MATCH(ChoixRationBisons&amp;$BM88,Règles_bison[Ration]&amp;Règles_bison[Aliment],0)),0),0)*TotalBisonsFemelles_24_36_mois*NbreJoursNourrirBisonsDaims)</f>
        <v>0</v>
      </c>
      <c r="BP88" s="350">
        <f t="array" ref="BP88">IF(Ration_hivernale_complète_bisons[somme]&gt;0,0,IFERROR(IF(OR(AND(INDEX(Règles_bison[Specificite],MATCH(ChoixRationBisons&amp;$BM88,Règles_bison[Ration]&amp;Règles_bison[Aliment],0))="s1",IF($BM88=ChoixSpécificité1Bisons,1)),
INDEX(Règles_bison[Specificite],MATCH(ChoixRationBisons&amp;$BM88,Règles_bison[Ration]&amp;Règles_bison[Aliment],0))="c"),
INDEX(Règles_bison[Valeur 18-24],MATCH(ChoixRationBisons&amp;$BM88,Règles_bison[Ration]&amp;Règles_bison[Aliment],0)),0),0)*TotalBisonsFemelles_18_24_mois*NbreJoursNourrirBisonsDaims)</f>
        <v>0</v>
      </c>
      <c r="BQ88" s="350">
        <f t="array" ref="BQ88">IF(Ration_hivernale_complète_bisons[somme]&gt;0,0,IFERROR(IF(OR(AND(INDEX(Règles_bison[Specificite],MATCH(ChoixRationBisons&amp;$BM88,Règles_bison[Ration]&amp;Règles_bison[Aliment],0))="s1",IF($BM88=ChoixSpécificité1Bisons,1)),
INDEX(Règles_bison[Specificite],MATCH(ChoixRationBisons&amp;$BM88,Règles_bison[Ration]&amp;Règles_bison[Aliment],0))="c"),
INDEX(Règles_bison[Valeur 12-18],MATCH(ChoixRationBisons&amp;$BM88,Règles_bison[Ration]&amp;Règles_bison[Aliment],0)),0),0)*TotalBisonsFemelles_12_18_mois*NbreJoursNourrirBisonsDaims)</f>
        <v>0</v>
      </c>
      <c r="BR88" s="350">
        <f t="array" ref="BR88">IF(Ration_hivernale_complète_bisons[somme]&gt;0,0,IFERROR(IF(OR(AND(INDEX(Règles_bison[Specificite],MATCH(ChoixRationBisons&amp;$BM88,Règles_bison[Ration]&amp;Règles_bison[Aliment],0))="s1",IF($BM88=ChoixSpécificité1Bisons,1)),
INDEX(Règles_bison[Specificite],MATCH(ChoixRationBisons&amp;$BM88,Règles_bison[Ration]&amp;Règles_bison[Aliment],0))="c"),
INDEX(Règles_bison[Valeur 6-12],MATCH(ChoixRationBisons&amp;$BM88,Règles_bison[Ration]&amp;Règles_bison[Aliment],0)),0),0)*TotalBisonsFemelles_6_12_mois*NbreJoursNourrirBisonsDaims)</f>
        <v>0</v>
      </c>
      <c r="BS88" s="350">
        <f t="array" ref="BS88">IF(Ration_hivernale_complète_bisons[somme]&gt;0,0,IFERROR(IF(OR(AND(INDEX(Règles_bison[Specificite],MATCH(ChoixRationBisons&amp;$BM88,Règles_bison[Ration]&amp;Règles_bison[Aliment],0))="s1",IF($BM88=ChoixSpécificité1Bisons,1)),
INDEX(Règles_bison[Specificite],MATCH(ChoixRationBisons&amp;$BM88,Règles_bison[Ration]&amp;Règles_bison[Aliment],0))="c"),
INDEX(Règles_bison[Valeur 3-6],MATCH(ChoixRationBisons&amp;$BM88,Règles_bison[Ration]&amp;Règles_bison[Aliment],0)),0),0)*TotalBisonsFemelles_3_6_mois*NbreJoursNourrirBisonsDaims)</f>
        <v>0</v>
      </c>
      <c r="BT88" s="350">
        <f t="array" ref="BT88">IF(Ration_hivernale_complète_bisons[somme]&gt;0,0,IFERROR(IF(OR(AND(INDEX(Règles_bison[Specificite],MATCH(ChoixRationBisons&amp;$BM88,Règles_bison[Ration]&amp;Règles_bison[Aliment],0))="s1",IF($BM88=ChoixSpécificité1Bisons,1)),
INDEX(Règles_bison[Specificite],MATCH(ChoixRationBisons&amp;$BM88,Règles_bison[Ration]&amp;Règles_bison[Aliment],0))="c"),
INDEX(Règles_bison[Valeur 0-3],MATCH(ChoixRationBisons&amp;$BM88,Règles_bison[Ration]&amp;Règles_bison[Aliment],0)),0),0)*TotalBisonsFemelles_0_3_mois*NbreJoursNourrirBisonsDaims)</f>
        <v>0</v>
      </c>
      <c r="BU88" s="350">
        <f t="shared" si="21"/>
        <v>0</v>
      </c>
      <c r="BV88" s="282"/>
      <c r="BW88" s="282"/>
      <c r="BX88" s="373" t="s">
        <v>550</v>
      </c>
      <c r="BY88" s="280" t="s">
        <v>518</v>
      </c>
      <c r="BZ88" s="280" t="s">
        <v>886</v>
      </c>
      <c r="CA88" s="280">
        <v>20</v>
      </c>
      <c r="CB88" s="280">
        <v>12</v>
      </c>
      <c r="CC88" s="280">
        <v>8</v>
      </c>
      <c r="CD88" s="410">
        <v>4</v>
      </c>
      <c r="CE88" s="304"/>
      <c r="CF88" s="304"/>
      <c r="CG88" s="304"/>
      <c r="CH88" s="304"/>
      <c r="CJ88" s="420" t="str">
        <f>CJ50</f>
        <v>Avoine</v>
      </c>
      <c r="CK88" s="384">
        <f t="array" ref="CK8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88" s="384">
        <f t="array" ref="CL8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88" s="384">
        <f t="array" ref="CM8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88" s="384">
        <f t="array" ref="CN8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88" s="384">
        <f t="array" ref="CO8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88" s="426">
        <f>SUM(AlimentsRationPorcinsFemelles[[#This Row],[Valeur 12 et plus]:[Valeur 0-1]])</f>
        <v>0</v>
      </c>
      <c r="CS88" s="420" t="s">
        <v>908</v>
      </c>
      <c r="CT88" s="433">
        <f t="array" ref="CT88">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88" s="433">
        <f t="array" ref="CU88">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88" s="433">
        <f t="array" ref="CV88">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88" s="434">
        <f>SUM(AlimentsRationLapinsMâles[[#This Row],[Valeur 3 et plus]:[Valeur 0-1]])</f>
        <v>0</v>
      </c>
      <c r="CZ88" s="420" t="s">
        <v>908</v>
      </c>
      <c r="DA88" s="433">
        <f t="array" ref="DA8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88" s="433">
        <f t="array" ref="DB8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88" s="433">
        <f t="array" ref="DC8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88" s="434">
        <f>SUM(AlimentsRationVolaillesMâles[[#This Row],[Valeur 6 et plus]:[Valeur 0-1]])</f>
        <v>0</v>
      </c>
      <c r="DE88" s="316"/>
      <c r="DF88" s="277"/>
      <c r="DG88" s="229" t="s">
        <v>1158</v>
      </c>
      <c r="DH88" s="229"/>
      <c r="DI88" s="229"/>
      <c r="DJ88" s="229"/>
      <c r="DK88" s="229"/>
      <c r="DN88" s="373" t="s">
        <v>512</v>
      </c>
      <c r="DO88" s="280" t="s">
        <v>392</v>
      </c>
      <c r="DP88" s="280" t="s">
        <v>886</v>
      </c>
      <c r="DQ88" s="310">
        <v>4</v>
      </c>
      <c r="DR88" s="310">
        <v>4</v>
      </c>
      <c r="DS88" s="310">
        <v>4</v>
      </c>
      <c r="DT88" s="439">
        <v>0</v>
      </c>
      <c r="DU88" s="298"/>
      <c r="DV88" s="350" t="str">
        <f t="shared" si="23"/>
        <v>Ensilage d'herbe</v>
      </c>
      <c r="DW88" s="351">
        <f t="array" ref="DW88">SUM((IF(QualitéAlimentsFaonMâle_0_3_mois=BONNE,VLOOKUP("Ensilage d'herbe",AlimentsRationHivernaleDaims,8,FALSE),0)+(IF(QualitéAlimentsFaonFemelle_0_3_mois=BONNE,VLOOKUP("Ensilage d'herbe",AlimentsRationHivernaleDaims,8,FALSE),0)+(IF(QualitéAlimentsFaonMâle_3_6_mois=BONNE,VLOOKUP("Ensilage d'herbe",AlimentsRationHivernaleDaims,7,FALSE),0)+(IF(QualitéAlimentsFaonFemelle_3_6_mois=BONNE,VLOOKUP("Ensilage d'herbe",AlimentsRationHivernaleDaims,7,FALSE),0)+(IF(QualitéAlimentsFaonMâle_6_12_mois=BONNE,VLOOKUP("Ensilage d'herbe",AlimentsRationHivernaleDaims,6,FALSE),0)+(IF(QualitéAlimentsFaonFemelle_6_12_mois=BONNE,VLOOKUP("Ensilage d'herbe",AlimentsRationHivernaleDaims,6,FALSE),0)+(IF(QualitéAlimentsJeuneDaim_12_18_mois=BONNE,VLOOKUP("Ensilage d'herbe",AlimentsRationHivernaleDaims,5,FALSE),0)+(IF(QualitéAlimentsJeuneDaine_12_18_mois=BONNE,VLOOKUP("Ensilage d'herbe",AlimentsRationHivernaleDaims,5,FALSE),0)+(IF(QualitéAlimentsJeuneDaim_18_24_mois=BONNE,VLOOKUP("Ensilage d'herbe",AlimentsRationHivernaleDaims,4,FALSE),0)+(IF(QualitéAlimentsJeuneDaine_18_24_mois=BONNE,VLOOKUP("Ensilage d'herbe",AlimentsRationHivernaleDaims,4,FALSE),0)+(IF(QualitéAlimentsJeuneDaim_24_36_mois=BONNE,VLOOKUP("Ensilage d'herbe",AlimentsRationHivernaleDaims,3,FALSE),0)+(IF(QualitéAlimentsJeuneDaine_24_36_mois=BONNE,VLOOKUP("Ensilage d'herbe",AlimentsRationHivernaleDaims,3,FALSE),0)+(IF(QualitéAlimentsDaim=BONNE,VLOOKUP("Ensilage d'herbe",AlimentsRationHivernaleDaims,2,FALSE),0)+(IF(QualitéAlimentsDaine=BONNE,VLOOKUP("Ensilage d'herbe",AlimentsRationHivernaleDaims,2,FALSE),0))))))))))))))))</f>
        <v>0</v>
      </c>
      <c r="DX88" s="351">
        <f t="array" ref="DX88">SUM((IF(QualitéAlimentsFaonMâle_0_3_mois=MOYENNE,VLOOKUP("Ensilage d'herbe",AlimentsRationHivernaleDaims,8,FALSE),0)+(IF(QualitéAlimentsFaonFemelle_0_3_mois=MOYENNE,VLOOKUP("Ensilage d'herbe",AlimentsRationHivernaleDaims,8,FALSE),0)+(IF(QualitéAlimentsFaonMâle_3_6_mois=MOYENNE,VLOOKUP("Ensilage d'herbe",AlimentsRationHivernaleDaims,7,FALSE),0)+(IF(QualitéAlimentsFaonFemelle_3_6_mois=MOYENNE,VLOOKUP("Ensilage d'herbe",AlimentsRationHivernaleDaims,7,FALSE),0)+(IF(QualitéAlimentsFaonMâle_6_12_mois=MOYENNE,VLOOKUP("Ensilage d'herbe",AlimentsRationHivernaleDaims,6,FALSE),0)+(IF(QualitéAlimentsFaonFemelle_6_12_mois=MOYENNE,VLOOKUP("Ensilage d'herbe",AlimentsRationHivernaleDaims,6,FALSE),0)+(IF(QualitéAlimentsJeuneDaim_12_18_mois=MOYENNE,VLOOKUP("Ensilage d'herbe",AlimentsRationHivernaleDaims,5,FALSE),0)+(IF(QualitéAlimentsJeuneDaine_12_18_mois=MOYENNE,VLOOKUP("Ensilage d'herbe",AlimentsRationHivernaleDaims,5,FALSE),0)+(IF(QualitéAlimentsJeuneDaim_18_24_mois=MOYENNE,VLOOKUP("Ensilage d'herbe",AlimentsRationHivernaleDaims,4,FALSE),0)+(IF(QualitéAlimentsJeuneDaine_18_24_mois=MOYENNE,VLOOKUP("Ensilage d'herbe",AlimentsRationHivernaleDaims,4,FALSE),0)+(IF(QualitéAlimentsJeuneDaim_24_36_mois=MOYENNE,VLOOKUP("Ensilage d'herbe",AlimentsRationHivernaleDaims,3,FALSE),0)+(IF(QualitéAlimentsJeuneDaine_24_36_mois=MOYENNE,VLOOKUP("Ensilage d'herbe",AlimentsRationHivernaleDaims,3,FALSE),0)+(IF(QualitéAlimentsDaim=MOYENNE,VLOOKUP("Ensilage d'herbe",AlimentsRationHivernaleDaims,2,FALSE),0)+(IF(QualitéAlimentsDaine=MOYENNE,VLOOKUP("Ensilage d'herbe",AlimentsRationHivernaleDaims,2,FALSE),0))))))))))))))))</f>
        <v>0</v>
      </c>
      <c r="DY88" s="351">
        <f t="array" ref="DY88">SUM((IF(QualitéAlimentsFaonMâle_0_3_mois=MAUVAISE,VLOOKUP("Ensilage d'herbe",AlimentsRationHivernaleDaims,8,FALSE),0)+(IF(QualitéAlimentsFaonFemelle_0_3_mois=MAUVAISE,VLOOKUP("Ensilage d'herbe",AlimentsRationHivernaleDaims,8,FALSE),0)+(IF(QualitéAlimentsFaonMâle_3_6_mois=MAUVAISE,VLOOKUP("Ensilage d'herbe",AlimentsRationHivernaleDaims,7,FALSE),0)+(IF(QualitéAlimentsFaonFemelle_3_6_mois=MAUVAISE,VLOOKUP("Ensilage d'herbe",AlimentsRationHivernaleDaims,7,FALSE),0)+(IF(QualitéAlimentsFaonMâle_6_12_mois=MAUVAISE,VLOOKUP("Ensilage d'herbe",AlimentsRationHivernaleDaims,6,FALSE),0)+(IF(QualitéAlimentsFaonFemelle_6_12_mois=MAUVAISE,VLOOKUP("Ensilage d'herbe",AlimentsRationHivernaleDaims,6,FALSE),0)+(IF(QualitéAlimentsJeuneDaim_12_18_mois=MAUVAISE,VLOOKUP("Ensilage d'herbe",AlimentsRationHivernaleDaims,5,FALSE),0)+(IF(QualitéAlimentsJeuneDaine_12_18_mois=MAUVAISE,VLOOKUP("Ensilage d'herbe",AlimentsRationHivernaleDaims,5,FALSE),0)+(IF(QualitéAlimentsJeuneDaim_18_24_mois=MAUVAISE,VLOOKUP("Ensilage d'herbe",AlimentsRationHivernaleDaims,4,FALSE),0)+(IF(QualitéAlimentsJeuneDaine_18_24_mois=MAUVAISE,VLOOKUP("Ensilage d'herbe",AlimentsRationHivernaleDaims,4,FALSE),0)+(IF(QualitéAlimentsJeuneDaim_24_36_mois=MAUVAISE,VLOOKUP("Ensilage d'herbe",AlimentsRationHivernaleDaims,3,FALSE),0)+(IF(QualitéAlimentsJeuneDaine_24_36_mois=MAUVAISE,VLOOKUP("Ensilage d'herbe",AlimentsRationHivernaleDaims,3,FALSE),0)+(IF(QualitéAlimentsDaim=MAUVAISE,VLOOKUP("Ensilage d'herbe",AlimentsRationHivernaleDaims,2,FALSE),0)+(IF(QualitéAlimentsDaine=MAUVAISE,VLOOKUP("Ensilage d'herbe",AlimentsRationHivernaleDaims,2,FALSE),0))))))))))))))))</f>
        <v>0</v>
      </c>
      <c r="DZ88" s="298"/>
      <c r="EA88" s="298"/>
      <c r="EB88" s="298"/>
      <c r="EC88" s="298"/>
      <c r="ED88" s="298"/>
      <c r="EE88" s="298"/>
      <c r="EG88" s="420"/>
      <c r="EH88" s="433">
        <f t="array" ref="EH8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88" s="433">
        <f t="array" ref="EI8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88" s="433">
        <f t="array" ref="EJ8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88" s="434">
        <f>SUM(AlimentsRationOiesMâles[[#This Row],[Valeur 6 et plus]:[Valeur 0-3]])</f>
        <v>0</v>
      </c>
      <c r="EL88" s="316"/>
      <c r="EN88" s="420"/>
      <c r="EO88" s="433">
        <f t="array" ref="EO88">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88" s="433">
        <f t="array" ref="EP88">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88" s="433">
        <f t="array" ref="EQ88">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88" s="434">
        <f>SUM(Ration_canards_Mâles[[#This Row],[Valeur 6 et plus]:[Valeur 0-3]])</f>
        <v>0</v>
      </c>
      <c r="ES88" s="316"/>
      <c r="EU88" s="457" t="s">
        <v>488</v>
      </c>
      <c r="EV88" s="458">
        <f t="array" ref="EV88">IF(OR(ChoixRationComplèteEtéChevauxSelle=OUI,ChoixRationComplèteEtéChevauxSelle="",AND(ChoixChevauxSellePréHiver=OUI,ChoixChevauxSellePréEté=OUI)),0,IFERROR(IF(OR(AND(INDEX(Règles_chevaux_selle[Specificite],MATCH(RationEtéChevauxSelle&amp;$EU88,Règles_chevaux_selle[Ration]&amp;Règles_chevaux_selle[Aliment],0))="s1",IF($EU88=Spécificité1ChevauxSelle,1)),
AND(INDEX(Règles_chevaux_selle[Specificite],MATCH(RationEtéChevauxSelle&amp;$EU88,Règles_chevaux_selle[Ration]&amp;Règles_chevaux_selle[Aliment],0))="s2",IF($EU88=Spécificité2ChevauxSelle,1)),
INDEX(Règles_chevaux_selle[Specificite],MATCH(RationEtéChevauxSelle&amp;$EU88,Règles_chevaux_selle[Ration]&amp;Règles_chevaux_selle[Aliment],0))="c"),
INDEX(Règles_chevaux_selle[Valeur 36 et plus],MATCH(RationEtéChevauxSelle&amp;$EU88,Règles_chevaux_selle[Ration]&amp;Règles_chevaux_selle[Aliment],0)),0),0)*TotalEtalonSelle*NbreJoursNourrirChevauxSelle)</f>
        <v>0</v>
      </c>
      <c r="EW88" s="458">
        <f t="array" ref="EW88">IF(OR(ChoixRationComplèteEtéChevauxSelle=OUI,ChoixRationComplèteEtéChevauxSelle="",AND(ChoixChevauxSellePréHiver=OUI,ChoixChevauxSellePréEté=OUI)),0,IFERROR(IF(OR(AND(INDEX(Règles_chevaux_selle[Specificite],MATCH(RationEtéChevauxSelle&amp;$EU88,Règles_chevaux_selle[Ration]&amp;Règles_chevaux_selle[Aliment],0))="s1",IF($EU88=Spécificité1ChevauxSelle,1)),
AND(INDEX(Règles_chevaux_selle[Specificite],MATCH(RationEtéChevauxSelle&amp;$EU88,Règles_chevaux_selle[Ration]&amp;Règles_chevaux_selle[Aliment],0))="s2",IF($EU88=Spécificité2ChevauxSelle,1)),
INDEX(Règles_chevaux_selle[Specificite],MATCH(RationEtéChevauxSelle&amp;$EU88,Règles_chevaux_selle[Ration]&amp;Règles_chevaux_selle[Aliment],0))="c"),
INDEX(Règles_chevaux_selle[Valeur 24-36],MATCH(RationEtéChevauxSelle&amp;$EU88,Règles_chevaux_selle[Ration]&amp;Règles_chevaux_selle[Aliment],0)),0),0)*TotalJeuneEtalonSelle_24_36_mois*NbreJoursNourrirChevauxSelle)</f>
        <v>0</v>
      </c>
      <c r="EX88" s="458">
        <f t="array" ref="EX88">IF(OR(ChoixRationComplèteEtéChevauxSelle=OUI,ChoixRationComplèteEtéChevauxSelle="",AND(ChoixChevauxSellePréHiver=OUI,ChoixChevauxSellePréEté=OUI)),0,IFERROR(IF(OR(AND(INDEX(Règles_chevaux_selle[Specificite],MATCH(RationEtéChevauxSelle&amp;$EU88,Règles_chevaux_selle[Ration]&amp;Règles_chevaux_selle[Aliment],0))="s1",IF($EU88=Spécificité1ChevauxSelle,1)),
AND(INDEX(Règles_chevaux_selle[Specificite],MATCH(RationEtéChevauxSelle&amp;$EU88,Règles_chevaux_selle[Ration]&amp;Règles_chevaux_selle[Aliment],0))="s2",IF($EU88=Spécificité2ChevauxSelle,1)),
INDEX(Règles_chevaux_selle[Specificite],MATCH(RationEtéChevauxSelle&amp;$EU88,Règles_chevaux_selle[Ration]&amp;Règles_chevaux_selle[Aliment],0))="c"),
INDEX(Règles_chevaux_selle[Valeur 12-24],MATCH(RationEtéChevauxSelle&amp;$EU88,Règles_chevaux_selle[Ration]&amp;Règles_chevaux_selle[Aliment],0)),0),0)*TotalJeuneEtalonSelle_12_24_mois*NbreJoursNourrirChevauxSelle)</f>
        <v>0</v>
      </c>
      <c r="EY88" s="460">
        <f t="array" ref="EY88">IF(OR(ChoixRationComplèteEtéChevauxSelle=OUI,ChoixRationComplèteEtéChevauxSelle="",AND(ChoixChevauxSellePréHiver=OUI,ChoixChevauxSellePréEté=OUI)),0,IFERROR(IF(OR(AND(INDEX(Règles_chevaux_selle[Specificite],MATCH(RationEtéChevauxSelle&amp;$EU88,Règles_chevaux_selle[Ration]&amp;Règles_chevaux_selle[Aliment],0))="s1",IF($EU88=Spécificité1ChevauxSelle,1)),
AND(INDEX(Règles_chevaux_selle[Specificite],MATCH(RationEtéChevauxSelle&amp;$EU88,Règles_chevaux_selle[Ration]&amp;Règles_chevaux_selle[Aliment],0))="s2",IF($EU88=Spécificité2ChevauxSelle,1)),
INDEX(Règles_chevaux_selle[Specificite],MATCH(RationEtéChevauxSelle&amp;$EU88,Règles_chevaux_selle[Ration]&amp;Règles_chevaux_selle[Aliment],0))="c"),
INDEX(Règles_chevaux_selle[Valeur 0-12],MATCH(RationEtéChevauxSelle&amp;$EU88,Règles_chevaux_selle[Ration]&amp;Règles_chevaux_selle[Aliment],0)),0),0)*TotalPoulainSelle_0_12_mois*NbreJoursNourrirChevauxSelle)</f>
        <v>0</v>
      </c>
      <c r="EZ88" s="460">
        <f t="shared" si="16"/>
        <v>0</v>
      </c>
      <c r="FA88" s="298"/>
      <c r="FB88" s="298"/>
      <c r="FD88" s="457"/>
      <c r="FE88" s="458">
        <f t="array" ref="FE88">IF(OR(ChoixRationComplèteEtéChevauxTrait=OUI,ChoixRationComplèteEtéChevauxTrait="",AND(ChoixChevauxTraitPréHiver=OUI,ChoixChevauxTraitPréEté=OUI)),0,IFERROR(IF(OR(AND(INDEX(Règles_chevaux_trait[Specificite],MATCH(RationEtéChevauxTrait&amp;$FD88,Règles_chevaux_trait[Ration]&amp;Règles_chevaux_trait[Aliment],0))="s1",IF($FD88=Spécificité1ChevauxTrait,1)),
AND(INDEX(Règles_chevaux_trait[Specificite],MATCH(RationEtéChevauxTrait&amp;$FD88,Règles_chevaux_trait[Ration]&amp;Règles_chevaux_trait[Aliment],0))="s2",IF($FD88=Spécificité2ChevauxTrait,1)),
INDEX(Règles_chevaux_trait[Specificite],MATCH(RationEtéChevauxTrait&amp;$FD88,Règles_chevaux_trait[Ration]&amp;Règles_chevaux_trait[Aliment],0))="c"),
INDEX(Règles_chevaux_trait[Valeur 36 et plus],MATCH(RationEtéChevauxTrait&amp;$FD88,Règles_chevaux_trait[Ration]&amp;Règles_chevaux_trait[Aliment],0)),0),0)*TotalEtalonTrait*NbreJoursNourrirChevauxTrait)</f>
        <v>0</v>
      </c>
      <c r="FF88" s="458">
        <f t="array" ref="FF88">IF(OR(ChoixRationComplèteEtéChevauxTrait=OUI,ChoixRationComplèteEtéChevauxTrait="",AND(ChoixChevauxTraitPréHiver=OUI,ChoixChevauxTraitPréEté=OUI)),0,IFERROR(IF(OR(AND(INDEX(Règles_chevaux_trait[Specificite],MATCH(RationEtéChevauxTrait&amp;$FD88,Règles_chevaux_trait[Ration]&amp;Règles_chevaux_trait[Aliment],0))="s1",IF($FD88=Spécificité1ChevauxTrait,1)),
AND(INDEX(Règles_chevaux_trait[Specificite],MATCH(RationEtéChevauxTrait&amp;$FD88,Règles_chevaux_trait[Ration]&amp;Règles_chevaux_trait[Aliment],0))="s2",IF($FD88=Spécificité2ChevauxTrait,1)),
INDEX(Règles_chevaux_trait[Specificite],MATCH(RationEtéChevauxTrait&amp;$FD88,Règles_chevaux_trait[Ration]&amp;Règles_chevaux_trait[Aliment],0))="c"),
INDEX(Règles_chevaux_trait[Valeur 24-36],MATCH(RationEtéChevauxTrait&amp;$FD88,Règles_chevaux_trait[Ration]&amp;Règles_chevaux_trait[Aliment],0)),0),0)*TotalJeuneEtalonTrait_24_36_mois*NbreJoursNourrirChevauxTrait)</f>
        <v>0</v>
      </c>
      <c r="FG88" s="458">
        <f t="array" ref="FG88">IF(OR(ChoixRationComplèteEtéChevauxTrait=OUI,ChoixRationComplèteEtéChevauxTrait="",AND(ChoixChevauxTraitPréHiver=OUI,ChoixChevauxTraitPréEté=OUI)),0,IFERROR(IF(OR(AND(INDEX(Règles_chevaux_trait[Specificite],MATCH(RationEtéChevauxTrait&amp;$FD88,Règles_chevaux_trait[Ration]&amp;Règles_chevaux_trait[Aliment],0))="s1",IF($FD88=Spécificité1ChevauxTrait,1)),
AND(INDEX(Règles_chevaux_trait[Specificite],MATCH(RationEtéChevauxTrait&amp;$FD88,Règles_chevaux_trait[Ration]&amp;Règles_chevaux_trait[Aliment],0))="s2",IF($FD88=Spécificité2ChevauxTrait,1)),
INDEX(Règles_chevaux_trait[Specificite],MATCH(RationEtéChevauxTrait&amp;$FD88,Règles_chevaux_trait[Ration]&amp;Règles_chevaux_trait[Aliment],0))="c"),
INDEX(Règles_chevaux_trait[Valeur 12-24],MATCH(RationEtéChevauxTrait&amp;$FD88,Règles_chevaux_trait[Ration]&amp;Règles_chevaux_trait[Aliment],0)),0),0)*TotalJeuneEtalonTrait_12_24_mois*NbreJoursNourrirChevauxTrait)</f>
        <v>0</v>
      </c>
      <c r="FH88" s="460">
        <f t="array" ref="FH88">IF(OR(ChoixRationComplèteEtéChevauxTrait=OUI,ChoixRationComplèteEtéChevauxTrait="",AND(ChoixChevauxTraitPréHiver=OUI,ChoixChevauxTraitPréEté=OUI)),0,IFERROR(IF(OR(AND(INDEX(Règles_chevaux_trait[Specificite],MATCH(RationEtéChevauxTrait&amp;$FD88,Règles_chevaux_trait[Ration]&amp;Règles_chevaux_trait[Aliment],0))="s1",IF($FD88=Spécificité1ChevauxTrait,1)),
AND(INDEX(Règles_chevaux_trait[Specificite],MATCH(RationEtéChevauxTrait&amp;$FD88,Règles_chevaux_trait[Ration]&amp;Règles_chevaux_trait[Aliment],0))="s2",IF($FD88=Spécificité2ChevauxTrait,1)),
INDEX(Règles_chevaux_trait[Specificite],MATCH(RationEtéChevauxTrait&amp;$FD88,Règles_chevaux_trait[Ration]&amp;Règles_chevaux_trait[Aliment],0))="c"),
INDEX(Règles_chevaux_trait[Valeur 0-12],MATCH(RationEtéChevauxTrait&amp;$FD88,Règles_chevaux_trait[Ration]&amp;Règles_chevaux_trait[Aliment],0)),0),0)*TotalPoulainTrait_0_12_mois*NbreJoursNourrirChevauxTrait)</f>
        <v>0</v>
      </c>
      <c r="FI88" s="460">
        <f t="shared" si="15"/>
        <v>0</v>
      </c>
      <c r="FN88" s="457"/>
      <c r="FO88" s="458">
        <f t="array" ref="FO88">IF(OR(ChoixRationComplèteEtéPoneys=OUI,ChoixRationComplèteEtéPoneys="",AND(ChoixPoneysPréHiver=OUI,ChoixPoneysPréEté=OUI)),0,IFERROR(IF(OR(AND(INDEX(Règles_poneys[Specificite],MATCH(RationEtéPoneys&amp;$FN88,Règles_poneys[Ration]&amp;Règles_poneys[Aliment],0))="s1",IF($FN88=Spécificité1Poneys,1)),
AND(INDEX(Règles_poneys[Specificite],MATCH(RationEtéPoneys&amp;$FN88,Règles_poneys[Ration]&amp;Règles_poneys[Aliment],0))="s2",IF($FN88=Spécificité2Poneys,1)),
INDEX(Règles_poneys[Specificite],MATCH(RationEtéPoneys&amp;$FN88,Règles_poneys[Ration]&amp;Règles_poneys[Aliment],0))="c"),
INDEX(Règles_poneys[Valeur 36 et plus],MATCH(RationEtéPoneys&amp;$FN88,Règles_poneys[Ration]&amp;Règles_poneys[Aliment],0)),0),0)*TotalEtalonPoney*NbreJoursNourrirPoneys)</f>
        <v>0</v>
      </c>
      <c r="FP88" s="458">
        <f t="array" ref="FP88">IF(OR(ChoixRationComplèteEtéPoneys=OUI,ChoixRationComplèteEtéPoneys="",AND(ChoixPoneysPréHiver=OUI,ChoixPoneysPréEté=OUI)),0,IFERROR(IF(OR(AND(INDEX(Règles_poneys[Specificite],MATCH(RationEtéPoneys&amp;$FN88,Règles_poneys[Ration]&amp;Règles_poneys[Aliment],0))="s1",IF($FN88=Spécificité1Poneys,1)),
AND(INDEX(Règles_poneys[Specificite],MATCH(RationEtéPoneys&amp;$FN88,Règles_poneys[Ration]&amp;Règles_poneys[Aliment],0))="s2",IF($FN88=Spécificité2Poneys,1)),
INDEX(Règles_poneys[Specificite],MATCH(RationEtéPoneys&amp;$FN88,Règles_poneys[Ration]&amp;Règles_poneys[Aliment],0))="c"),
INDEX(Règles_poneys[Valeur 36 et plus],MATCH(RationEtéPoneys&amp;$FN88,Règles_poneys[Ration]&amp;Règles_poneys[Aliment],0)),0),0)*TotalJeuneEtalonPoney_24_36_mois*NbreJoursNourrirPoneys)</f>
        <v>0</v>
      </c>
      <c r="FQ88" s="458">
        <f t="array" ref="FQ88">IF(OR(ChoixRationComplèteEtéPoneys=OUI,ChoixRationComplèteEtéPoneys="",AND(ChoixPoneysPréHiver=OUI,ChoixPoneysPréEté=OUI)),0,IFERROR(IF(OR(AND(INDEX(Règles_poneys[Specificite],MATCH(RationEtéPoneys&amp;$FN88,Règles_poneys[Ration]&amp;Règles_poneys[Aliment],0))="s1",IF($FN88=Spécificité1Poneys,1)),
AND(INDEX(Règles_poneys[Specificite],MATCH(RationEtéPoneys&amp;$FN88,Règles_poneys[Ration]&amp;Règles_poneys[Aliment],0))="s2",IF($FN88=Spécificité2Poneys,1)),
INDEX(Règles_poneys[Specificite],MATCH(RationEtéPoneys&amp;$FN88,Règles_poneys[Ration]&amp;Règles_poneys[Aliment],0))="c"),
INDEX(Règles_poneys[Valeur 36 et plus],MATCH(RationEtéPoneys&amp;$FN88,Règles_poneys[Ration]&amp;Règles_poneys[Aliment],0)),0),0)*TotalJeuneEtalonPoney_12_24_mois*NbreJoursNourrirPoneys)</f>
        <v>0</v>
      </c>
      <c r="FR88" s="460">
        <f t="array" ref="FR88">IF(OR(ChoixRationComplèteEtéPoneys=OUI,ChoixRationComplèteEtéPoneys="",AND(ChoixPoneysPréHiver=OUI,ChoixPoneysPréEté=OUI)),0,IFERROR(IF(OR(AND(INDEX(Règles_poneys[Specificite],MATCH(RationEtéPoneys&amp;$FN88,Règles_poneys[Ration]&amp;Règles_poneys[Aliment],0))="s1",IF($FN88=Spécificité1Poneys,1)),
AND(INDEX(Règles_poneys[Specificite],MATCH(RationEtéPoneys&amp;$FN88,Règles_poneys[Ration]&amp;Règles_poneys[Aliment],0))="s2",IF($FN88=Spécificité2Poneys,1)),
INDEX(Règles_poneys[Specificite],MATCH(RationEtéPoneys&amp;$FN88,Règles_poneys[Ration]&amp;Règles_poneys[Aliment],0))="c"),
INDEX(Règles_poneys[Valeur 36 et plus],MATCH(RationEtéPoneys&amp;$FN88,Règles_poneys[Ration]&amp;Règles_poneys[Aliment],0)),0),0)*TotalPoulainPoney_0_12_mois*NbreJoursNourrirPoneys)</f>
        <v>0</v>
      </c>
      <c r="FS88" s="460">
        <f t="shared" si="14"/>
        <v>0</v>
      </c>
      <c r="FW88" s="335" t="s">
        <v>943</v>
      </c>
      <c r="FX88" s="335"/>
      <c r="FY88" s="335"/>
      <c r="FZ88" s="335"/>
      <c r="GA88" s="335"/>
      <c r="GB88" s="335"/>
      <c r="GG88" s="276" t="s">
        <v>955</v>
      </c>
      <c r="GH88" s="276" t="s">
        <v>955</v>
      </c>
      <c r="GI88" s="276" t="s">
        <v>955</v>
      </c>
      <c r="GJ88" s="276" t="s">
        <v>955</v>
      </c>
      <c r="GK88" s="276" t="s">
        <v>955</v>
      </c>
      <c r="GL88" s="276" t="s">
        <v>955</v>
      </c>
      <c r="GM88" s="276" t="s">
        <v>955</v>
      </c>
      <c r="GN88" s="276" t="s">
        <v>955</v>
      </c>
      <c r="GO88" s="276" t="s">
        <v>955</v>
      </c>
      <c r="GP88" s="276" t="s">
        <v>955</v>
      </c>
      <c r="GQ88" s="276" t="s">
        <v>955</v>
      </c>
      <c r="GR88" s="276" t="s">
        <v>955</v>
      </c>
      <c r="GS88" s="276" t="s">
        <v>955</v>
      </c>
      <c r="GT88" s="276" t="s">
        <v>955</v>
      </c>
      <c r="GU88" s="276" t="s">
        <v>955</v>
      </c>
      <c r="GV88" s="276" t="s">
        <v>955</v>
      </c>
      <c r="GY88" s="444" t="str">
        <f t="shared" si="24"/>
        <v>engrais mirabelliers</v>
      </c>
      <c r="GZ88" s="444"/>
      <c r="HA88" s="342"/>
      <c r="HB88" s="342" t="e">
        <f>IF(COUNTIF(TypeArticleDansEntrepôt,GY88)=0,0,SUMIF(TypeArticleDansEntrepôt,GY88,QtéArticleDansEntrepôt)*VLOOKUP(GY88,#REF!,2,FALSE))</f>
        <v>#REF!</v>
      </c>
      <c r="HN88" s="342" t="e">
        <f>IF(#REF!="","",(VLOOKUP(#REF!,BDD!$HN$5:$HU$38,2,FALSE))*#REF!)</f>
        <v>#REF!</v>
      </c>
      <c r="HO88" s="342" t="e">
        <f>IF(#REF!="","",IF(OR(#REF!=Moutarde,#REF!=Phacélie),0,IF(#REF!=Luzerne,10*#REF!*VLOOKUP(#REF!,BDD!$HN$5:$HU$38,3,FALSE),IF(#REF!=Miscanthus,10.5*#REF!*VLOOKUP(#REF!,BDD!$HN$5:$HU$38,3,FALSE),INDEX(#REF!:#REF!,MATCH(#REF!,#REF!:#REF!,0),MATCH(#REF!,#REF!:#REF!,0))*#REF!*VLOOKUP(#REF!,BDD!$HN$5:$HU$38,3,FALSE)))))</f>
        <v>#REF!</v>
      </c>
      <c r="HP88" s="342" t="e">
        <f>IF(#REF!="","",IF(OR(#REF!=Moutarde,#REF!=Phacélie),0,IF(#REF!=Luzerne,10*#REF!*VLOOKUP(#REF!,BDD!$HN$5:$HU$38,4,FALSE),IF(#REF!=Miscanthus,10.5*#REF!*VLOOKUP(#REF!,BDD!$HN$5:$HU$38,4,FALSE),INDEX(#REF!:#REF!,MATCH(#REF!,#REF!:#REF!,0),MATCH(#REF!,#REF!:#REF!,0))*#REF!*VLOOKUP(#REF!,BDD!$HN$5:$HU$38,4,FALSE)))))</f>
        <v>#REF!</v>
      </c>
      <c r="HQ88" s="342" t="e">
        <f>IF(#REF!="","",IF(OR(#REF!=Moutarde,#REF!=Phacélie),0,IF(#REF!=Luzerne,10*#REF!*VLOOKUP(#REF!,BDD!$HN$5:$HU$38,5,FALSE),IF(#REF!=Miscanthus,10.5*#REF!*VLOOKUP(#REF!,BDD!$HN$5:$HU$38,5,FALSE),INDEX(#REF!:#REF!,MATCH(#REF!,#REF!:#REF!,0),MATCH(#REF!,#REF!:#REF!,0))*#REF!*VLOOKUP(#REF!,BDD!$HN$5:$HU$38,5,FALSE)))))</f>
        <v>#REF!</v>
      </c>
      <c r="HR88" s="342" t="e">
        <f>IF(#REF!="","",IF(OR(#REF!=Moutarde,#REF!=Phacélie),0,IF(#REF!=Luzerne,10*#REF!*VLOOKUP(#REF!,BDD!$HN$5:$HU$38,6,FALSE),IF(#REF!=Miscanthus,10.5*#REF!*VLOOKUP(#REF!,BDD!$HN$5:$HU$38,6,FALSE),INDEX(#REF!:#REF!,MATCH(#REF!,#REF!:#REF!,0),MATCH(#REF!,#REF!:#REF!,0))*#REF!*VLOOKUP(#REF!,BDD!$HN$5:$HU$38,6,FALSE)))))</f>
        <v>#REF!</v>
      </c>
      <c r="HS88" s="342" t="e">
        <f>IF(#REF!="","",IF(OR(#REF!=Moutarde,#REF!=Phacélie),0,IF(#REF!=Luzerne,10*#REF!*VLOOKUP(#REF!,BDD!$HN$5:$HU$38,7,FALSE),IF(#REF!=Miscanthus,10.5*#REF!*VLOOKUP(#REF!,BDD!$HN$5:$HU$38,7,FALSE),INDEX(#REF!:#REF!,MATCH(#REF!,#REF!:#REF!,0),MATCH(#REF!,#REF!:#REF!,0))*#REF!*VLOOKUP(#REF!,BDD!$HN$5:$HU$38,7,FALSE)))))</f>
        <v>#REF!</v>
      </c>
      <c r="HT88" s="342" t="e">
        <f>IF(#REF!="","",IF(OR(#REF!=Moutarde,#REF!=Phacélie),0,IF(#REF!=Luzerne,10*#REF!*VLOOKUP(#REF!,BDD!$HN$5:$HU$38,8,FALSE),IF(#REF!=Miscanthus,10.5*#REF!*VLOOKUP(#REF!,BDD!$HN$5:$HU$38,8,FALSE),INDEX(#REF!:#REF!,MATCH(#REF!,#REF!:#REF!,0),MATCH(#REF!,#REF!:#REF!,0))*#REF!*VLOOKUP(#REF!,BDD!$HN$5:$HU$38,8,FALSE)))))</f>
        <v>#REF!</v>
      </c>
      <c r="HU88" s="342" t="e">
        <f>IF(#REF!="","",IF(OR(#REF!=Moutarde,#REF!=Phacélie),0,1.6*#REF!))</f>
        <v>#REF!</v>
      </c>
      <c r="HV88" s="342" t="e">
        <f>IF(#REF!="","",IF(OR(#REF!=Moutarde,#REF!=Phacélie),0,1.6*#REF!))</f>
        <v>#REF!</v>
      </c>
      <c r="HW88" s="342" t="e">
        <f>IF(#REF!="","",IF(OR(#REF!=Moutarde,#REF!=Phacélie),0,1.6*#REF!))</f>
        <v>#REF!</v>
      </c>
      <c r="HX88" s="342" t="e">
        <f>IF(#REF!="","",(VLOOKUP(#REF!,BDD!$HN$5:$HU$38,2,FALSE))*#REF!)</f>
        <v>#REF!</v>
      </c>
      <c r="HY88" s="342" t="e">
        <f>IF(#REF!="","",IF(OR(#REF!=Moutarde,#REF!=Phacélie),0,IF(#REF!=Luzerne,10*#REF!*VLOOKUP(#REF!,BDD!$HN$5:$HU$38,3,FALSE),IF(#REF!=Miscanthus,10.5*#REF!*VLOOKUP(#REF!,BDD!$HN$5:$HU$38,3,FALSE),INDEX(#REF!:#REF!,MATCH(#REF!,#REF!:#REF!,0),MATCH(#REF!,#REF!:#REF!,0))*#REF!*VLOOKUP(#REF!,BDD!$HN$5:$HU$38,3,FALSE)))))</f>
        <v>#REF!</v>
      </c>
      <c r="HZ88" s="342" t="e">
        <f>IF(#REF!="","",IF(OR(#REF!=Moutarde,#REF!=Phacélie),0,IF(#REF!=Luzerne,10*#REF!*VLOOKUP(#REF!,BDD!$HN$5:$HU$38,4,FALSE),IF(#REF!=Miscanthus,10.5*#REF!*VLOOKUP(#REF!,BDD!$HN$5:$HU$38,4,FALSE),INDEX(#REF!:#REF!,MATCH(#REF!,#REF!:#REF!,0),MATCH(#REF!,#REF!:#REF!,0))*#REF!*VLOOKUP(#REF!,BDD!$HN$5:$HU$38,4,FALSE)))))</f>
        <v>#REF!</v>
      </c>
      <c r="IA88" s="342" t="e">
        <f>IF(#REF!="","",IF(OR(#REF!=Moutarde,#REF!=Phacélie),0,IF(#REF!=Luzerne,10*#REF!*VLOOKUP(#REF!,BDD!$HN$5:$HU$38,5,FALSE),IF(#REF!=Miscanthus,10.5*#REF!*VLOOKUP(#REF!,BDD!$HN$5:$HU$38,5,FALSE),INDEX(#REF!:#REF!,MATCH(#REF!,#REF!:#REF!,0),MATCH(#REF!,#REF!:#REF!,0))*#REF!*VLOOKUP(#REF!,BDD!$HN$5:$HU$38,5,FALSE)))))</f>
        <v>#REF!</v>
      </c>
      <c r="IB88" s="342" t="e">
        <f>IF(#REF!="","",IF(OR(#REF!=Moutarde,#REF!=Phacélie),0,IF(#REF!=Luzerne,10*#REF!*VLOOKUP(#REF!,BDD!$HN$5:$HU$38,6,FALSE),IF(#REF!=Miscanthus,10.5*#REF!*VLOOKUP(#REF!,BDD!$HN$5:$HU$38,6,FALSE),INDEX(#REF!:#REF!,MATCH(#REF!,#REF!:#REF!,0),MATCH(#REF!,#REF!:#REF!,0))*#REF!*VLOOKUP(#REF!,BDD!$HN$5:$HU$38,6,FALSE)))))</f>
        <v>#REF!</v>
      </c>
      <c r="IC88" s="342" t="e">
        <f>IF(#REF!="","",IF(OR(#REF!=Moutarde,#REF!=Phacélie),0,IF(#REF!=Luzerne,10*#REF!*VLOOKUP(#REF!,BDD!$HN$5:$HU$38,7,FALSE),IF(#REF!=Miscanthus,10.5*#REF!*VLOOKUP(#REF!,BDD!$HN$5:$HU$38,7,FALSE),INDEX(#REF!:#REF!,MATCH(#REF!,#REF!:#REF!,0),MATCH(#REF!,#REF!:#REF!,0))*#REF!*VLOOKUP(#REF!,BDD!$HN$5:$HU$38,7,FALSE)))))</f>
        <v>#REF!</v>
      </c>
      <c r="ID88" s="342" t="e">
        <f>IF(#REF!="","",IF(OR(#REF!=Moutarde,#REF!=Phacélie),0,IF(#REF!=Luzerne,10*#REF!*VLOOKUP(#REF!,BDD!$HN$5:$HU$38,8,FALSE),IF(#REF!=Miscanthus,10.5*#REF!*VLOOKUP(#REF!,BDD!$HN$5:$HU$38,8,FALSE),INDEX(#REF!:#REF!,MATCH(#REF!,#REF!:#REF!,0),MATCH(#REF!,#REF!:#REF!,0))*#REF!*VLOOKUP(#REF!,BDD!$HN$5:$HU$38,8,FALSE)))))</f>
        <v>#REF!</v>
      </c>
      <c r="IE88" s="342" t="e">
        <f>IF(#REF!="","",IF(OR(#REF!=Moutarde,#REF!=Phacélie),0,1.6*#REF!))</f>
        <v>#REF!</v>
      </c>
      <c r="IF88" s="342" t="e">
        <f>IF(#REF!="","",IF(OR(#REF!=Moutarde,#REF!=Phacélie),0,1.6*#REF!))</f>
        <v>#REF!</v>
      </c>
      <c r="IG88" s="342" t="e">
        <f>IF(#REF!="","",IF(OR(#REF!=Moutarde,#REF!=Phacélie),0,1.6*#REF!))</f>
        <v>#REF!</v>
      </c>
    </row>
    <row r="89" spans="1:241" ht="12.75" customHeight="1" x14ac:dyDescent="0.2">
      <c r="A89" s="373"/>
      <c r="B89" s="380"/>
      <c r="F89" s="280"/>
      <c r="G89" s="280"/>
      <c r="H89" s="280"/>
      <c r="I89" s="321"/>
      <c r="J89" s="321"/>
      <c r="K89" s="321"/>
      <c r="L89" s="321"/>
      <c r="O89" s="229" t="s">
        <v>1009</v>
      </c>
      <c r="P89" s="229"/>
      <c r="Q89" s="229"/>
      <c r="R89" s="229"/>
      <c r="S89" s="229"/>
      <c r="T89" s="229"/>
      <c r="U89" s="229"/>
      <c r="V89" s="229"/>
      <c r="W89" s="229"/>
      <c r="Y89" s="385" t="s">
        <v>1128</v>
      </c>
      <c r="Z89" s="385">
        <f>IF('coût alimentation'!$B$6=$Y$89,14,0)</f>
        <v>0</v>
      </c>
      <c r="AA89" s="385">
        <f>IF('coût alimentation'!$B$6=$Y$89,14,0)</f>
        <v>0</v>
      </c>
      <c r="AB89" s="385">
        <f>IF('coût alimentation'!$B$6=$Y$89,14,0)</f>
        <v>0</v>
      </c>
      <c r="AC89" s="385">
        <f>IF('coût alimentation'!$B$6=$Y$89,14,0)</f>
        <v>0</v>
      </c>
      <c r="AD89" s="385">
        <f>IF('coût alimentation'!$B$6=$Y$89,14,0)</f>
        <v>0</v>
      </c>
      <c r="AE89" s="385">
        <f>IF('coût alimentation'!$B$6=$Y$89,14,0)</f>
        <v>0</v>
      </c>
      <c r="AF89" s="385">
        <f>IF('coût alimentation'!$B$6=$Y$89,14,0)</f>
        <v>0</v>
      </c>
      <c r="AG89" s="385">
        <f>IF('coût alimentation'!$B$6=$Y$89,14,0)</f>
        <v>0</v>
      </c>
      <c r="BB89" s="387" t="s">
        <v>512</v>
      </c>
      <c r="BC89" s="362" t="s">
        <v>907</v>
      </c>
      <c r="BD89" s="362" t="s">
        <v>888</v>
      </c>
      <c r="BE89" s="388">
        <v>4.8</v>
      </c>
      <c r="BF89" s="388">
        <v>4</v>
      </c>
      <c r="BG89" s="388">
        <v>4</v>
      </c>
      <c r="BH89" s="388">
        <v>4</v>
      </c>
      <c r="BI89" s="388">
        <v>2</v>
      </c>
      <c r="BJ89" s="388">
        <v>1.2</v>
      </c>
      <c r="BK89" s="389">
        <v>0</v>
      </c>
      <c r="BL89" s="312"/>
      <c r="BM89" s="350" t="str">
        <f t="shared" si="22"/>
        <v>Lentille</v>
      </c>
      <c r="BN89" s="350">
        <f t="array" ref="BN89">IF(Ration_hivernale_complète_bisons[somme]&gt;0,0,IFERROR(IF(OR(AND(INDEX(Règles_bison[Specificite],MATCH(ChoixRationBisons&amp;$BM89,Règles_bison[Ration]&amp;Règles_bison[Aliment],0))="s1",IF($BM89=ChoixSpécificité1Bisons,1)),
INDEX(Règles_bison[Specificite],MATCH(ChoixRationBisons&amp;$BM89,Règles_bison[Ration]&amp;Règles_bison[Aliment],0))="c"),
INDEX(Règles_bison[Valeur 36 et plus],MATCH(ChoixRationBisons&amp;$BM89,Règles_bison[Ration]&amp;Règles_bison[Aliment],0)),0),0)*TotalBisonnes*NbreJoursNourrirBisonsDaims)</f>
        <v>0</v>
      </c>
      <c r="BO89" s="350">
        <f t="array" ref="BO89">IF(Ration_hivernale_complète_bisons[somme]&gt;0,0,IFERROR(IF(OR(AND(INDEX(Règles_bison[Specificite],MATCH(ChoixRationBisons&amp;$BM89,Règles_bison[Ration]&amp;Règles_bison[Aliment],0))="s1",IF($BM89=ChoixSpécificité1Bisons,1)),
INDEX(Règles_bison[Specificite],MATCH(ChoixRationBisons&amp;$BM89,Règles_bison[Ration]&amp;Règles_bison[Aliment],0))="c"),
INDEX(Règles_bison[Valeur 24-36],MATCH(ChoixRationBisons&amp;$BM89,Règles_bison[Ration]&amp;Règles_bison[Aliment],0)),0),0)*TotalBisonsFemelles_24_36_mois*NbreJoursNourrirBisonsDaims)</f>
        <v>0</v>
      </c>
      <c r="BP89" s="350">
        <f t="array" ref="BP89">IF(Ration_hivernale_complète_bisons[somme]&gt;0,0,IFERROR(IF(OR(AND(INDEX(Règles_bison[Specificite],MATCH(ChoixRationBisons&amp;$BM89,Règles_bison[Ration]&amp;Règles_bison[Aliment],0))="s1",IF($BM89=ChoixSpécificité1Bisons,1)),
INDEX(Règles_bison[Specificite],MATCH(ChoixRationBisons&amp;$BM89,Règles_bison[Ration]&amp;Règles_bison[Aliment],0))="c"),
INDEX(Règles_bison[Valeur 18-24],MATCH(ChoixRationBisons&amp;$BM89,Règles_bison[Ration]&amp;Règles_bison[Aliment],0)),0),0)*TotalBisonsFemelles_18_24_mois*NbreJoursNourrirBisonsDaims)</f>
        <v>0</v>
      </c>
      <c r="BQ89" s="350">
        <f t="array" ref="BQ89">IF(Ration_hivernale_complète_bisons[somme]&gt;0,0,IFERROR(IF(OR(AND(INDEX(Règles_bison[Specificite],MATCH(ChoixRationBisons&amp;$BM89,Règles_bison[Ration]&amp;Règles_bison[Aliment],0))="s1",IF($BM89=ChoixSpécificité1Bisons,1)),
INDEX(Règles_bison[Specificite],MATCH(ChoixRationBisons&amp;$BM89,Règles_bison[Ration]&amp;Règles_bison[Aliment],0))="c"),
INDEX(Règles_bison[Valeur 12-18],MATCH(ChoixRationBisons&amp;$BM89,Règles_bison[Ration]&amp;Règles_bison[Aliment],0)),0),0)*TotalBisonsFemelles_12_18_mois*NbreJoursNourrirBisonsDaims)</f>
        <v>0</v>
      </c>
      <c r="BR89" s="350">
        <f t="array" ref="BR89">IF(Ration_hivernale_complète_bisons[somme]&gt;0,0,IFERROR(IF(OR(AND(INDEX(Règles_bison[Specificite],MATCH(ChoixRationBisons&amp;$BM89,Règles_bison[Ration]&amp;Règles_bison[Aliment],0))="s1",IF($BM89=ChoixSpécificité1Bisons,1)),
INDEX(Règles_bison[Specificite],MATCH(ChoixRationBisons&amp;$BM89,Règles_bison[Ration]&amp;Règles_bison[Aliment],0))="c"),
INDEX(Règles_bison[Valeur 6-12],MATCH(ChoixRationBisons&amp;$BM89,Règles_bison[Ration]&amp;Règles_bison[Aliment],0)),0),0)*TotalBisonsFemelles_6_12_mois*NbreJoursNourrirBisonsDaims)</f>
        <v>0</v>
      </c>
      <c r="BS89" s="350">
        <f t="array" ref="BS89">IF(Ration_hivernale_complète_bisons[somme]&gt;0,0,IFERROR(IF(OR(AND(INDEX(Règles_bison[Specificite],MATCH(ChoixRationBisons&amp;$BM89,Règles_bison[Ration]&amp;Règles_bison[Aliment],0))="s1",IF($BM89=ChoixSpécificité1Bisons,1)),
INDEX(Règles_bison[Specificite],MATCH(ChoixRationBisons&amp;$BM89,Règles_bison[Ration]&amp;Règles_bison[Aliment],0))="c"),
INDEX(Règles_bison[Valeur 3-6],MATCH(ChoixRationBisons&amp;$BM89,Règles_bison[Ration]&amp;Règles_bison[Aliment],0)),0),0)*TotalBisonsFemelles_3_6_mois*NbreJoursNourrirBisonsDaims)</f>
        <v>0</v>
      </c>
      <c r="BT89" s="350">
        <f t="array" ref="BT89">IF(Ration_hivernale_complète_bisons[somme]&gt;0,0,IFERROR(IF(OR(AND(INDEX(Règles_bison[Specificite],MATCH(ChoixRationBisons&amp;$BM89,Règles_bison[Ration]&amp;Règles_bison[Aliment],0))="s1",IF($BM89=ChoixSpécificité1Bisons,1)),
INDEX(Règles_bison[Specificite],MATCH(ChoixRationBisons&amp;$BM89,Règles_bison[Ration]&amp;Règles_bison[Aliment],0))="c"),
INDEX(Règles_bison[Valeur 0-3],MATCH(ChoixRationBisons&amp;$BM89,Règles_bison[Ration]&amp;Règles_bison[Aliment],0)),0),0)*TotalBisonsFemelles_0_3_mois*NbreJoursNourrirBisonsDaims)</f>
        <v>0</v>
      </c>
      <c r="BU89" s="350">
        <f t="shared" si="21"/>
        <v>0</v>
      </c>
      <c r="BV89" s="282"/>
      <c r="BW89" s="282"/>
      <c r="BX89" s="373" t="s">
        <v>551</v>
      </c>
      <c r="BY89" s="280" t="s">
        <v>508</v>
      </c>
      <c r="BZ89" s="280" t="s">
        <v>911</v>
      </c>
      <c r="CA89" s="280">
        <v>0</v>
      </c>
      <c r="CB89" s="280">
        <v>0</v>
      </c>
      <c r="CC89" s="280">
        <v>0</v>
      </c>
      <c r="CD89" s="410">
        <v>3</v>
      </c>
      <c r="CE89" s="304"/>
      <c r="CF89" s="304"/>
      <c r="CG89" s="304"/>
      <c r="CH89" s="304"/>
      <c r="CJ89" s="420" t="str">
        <f t="shared" ref="CJ89:CJ122" si="25">CJ51</f>
        <v>Betterave</v>
      </c>
      <c r="CK89" s="384">
        <f t="array" ref="CK8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89" s="384">
        <f t="array" ref="CL8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89" s="384">
        <f t="array" ref="CM8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89" s="384">
        <f t="array" ref="CN8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89" s="384">
        <f t="array" ref="CO8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89" s="426">
        <f>SUM(AlimentsRationPorcinsFemelles[[#This Row],[Valeur 12 et plus]:[Valeur 0-1]])</f>
        <v>0</v>
      </c>
      <c r="CS89" s="420" t="s">
        <v>70</v>
      </c>
      <c r="CT89" s="433">
        <f t="array" ref="CT89">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89" s="433">
        <f t="array" ref="CU89">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89" s="433">
        <f t="array" ref="CV89">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89" s="434">
        <f>SUM(AlimentsRationLapinsMâles[[#This Row],[Valeur 3 et plus]:[Valeur 0-1]])</f>
        <v>0</v>
      </c>
      <c r="CZ89" s="420" t="s">
        <v>70</v>
      </c>
      <c r="DA89" s="433">
        <f t="array" ref="DA8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89" s="433">
        <f t="array" ref="DB8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89" s="433">
        <f t="array" ref="DC8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89" s="434">
        <f>SUM(AlimentsRationVolaillesMâles[[#This Row],[Valeur 6 et plus]:[Valeur 0-1]])</f>
        <v>0</v>
      </c>
      <c r="DE89" s="316"/>
      <c r="DF89" s="277"/>
      <c r="DG89" s="335" t="s">
        <v>910</v>
      </c>
      <c r="DH89" s="341" t="s">
        <v>929</v>
      </c>
      <c r="DI89" s="341" t="s">
        <v>930</v>
      </c>
      <c r="DJ89" s="341" t="s">
        <v>918</v>
      </c>
      <c r="DK89" s="335" t="s">
        <v>903</v>
      </c>
      <c r="DN89" s="373" t="s">
        <v>512</v>
      </c>
      <c r="DO89" s="280" t="s">
        <v>489</v>
      </c>
      <c r="DP89" s="280" t="s">
        <v>887</v>
      </c>
      <c r="DQ89" s="310">
        <v>1.6</v>
      </c>
      <c r="DR89" s="310">
        <v>1.4</v>
      </c>
      <c r="DS89" s="310">
        <v>1.2</v>
      </c>
      <c r="DT89" s="439">
        <v>1</v>
      </c>
      <c r="DU89" s="298"/>
      <c r="DV89" s="350" t="str">
        <f t="shared" si="23"/>
        <v>Eau</v>
      </c>
      <c r="DW89" s="351">
        <f t="array" ref="DW89">SUM((IF(QualitéAlimentsFaonMâle_0_3_mois=BONNE,VLOOKUP("Eau",AlimentsRationHivernaleDaims,8,FALSE),0)+(IF(QualitéAlimentsFaonFemelle_0_3_mois=BONNE,VLOOKUP("Eau",AlimentsRationHivernaleDaims,8,FALSE),0)+(IF(QualitéAlimentsFaonMâle_3_6_mois=BONNE,VLOOKUP("Eau",AlimentsRationHivernaleDaims,7,FALSE),0)+(IF(QualitéAlimentsFaonFemelle_3_6_mois=BONNE,VLOOKUP("Eau",AlimentsRationHivernaleDaims,7,FALSE),0)+(IF(QualitéAlimentsFaonMâle_6_12_mois=BONNE,VLOOKUP("Eau",AlimentsRationHivernaleDaims,6,FALSE),0)+(IF(QualitéAlimentsFaonFemelle_6_12_mois=BONNE,VLOOKUP("Eau",AlimentsRationHivernaleDaims,6,FALSE),0)+(IF(QualitéAlimentsJeuneDaim_12_18_mois=BONNE,VLOOKUP("Eau",AlimentsRationHivernaleDaims,5,FALSE),0)+(IF(QualitéAlimentsJeuneDaine_12_18_mois=BONNE,VLOOKUP("Eau",AlimentsRationHivernaleDaims,5,FALSE),0)+(IF(QualitéAlimentsJeuneDaim_18_24_mois=BONNE,VLOOKUP("Eau",AlimentsRationHivernaleDaims,4,FALSE),0)+(IF(QualitéAlimentsJeuneDaine_18_24_mois=BONNE,VLOOKUP("Eau",AlimentsRationHivernaleDaims,4,FALSE),0)+(IF(QualitéAlimentsJeuneDaim_24_36_mois=BONNE,VLOOKUP("Eau",AlimentsRationHivernaleDaims,3,FALSE),0)+(IF(QualitéAlimentsJeuneDaine_24_36_mois=BONNE,VLOOKUP("Eau",AlimentsRationHivernaleDaims,3,FALSE),0)+(IF(QualitéAlimentsDaim=BONNE,VLOOKUP("Eau",AlimentsRationHivernaleDaims,2,FALSE),0)+(IF(QualitéAlimentsDaine=BONNE,VLOOKUP("Eau",AlimentsRationHivernaleDaims,2,FALSE),0))))))))))))))))</f>
        <v>0</v>
      </c>
      <c r="DX89" s="351">
        <f t="array" ref="DX89">SUM((IF(QualitéAlimentsFaonMâle_0_3_mois=MOYENNE,VLOOKUP("Eau",AlimentsRationHivernaleDaims,8,FALSE),0)+(IF(QualitéAlimentsFaonFemelle_0_3_mois=MOYENNE,VLOOKUP("Eau",AlimentsRationHivernaleDaims,8,FALSE),0)+(IF(QualitéAlimentsFaonMâle_3_6_mois=MOYENNE,VLOOKUP("Eau",AlimentsRationHivernaleDaims,7,FALSE),0)+(IF(QualitéAlimentsFaonFemelle_3_6_mois=MOYENNE,VLOOKUP("Eau",AlimentsRationHivernaleDaims,7,FALSE),0)+(IF(QualitéAlimentsFaonMâle_6_12_mois=MOYENNE,VLOOKUP("Eau",AlimentsRationHivernaleDaims,6,FALSE),0)+(IF(QualitéAlimentsFaonFemelle_6_12_mois=MOYENNE,VLOOKUP("Eau",AlimentsRationHivernaleDaims,6,FALSE),0)+(IF(QualitéAlimentsJeuneDaim_12_18_mois=MOYENNE,VLOOKUP("Eau",AlimentsRationHivernaleDaims,5,FALSE),0)+(IF(QualitéAlimentsJeuneDaine_12_18_mois=MOYENNE,VLOOKUP("Eau",AlimentsRationHivernaleDaims,5,FALSE),0)+(IF(QualitéAlimentsJeuneDaim_18_24_mois=MOYENNE,VLOOKUP("Eau",AlimentsRationHivernaleDaims,4,FALSE),0)+(IF(QualitéAlimentsJeuneDaine_18_24_mois=MOYENNE,VLOOKUP("Eau",AlimentsRationHivernaleDaims,4,FALSE),0)+(IF(QualitéAlimentsJeuneDaim_24_36_mois=MOYENNE,VLOOKUP("Eau",AlimentsRationHivernaleDaims,3,FALSE),0)+(IF(QualitéAlimentsJeuneDaine_24_36_mois=MOYENNE,VLOOKUP("Eau",AlimentsRationHivernaleDaims,3,FALSE),0)+(IF(QualitéAlimentsDaim=MOYENNE,VLOOKUP("Eau",AlimentsRationHivernaleDaims,2,FALSE),0)+(IF(QualitéAlimentsDaine=MOYENNE,VLOOKUP("Eau",AlimentsRationHivernaleDaims,2,FALSE),0))))))))))))))))</f>
        <v>0</v>
      </c>
      <c r="DY89" s="351">
        <f t="array" ref="DY89">SUM((IF(QualitéAlimentsFaonMâle_0_3_mois=MAUVAISE,VLOOKUP("Eau",AlimentsRationHivernaleDaims,8,FALSE),0)+(IF(QualitéAlimentsFaonFemelle_0_3_mois=MAUVAISE,VLOOKUP("Eau",AlimentsRationHivernaleDaims,8,FALSE),0)+(IF(QualitéAlimentsFaonMâle_3_6_mois=MAUVAISE,VLOOKUP("Eau",AlimentsRationHivernaleDaims,7,FALSE),0)+(IF(QualitéAlimentsFaonFemelle_3_6_mois=MAUVAISE,VLOOKUP("Eau",AlimentsRationHivernaleDaims,7,FALSE),0)+(IF(QualitéAlimentsFaonMâle_6_12_mois=MAUVAISE,VLOOKUP("Eau",AlimentsRationHivernaleDaims,6,FALSE),0)+(IF(QualitéAlimentsFaonFemelle_6_12_mois=MAUVAISE,VLOOKUP("Eau",AlimentsRationHivernaleDaims,6,FALSE),0)+(IF(QualitéAlimentsJeuneDaim_12_18_mois=MAUVAISE,VLOOKUP("Eau",AlimentsRationHivernaleDaims,5,FALSE),0)+(IF(QualitéAlimentsJeuneDaine_12_18_mois=MAUVAISE,VLOOKUP("Eau",AlimentsRationHivernaleDaims,5,FALSE),0)+(IF(QualitéAlimentsJeuneDaim_18_24_mois=MAUVAISE,VLOOKUP("Eau",AlimentsRationHivernaleDaims,4,FALSE),0)+(IF(QualitéAlimentsJeuneDaine_18_24_mois=MAUVAISE,VLOOKUP("Eau",AlimentsRationHivernaleDaims,4,FALSE),0)+(IF(QualitéAlimentsJeuneDaim_24_36_mois=MAUVAISE,VLOOKUP("Eau",AlimentsRationHivernaleDaims,3,FALSE),0)+(IF(QualitéAlimentsJeuneDaine_24_36_mois=MAUVAISE,VLOOKUP("Eau",AlimentsRationHivernaleDaims,3,FALSE),0)+(IF(QualitéAlimentsDaim=MAUVAISE,VLOOKUP("Eau",AlimentsRationHivernaleDaims,2,FALSE),0)+(IF(QualitéAlimentsDaine=MAUVAISE,VLOOKUP("Eau",AlimentsRationHivernaleDaims,2,FALSE),0))))))))))))))))</f>
        <v>0</v>
      </c>
      <c r="DZ89" s="298"/>
      <c r="EA89" s="298"/>
      <c r="EB89" s="298"/>
      <c r="EC89" s="298"/>
      <c r="ED89" s="298"/>
      <c r="EG89" s="420"/>
      <c r="EH89" s="433">
        <f t="array" ref="EH8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89" s="433">
        <f t="array" ref="EI8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89" s="433">
        <f t="array" ref="EJ8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89" s="434">
        <f>SUM(AlimentsRationOiesMâles[[#This Row],[Valeur 6 et plus]:[Valeur 0-3]])</f>
        <v>0</v>
      </c>
      <c r="EL89" s="316"/>
      <c r="EN89" s="420"/>
      <c r="EO89" s="433">
        <f t="array" ref="EO89">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89" s="433">
        <f t="array" ref="EP89">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89" s="433">
        <f t="array" ref="EQ89">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89" s="434">
        <f>SUM(Ration_canards_Mâles[[#This Row],[Valeur 6 et plus]:[Valeur 0-3]])</f>
        <v>0</v>
      </c>
      <c r="ES89" s="316"/>
      <c r="EU89" s="457" t="s">
        <v>231</v>
      </c>
      <c r="EV89" s="458">
        <f t="array" ref="EV89">IF(OR(ChoixRationComplèteEtéChevauxSelle=OUI,ChoixRationComplèteEtéChevauxSelle="",AND(ChoixChevauxSellePréHiver=OUI,ChoixChevauxSellePréEté=OUI)),0,IFERROR(IF(OR(AND(INDEX(Règles_chevaux_selle[Specificite],MATCH(RationEtéChevauxSelle&amp;$EU89,Règles_chevaux_selle[Ration]&amp;Règles_chevaux_selle[Aliment],0))="s1",IF($EU89=Spécificité1ChevauxSelle,1)),
AND(INDEX(Règles_chevaux_selle[Specificite],MATCH(RationEtéChevauxSelle&amp;$EU89,Règles_chevaux_selle[Ration]&amp;Règles_chevaux_selle[Aliment],0))="s2",IF($EU89=Spécificité2ChevauxSelle,1)),
INDEX(Règles_chevaux_selle[Specificite],MATCH(RationEtéChevauxSelle&amp;$EU89,Règles_chevaux_selle[Ration]&amp;Règles_chevaux_selle[Aliment],0))="c"),
INDEX(Règles_chevaux_selle[Valeur 36 et plus],MATCH(RationEtéChevauxSelle&amp;$EU89,Règles_chevaux_selle[Ration]&amp;Règles_chevaux_selle[Aliment],0)),0),0)*TotalEtalonSelle*NbreJoursNourrirChevauxSelle)</f>
        <v>0</v>
      </c>
      <c r="EW89" s="458">
        <f t="array" ref="EW89">IF(OR(ChoixRationComplèteEtéChevauxSelle=OUI,ChoixRationComplèteEtéChevauxSelle="",AND(ChoixChevauxSellePréHiver=OUI,ChoixChevauxSellePréEté=OUI)),0,IFERROR(IF(OR(AND(INDEX(Règles_chevaux_selle[Specificite],MATCH(RationEtéChevauxSelle&amp;$EU89,Règles_chevaux_selle[Ration]&amp;Règles_chevaux_selle[Aliment],0))="s1",IF($EU89=Spécificité1ChevauxSelle,1)),
AND(INDEX(Règles_chevaux_selle[Specificite],MATCH(RationEtéChevauxSelle&amp;$EU89,Règles_chevaux_selle[Ration]&amp;Règles_chevaux_selle[Aliment],0))="s2",IF($EU89=Spécificité2ChevauxSelle,1)),
INDEX(Règles_chevaux_selle[Specificite],MATCH(RationEtéChevauxSelle&amp;$EU89,Règles_chevaux_selle[Ration]&amp;Règles_chevaux_selle[Aliment],0))="c"),
INDEX(Règles_chevaux_selle[Valeur 24-36],MATCH(RationEtéChevauxSelle&amp;$EU89,Règles_chevaux_selle[Ration]&amp;Règles_chevaux_selle[Aliment],0)),0),0)*TotalJeuneEtalonSelle_24_36_mois*NbreJoursNourrirChevauxSelle)</f>
        <v>0</v>
      </c>
      <c r="EX89" s="458">
        <f t="array" ref="EX89">IF(OR(ChoixRationComplèteEtéChevauxSelle=OUI,ChoixRationComplèteEtéChevauxSelle="",AND(ChoixChevauxSellePréHiver=OUI,ChoixChevauxSellePréEté=OUI)),0,IFERROR(IF(OR(AND(INDEX(Règles_chevaux_selle[Specificite],MATCH(RationEtéChevauxSelle&amp;$EU89,Règles_chevaux_selle[Ration]&amp;Règles_chevaux_selle[Aliment],0))="s1",IF($EU89=Spécificité1ChevauxSelle,1)),
AND(INDEX(Règles_chevaux_selle[Specificite],MATCH(RationEtéChevauxSelle&amp;$EU89,Règles_chevaux_selle[Ration]&amp;Règles_chevaux_selle[Aliment],0))="s2",IF($EU89=Spécificité2ChevauxSelle,1)),
INDEX(Règles_chevaux_selle[Specificite],MATCH(RationEtéChevauxSelle&amp;$EU89,Règles_chevaux_selle[Ration]&amp;Règles_chevaux_selle[Aliment],0))="c"),
INDEX(Règles_chevaux_selle[Valeur 12-24],MATCH(RationEtéChevauxSelle&amp;$EU89,Règles_chevaux_selle[Ration]&amp;Règles_chevaux_selle[Aliment],0)),0),0)*TotalJeuneEtalonSelle_12_24_mois*NbreJoursNourrirChevauxSelle)</f>
        <v>0</v>
      </c>
      <c r="EY89" s="460">
        <f t="array" ref="EY89">IF(OR(ChoixRationComplèteEtéChevauxSelle=OUI,ChoixRationComplèteEtéChevauxSelle="",AND(ChoixChevauxSellePréHiver=OUI,ChoixChevauxSellePréEté=OUI)),0,IFERROR(IF(OR(AND(INDEX(Règles_chevaux_selle[Specificite],MATCH(RationEtéChevauxSelle&amp;$EU89,Règles_chevaux_selle[Ration]&amp;Règles_chevaux_selle[Aliment],0))="s1",IF($EU89=Spécificité1ChevauxSelle,1)),
AND(INDEX(Règles_chevaux_selle[Specificite],MATCH(RationEtéChevauxSelle&amp;$EU89,Règles_chevaux_selle[Ration]&amp;Règles_chevaux_selle[Aliment],0))="s2",IF($EU89=Spécificité2ChevauxSelle,1)),
INDEX(Règles_chevaux_selle[Specificite],MATCH(RationEtéChevauxSelle&amp;$EU89,Règles_chevaux_selle[Ration]&amp;Règles_chevaux_selle[Aliment],0))="c"),
INDEX(Règles_chevaux_selle[Valeur 0-12],MATCH(RationEtéChevauxSelle&amp;$EU89,Règles_chevaux_selle[Ration]&amp;Règles_chevaux_selle[Aliment],0)),0),0)*TotalPoulainSelle_0_12_mois*NbreJoursNourrirChevauxSelle)</f>
        <v>0</v>
      </c>
      <c r="EZ89" s="460">
        <f t="shared" si="16"/>
        <v>0</v>
      </c>
      <c r="FD89" s="457"/>
      <c r="FE89" s="458">
        <f t="array" ref="FE89">IF(OR(ChoixRationComplèteEtéChevauxTrait=OUI,ChoixRationComplèteEtéChevauxTrait="",AND(ChoixChevauxTraitPréHiver=OUI,ChoixChevauxTraitPréEté=OUI)),0,IFERROR(IF(OR(AND(INDEX(Règles_chevaux_trait[Specificite],MATCH(RationEtéChevauxTrait&amp;$FD89,Règles_chevaux_trait[Ration]&amp;Règles_chevaux_trait[Aliment],0))="s1",IF($FD89=Spécificité1ChevauxTrait,1)),
AND(INDEX(Règles_chevaux_trait[Specificite],MATCH(RationEtéChevauxTrait&amp;$FD89,Règles_chevaux_trait[Ration]&amp;Règles_chevaux_trait[Aliment],0))="s2",IF($FD89=Spécificité2ChevauxTrait,1)),
INDEX(Règles_chevaux_trait[Specificite],MATCH(RationEtéChevauxTrait&amp;$FD89,Règles_chevaux_trait[Ration]&amp;Règles_chevaux_trait[Aliment],0))="c"),
INDEX(Règles_chevaux_trait[Valeur 36 et plus],MATCH(RationEtéChevauxTrait&amp;$FD89,Règles_chevaux_trait[Ration]&amp;Règles_chevaux_trait[Aliment],0)),0),0)*TotalEtalonTrait*NbreJoursNourrirChevauxTrait)</f>
        <v>0</v>
      </c>
      <c r="FF89" s="458">
        <f t="array" ref="FF89">IF(OR(ChoixRationComplèteEtéChevauxTrait=OUI,ChoixRationComplèteEtéChevauxTrait="",AND(ChoixChevauxTraitPréHiver=OUI,ChoixChevauxTraitPréEté=OUI)),0,IFERROR(IF(OR(AND(INDEX(Règles_chevaux_trait[Specificite],MATCH(RationEtéChevauxTrait&amp;$FD89,Règles_chevaux_trait[Ration]&amp;Règles_chevaux_trait[Aliment],0))="s1",IF($FD89=Spécificité1ChevauxTrait,1)),
AND(INDEX(Règles_chevaux_trait[Specificite],MATCH(RationEtéChevauxTrait&amp;$FD89,Règles_chevaux_trait[Ration]&amp;Règles_chevaux_trait[Aliment],0))="s2",IF($FD89=Spécificité2ChevauxTrait,1)),
INDEX(Règles_chevaux_trait[Specificite],MATCH(RationEtéChevauxTrait&amp;$FD89,Règles_chevaux_trait[Ration]&amp;Règles_chevaux_trait[Aliment],0))="c"),
INDEX(Règles_chevaux_trait[Valeur 24-36],MATCH(RationEtéChevauxTrait&amp;$FD89,Règles_chevaux_trait[Ration]&amp;Règles_chevaux_trait[Aliment],0)),0),0)*TotalJeuneEtalonTrait_24_36_mois*NbreJoursNourrirChevauxTrait)</f>
        <v>0</v>
      </c>
      <c r="FG89" s="458">
        <f t="array" ref="FG89">IF(OR(ChoixRationComplèteEtéChevauxTrait=OUI,ChoixRationComplèteEtéChevauxTrait="",AND(ChoixChevauxTraitPréHiver=OUI,ChoixChevauxTraitPréEté=OUI)),0,IFERROR(IF(OR(AND(INDEX(Règles_chevaux_trait[Specificite],MATCH(RationEtéChevauxTrait&amp;$FD89,Règles_chevaux_trait[Ration]&amp;Règles_chevaux_trait[Aliment],0))="s1",IF($FD89=Spécificité1ChevauxTrait,1)),
AND(INDEX(Règles_chevaux_trait[Specificite],MATCH(RationEtéChevauxTrait&amp;$FD89,Règles_chevaux_trait[Ration]&amp;Règles_chevaux_trait[Aliment],0))="s2",IF($FD89=Spécificité2ChevauxTrait,1)),
INDEX(Règles_chevaux_trait[Specificite],MATCH(RationEtéChevauxTrait&amp;$FD89,Règles_chevaux_trait[Ration]&amp;Règles_chevaux_trait[Aliment],0))="c"),
INDEX(Règles_chevaux_trait[Valeur 12-24],MATCH(RationEtéChevauxTrait&amp;$FD89,Règles_chevaux_trait[Ration]&amp;Règles_chevaux_trait[Aliment],0)),0),0)*TotalJeuneEtalonTrait_12_24_mois*NbreJoursNourrirChevauxTrait)</f>
        <v>0</v>
      </c>
      <c r="FH89" s="460">
        <f t="array" ref="FH89">IF(OR(ChoixRationComplèteEtéChevauxTrait=OUI,ChoixRationComplèteEtéChevauxTrait="",AND(ChoixChevauxTraitPréHiver=OUI,ChoixChevauxTraitPréEté=OUI)),0,IFERROR(IF(OR(AND(INDEX(Règles_chevaux_trait[Specificite],MATCH(RationEtéChevauxTrait&amp;$FD89,Règles_chevaux_trait[Ration]&amp;Règles_chevaux_trait[Aliment],0))="s1",IF($FD89=Spécificité1ChevauxTrait,1)),
AND(INDEX(Règles_chevaux_trait[Specificite],MATCH(RationEtéChevauxTrait&amp;$FD89,Règles_chevaux_trait[Ration]&amp;Règles_chevaux_trait[Aliment],0))="s2",IF($FD89=Spécificité2ChevauxTrait,1)),
INDEX(Règles_chevaux_trait[Specificite],MATCH(RationEtéChevauxTrait&amp;$FD89,Règles_chevaux_trait[Ration]&amp;Règles_chevaux_trait[Aliment],0))="c"),
INDEX(Règles_chevaux_trait[Valeur 0-12],MATCH(RationEtéChevauxTrait&amp;$FD89,Règles_chevaux_trait[Ration]&amp;Règles_chevaux_trait[Aliment],0)),0),0)*TotalPoulainTrait_0_12_mois*NbreJoursNourrirChevauxTrait)</f>
        <v>0</v>
      </c>
      <c r="FI89" s="460">
        <f t="shared" si="15"/>
        <v>0</v>
      </c>
      <c r="FN89" s="457"/>
      <c r="FO89" s="458">
        <f t="array" ref="FO89">IF(OR(ChoixRationComplèteEtéPoneys=OUI,ChoixRationComplèteEtéPoneys="",AND(ChoixPoneysPréHiver=OUI,ChoixPoneysPréEté=OUI)),0,IFERROR(IF(OR(AND(INDEX(Règles_poneys[Specificite],MATCH(RationEtéPoneys&amp;$FN89,Règles_poneys[Ration]&amp;Règles_poneys[Aliment],0))="s1",IF($FN89=Spécificité1Poneys,1)),
AND(INDEX(Règles_poneys[Specificite],MATCH(RationEtéPoneys&amp;$FN89,Règles_poneys[Ration]&amp;Règles_poneys[Aliment],0))="s2",IF($FN89=Spécificité2Poneys,1)),
INDEX(Règles_poneys[Specificite],MATCH(RationEtéPoneys&amp;$FN89,Règles_poneys[Ration]&amp;Règles_poneys[Aliment],0))="c"),
INDEX(Règles_poneys[Valeur 36 et plus],MATCH(RationEtéPoneys&amp;$FN89,Règles_poneys[Ration]&amp;Règles_poneys[Aliment],0)),0),0)*TotalEtalonPoney*NbreJoursNourrirPoneys)</f>
        <v>0</v>
      </c>
      <c r="FP89" s="458">
        <f t="array" ref="FP89">IF(OR(ChoixRationComplèteEtéPoneys=OUI,ChoixRationComplèteEtéPoneys="",AND(ChoixPoneysPréHiver=OUI,ChoixPoneysPréEté=OUI)),0,IFERROR(IF(OR(AND(INDEX(Règles_poneys[Specificite],MATCH(RationEtéPoneys&amp;$FN89,Règles_poneys[Ration]&amp;Règles_poneys[Aliment],0))="s1",IF($FN89=Spécificité1Poneys,1)),
AND(INDEX(Règles_poneys[Specificite],MATCH(RationEtéPoneys&amp;$FN89,Règles_poneys[Ration]&amp;Règles_poneys[Aliment],0))="s2",IF($FN89=Spécificité2Poneys,1)),
INDEX(Règles_poneys[Specificite],MATCH(RationEtéPoneys&amp;$FN89,Règles_poneys[Ration]&amp;Règles_poneys[Aliment],0))="c"),
INDEX(Règles_poneys[Valeur 36 et plus],MATCH(RationEtéPoneys&amp;$FN89,Règles_poneys[Ration]&amp;Règles_poneys[Aliment],0)),0),0)*TotalJeuneEtalonPoney_24_36_mois*NbreJoursNourrirPoneys)</f>
        <v>0</v>
      </c>
      <c r="FQ89" s="458">
        <f t="array" ref="FQ89">IF(OR(ChoixRationComplèteEtéPoneys=OUI,ChoixRationComplèteEtéPoneys="",AND(ChoixPoneysPréHiver=OUI,ChoixPoneysPréEté=OUI)),0,IFERROR(IF(OR(AND(INDEX(Règles_poneys[Specificite],MATCH(RationEtéPoneys&amp;$FN89,Règles_poneys[Ration]&amp;Règles_poneys[Aliment],0))="s1",IF($FN89=Spécificité1Poneys,1)),
AND(INDEX(Règles_poneys[Specificite],MATCH(RationEtéPoneys&amp;$FN89,Règles_poneys[Ration]&amp;Règles_poneys[Aliment],0))="s2",IF($FN89=Spécificité2Poneys,1)),
INDEX(Règles_poneys[Specificite],MATCH(RationEtéPoneys&amp;$FN89,Règles_poneys[Ration]&amp;Règles_poneys[Aliment],0))="c"),
INDEX(Règles_poneys[Valeur 36 et plus],MATCH(RationEtéPoneys&amp;$FN89,Règles_poneys[Ration]&amp;Règles_poneys[Aliment],0)),0),0)*TotalJeuneEtalonPoney_12_24_mois*NbreJoursNourrirPoneys)</f>
        <v>0</v>
      </c>
      <c r="FR89" s="460">
        <f t="array" ref="FR89">IF(OR(ChoixRationComplèteEtéPoneys=OUI,ChoixRationComplèteEtéPoneys="",AND(ChoixPoneysPréHiver=OUI,ChoixPoneysPréEté=OUI)),0,IFERROR(IF(OR(AND(INDEX(Règles_poneys[Specificite],MATCH(RationEtéPoneys&amp;$FN89,Règles_poneys[Ration]&amp;Règles_poneys[Aliment],0))="s1",IF($FN89=Spécificité1Poneys,1)),
AND(INDEX(Règles_poneys[Specificite],MATCH(RationEtéPoneys&amp;$FN89,Règles_poneys[Ration]&amp;Règles_poneys[Aliment],0))="s2",IF($FN89=Spécificité2Poneys,1)),
INDEX(Règles_poneys[Specificite],MATCH(RationEtéPoneys&amp;$FN89,Règles_poneys[Ration]&amp;Règles_poneys[Aliment],0))="c"),
INDEX(Règles_poneys[Valeur 36 et plus],MATCH(RationEtéPoneys&amp;$FN89,Règles_poneys[Ration]&amp;Règles_poneys[Aliment],0)),0),0)*TotalPoulainPoney_0_12_mois*NbreJoursNourrirPoneys)</f>
        <v>0</v>
      </c>
      <c r="FS89" s="460">
        <f t="shared" si="14"/>
        <v>0</v>
      </c>
      <c r="FW89" s="394" t="s">
        <v>910</v>
      </c>
      <c r="FX89" s="461" t="s">
        <v>929</v>
      </c>
      <c r="FY89" s="395" t="s">
        <v>946</v>
      </c>
      <c r="FZ89" s="395" t="s">
        <v>945</v>
      </c>
      <c r="GA89" s="395" t="s">
        <v>918</v>
      </c>
      <c r="GB89" s="396" t="s">
        <v>903</v>
      </c>
      <c r="GG89" s="276" t="s">
        <v>955</v>
      </c>
      <c r="GH89" s="276" t="s">
        <v>955</v>
      </c>
      <c r="GI89" s="276" t="s">
        <v>955</v>
      </c>
      <c r="GJ89" s="276" t="s">
        <v>955</v>
      </c>
      <c r="GK89" s="276" t="s">
        <v>955</v>
      </c>
      <c r="GL89" s="276" t="s">
        <v>955</v>
      </c>
      <c r="GM89" s="276" t="s">
        <v>955</v>
      </c>
      <c r="GN89" s="276" t="s">
        <v>955</v>
      </c>
      <c r="GO89" s="276" t="s">
        <v>955</v>
      </c>
      <c r="GP89" s="276" t="s">
        <v>955</v>
      </c>
      <c r="GQ89" s="276" t="s">
        <v>955</v>
      </c>
      <c r="GR89" s="276" t="s">
        <v>955</v>
      </c>
      <c r="GS89" s="276" t="s">
        <v>955</v>
      </c>
      <c r="GT89" s="276" t="s">
        <v>955</v>
      </c>
      <c r="GU89" s="276" t="s">
        <v>955</v>
      </c>
      <c r="GV89" s="276" t="s">
        <v>955</v>
      </c>
      <c r="GY89" s="444" t="str">
        <f t="shared" si="24"/>
        <v>Azote</v>
      </c>
      <c r="GZ89" s="444"/>
      <c r="HA89" s="342"/>
      <c r="HB89" s="342" t="e">
        <f>IF(COUNTIF(TypeArticleDansEntrepôt,GY89)=0,0,SUMIF(TypeArticleDansEntrepôt,GY89,QtéArticleDansEntrepôt)*VLOOKUP(GY89,#REF!,2,FALSE))</f>
        <v>#REF!</v>
      </c>
      <c r="HN89" s="342" t="e">
        <f>IF(#REF!="","",(VLOOKUP(#REF!,BDD!$HN$5:$HU$38,2,FALSE))*#REF!)</f>
        <v>#REF!</v>
      </c>
      <c r="HO89" s="342" t="e">
        <f>IF(#REF!="","",IF(OR(#REF!=Moutarde,#REF!=Phacélie),0,IF(#REF!=Luzerne,10*#REF!*VLOOKUP(#REF!,BDD!$HN$5:$HU$38,3,FALSE),IF(#REF!=Miscanthus,10.5*#REF!*VLOOKUP(#REF!,BDD!$HN$5:$HU$38,3,FALSE),INDEX(#REF!:#REF!,MATCH(#REF!,#REF!:#REF!,0),MATCH(#REF!,#REF!:#REF!,0))*#REF!*VLOOKUP(#REF!,BDD!$HN$5:$HU$38,3,FALSE)))))</f>
        <v>#REF!</v>
      </c>
      <c r="HP89" s="342" t="e">
        <f>IF(#REF!="","",IF(OR(#REF!=Moutarde,#REF!=Phacélie),0,IF(#REF!=Luzerne,10*#REF!*VLOOKUP(#REF!,BDD!$HN$5:$HU$38,4,FALSE),IF(#REF!=Miscanthus,10.5*#REF!*VLOOKUP(#REF!,BDD!$HN$5:$HU$38,4,FALSE),INDEX(#REF!:#REF!,MATCH(#REF!,#REF!:#REF!,0),MATCH(#REF!,#REF!:#REF!,0))*#REF!*VLOOKUP(#REF!,BDD!$HN$5:$HU$38,4,FALSE)))))</f>
        <v>#REF!</v>
      </c>
      <c r="HQ89" s="342" t="e">
        <f>IF(#REF!="","",IF(OR(#REF!=Moutarde,#REF!=Phacélie),0,IF(#REF!=Luzerne,10*#REF!*VLOOKUP(#REF!,BDD!$HN$5:$HU$38,5,FALSE),IF(#REF!=Miscanthus,10.5*#REF!*VLOOKUP(#REF!,BDD!$HN$5:$HU$38,5,FALSE),INDEX(#REF!:#REF!,MATCH(#REF!,#REF!:#REF!,0),MATCH(#REF!,#REF!:#REF!,0))*#REF!*VLOOKUP(#REF!,BDD!$HN$5:$HU$38,5,FALSE)))))</f>
        <v>#REF!</v>
      </c>
      <c r="HR89" s="342" t="e">
        <f>IF(#REF!="","",IF(OR(#REF!=Moutarde,#REF!=Phacélie),0,IF(#REF!=Luzerne,10*#REF!*VLOOKUP(#REF!,BDD!$HN$5:$HU$38,6,FALSE),IF(#REF!=Miscanthus,10.5*#REF!*VLOOKUP(#REF!,BDD!$HN$5:$HU$38,6,FALSE),INDEX(#REF!:#REF!,MATCH(#REF!,#REF!:#REF!,0),MATCH(#REF!,#REF!:#REF!,0))*#REF!*VLOOKUP(#REF!,BDD!$HN$5:$HU$38,6,FALSE)))))</f>
        <v>#REF!</v>
      </c>
      <c r="HS89" s="342" t="e">
        <f>IF(#REF!="","",IF(OR(#REF!=Moutarde,#REF!=Phacélie),0,IF(#REF!=Luzerne,10*#REF!*VLOOKUP(#REF!,BDD!$HN$5:$HU$38,7,FALSE),IF(#REF!=Miscanthus,10.5*#REF!*VLOOKUP(#REF!,BDD!$HN$5:$HU$38,7,FALSE),INDEX(#REF!:#REF!,MATCH(#REF!,#REF!:#REF!,0),MATCH(#REF!,#REF!:#REF!,0))*#REF!*VLOOKUP(#REF!,BDD!$HN$5:$HU$38,7,FALSE)))))</f>
        <v>#REF!</v>
      </c>
      <c r="HT89" s="342" t="e">
        <f>IF(#REF!="","",IF(OR(#REF!=Moutarde,#REF!=Phacélie),0,IF(#REF!=Luzerne,10*#REF!*VLOOKUP(#REF!,BDD!$HN$5:$HU$38,8,FALSE),IF(#REF!=Miscanthus,10.5*#REF!*VLOOKUP(#REF!,BDD!$HN$5:$HU$38,8,FALSE),INDEX(#REF!:#REF!,MATCH(#REF!,#REF!:#REF!,0),MATCH(#REF!,#REF!:#REF!,0))*#REF!*VLOOKUP(#REF!,BDD!$HN$5:$HU$38,8,FALSE)))))</f>
        <v>#REF!</v>
      </c>
      <c r="HU89" s="342" t="e">
        <f>IF(#REF!="","",IF(OR(#REF!=Moutarde,#REF!=Phacélie),0,1.6*#REF!))</f>
        <v>#REF!</v>
      </c>
      <c r="HV89" s="342" t="e">
        <f>IF(#REF!="","",IF(OR(#REF!=Moutarde,#REF!=Phacélie),0,1.6*#REF!))</f>
        <v>#REF!</v>
      </c>
      <c r="HW89" s="342" t="e">
        <f>IF(#REF!="","",IF(OR(#REF!=Moutarde,#REF!=Phacélie),0,1.6*#REF!))</f>
        <v>#REF!</v>
      </c>
      <c r="HX89" s="342" t="e">
        <f>IF(#REF!="","",(VLOOKUP(#REF!,BDD!$HN$5:$HU$38,2,FALSE))*#REF!)</f>
        <v>#REF!</v>
      </c>
      <c r="HY89" s="342" t="e">
        <f>IF(#REF!="","",IF(OR(#REF!=Moutarde,#REF!=Phacélie),0,IF(#REF!=Luzerne,10*#REF!*VLOOKUP(#REF!,BDD!$HN$5:$HU$38,3,FALSE),IF(#REF!=Miscanthus,10.5*#REF!*VLOOKUP(#REF!,BDD!$HN$5:$HU$38,3,FALSE),INDEX(#REF!:#REF!,MATCH(#REF!,#REF!:#REF!,0),MATCH(#REF!,#REF!:#REF!,0))*#REF!*VLOOKUP(#REF!,BDD!$HN$5:$HU$38,3,FALSE)))))</f>
        <v>#REF!</v>
      </c>
      <c r="HZ89" s="342" t="e">
        <f>IF(#REF!="","",IF(OR(#REF!=Moutarde,#REF!=Phacélie),0,IF(#REF!=Luzerne,10*#REF!*VLOOKUP(#REF!,BDD!$HN$5:$HU$38,4,FALSE),IF(#REF!=Miscanthus,10.5*#REF!*VLOOKUP(#REF!,BDD!$HN$5:$HU$38,4,FALSE),INDEX(#REF!:#REF!,MATCH(#REF!,#REF!:#REF!,0),MATCH(#REF!,#REF!:#REF!,0))*#REF!*VLOOKUP(#REF!,BDD!$HN$5:$HU$38,4,FALSE)))))</f>
        <v>#REF!</v>
      </c>
      <c r="IA89" s="342" t="e">
        <f>IF(#REF!="","",IF(OR(#REF!=Moutarde,#REF!=Phacélie),0,IF(#REF!=Luzerne,10*#REF!*VLOOKUP(#REF!,BDD!$HN$5:$HU$38,5,FALSE),IF(#REF!=Miscanthus,10.5*#REF!*VLOOKUP(#REF!,BDD!$HN$5:$HU$38,5,FALSE),INDEX(#REF!:#REF!,MATCH(#REF!,#REF!:#REF!,0),MATCH(#REF!,#REF!:#REF!,0))*#REF!*VLOOKUP(#REF!,BDD!$HN$5:$HU$38,5,FALSE)))))</f>
        <v>#REF!</v>
      </c>
      <c r="IB89" s="342" t="e">
        <f>IF(#REF!="","",IF(OR(#REF!=Moutarde,#REF!=Phacélie),0,IF(#REF!=Luzerne,10*#REF!*VLOOKUP(#REF!,BDD!$HN$5:$HU$38,6,FALSE),IF(#REF!=Miscanthus,10.5*#REF!*VLOOKUP(#REF!,BDD!$HN$5:$HU$38,6,FALSE),INDEX(#REF!:#REF!,MATCH(#REF!,#REF!:#REF!,0),MATCH(#REF!,#REF!:#REF!,0))*#REF!*VLOOKUP(#REF!,BDD!$HN$5:$HU$38,6,FALSE)))))</f>
        <v>#REF!</v>
      </c>
      <c r="IC89" s="342" t="e">
        <f>IF(#REF!="","",IF(OR(#REF!=Moutarde,#REF!=Phacélie),0,IF(#REF!=Luzerne,10*#REF!*VLOOKUP(#REF!,BDD!$HN$5:$HU$38,7,FALSE),IF(#REF!=Miscanthus,10.5*#REF!*VLOOKUP(#REF!,BDD!$HN$5:$HU$38,7,FALSE),INDEX(#REF!:#REF!,MATCH(#REF!,#REF!:#REF!,0),MATCH(#REF!,#REF!:#REF!,0))*#REF!*VLOOKUP(#REF!,BDD!$HN$5:$HU$38,7,FALSE)))))</f>
        <v>#REF!</v>
      </c>
      <c r="ID89" s="342" t="e">
        <f>IF(#REF!="","",IF(OR(#REF!=Moutarde,#REF!=Phacélie),0,IF(#REF!=Luzerne,10*#REF!*VLOOKUP(#REF!,BDD!$HN$5:$HU$38,8,FALSE),IF(#REF!=Miscanthus,10.5*#REF!*VLOOKUP(#REF!,BDD!$HN$5:$HU$38,8,FALSE),INDEX(#REF!:#REF!,MATCH(#REF!,#REF!:#REF!,0),MATCH(#REF!,#REF!:#REF!,0))*#REF!*VLOOKUP(#REF!,BDD!$HN$5:$HU$38,8,FALSE)))))</f>
        <v>#REF!</v>
      </c>
      <c r="IE89" s="342" t="e">
        <f>IF(#REF!="","",IF(OR(#REF!=Moutarde,#REF!=Phacélie),0,1.6*#REF!))</f>
        <v>#REF!</v>
      </c>
      <c r="IF89" s="342" t="e">
        <f>IF(#REF!="","",IF(OR(#REF!=Moutarde,#REF!=Phacélie),0,1.6*#REF!))</f>
        <v>#REF!</v>
      </c>
      <c r="IG89" s="342" t="e">
        <f>IF(#REF!="","",IF(OR(#REF!=Moutarde,#REF!=Phacélie),0,1.6*#REF!))</f>
        <v>#REF!</v>
      </c>
    </row>
    <row r="90" spans="1:241" ht="12.75" customHeight="1" x14ac:dyDescent="0.2">
      <c r="A90" s="373"/>
      <c r="B90" s="380"/>
      <c r="F90" s="280"/>
      <c r="G90" s="280"/>
      <c r="H90" s="280"/>
      <c r="I90" s="321"/>
      <c r="J90" s="321"/>
      <c r="K90" s="321"/>
      <c r="L90" s="321"/>
      <c r="O90" s="386" t="s">
        <v>1010</v>
      </c>
      <c r="P90" s="386" t="s">
        <v>99</v>
      </c>
      <c r="Q90" s="386" t="s">
        <v>101</v>
      </c>
      <c r="R90" s="386" t="s">
        <v>100</v>
      </c>
      <c r="S90" s="386" t="s">
        <v>417</v>
      </c>
      <c r="T90" s="386" t="s">
        <v>475</v>
      </c>
      <c r="U90" s="386" t="s">
        <v>985</v>
      </c>
      <c r="V90" s="386" t="s">
        <v>986</v>
      </c>
      <c r="W90" s="386" t="s">
        <v>20</v>
      </c>
      <c r="Y90" s="385" t="s">
        <v>1129</v>
      </c>
      <c r="Z90" s="385">
        <f>IF('coût alimentation'!$B$6=$Y$90,15,0)</f>
        <v>0</v>
      </c>
      <c r="AA90" s="385">
        <f>IF('coût alimentation'!$B$6=$Y$90,15,0)</f>
        <v>0</v>
      </c>
      <c r="AB90" s="385">
        <f>IF('coût alimentation'!$B$6=$Y$90,15,0)</f>
        <v>0</v>
      </c>
      <c r="AC90" s="385">
        <f>IF('coût alimentation'!$B$6=$Y$90,15,0)</f>
        <v>0</v>
      </c>
      <c r="AD90" s="385">
        <f>IF('coût alimentation'!$B$6=$Y$90,15,0)</f>
        <v>0</v>
      </c>
      <c r="AE90" s="385">
        <f>IF('coût alimentation'!$B$6=$Y$90,15,0)</f>
        <v>0</v>
      </c>
      <c r="AF90" s="385">
        <f>IF('coût alimentation'!$B$6=$Y$90,15,0)</f>
        <v>0</v>
      </c>
      <c r="AG90" s="385">
        <f>IF('coût alimentation'!$B$6=$Y$90,15,0)</f>
        <v>0</v>
      </c>
      <c r="BB90" s="387" t="s">
        <v>512</v>
      </c>
      <c r="BC90" s="362" t="s">
        <v>500</v>
      </c>
      <c r="BD90" s="362" t="s">
        <v>888</v>
      </c>
      <c r="BE90" s="388">
        <v>4.8</v>
      </c>
      <c r="BF90" s="388">
        <v>4</v>
      </c>
      <c r="BG90" s="388">
        <v>4</v>
      </c>
      <c r="BH90" s="388">
        <v>4</v>
      </c>
      <c r="BI90" s="388">
        <v>2</v>
      </c>
      <c r="BJ90" s="388">
        <v>1.2</v>
      </c>
      <c r="BK90" s="389">
        <v>0</v>
      </c>
      <c r="BL90" s="312"/>
      <c r="BM90" s="350" t="str">
        <f t="shared" si="22"/>
        <v>Maïs ensilé</v>
      </c>
      <c r="BN90" s="350">
        <f t="array" ref="BN90">IF(Ration_hivernale_complète_bisons[somme]&gt;0,0,IFERROR(IF(OR(AND(INDEX(Règles_bison[Specificite],MATCH(ChoixRationBisons&amp;$BM90,Règles_bison[Ration]&amp;Règles_bison[Aliment],0))="s1",IF($BM90=ChoixSpécificité1Bisons,1)),
INDEX(Règles_bison[Specificite],MATCH(ChoixRationBisons&amp;$BM90,Règles_bison[Ration]&amp;Règles_bison[Aliment],0))="c"),
INDEX(Règles_bison[Valeur 36 et plus],MATCH(ChoixRationBisons&amp;$BM90,Règles_bison[Ration]&amp;Règles_bison[Aliment],0)),0),0)*TotalBisonnes*NbreJoursNourrirBisonsDaims)</f>
        <v>0</v>
      </c>
      <c r="BO90" s="350">
        <f t="array" ref="BO90">IF(Ration_hivernale_complète_bisons[somme]&gt;0,0,IFERROR(IF(OR(AND(INDEX(Règles_bison[Specificite],MATCH(ChoixRationBisons&amp;$BM90,Règles_bison[Ration]&amp;Règles_bison[Aliment],0))="s1",IF($BM90=ChoixSpécificité1Bisons,1)),
INDEX(Règles_bison[Specificite],MATCH(ChoixRationBisons&amp;$BM90,Règles_bison[Ration]&amp;Règles_bison[Aliment],0))="c"),
INDEX(Règles_bison[Valeur 24-36],MATCH(ChoixRationBisons&amp;$BM90,Règles_bison[Ration]&amp;Règles_bison[Aliment],0)),0),0)*TotalBisonsFemelles_24_36_mois*NbreJoursNourrirBisonsDaims)</f>
        <v>0</v>
      </c>
      <c r="BP90" s="350">
        <f t="array" ref="BP90">IF(Ration_hivernale_complète_bisons[somme]&gt;0,0,IFERROR(IF(OR(AND(INDEX(Règles_bison[Specificite],MATCH(ChoixRationBisons&amp;$BM90,Règles_bison[Ration]&amp;Règles_bison[Aliment],0))="s1",IF($BM90=ChoixSpécificité1Bisons,1)),
INDEX(Règles_bison[Specificite],MATCH(ChoixRationBisons&amp;$BM90,Règles_bison[Ration]&amp;Règles_bison[Aliment],0))="c"),
INDEX(Règles_bison[Valeur 18-24],MATCH(ChoixRationBisons&amp;$BM90,Règles_bison[Ration]&amp;Règles_bison[Aliment],0)),0),0)*TotalBisonsFemelles_18_24_mois*NbreJoursNourrirBisonsDaims)</f>
        <v>0</v>
      </c>
      <c r="BQ90" s="350">
        <f t="array" ref="BQ90">IF(Ration_hivernale_complète_bisons[somme]&gt;0,0,IFERROR(IF(OR(AND(INDEX(Règles_bison[Specificite],MATCH(ChoixRationBisons&amp;$BM90,Règles_bison[Ration]&amp;Règles_bison[Aliment],0))="s1",IF($BM90=ChoixSpécificité1Bisons,1)),
INDEX(Règles_bison[Specificite],MATCH(ChoixRationBisons&amp;$BM90,Règles_bison[Ration]&amp;Règles_bison[Aliment],0))="c"),
INDEX(Règles_bison[Valeur 12-18],MATCH(ChoixRationBisons&amp;$BM90,Règles_bison[Ration]&amp;Règles_bison[Aliment],0)),0),0)*TotalBisonsFemelles_12_18_mois*NbreJoursNourrirBisonsDaims)</f>
        <v>0</v>
      </c>
      <c r="BR90" s="350">
        <f t="array" ref="BR90">IF(Ration_hivernale_complète_bisons[somme]&gt;0,0,IFERROR(IF(OR(AND(INDEX(Règles_bison[Specificite],MATCH(ChoixRationBisons&amp;$BM90,Règles_bison[Ration]&amp;Règles_bison[Aliment],0))="s1",IF($BM90=ChoixSpécificité1Bisons,1)),
INDEX(Règles_bison[Specificite],MATCH(ChoixRationBisons&amp;$BM90,Règles_bison[Ration]&amp;Règles_bison[Aliment],0))="c"),
INDEX(Règles_bison[Valeur 6-12],MATCH(ChoixRationBisons&amp;$BM90,Règles_bison[Ration]&amp;Règles_bison[Aliment],0)),0),0)*TotalBisonsFemelles_6_12_mois*NbreJoursNourrirBisonsDaims)</f>
        <v>0</v>
      </c>
      <c r="BS90" s="350">
        <f t="array" ref="BS90">IF(Ration_hivernale_complète_bisons[somme]&gt;0,0,IFERROR(IF(OR(AND(INDEX(Règles_bison[Specificite],MATCH(ChoixRationBisons&amp;$BM90,Règles_bison[Ration]&amp;Règles_bison[Aliment],0))="s1",IF($BM90=ChoixSpécificité1Bisons,1)),
INDEX(Règles_bison[Specificite],MATCH(ChoixRationBisons&amp;$BM90,Règles_bison[Ration]&amp;Règles_bison[Aliment],0))="c"),
INDEX(Règles_bison[Valeur 3-6],MATCH(ChoixRationBisons&amp;$BM90,Règles_bison[Ration]&amp;Règles_bison[Aliment],0)),0),0)*TotalBisonsFemelles_3_6_mois*NbreJoursNourrirBisonsDaims)</f>
        <v>0</v>
      </c>
      <c r="BT90" s="350">
        <f t="array" ref="BT90">IF(Ration_hivernale_complète_bisons[somme]&gt;0,0,IFERROR(IF(OR(AND(INDEX(Règles_bison[Specificite],MATCH(ChoixRationBisons&amp;$BM90,Règles_bison[Ration]&amp;Règles_bison[Aliment],0))="s1",IF($BM90=ChoixSpécificité1Bisons,1)),
INDEX(Règles_bison[Specificite],MATCH(ChoixRationBisons&amp;$BM90,Règles_bison[Ration]&amp;Règles_bison[Aliment],0))="c"),
INDEX(Règles_bison[Valeur 0-3],MATCH(ChoixRationBisons&amp;$BM90,Règles_bison[Ration]&amp;Règles_bison[Aliment],0)),0),0)*TotalBisonsFemelles_0_3_mois*NbreJoursNourrirBisonsDaims)</f>
        <v>0</v>
      </c>
      <c r="BU90" s="350">
        <f t="shared" si="21"/>
        <v>0</v>
      </c>
      <c r="BV90" s="282"/>
      <c r="BW90" s="282"/>
      <c r="BX90" s="373" t="s">
        <v>551</v>
      </c>
      <c r="BY90" s="280" t="s">
        <v>168</v>
      </c>
      <c r="BZ90" s="280" t="s">
        <v>886</v>
      </c>
      <c r="CA90" s="280">
        <v>1.2</v>
      </c>
      <c r="CB90" s="280">
        <v>1.2</v>
      </c>
      <c r="CC90" s="280">
        <v>0.8</v>
      </c>
      <c r="CD90" s="410">
        <v>2.8</v>
      </c>
      <c r="CE90" s="304"/>
      <c r="CF90" s="304"/>
      <c r="CG90" s="304"/>
      <c r="CH90" s="304"/>
      <c r="CJ90" s="420" t="str">
        <f t="shared" si="25"/>
        <v>Blé</v>
      </c>
      <c r="CK90" s="384">
        <f t="array" ref="CK9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90" s="384">
        <f t="array" ref="CL9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90" s="384">
        <f t="array" ref="CM9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90" s="384">
        <f t="array" ref="CN9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90" s="384">
        <f t="array" ref="CO9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90" s="426">
        <f>SUM(AlimentsRationPorcinsFemelles[[#This Row],[Valeur 12 et plus]:[Valeur 0-1]])</f>
        <v>0</v>
      </c>
      <c r="CS90" s="420"/>
      <c r="CT90" s="433">
        <f t="array" ref="CT90">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90" s="433">
        <f t="array" ref="CU90">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90" s="433">
        <f t="array" ref="CV90">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90" s="434">
        <f>SUM(AlimentsRationLapinsMâles[[#This Row],[Valeur 3 et plus]:[Valeur 0-1]])</f>
        <v>0</v>
      </c>
      <c r="CZ90" s="420"/>
      <c r="DA90" s="433">
        <f t="array" ref="DA9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90" s="433">
        <f t="array" ref="DB9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90" s="433">
        <f t="array" ref="DC9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90" s="434">
        <f>SUM(AlimentsRationVolaillesMâles[[#This Row],[Valeur 6 et plus]:[Valeur 0-1]])</f>
        <v>0</v>
      </c>
      <c r="DE90" s="316"/>
      <c r="DF90" s="277"/>
      <c r="DG90" s="384" t="str">
        <f>DG48</f>
        <v>Avoine</v>
      </c>
      <c r="DH90" s="433">
        <f t="array" ref="DH9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90" s="433">
        <f t="array" ref="DI9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90" s="433">
        <f t="array" ref="DJ9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90" s="437">
        <f>SUM(AlimentsRationPintadesFemelles[[#This Row],[Valeur 6 et plus]:[Valeur 0-1]])</f>
        <v>0</v>
      </c>
      <c r="DN90" s="373" t="s">
        <v>512</v>
      </c>
      <c r="DO90" s="280" t="s">
        <v>220</v>
      </c>
      <c r="DP90" s="280" t="s">
        <v>887</v>
      </c>
      <c r="DQ90" s="310">
        <v>1.6</v>
      </c>
      <c r="DR90" s="310">
        <v>1.4</v>
      </c>
      <c r="DS90" s="310">
        <v>1.2</v>
      </c>
      <c r="DT90" s="439">
        <v>1</v>
      </c>
      <c r="DU90" s="298"/>
      <c r="DV90" s="350" t="str">
        <f t="shared" si="23"/>
        <v>Epinard</v>
      </c>
      <c r="DW90" s="351">
        <f t="array" ref="DW90">SUM((IF(QualitéAlimentsFaonMâle_0_3_mois=BONNE,VLOOKUP("Epinard",AlimentsRationHivernaleDaims,8,FALSE),0)+(IF(QualitéAlimentsFaonFemelle_0_3_mois=BONNE,VLOOKUP("Epinard",AlimentsRationHivernaleDaims,8,FALSE),0)+(IF(QualitéAlimentsFaonMâle_3_6_mois=BONNE,VLOOKUP("Epinard",AlimentsRationHivernaleDaims,7,FALSE),0)+(IF(QualitéAlimentsFaonFemelle_3_6_mois=BONNE,VLOOKUP("Epinard",AlimentsRationHivernaleDaims,7,FALSE),0)+(IF(QualitéAlimentsFaonMâle_6_12_mois=BONNE,VLOOKUP("Epinard",AlimentsRationHivernaleDaims,6,FALSE),0)+(IF(QualitéAlimentsFaonFemelle_6_12_mois=BONNE,VLOOKUP("Epinard",AlimentsRationHivernaleDaims,6,FALSE),0)+(IF(QualitéAlimentsJeuneDaim_12_18_mois=BONNE,VLOOKUP("Epinard",AlimentsRationHivernaleDaims,5,FALSE),0)+(IF(QualitéAlimentsJeuneDaine_12_18_mois=BONNE,VLOOKUP("Epinard",AlimentsRationHivernaleDaims,5,FALSE),0)+(IF(QualitéAlimentsJeuneDaim_18_24_mois=BONNE,VLOOKUP("Epinard",AlimentsRationHivernaleDaims,4,FALSE),0)+(IF(QualitéAlimentsJeuneDaine_18_24_mois=BONNE,VLOOKUP("Epinard",AlimentsRationHivernaleDaims,4,FALSE),0)+(IF(QualitéAlimentsJeuneDaim_24_36_mois=BONNE,VLOOKUP("Epinard",AlimentsRationHivernaleDaims,3,FALSE),0)+(IF(QualitéAlimentsJeuneDaine_24_36_mois=BONNE,VLOOKUP("Epinard",AlimentsRationHivernaleDaims,3,FALSE),0)+(IF(QualitéAlimentsDaim=BONNE,VLOOKUP("Epinard",AlimentsRationHivernaleDaims,2,FALSE),0)+(IF(QualitéAlimentsDaine=BONNE,VLOOKUP("Epinard",AlimentsRationHivernaleDaims,2,FALSE),0))))))))))))))))</f>
        <v>0</v>
      </c>
      <c r="DX90" s="351">
        <f t="array" ref="DX90">SUM((IF(QualitéAlimentsFaonMâle_0_3_mois=MOYENNE,VLOOKUP("Epinard",AlimentsRationHivernaleDaims,8,FALSE),0)+(IF(QualitéAlimentsFaonFemelle_0_3_mois=MOYENNE,VLOOKUP("Epinard",AlimentsRationHivernaleDaims,8,FALSE),0)+(IF(QualitéAlimentsFaonMâle_3_6_mois=MOYENNE,VLOOKUP("Epinard",AlimentsRationHivernaleDaims,7,FALSE),0)+(IF(QualitéAlimentsFaonFemelle_3_6_mois=MOYENNE,VLOOKUP("Epinard",AlimentsRationHivernaleDaims,7,FALSE),0)+(IF(QualitéAlimentsFaonMâle_6_12_mois=MOYENNE,VLOOKUP("Epinard",AlimentsRationHivernaleDaims,6,FALSE),0)+(IF(QualitéAlimentsFaonFemelle_6_12_mois=MOYENNE,VLOOKUP("Epinard",AlimentsRationHivernaleDaims,6,FALSE),0)+(IF(QualitéAlimentsJeuneDaim_12_18_mois=MOYENNE,VLOOKUP("Epinard",AlimentsRationHivernaleDaims,5,FALSE),0)+(IF(QualitéAlimentsJeuneDaine_12_18_mois=MOYENNE,VLOOKUP("Epinard",AlimentsRationHivernaleDaims,5,FALSE),0)+(IF(QualitéAlimentsJeuneDaim_18_24_mois=MOYENNE,VLOOKUP("Epinard",AlimentsRationHivernaleDaims,4,FALSE),0)+(IF(QualitéAlimentsJeuneDaine_18_24_mois=MOYENNE,VLOOKUP("Epinard",AlimentsRationHivernaleDaims,4,FALSE),0)+(IF(QualitéAlimentsJeuneDaim_24_36_mois=MOYENNE,VLOOKUP("Epinard",AlimentsRationHivernaleDaims,3,FALSE),0)+(IF(QualitéAlimentsJeuneDaine_24_36_mois=MOYENNE,VLOOKUP("Epinard",AlimentsRationHivernaleDaims,3,FALSE),0)+(IF(QualitéAlimentsDaim=MOYENNE,VLOOKUP("Epinard",AlimentsRationHivernaleDaims,2,FALSE),0)+(IF(QualitéAlimentsDaine=MOYENNE,VLOOKUP("Epinard",AlimentsRationHivernaleDaims,2,FALSE),0))))))))))))))))</f>
        <v>0</v>
      </c>
      <c r="DY90" s="351">
        <f t="array" ref="DY90">SUM((IF(QualitéAlimentsFaonMâle_0_3_mois=MAUVAISE,VLOOKUP("Epinard",AlimentsRationHivernaleDaims,8,FALSE),0)+(IF(QualitéAlimentsFaonFemelle_0_3_mois=MAUVAISE,VLOOKUP("Epinard",AlimentsRationHivernaleDaims,8,FALSE),0)+(IF(QualitéAlimentsFaonMâle_3_6_mois=MAUVAISE,VLOOKUP("Epinard",AlimentsRationHivernaleDaims,7,FALSE),0)+(IF(QualitéAlimentsFaonFemelle_3_6_mois=MAUVAISE,VLOOKUP("Epinard",AlimentsRationHivernaleDaims,7,FALSE),0)+(IF(QualitéAlimentsFaonMâle_6_12_mois=MAUVAISE,VLOOKUP("Epinard",AlimentsRationHivernaleDaims,6,FALSE),0)+(IF(QualitéAlimentsFaonFemelle_6_12_mois=MAUVAISE,VLOOKUP("Epinard",AlimentsRationHivernaleDaims,6,FALSE),0)+(IF(QualitéAlimentsJeuneDaim_12_18_mois=MAUVAISE,VLOOKUP("Epinard",AlimentsRationHivernaleDaims,5,FALSE),0)+(IF(QualitéAlimentsJeuneDaine_12_18_mois=MAUVAISE,VLOOKUP("Epinard",AlimentsRationHivernaleDaims,5,FALSE),0)+(IF(QualitéAlimentsJeuneDaim_18_24_mois=MAUVAISE,VLOOKUP("Epinard",AlimentsRationHivernaleDaims,4,FALSE),0)+(IF(QualitéAlimentsJeuneDaine_18_24_mois=MAUVAISE,VLOOKUP("Epinard",AlimentsRationHivernaleDaims,4,FALSE),0)+(IF(QualitéAlimentsJeuneDaim_24_36_mois=MAUVAISE,VLOOKUP("Epinard",AlimentsRationHivernaleDaims,3,FALSE),0)+(IF(QualitéAlimentsJeuneDaine_24_36_mois=MAUVAISE,VLOOKUP("Epinard",AlimentsRationHivernaleDaims,3,FALSE),0)+(IF(QualitéAlimentsDaim=MAUVAISE,VLOOKUP("Epinard",AlimentsRationHivernaleDaims,2,FALSE),0)+(IF(QualitéAlimentsDaine=MAUVAISE,VLOOKUP("Epinard",AlimentsRationHivernaleDaims,2,FALSE),0))))))))))))))))</f>
        <v>0</v>
      </c>
      <c r="DZ90" s="298"/>
      <c r="EA90" s="298"/>
      <c r="EB90" s="298"/>
      <c r="EC90" s="298"/>
      <c r="ED90" s="298"/>
      <c r="EE90" s="320"/>
      <c r="EG90" s="420"/>
      <c r="EH90" s="433">
        <f t="array" ref="EH9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90" s="433">
        <f t="array" ref="EI9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90" s="433">
        <f t="array" ref="EJ9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90" s="434">
        <f>SUM(AlimentsRationOiesMâles[[#This Row],[Valeur 6 et plus]:[Valeur 0-3]])</f>
        <v>0</v>
      </c>
      <c r="EL90" s="316"/>
      <c r="EN90" s="397"/>
      <c r="EO90" s="398">
        <f t="array" ref="EO90">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6 et plus],MATCH(ChoixRationCanards&amp;Ration_canards_Mâles[[#This Row],[aliment]],Règles_canards[Ration]&amp;Règles_canards[Aliment],0)),0),0)*TotalCanardsMalesAdultes*NbreJoursNourrirAutres)</f>
        <v>0</v>
      </c>
      <c r="EP90" s="398">
        <f t="array" ref="EP90">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3-6],MATCH(ChoixRationCanards&amp;Ration_canards_Mâles[[#This Row],[aliment]],Règles_canards[Ration]&amp;Règles_canards[Aliment],0)),0),0)*jeune_canard_3_6_mois*NbreJoursNourrirAutres)</f>
        <v>0</v>
      </c>
      <c r="EQ90" s="398">
        <f t="array" ref="EQ90">IF(ChoixRationComplèteCanards=OUI,0,IFERROR(IF(OR(AND(INDEX(Règles_canards[Specificite],MATCH(ChoixRationCanards&amp;Ration_canards_Mâles[[#This Row],[aliment]],Règles_canards[Ration]&amp;Règles_canards[Aliment],0))="s1",IF(Ration_canards_Mâles[[#This Row],[aliment]]=Spécificité1Canards,1)),
AND(INDEX(Règles_canards[Specificite],MATCH(ChoixRationCanards&amp;Ration_canards_Mâles[[#This Row],[aliment]],Règles_canards[Ration]&amp;Règles_canards[Aliment],0))="s2",IF(Ration_canards_Mâles[[#This Row],[aliment]]=Spécificité2Canards,1)),
INDEX(Règles_canards[Specificite],MATCH(ChoixRationCanards&amp;Ration_canards_Mâles[[#This Row],[aliment]],Règles_canards[Ration]&amp;Règles_canards[Aliment],0))="c"),
INDEX(Règles_canards[Valeur 0-3],MATCH(ChoixRationCanards&amp;Ration_canards_Mâles[[#This Row],[aliment]],Règles_canards[Ration]&amp;Règles_canards[Aliment],0)),0),0)*caneton_mâle_0_3_mois*NbreJoursNourrirAutres)</f>
        <v>0</v>
      </c>
      <c r="ER90" s="435">
        <f>SUM(Ration_canards_Mâles[[#This Row],[Valeur 6 et plus]:[Valeur 0-3]])</f>
        <v>0</v>
      </c>
      <c r="ES90" s="316"/>
      <c r="EU90" s="457" t="s">
        <v>907</v>
      </c>
      <c r="EV90" s="458">
        <f t="array" ref="EV90">IF(OR(ChoixRationComplèteEtéChevauxSelle=OUI,ChoixRationComplèteEtéChevauxSelle="",AND(ChoixChevauxSellePréHiver=OUI,ChoixChevauxSellePréEté=OUI)),0,IFERROR(IF(OR(AND(INDEX(Règles_chevaux_selle[Specificite],MATCH(RationEtéChevauxSelle&amp;$EU90,Règles_chevaux_selle[Ration]&amp;Règles_chevaux_selle[Aliment],0))="s1",IF($EU90=Spécificité1ChevauxSelle,1)),
AND(INDEX(Règles_chevaux_selle[Specificite],MATCH(RationEtéChevauxSelle&amp;$EU90,Règles_chevaux_selle[Ration]&amp;Règles_chevaux_selle[Aliment],0))="s2",IF($EU90=Spécificité2ChevauxSelle,1)),
INDEX(Règles_chevaux_selle[Specificite],MATCH(RationEtéChevauxSelle&amp;$EU90,Règles_chevaux_selle[Ration]&amp;Règles_chevaux_selle[Aliment],0))="c"),
INDEX(Règles_chevaux_selle[Valeur 36 et plus],MATCH(RationEtéChevauxSelle&amp;$EU90,Règles_chevaux_selle[Ration]&amp;Règles_chevaux_selle[Aliment],0)),0),0)*TotalEtalonSelle*NbreJoursNourrirChevauxSelle)</f>
        <v>0</v>
      </c>
      <c r="EW90" s="458">
        <f t="array" ref="EW90">IF(OR(ChoixRationComplèteEtéChevauxSelle=OUI,ChoixRationComplèteEtéChevauxSelle="",AND(ChoixChevauxSellePréHiver=OUI,ChoixChevauxSellePréEté=OUI)),0,IFERROR(IF(OR(AND(INDEX(Règles_chevaux_selle[Specificite],MATCH(RationEtéChevauxSelle&amp;$EU90,Règles_chevaux_selle[Ration]&amp;Règles_chevaux_selle[Aliment],0))="s1",IF($EU90=Spécificité1ChevauxSelle,1)),
AND(INDEX(Règles_chevaux_selle[Specificite],MATCH(RationEtéChevauxSelle&amp;$EU90,Règles_chevaux_selle[Ration]&amp;Règles_chevaux_selle[Aliment],0))="s2",IF($EU90=Spécificité2ChevauxSelle,1)),
INDEX(Règles_chevaux_selle[Specificite],MATCH(RationEtéChevauxSelle&amp;$EU90,Règles_chevaux_selle[Ration]&amp;Règles_chevaux_selle[Aliment],0))="c"),
INDEX(Règles_chevaux_selle[Valeur 24-36],MATCH(RationEtéChevauxSelle&amp;$EU90,Règles_chevaux_selle[Ration]&amp;Règles_chevaux_selle[Aliment],0)),0),0)*TotalJeuneEtalonSelle_24_36_mois*NbreJoursNourrirChevauxSelle)</f>
        <v>0</v>
      </c>
      <c r="EX90" s="458">
        <f t="array" ref="EX90">IF(OR(ChoixRationComplèteEtéChevauxSelle=OUI,ChoixRationComplèteEtéChevauxSelle="",AND(ChoixChevauxSellePréHiver=OUI,ChoixChevauxSellePréEté=OUI)),0,IFERROR(IF(OR(AND(INDEX(Règles_chevaux_selle[Specificite],MATCH(RationEtéChevauxSelle&amp;$EU90,Règles_chevaux_selle[Ration]&amp;Règles_chevaux_selle[Aliment],0))="s1",IF($EU90=Spécificité1ChevauxSelle,1)),
AND(INDEX(Règles_chevaux_selle[Specificite],MATCH(RationEtéChevauxSelle&amp;$EU90,Règles_chevaux_selle[Ration]&amp;Règles_chevaux_selle[Aliment],0))="s2",IF($EU90=Spécificité2ChevauxSelle,1)),
INDEX(Règles_chevaux_selle[Specificite],MATCH(RationEtéChevauxSelle&amp;$EU90,Règles_chevaux_selle[Ration]&amp;Règles_chevaux_selle[Aliment],0))="c"),
INDEX(Règles_chevaux_selle[Valeur 12-24],MATCH(RationEtéChevauxSelle&amp;$EU90,Règles_chevaux_selle[Ration]&amp;Règles_chevaux_selle[Aliment],0)),0),0)*TotalJeuneEtalonSelle_12_24_mois*NbreJoursNourrirChevauxSelle)</f>
        <v>0</v>
      </c>
      <c r="EY90" s="460">
        <f t="array" ref="EY90">IF(OR(ChoixRationComplèteEtéChevauxSelle=OUI,ChoixRationComplèteEtéChevauxSelle="",AND(ChoixChevauxSellePréHiver=OUI,ChoixChevauxSellePréEté=OUI)),0,IFERROR(IF(OR(AND(INDEX(Règles_chevaux_selle[Specificite],MATCH(RationEtéChevauxSelle&amp;$EU90,Règles_chevaux_selle[Ration]&amp;Règles_chevaux_selle[Aliment],0))="s1",IF($EU90=Spécificité1ChevauxSelle,1)),
AND(INDEX(Règles_chevaux_selle[Specificite],MATCH(RationEtéChevauxSelle&amp;$EU90,Règles_chevaux_selle[Ration]&amp;Règles_chevaux_selle[Aliment],0))="s2",IF($EU90=Spécificité2ChevauxSelle,1)),
INDEX(Règles_chevaux_selle[Specificite],MATCH(RationEtéChevauxSelle&amp;$EU90,Règles_chevaux_selle[Ration]&amp;Règles_chevaux_selle[Aliment],0))="c"),
INDEX(Règles_chevaux_selle[Valeur 0-12],MATCH(RationEtéChevauxSelle&amp;$EU90,Règles_chevaux_selle[Ration]&amp;Règles_chevaux_selle[Aliment],0)),0),0)*TotalPoulainSelle_0_12_mois*NbreJoursNourrirChevauxSelle)</f>
        <v>0</v>
      </c>
      <c r="EZ90" s="460">
        <f t="shared" si="16"/>
        <v>0</v>
      </c>
      <c r="FD90" s="457"/>
      <c r="FE90" s="458">
        <f t="array" ref="FE90">IF(OR(ChoixRationComplèteEtéChevauxTrait=OUI,ChoixRationComplèteEtéChevauxTrait="",AND(ChoixChevauxTraitPréHiver=OUI,ChoixChevauxTraitPréEté=OUI)),0,IFERROR(IF(OR(AND(INDEX(Règles_chevaux_trait[Specificite],MATCH(RationEtéChevauxTrait&amp;$FD90,Règles_chevaux_trait[Ration]&amp;Règles_chevaux_trait[Aliment],0))="s1",IF($FD90=Spécificité1ChevauxTrait,1)),
AND(INDEX(Règles_chevaux_trait[Specificite],MATCH(RationEtéChevauxTrait&amp;$FD90,Règles_chevaux_trait[Ration]&amp;Règles_chevaux_trait[Aliment],0))="s2",IF($FD90=Spécificité2ChevauxTrait,1)),
INDEX(Règles_chevaux_trait[Specificite],MATCH(RationEtéChevauxTrait&amp;$FD90,Règles_chevaux_trait[Ration]&amp;Règles_chevaux_trait[Aliment],0))="c"),
INDEX(Règles_chevaux_trait[Valeur 36 et plus],MATCH(RationEtéChevauxTrait&amp;$FD90,Règles_chevaux_trait[Ration]&amp;Règles_chevaux_trait[Aliment],0)),0),0)*TotalEtalonTrait*NbreJoursNourrirChevauxTrait)</f>
        <v>0</v>
      </c>
      <c r="FF90" s="458">
        <f t="array" ref="FF90">IF(OR(ChoixRationComplèteEtéChevauxTrait=OUI,ChoixRationComplèteEtéChevauxTrait="",AND(ChoixChevauxTraitPréHiver=OUI,ChoixChevauxTraitPréEté=OUI)),0,IFERROR(IF(OR(AND(INDEX(Règles_chevaux_trait[Specificite],MATCH(RationEtéChevauxTrait&amp;$FD90,Règles_chevaux_trait[Ration]&amp;Règles_chevaux_trait[Aliment],0))="s1",IF($FD90=Spécificité1ChevauxTrait,1)),
AND(INDEX(Règles_chevaux_trait[Specificite],MATCH(RationEtéChevauxTrait&amp;$FD90,Règles_chevaux_trait[Ration]&amp;Règles_chevaux_trait[Aliment],0))="s2",IF($FD90=Spécificité2ChevauxTrait,1)),
INDEX(Règles_chevaux_trait[Specificite],MATCH(RationEtéChevauxTrait&amp;$FD90,Règles_chevaux_trait[Ration]&amp;Règles_chevaux_trait[Aliment],0))="c"),
INDEX(Règles_chevaux_trait[Valeur 24-36],MATCH(RationEtéChevauxTrait&amp;$FD90,Règles_chevaux_trait[Ration]&amp;Règles_chevaux_trait[Aliment],0)),0),0)*TotalJeuneEtalonTrait_24_36_mois*NbreJoursNourrirChevauxTrait)</f>
        <v>0</v>
      </c>
      <c r="FG90" s="458">
        <f t="array" ref="FG90">IF(OR(ChoixRationComplèteEtéChevauxTrait=OUI,ChoixRationComplèteEtéChevauxTrait="",AND(ChoixChevauxTraitPréHiver=OUI,ChoixChevauxTraitPréEté=OUI)),0,IFERROR(IF(OR(AND(INDEX(Règles_chevaux_trait[Specificite],MATCH(RationEtéChevauxTrait&amp;$FD90,Règles_chevaux_trait[Ration]&amp;Règles_chevaux_trait[Aliment],0))="s1",IF($FD90=Spécificité1ChevauxTrait,1)),
AND(INDEX(Règles_chevaux_trait[Specificite],MATCH(RationEtéChevauxTrait&amp;$FD90,Règles_chevaux_trait[Ration]&amp;Règles_chevaux_trait[Aliment],0))="s2",IF($FD90=Spécificité2ChevauxTrait,1)),
INDEX(Règles_chevaux_trait[Specificite],MATCH(RationEtéChevauxTrait&amp;$FD90,Règles_chevaux_trait[Ration]&amp;Règles_chevaux_trait[Aliment],0))="c"),
INDEX(Règles_chevaux_trait[Valeur 12-24],MATCH(RationEtéChevauxTrait&amp;$FD90,Règles_chevaux_trait[Ration]&amp;Règles_chevaux_trait[Aliment],0)),0),0)*TotalJeuneEtalonTrait_12_24_mois*NbreJoursNourrirChevauxTrait)</f>
        <v>0</v>
      </c>
      <c r="FH90" s="460">
        <f t="array" ref="FH90">IF(OR(ChoixRationComplèteEtéChevauxTrait=OUI,ChoixRationComplèteEtéChevauxTrait="",AND(ChoixChevauxTraitPréHiver=OUI,ChoixChevauxTraitPréEté=OUI)),0,IFERROR(IF(OR(AND(INDEX(Règles_chevaux_trait[Specificite],MATCH(RationEtéChevauxTrait&amp;$FD90,Règles_chevaux_trait[Ration]&amp;Règles_chevaux_trait[Aliment],0))="s1",IF($FD90=Spécificité1ChevauxTrait,1)),
AND(INDEX(Règles_chevaux_trait[Specificite],MATCH(RationEtéChevauxTrait&amp;$FD90,Règles_chevaux_trait[Ration]&amp;Règles_chevaux_trait[Aliment],0))="s2",IF($FD90=Spécificité2ChevauxTrait,1)),
INDEX(Règles_chevaux_trait[Specificite],MATCH(RationEtéChevauxTrait&amp;$FD90,Règles_chevaux_trait[Ration]&amp;Règles_chevaux_trait[Aliment],0))="c"),
INDEX(Règles_chevaux_trait[Valeur 0-12],MATCH(RationEtéChevauxTrait&amp;$FD90,Règles_chevaux_trait[Ration]&amp;Règles_chevaux_trait[Aliment],0)),0),0)*TotalPoulainTrait_0_12_mois*NbreJoursNourrirChevauxTrait)</f>
        <v>0</v>
      </c>
      <c r="FI90" s="460">
        <f t="shared" si="15"/>
        <v>0</v>
      </c>
      <c r="FN90" s="457"/>
      <c r="FO90" s="458">
        <f t="array" ref="FO90">IF(OR(ChoixRationComplèteEtéPoneys=OUI,ChoixRationComplèteEtéPoneys="",AND(ChoixPoneysPréHiver=OUI,ChoixPoneysPréEté=OUI)),0,IFERROR(IF(OR(AND(INDEX(Règles_poneys[Specificite],MATCH(RationEtéPoneys&amp;$FN90,Règles_poneys[Ration]&amp;Règles_poneys[Aliment],0))="s1",IF($FN90=Spécificité1Poneys,1)),
AND(INDEX(Règles_poneys[Specificite],MATCH(RationEtéPoneys&amp;$FN90,Règles_poneys[Ration]&amp;Règles_poneys[Aliment],0))="s2",IF($FN90=Spécificité2Poneys,1)),
INDEX(Règles_poneys[Specificite],MATCH(RationEtéPoneys&amp;$FN90,Règles_poneys[Ration]&amp;Règles_poneys[Aliment],0))="c"),
INDEX(Règles_poneys[Valeur 36 et plus],MATCH(RationEtéPoneys&amp;$FN90,Règles_poneys[Ration]&amp;Règles_poneys[Aliment],0)),0),0)*TotalEtalonPoney*NbreJoursNourrirPoneys)</f>
        <v>0</v>
      </c>
      <c r="FP90" s="458">
        <f t="array" ref="FP90">IF(OR(ChoixRationComplèteEtéPoneys=OUI,ChoixRationComplèteEtéPoneys="",AND(ChoixPoneysPréHiver=OUI,ChoixPoneysPréEté=OUI)),0,IFERROR(IF(OR(AND(INDEX(Règles_poneys[Specificite],MATCH(RationEtéPoneys&amp;$FN90,Règles_poneys[Ration]&amp;Règles_poneys[Aliment],0))="s1",IF($FN90=Spécificité1Poneys,1)),
AND(INDEX(Règles_poneys[Specificite],MATCH(RationEtéPoneys&amp;$FN90,Règles_poneys[Ration]&amp;Règles_poneys[Aliment],0))="s2",IF($FN90=Spécificité2Poneys,1)),
INDEX(Règles_poneys[Specificite],MATCH(RationEtéPoneys&amp;$FN90,Règles_poneys[Ration]&amp;Règles_poneys[Aliment],0))="c"),
INDEX(Règles_poneys[Valeur 36 et plus],MATCH(RationEtéPoneys&amp;$FN90,Règles_poneys[Ration]&amp;Règles_poneys[Aliment],0)),0),0)*TotalJeuneEtalonPoney_24_36_mois*NbreJoursNourrirPoneys)</f>
        <v>0</v>
      </c>
      <c r="FQ90" s="458">
        <f t="array" ref="FQ90">IF(OR(ChoixRationComplèteEtéPoneys=OUI,ChoixRationComplèteEtéPoneys="",AND(ChoixPoneysPréHiver=OUI,ChoixPoneysPréEté=OUI)),0,IFERROR(IF(OR(AND(INDEX(Règles_poneys[Specificite],MATCH(RationEtéPoneys&amp;$FN90,Règles_poneys[Ration]&amp;Règles_poneys[Aliment],0))="s1",IF($FN90=Spécificité1Poneys,1)),
AND(INDEX(Règles_poneys[Specificite],MATCH(RationEtéPoneys&amp;$FN90,Règles_poneys[Ration]&amp;Règles_poneys[Aliment],0))="s2",IF($FN90=Spécificité2Poneys,1)),
INDEX(Règles_poneys[Specificite],MATCH(RationEtéPoneys&amp;$FN90,Règles_poneys[Ration]&amp;Règles_poneys[Aliment],0))="c"),
INDEX(Règles_poneys[Valeur 36 et plus],MATCH(RationEtéPoneys&amp;$FN90,Règles_poneys[Ration]&amp;Règles_poneys[Aliment],0)),0),0)*TotalJeuneEtalonPoney_12_24_mois*NbreJoursNourrirPoneys)</f>
        <v>0</v>
      </c>
      <c r="FR90" s="460">
        <f t="array" ref="FR90">IF(OR(ChoixRationComplèteEtéPoneys=OUI,ChoixRationComplèteEtéPoneys="",AND(ChoixPoneysPréHiver=OUI,ChoixPoneysPréEté=OUI)),0,IFERROR(IF(OR(AND(INDEX(Règles_poneys[Specificite],MATCH(RationEtéPoneys&amp;$FN90,Règles_poneys[Ration]&amp;Règles_poneys[Aliment],0))="s1",IF($FN90=Spécificité1Poneys,1)),
AND(INDEX(Règles_poneys[Specificite],MATCH(RationEtéPoneys&amp;$FN90,Règles_poneys[Ration]&amp;Règles_poneys[Aliment],0))="s2",IF($FN90=Spécificité2Poneys,1)),
INDEX(Règles_poneys[Specificite],MATCH(RationEtéPoneys&amp;$FN90,Règles_poneys[Ration]&amp;Règles_poneys[Aliment],0))="c"),
INDEX(Règles_poneys[Valeur 36 et plus],MATCH(RationEtéPoneys&amp;$FN90,Règles_poneys[Ration]&amp;Règles_poneys[Aliment],0)),0),0)*TotalPoulainPoney_0_12_mois*NbreJoursNourrirPoneys)</f>
        <v>0</v>
      </c>
      <c r="FS90" s="460">
        <f t="shared" si="14"/>
        <v>0</v>
      </c>
      <c r="FW90" s="443" t="str">
        <f>FW43</f>
        <v>Avoine</v>
      </c>
      <c r="FX90" s="450">
        <f t="array" ref="FX90">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90" s="450">
        <f t="array" ref="FY90">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90" s="450">
        <f t="array" ref="FZ90">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90" s="450">
        <f t="array" ref="GA90">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90" s="451">
        <f>SUM(AlimentsGavageCanards[[#This Row],[Valeur 6 et plus]:[Valeur 0-1]])</f>
        <v>0</v>
      </c>
      <c r="GG90" s="276" t="s">
        <v>955</v>
      </c>
      <c r="GH90" s="276" t="s">
        <v>955</v>
      </c>
      <c r="GI90" s="276" t="s">
        <v>955</v>
      </c>
      <c r="GJ90" s="276" t="s">
        <v>955</v>
      </c>
      <c r="GK90" s="276" t="s">
        <v>955</v>
      </c>
      <c r="GL90" s="276" t="s">
        <v>955</v>
      </c>
      <c r="GM90" s="276" t="s">
        <v>955</v>
      </c>
      <c r="GN90" s="276" t="s">
        <v>955</v>
      </c>
      <c r="GO90" s="276" t="s">
        <v>955</v>
      </c>
      <c r="GP90" s="276" t="s">
        <v>955</v>
      </c>
      <c r="GQ90" s="276" t="s">
        <v>955</v>
      </c>
      <c r="GR90" s="276" t="s">
        <v>955</v>
      </c>
      <c r="GS90" s="276" t="s">
        <v>955</v>
      </c>
      <c r="GT90" s="276" t="s">
        <v>955</v>
      </c>
      <c r="GU90" s="276" t="s">
        <v>955</v>
      </c>
      <c r="GV90" s="276" t="s">
        <v>955</v>
      </c>
      <c r="GY90" s="444" t="str">
        <f t="shared" si="24"/>
        <v>Phosphore</v>
      </c>
      <c r="GZ90" s="444"/>
      <c r="HA90" s="342"/>
      <c r="HB90" s="342" t="e">
        <f>IF(COUNTIF(TypeArticleDansEntrepôt,GY90)=0,0,SUMIF(TypeArticleDansEntrepôt,GY90,QtéArticleDansEntrepôt)*VLOOKUP(GY90,#REF!,2,FALSE))</f>
        <v>#REF!</v>
      </c>
      <c r="HN90" s="342" t="e">
        <f>IF(#REF!="","",(VLOOKUP(#REF!,BDD!$HN$5:$HU$38,2,FALSE))*#REF!)</f>
        <v>#REF!</v>
      </c>
      <c r="HO90" s="342" t="e">
        <f>IF(#REF!="","",IF(OR(#REF!=Moutarde,#REF!=Phacélie),0,IF(#REF!=Luzerne,10*#REF!*VLOOKUP(#REF!,BDD!$HN$5:$HU$38,3,FALSE),IF(#REF!=Miscanthus,10.5*#REF!*VLOOKUP(#REF!,BDD!$HN$5:$HU$38,3,FALSE),INDEX(#REF!:#REF!,MATCH(#REF!,#REF!:#REF!,0),MATCH(#REF!,#REF!:#REF!,0))*#REF!*VLOOKUP(#REF!,BDD!$HN$5:$HU$38,3,FALSE)))))</f>
        <v>#REF!</v>
      </c>
      <c r="HP90" s="342" t="e">
        <f>IF(#REF!="","",IF(OR(#REF!=Moutarde,#REF!=Phacélie),0,IF(#REF!=Luzerne,10*#REF!*VLOOKUP(#REF!,BDD!$HN$5:$HU$38,4,FALSE),IF(#REF!=Miscanthus,10.5*#REF!*VLOOKUP(#REF!,BDD!$HN$5:$HU$38,4,FALSE),INDEX(#REF!:#REF!,MATCH(#REF!,#REF!:#REF!,0),MATCH(#REF!,#REF!:#REF!,0))*#REF!*VLOOKUP(#REF!,BDD!$HN$5:$HU$38,4,FALSE)))))</f>
        <v>#REF!</v>
      </c>
      <c r="HQ90" s="342" t="e">
        <f>IF(#REF!="","",IF(OR(#REF!=Moutarde,#REF!=Phacélie),0,IF(#REF!=Luzerne,10*#REF!*VLOOKUP(#REF!,BDD!$HN$5:$HU$38,5,FALSE),IF(#REF!=Miscanthus,10.5*#REF!*VLOOKUP(#REF!,BDD!$HN$5:$HU$38,5,FALSE),INDEX(#REF!:#REF!,MATCH(#REF!,#REF!:#REF!,0),MATCH(#REF!,#REF!:#REF!,0))*#REF!*VLOOKUP(#REF!,BDD!$HN$5:$HU$38,5,FALSE)))))</f>
        <v>#REF!</v>
      </c>
      <c r="HR90" s="342" t="e">
        <f>IF(#REF!="","",IF(OR(#REF!=Moutarde,#REF!=Phacélie),0,IF(#REF!=Luzerne,10*#REF!*VLOOKUP(#REF!,BDD!$HN$5:$HU$38,6,FALSE),IF(#REF!=Miscanthus,10.5*#REF!*VLOOKUP(#REF!,BDD!$HN$5:$HU$38,6,FALSE),INDEX(#REF!:#REF!,MATCH(#REF!,#REF!:#REF!,0),MATCH(#REF!,#REF!:#REF!,0))*#REF!*VLOOKUP(#REF!,BDD!$HN$5:$HU$38,6,FALSE)))))</f>
        <v>#REF!</v>
      </c>
      <c r="HS90" s="342" t="e">
        <f>IF(#REF!="","",IF(OR(#REF!=Moutarde,#REF!=Phacélie),0,IF(#REF!=Luzerne,10*#REF!*VLOOKUP(#REF!,BDD!$HN$5:$HU$38,7,FALSE),IF(#REF!=Miscanthus,10.5*#REF!*VLOOKUP(#REF!,BDD!$HN$5:$HU$38,7,FALSE),INDEX(#REF!:#REF!,MATCH(#REF!,#REF!:#REF!,0),MATCH(#REF!,#REF!:#REF!,0))*#REF!*VLOOKUP(#REF!,BDD!$HN$5:$HU$38,7,FALSE)))))</f>
        <v>#REF!</v>
      </c>
      <c r="HT90" s="342" t="e">
        <f>IF(#REF!="","",IF(OR(#REF!=Moutarde,#REF!=Phacélie),0,IF(#REF!=Luzerne,10*#REF!*VLOOKUP(#REF!,BDD!$HN$5:$HU$38,8,FALSE),IF(#REF!=Miscanthus,10.5*#REF!*VLOOKUP(#REF!,BDD!$HN$5:$HU$38,8,FALSE),INDEX(#REF!:#REF!,MATCH(#REF!,#REF!:#REF!,0),MATCH(#REF!,#REF!:#REF!,0))*#REF!*VLOOKUP(#REF!,BDD!$HN$5:$HU$38,8,FALSE)))))</f>
        <v>#REF!</v>
      </c>
      <c r="HU90" s="342" t="e">
        <f>IF(#REF!="","",IF(OR(#REF!=Moutarde,#REF!=Phacélie),0,1.6*#REF!))</f>
        <v>#REF!</v>
      </c>
      <c r="HV90" s="342" t="e">
        <f>IF(#REF!="","",IF(OR(#REF!=Moutarde,#REF!=Phacélie),0,1.6*#REF!))</f>
        <v>#REF!</v>
      </c>
      <c r="HW90" s="342" t="e">
        <f>IF(#REF!="","",IF(OR(#REF!=Moutarde,#REF!=Phacélie),0,1.6*#REF!))</f>
        <v>#REF!</v>
      </c>
      <c r="HX90" s="342" t="e">
        <f>IF(#REF!="","",(VLOOKUP(#REF!,BDD!$HN$5:$HU$38,2,FALSE))*#REF!)</f>
        <v>#REF!</v>
      </c>
      <c r="HY90" s="342" t="e">
        <f>IF(#REF!="","",IF(OR(#REF!=Moutarde,#REF!=Phacélie),0,IF(#REF!=Luzerne,10*#REF!*VLOOKUP(#REF!,BDD!$HN$5:$HU$38,3,FALSE),IF(#REF!=Miscanthus,10.5*#REF!*VLOOKUP(#REF!,BDD!$HN$5:$HU$38,3,FALSE),INDEX(#REF!:#REF!,MATCH(#REF!,#REF!:#REF!,0),MATCH(#REF!,#REF!:#REF!,0))*#REF!*VLOOKUP(#REF!,BDD!$HN$5:$HU$38,3,FALSE)))))</f>
        <v>#REF!</v>
      </c>
      <c r="HZ90" s="342" t="e">
        <f>IF(#REF!="","",IF(OR(#REF!=Moutarde,#REF!=Phacélie),0,IF(#REF!=Luzerne,10*#REF!*VLOOKUP(#REF!,BDD!$HN$5:$HU$38,4,FALSE),IF(#REF!=Miscanthus,10.5*#REF!*VLOOKUP(#REF!,BDD!$HN$5:$HU$38,4,FALSE),INDEX(#REF!:#REF!,MATCH(#REF!,#REF!:#REF!,0),MATCH(#REF!,#REF!:#REF!,0))*#REF!*VLOOKUP(#REF!,BDD!$HN$5:$HU$38,4,FALSE)))))</f>
        <v>#REF!</v>
      </c>
      <c r="IA90" s="342" t="e">
        <f>IF(#REF!="","",IF(OR(#REF!=Moutarde,#REF!=Phacélie),0,IF(#REF!=Luzerne,10*#REF!*VLOOKUP(#REF!,BDD!$HN$5:$HU$38,5,FALSE),IF(#REF!=Miscanthus,10.5*#REF!*VLOOKUP(#REF!,BDD!$HN$5:$HU$38,5,FALSE),INDEX(#REF!:#REF!,MATCH(#REF!,#REF!:#REF!,0),MATCH(#REF!,#REF!:#REF!,0))*#REF!*VLOOKUP(#REF!,BDD!$HN$5:$HU$38,5,FALSE)))))</f>
        <v>#REF!</v>
      </c>
      <c r="IB90" s="342" t="e">
        <f>IF(#REF!="","",IF(OR(#REF!=Moutarde,#REF!=Phacélie),0,IF(#REF!=Luzerne,10*#REF!*VLOOKUP(#REF!,BDD!$HN$5:$HU$38,6,FALSE),IF(#REF!=Miscanthus,10.5*#REF!*VLOOKUP(#REF!,BDD!$HN$5:$HU$38,6,FALSE),INDEX(#REF!:#REF!,MATCH(#REF!,#REF!:#REF!,0),MATCH(#REF!,#REF!:#REF!,0))*#REF!*VLOOKUP(#REF!,BDD!$HN$5:$HU$38,6,FALSE)))))</f>
        <v>#REF!</v>
      </c>
      <c r="IC90" s="342" t="e">
        <f>IF(#REF!="","",IF(OR(#REF!=Moutarde,#REF!=Phacélie),0,IF(#REF!=Luzerne,10*#REF!*VLOOKUP(#REF!,BDD!$HN$5:$HU$38,7,FALSE),IF(#REF!=Miscanthus,10.5*#REF!*VLOOKUP(#REF!,BDD!$HN$5:$HU$38,7,FALSE),INDEX(#REF!:#REF!,MATCH(#REF!,#REF!:#REF!,0),MATCH(#REF!,#REF!:#REF!,0))*#REF!*VLOOKUP(#REF!,BDD!$HN$5:$HU$38,7,FALSE)))))</f>
        <v>#REF!</v>
      </c>
      <c r="ID90" s="342" t="e">
        <f>IF(#REF!="","",IF(OR(#REF!=Moutarde,#REF!=Phacélie),0,IF(#REF!=Luzerne,10*#REF!*VLOOKUP(#REF!,BDD!$HN$5:$HU$38,8,FALSE),IF(#REF!=Miscanthus,10.5*#REF!*VLOOKUP(#REF!,BDD!$HN$5:$HU$38,8,FALSE),INDEX(#REF!:#REF!,MATCH(#REF!,#REF!:#REF!,0),MATCH(#REF!,#REF!:#REF!,0))*#REF!*VLOOKUP(#REF!,BDD!$HN$5:$HU$38,8,FALSE)))))</f>
        <v>#REF!</v>
      </c>
      <c r="IE90" s="342" t="e">
        <f>IF(#REF!="","",IF(OR(#REF!=Moutarde,#REF!=Phacélie),0,1.6*#REF!))</f>
        <v>#REF!</v>
      </c>
      <c r="IF90" s="342" t="e">
        <f>IF(#REF!="","",IF(OR(#REF!=Moutarde,#REF!=Phacélie),0,1.6*#REF!))</f>
        <v>#REF!</v>
      </c>
      <c r="IG90" s="342" t="e">
        <f>IF(#REF!="","",IF(OR(#REF!=Moutarde,#REF!=Phacélie),0,1.6*#REF!))</f>
        <v>#REF!</v>
      </c>
    </row>
    <row r="91" spans="1:241" ht="12.75" customHeight="1" x14ac:dyDescent="0.2">
      <c r="A91" s="373"/>
      <c r="B91" s="380"/>
      <c r="F91" s="280"/>
      <c r="G91" s="280"/>
      <c r="H91" s="280"/>
      <c r="I91" s="321"/>
      <c r="J91" s="321"/>
      <c r="K91" s="321"/>
      <c r="L91" s="321"/>
      <c r="O91" s="385" t="s">
        <v>995</v>
      </c>
      <c r="P91" s="385" t="e">
        <f>IF(ChoixExpèceAuPré="",0,SUMIF(ChoixEspèceAuPré,Bovins,NbreMâles_0_3MoisAuPréEté))</f>
        <v>#REF!</v>
      </c>
      <c r="Q91" s="385" t="e">
        <f>IF(ChoixExpèceAuPré="",0,SUMIF(ChoixEspèceAuPré,Ovins,NbreMâles_0_3MoisAuPréEté))</f>
        <v>#REF!</v>
      </c>
      <c r="R91" s="385" t="e">
        <f>IF(ChoixExpèceAuPré="",0,SUMIF(ChoixEspèceAuPré,Caprins,NbreMâles_0_3MoisAuPréEté))</f>
        <v>#REF!</v>
      </c>
      <c r="S91" s="385" t="e">
        <f>IF(ChoixExpèceAuPré="",0,SUMIF(ChoixEspèceAuPré,Bisons,NbreMâles_0_3MoisAuPréEté))</f>
        <v>#REF!</v>
      </c>
      <c r="T91" s="385" t="e">
        <f>IF(ChoixExpèceAuPré="",0,SUMIF(ChoixEspèceAuPré,Daims,NbreMâles_0_3MoisAuPréEté))</f>
        <v>#REF!</v>
      </c>
      <c r="U91" s="385" t="e">
        <f>IF(ChoixExpèceAuPré="",0,SUMIF(ChoixEspèceAuPré,ChevauxSelle,NbreMâles_0_3MoisAuPréEté))</f>
        <v>#REF!</v>
      </c>
      <c r="V91" s="385" t="e">
        <f>IF(ChoixExpèceAuPré="",0,SUMIF(ChoixEspèceAuPré,ChevauxTrait,NbreMâles_0_3MoisAuPréEté))</f>
        <v>#REF!</v>
      </c>
      <c r="W91" s="385" t="e">
        <f>IF(ChoixExpèceAuPré="",0,SUMIF(ChoixEspèceAuPré,Poneys,NbreMâles_0_3MoisAuPréEté))</f>
        <v>#REF!</v>
      </c>
      <c r="Y91" s="385" t="s">
        <v>1130</v>
      </c>
      <c r="Z91" s="385">
        <f>IF('coût alimentation'!$B$6=$Y$91,21,0)</f>
        <v>0</v>
      </c>
      <c r="AA91" s="385">
        <f>IF('coût alimentation'!$B$6=$Y$91,21,0)</f>
        <v>0</v>
      </c>
      <c r="AB91" s="385">
        <f>IF('coût alimentation'!$B$6=$Y$91,21,0)</f>
        <v>0</v>
      </c>
      <c r="AC91" s="385">
        <f>IF('coût alimentation'!$B$6=$Y$91,21,0)</f>
        <v>0</v>
      </c>
      <c r="AD91" s="385">
        <f>IF('coût alimentation'!$B$6=$Y$91,21,0)</f>
        <v>0</v>
      </c>
      <c r="AE91" s="385">
        <f>IF('coût alimentation'!$B$6=$Y$91,21,0)</f>
        <v>0</v>
      </c>
      <c r="AF91" s="385">
        <f>IF('coût alimentation'!$B$6=$Y$91,21,0)</f>
        <v>0</v>
      </c>
      <c r="AG91" s="385">
        <f>IF('coût alimentation'!$B$6=$Y$91,21,0)</f>
        <v>0</v>
      </c>
      <c r="BB91" s="387" t="s">
        <v>512</v>
      </c>
      <c r="BC91" s="362" t="s">
        <v>57</v>
      </c>
      <c r="BD91" s="362" t="s">
        <v>888</v>
      </c>
      <c r="BE91" s="388">
        <v>4.8</v>
      </c>
      <c r="BF91" s="388">
        <v>4</v>
      </c>
      <c r="BG91" s="388">
        <v>4</v>
      </c>
      <c r="BH91" s="388">
        <v>4</v>
      </c>
      <c r="BI91" s="388">
        <v>2</v>
      </c>
      <c r="BJ91" s="388">
        <v>1.2</v>
      </c>
      <c r="BK91" s="389">
        <v>0</v>
      </c>
      <c r="BL91" s="312"/>
      <c r="BM91" s="350" t="str">
        <f t="shared" si="22"/>
        <v>Maïs grain</v>
      </c>
      <c r="BN91" s="350">
        <f t="array" ref="BN91">IF(Ration_hivernale_complète_bisons[somme]&gt;0,0,IFERROR(IF(OR(AND(INDEX(Règles_bison[Specificite],MATCH(ChoixRationBisons&amp;$BM91,Règles_bison[Ration]&amp;Règles_bison[Aliment],0))="s1",IF($BM91=ChoixSpécificité1Bisons,1)),
INDEX(Règles_bison[Specificite],MATCH(ChoixRationBisons&amp;$BM91,Règles_bison[Ration]&amp;Règles_bison[Aliment],0))="c"),
INDEX(Règles_bison[Valeur 36 et plus],MATCH(ChoixRationBisons&amp;$BM91,Règles_bison[Ration]&amp;Règles_bison[Aliment],0)),0),0)*TotalBisonnes*NbreJoursNourrirBisonsDaims)</f>
        <v>0</v>
      </c>
      <c r="BO91" s="350">
        <f t="array" ref="BO91">IF(Ration_hivernale_complète_bisons[somme]&gt;0,0,IFERROR(IF(OR(AND(INDEX(Règles_bison[Specificite],MATCH(ChoixRationBisons&amp;$BM91,Règles_bison[Ration]&amp;Règles_bison[Aliment],0))="s1",IF($BM91=ChoixSpécificité1Bisons,1)),
INDEX(Règles_bison[Specificite],MATCH(ChoixRationBisons&amp;$BM91,Règles_bison[Ration]&amp;Règles_bison[Aliment],0))="c"),
INDEX(Règles_bison[Valeur 24-36],MATCH(ChoixRationBisons&amp;$BM91,Règles_bison[Ration]&amp;Règles_bison[Aliment],0)),0),0)*TotalBisonsFemelles_24_36_mois*NbreJoursNourrirBisonsDaims)</f>
        <v>0</v>
      </c>
      <c r="BP91" s="350">
        <f t="array" ref="BP91">IF(Ration_hivernale_complète_bisons[somme]&gt;0,0,IFERROR(IF(OR(AND(INDEX(Règles_bison[Specificite],MATCH(ChoixRationBisons&amp;$BM91,Règles_bison[Ration]&amp;Règles_bison[Aliment],0))="s1",IF($BM91=ChoixSpécificité1Bisons,1)),
INDEX(Règles_bison[Specificite],MATCH(ChoixRationBisons&amp;$BM91,Règles_bison[Ration]&amp;Règles_bison[Aliment],0))="c"),
INDEX(Règles_bison[Valeur 18-24],MATCH(ChoixRationBisons&amp;$BM91,Règles_bison[Ration]&amp;Règles_bison[Aliment],0)),0),0)*TotalBisonsFemelles_18_24_mois*NbreJoursNourrirBisonsDaims)</f>
        <v>0</v>
      </c>
      <c r="BQ91" s="350">
        <f t="array" ref="BQ91">IF(Ration_hivernale_complète_bisons[somme]&gt;0,0,IFERROR(IF(OR(AND(INDEX(Règles_bison[Specificite],MATCH(ChoixRationBisons&amp;$BM91,Règles_bison[Ration]&amp;Règles_bison[Aliment],0))="s1",IF($BM91=ChoixSpécificité1Bisons,1)),
INDEX(Règles_bison[Specificite],MATCH(ChoixRationBisons&amp;$BM91,Règles_bison[Ration]&amp;Règles_bison[Aliment],0))="c"),
INDEX(Règles_bison[Valeur 12-18],MATCH(ChoixRationBisons&amp;$BM91,Règles_bison[Ration]&amp;Règles_bison[Aliment],0)),0),0)*TotalBisonsFemelles_12_18_mois*NbreJoursNourrirBisonsDaims)</f>
        <v>0</v>
      </c>
      <c r="BR91" s="350">
        <f t="array" ref="BR91">IF(Ration_hivernale_complète_bisons[somme]&gt;0,0,IFERROR(IF(OR(AND(INDEX(Règles_bison[Specificite],MATCH(ChoixRationBisons&amp;$BM91,Règles_bison[Ration]&amp;Règles_bison[Aliment],0))="s1",IF($BM91=ChoixSpécificité1Bisons,1)),
INDEX(Règles_bison[Specificite],MATCH(ChoixRationBisons&amp;$BM91,Règles_bison[Ration]&amp;Règles_bison[Aliment],0))="c"),
INDEX(Règles_bison[Valeur 6-12],MATCH(ChoixRationBisons&amp;$BM91,Règles_bison[Ration]&amp;Règles_bison[Aliment],0)),0),0)*TotalBisonsFemelles_6_12_mois*NbreJoursNourrirBisonsDaims)</f>
        <v>0</v>
      </c>
      <c r="BS91" s="350">
        <f t="array" ref="BS91">IF(Ration_hivernale_complète_bisons[somme]&gt;0,0,IFERROR(IF(OR(AND(INDEX(Règles_bison[Specificite],MATCH(ChoixRationBisons&amp;$BM91,Règles_bison[Ration]&amp;Règles_bison[Aliment],0))="s1",IF($BM91=ChoixSpécificité1Bisons,1)),
INDEX(Règles_bison[Specificite],MATCH(ChoixRationBisons&amp;$BM91,Règles_bison[Ration]&amp;Règles_bison[Aliment],0))="c"),
INDEX(Règles_bison[Valeur 3-6],MATCH(ChoixRationBisons&amp;$BM91,Règles_bison[Ration]&amp;Règles_bison[Aliment],0)),0),0)*TotalBisonsFemelles_3_6_mois*NbreJoursNourrirBisonsDaims)</f>
        <v>0</v>
      </c>
      <c r="BT91" s="350">
        <f t="array" ref="BT91">IF(Ration_hivernale_complète_bisons[somme]&gt;0,0,IFERROR(IF(OR(AND(INDEX(Règles_bison[Specificite],MATCH(ChoixRationBisons&amp;$BM91,Règles_bison[Ration]&amp;Règles_bison[Aliment],0))="s1",IF($BM91=ChoixSpécificité1Bisons,1)),
INDEX(Règles_bison[Specificite],MATCH(ChoixRationBisons&amp;$BM91,Règles_bison[Ration]&amp;Règles_bison[Aliment],0))="c"),
INDEX(Règles_bison[Valeur 0-3],MATCH(ChoixRationBisons&amp;$BM91,Règles_bison[Ration]&amp;Règles_bison[Aliment],0)),0),0)*TotalBisonsFemelles_0_3_mois*NbreJoursNourrirBisonsDaims)</f>
        <v>0</v>
      </c>
      <c r="BU91" s="350">
        <f t="shared" si="21"/>
        <v>0</v>
      </c>
      <c r="BV91" s="282"/>
      <c r="BW91" s="282"/>
      <c r="BX91" s="373" t="s">
        <v>551</v>
      </c>
      <c r="BY91" s="280" t="s">
        <v>488</v>
      </c>
      <c r="BZ91" s="280" t="s">
        <v>886</v>
      </c>
      <c r="CA91" s="280">
        <v>10</v>
      </c>
      <c r="CB91" s="280">
        <v>8</v>
      </c>
      <c r="CC91" s="280">
        <v>6</v>
      </c>
      <c r="CD91" s="410">
        <v>0</v>
      </c>
      <c r="CE91" s="304"/>
      <c r="CF91" s="304"/>
      <c r="CG91" s="304"/>
      <c r="CH91" s="304"/>
      <c r="CI91" s="277"/>
      <c r="CJ91" s="420" t="str">
        <f t="shared" si="25"/>
        <v>Bouchons luzerne</v>
      </c>
      <c r="CK91" s="384">
        <f t="array" ref="CK9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91" s="384">
        <f t="array" ref="CL9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91" s="384">
        <f t="array" ref="CM9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91" s="384">
        <f t="array" ref="CN9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91" s="384">
        <f t="array" ref="CO9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91" s="426">
        <f>SUM(AlimentsRationPorcinsFemelles[[#This Row],[Valeur 12 et plus]:[Valeur 0-1]])</f>
        <v>0</v>
      </c>
      <c r="CS91" s="420"/>
      <c r="CT91" s="433">
        <f t="array" ref="CT91">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91" s="433">
        <f t="array" ref="CU91">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91" s="433">
        <f t="array" ref="CV91">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91" s="434">
        <f>SUM(AlimentsRationLapinsMâles[[#This Row],[Valeur 3 et plus]:[Valeur 0-1]])</f>
        <v>0</v>
      </c>
      <c r="CZ91" s="420"/>
      <c r="DA91" s="433">
        <f t="array" ref="DA9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91" s="433">
        <f t="array" ref="DB9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91" s="433">
        <f t="array" ref="DC9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91" s="434">
        <f>SUM(AlimentsRationVolaillesMâles[[#This Row],[Valeur 6 et plus]:[Valeur 0-1]])</f>
        <v>0</v>
      </c>
      <c r="DE91" s="316"/>
      <c r="DF91" s="277"/>
      <c r="DG91" s="384" t="str">
        <f t="shared" ref="DG91:DG128" si="26">DG49</f>
        <v>Betterave</v>
      </c>
      <c r="DH91" s="433">
        <f t="array" ref="DH9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91" s="433">
        <f t="array" ref="DI9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91" s="433">
        <f t="array" ref="DJ9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91" s="437">
        <f>SUM(AlimentsRationPintadesFemelles[[#This Row],[Valeur 6 et plus]:[Valeur 0-1]])</f>
        <v>0</v>
      </c>
      <c r="DN91" s="373" t="s">
        <v>512</v>
      </c>
      <c r="DO91" s="280" t="s">
        <v>70</v>
      </c>
      <c r="DP91" s="280" t="s">
        <v>887</v>
      </c>
      <c r="DQ91" s="310">
        <v>1.6</v>
      </c>
      <c r="DR91" s="310">
        <v>1.4</v>
      </c>
      <c r="DS91" s="310">
        <v>1.2</v>
      </c>
      <c r="DT91" s="439">
        <v>1</v>
      </c>
      <c r="DU91" s="298"/>
      <c r="DV91" s="350" t="str">
        <f t="shared" si="23"/>
        <v>Féverole</v>
      </c>
      <c r="DW91" s="351">
        <f t="array" ref="DW91">SUM((IF(QualitéAlimentsFaonMâle_0_3_mois=BONNE,VLOOKUP("Féverole",AlimentsRationHivernaleDaims,8,FALSE),0)+(IF(QualitéAlimentsFaonFemelle_0_3_mois=BONNE,VLOOKUP("Féverole",AlimentsRationHivernaleDaims,8,FALSE),0)+(IF(QualitéAlimentsFaonMâle_3_6_mois=BONNE,VLOOKUP("Féverole",AlimentsRationHivernaleDaims,7,FALSE),0)+(IF(QualitéAlimentsFaonFemelle_3_6_mois=BONNE,VLOOKUP("Féverole",AlimentsRationHivernaleDaims,7,FALSE),0)+(IF(QualitéAlimentsFaonMâle_6_12_mois=BONNE,VLOOKUP("Féverole",AlimentsRationHivernaleDaims,6,FALSE),0)+(IF(QualitéAlimentsFaonFemelle_6_12_mois=BONNE,VLOOKUP("Féverole",AlimentsRationHivernaleDaims,6,FALSE),0)+(IF(QualitéAlimentsJeuneDaim_12_18_mois=BONNE,VLOOKUP("Féverole",AlimentsRationHivernaleDaims,5,FALSE),0)+(IF(QualitéAlimentsJeuneDaine_12_18_mois=BONNE,VLOOKUP("Féverole",AlimentsRationHivernaleDaims,5,FALSE),0)+(IF(QualitéAlimentsJeuneDaim_18_24_mois=BONNE,VLOOKUP("Féverole",AlimentsRationHivernaleDaims,4,FALSE),0)+(IF(QualitéAlimentsJeuneDaine_18_24_mois=BONNE,VLOOKUP("Féverole",AlimentsRationHivernaleDaims,4,FALSE),0)+(IF(QualitéAlimentsJeuneDaim_24_36_mois=BONNE,VLOOKUP("Féverole",AlimentsRationHivernaleDaims,3,FALSE),0)+(IF(QualitéAlimentsJeuneDaine_24_36_mois=BONNE,VLOOKUP("Féverole",AlimentsRationHivernaleDaims,3,FALSE),0)+(IF(QualitéAlimentsDaim=BONNE,VLOOKUP("Féverole",AlimentsRationHivernaleDaims,2,FALSE),0)+(IF(QualitéAlimentsDaine=BONNE,VLOOKUP("Féverole",AlimentsRationHivernaleDaims,2,FALSE),0))))))))))))))))</f>
        <v>0</v>
      </c>
      <c r="DX91" s="351">
        <f t="array" ref="DX91">SUM((IF(QualitéAlimentsFaonMâle_0_3_mois=MOYENNE,VLOOKUP("Féverole",AlimentsRationHivernaleDaims,8,FALSE),0)+(IF(QualitéAlimentsFaonFemelle_0_3_mois=MOYENNE,VLOOKUP("Féverole",AlimentsRationHivernaleDaims,8,FALSE),0)+(IF(QualitéAlimentsFaonMâle_3_6_mois=MOYENNE,VLOOKUP("Féverole",AlimentsRationHivernaleDaims,7,FALSE),0)+(IF(QualitéAlimentsFaonFemelle_3_6_mois=MOYENNE,VLOOKUP("Féverole",AlimentsRationHivernaleDaims,7,FALSE),0)+(IF(QualitéAlimentsFaonMâle_6_12_mois=MOYENNE,VLOOKUP("Féverole",AlimentsRationHivernaleDaims,6,FALSE),0)+(IF(QualitéAlimentsFaonFemelle_6_12_mois=MOYENNE,VLOOKUP("Féverole",AlimentsRationHivernaleDaims,6,FALSE),0)+(IF(QualitéAlimentsJeuneDaim_12_18_mois=MOYENNE,VLOOKUP("Féverole",AlimentsRationHivernaleDaims,5,FALSE),0)+(IF(QualitéAlimentsJeuneDaine_12_18_mois=MOYENNE,VLOOKUP("Féverole",AlimentsRationHivernaleDaims,5,FALSE),0)+(IF(QualitéAlimentsJeuneDaim_18_24_mois=MOYENNE,VLOOKUP("Féverole",AlimentsRationHivernaleDaims,4,FALSE),0)+(IF(QualitéAlimentsJeuneDaine_18_24_mois=MOYENNE,VLOOKUP("Féverole",AlimentsRationHivernaleDaims,4,FALSE),0)+(IF(QualitéAlimentsJeuneDaim_24_36_mois=MOYENNE,VLOOKUP("Féverole",AlimentsRationHivernaleDaims,3,FALSE),0)+(IF(QualitéAlimentsJeuneDaine_24_36_mois=MOYENNE,VLOOKUP("Féverole",AlimentsRationHivernaleDaims,3,FALSE),0)+(IF(QualitéAlimentsDaim=MOYENNE,VLOOKUP("Féverole",AlimentsRationHivernaleDaims,2,FALSE),0)+(IF(QualitéAlimentsDaine=MOYENNE,VLOOKUP("Féverole",AlimentsRationHivernaleDaims,2,FALSE),0))))))))))))))))</f>
        <v>0</v>
      </c>
      <c r="DY91" s="351">
        <f t="array" ref="DY91">SUM((IF(QualitéAlimentsFaonMâle_0_3_mois=MAUVAISE,VLOOKUP("Féverole",AlimentsRationHivernaleDaims,8,FALSE),0)+(IF(QualitéAlimentsFaonFemelle_0_3_mois=MAUVAISE,VLOOKUP("Féverole",AlimentsRationHivernaleDaims,8,FALSE),0)+(IF(QualitéAlimentsFaonMâle_3_6_mois=MAUVAISE,VLOOKUP("Féverole",AlimentsRationHivernaleDaims,7,FALSE),0)+(IF(QualitéAlimentsFaonFemelle_3_6_mois=MAUVAISE,VLOOKUP("Féverole",AlimentsRationHivernaleDaims,7,FALSE),0)+(IF(QualitéAlimentsFaonMâle_6_12_mois=MAUVAISE,VLOOKUP("Féverole",AlimentsRationHivernaleDaims,6,FALSE),0)+(IF(QualitéAlimentsFaonFemelle_6_12_mois=MAUVAISE,VLOOKUP("Féverole",AlimentsRationHivernaleDaims,6,FALSE),0)+(IF(QualitéAlimentsJeuneDaim_12_18_mois=MAUVAISE,VLOOKUP("Féverole",AlimentsRationHivernaleDaims,5,FALSE),0)+(IF(QualitéAlimentsJeuneDaine_12_18_mois=MAUVAISE,VLOOKUP("Féverole",AlimentsRationHivernaleDaims,5,FALSE),0)+(IF(QualitéAlimentsJeuneDaim_18_24_mois=MAUVAISE,VLOOKUP("Féverole",AlimentsRationHivernaleDaims,4,FALSE),0)+(IF(QualitéAlimentsJeuneDaine_18_24_mois=MAUVAISE,VLOOKUP("Féverole",AlimentsRationHivernaleDaims,4,FALSE),0)+(IF(QualitéAlimentsJeuneDaim_24_36_mois=MAUVAISE,VLOOKUP("Féverole",AlimentsRationHivernaleDaims,3,FALSE),0)+(IF(QualitéAlimentsJeuneDaine_24_36_mois=MAUVAISE,VLOOKUP("Féverole",AlimentsRationHivernaleDaims,3,FALSE),0)+(IF(QualitéAlimentsDaim=MAUVAISE,VLOOKUP("Féverole",AlimentsRationHivernaleDaims,2,FALSE),0)+(IF(QualitéAlimentsDaine=MAUVAISE,VLOOKUP("Féverole",AlimentsRationHivernaleDaims,2,FALSE),0))))))))))))))))</f>
        <v>0</v>
      </c>
      <c r="DZ91" s="298"/>
      <c r="EA91" s="298"/>
      <c r="EB91" s="298"/>
      <c r="EC91" s="298"/>
      <c r="ED91" s="298"/>
      <c r="EE91" s="298"/>
      <c r="EG91" s="397"/>
      <c r="EH91" s="398">
        <f t="array" ref="EH9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Row],[aliment]],Règles_oies[Ration]&amp;Règles_oies[Aliment],0)),0),0)*jars*NbreJoursNourrirAutres)</f>
        <v>0</v>
      </c>
      <c r="EI91" s="398">
        <f t="array" ref="EI9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Row],[aliment]],Règles_oies[Ration]&amp;Règles_oies[Aliment],0)),0),0)*jeune_jars_3_6_mois*NbreJoursNourrirAutres)</f>
        <v>0</v>
      </c>
      <c r="EJ91" s="398">
        <f t="array" ref="EJ9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Row],[aliment]],Règles_oies[Ration]&amp;Règles_oies[Aliment],0)),0),0)*oison_mâle_0_3_mois*NbreJoursNourrirAutres)</f>
        <v>0</v>
      </c>
      <c r="EK91" s="435">
        <f>SUM(AlimentsRationOiesMâles[[#This Row],[Valeur 6 et plus]:[Valeur 0-3]])</f>
        <v>0</v>
      </c>
      <c r="EL91" s="316"/>
      <c r="ER91" s="276"/>
      <c r="ES91" s="276"/>
      <c r="EU91" s="457" t="s">
        <v>908</v>
      </c>
      <c r="EV91" s="458">
        <f t="array" ref="EV91">IF(OR(ChoixRationComplèteEtéChevauxSelle=OUI,ChoixRationComplèteEtéChevauxSelle="",AND(ChoixChevauxSellePréHiver=OUI,ChoixChevauxSellePréEté=OUI)),0,IFERROR(IF(OR(AND(INDEX(Règles_chevaux_selle[Specificite],MATCH(RationEtéChevauxSelle&amp;$EU91,Règles_chevaux_selle[Ration]&amp;Règles_chevaux_selle[Aliment],0))="s1",IF($EU91=Spécificité1ChevauxSelle,1)),
AND(INDEX(Règles_chevaux_selle[Specificite],MATCH(RationEtéChevauxSelle&amp;$EU91,Règles_chevaux_selle[Ration]&amp;Règles_chevaux_selle[Aliment],0))="s2",IF($EU91=Spécificité2ChevauxSelle,1)),
INDEX(Règles_chevaux_selle[Specificite],MATCH(RationEtéChevauxSelle&amp;$EU91,Règles_chevaux_selle[Ration]&amp;Règles_chevaux_selle[Aliment],0))="c"),
INDEX(Règles_chevaux_selle[Valeur 36 et plus],MATCH(RationEtéChevauxSelle&amp;$EU91,Règles_chevaux_selle[Ration]&amp;Règles_chevaux_selle[Aliment],0)),0),0)*TotalEtalonSelle*NbreJoursNourrirChevauxSelle)</f>
        <v>0</v>
      </c>
      <c r="EW91" s="458">
        <f t="array" ref="EW91">IF(OR(ChoixRationComplèteEtéChevauxSelle=OUI,ChoixRationComplèteEtéChevauxSelle="",AND(ChoixChevauxSellePréHiver=OUI,ChoixChevauxSellePréEté=OUI)),0,IFERROR(IF(OR(AND(INDEX(Règles_chevaux_selle[Specificite],MATCH(RationEtéChevauxSelle&amp;$EU91,Règles_chevaux_selle[Ration]&amp;Règles_chevaux_selle[Aliment],0))="s1",IF($EU91=Spécificité1ChevauxSelle,1)),
AND(INDEX(Règles_chevaux_selle[Specificite],MATCH(RationEtéChevauxSelle&amp;$EU91,Règles_chevaux_selle[Ration]&amp;Règles_chevaux_selle[Aliment],0))="s2",IF($EU91=Spécificité2ChevauxSelle,1)),
INDEX(Règles_chevaux_selle[Specificite],MATCH(RationEtéChevauxSelle&amp;$EU91,Règles_chevaux_selle[Ration]&amp;Règles_chevaux_selle[Aliment],0))="c"),
INDEX(Règles_chevaux_selle[Valeur 24-36],MATCH(RationEtéChevauxSelle&amp;$EU91,Règles_chevaux_selle[Ration]&amp;Règles_chevaux_selle[Aliment],0)),0),0)*TotalJeuneEtalonSelle_24_36_mois*NbreJoursNourrirChevauxSelle)</f>
        <v>0</v>
      </c>
      <c r="EX91" s="458">
        <f t="array" ref="EX91">IF(OR(ChoixRationComplèteEtéChevauxSelle=OUI,ChoixRationComplèteEtéChevauxSelle="",AND(ChoixChevauxSellePréHiver=OUI,ChoixChevauxSellePréEté=OUI)),0,IFERROR(IF(OR(AND(INDEX(Règles_chevaux_selle[Specificite],MATCH(RationEtéChevauxSelle&amp;$EU91,Règles_chevaux_selle[Ration]&amp;Règles_chevaux_selle[Aliment],0))="s1",IF($EU91=Spécificité1ChevauxSelle,1)),
AND(INDEX(Règles_chevaux_selle[Specificite],MATCH(RationEtéChevauxSelle&amp;$EU91,Règles_chevaux_selle[Ration]&amp;Règles_chevaux_selle[Aliment],0))="s2",IF($EU91=Spécificité2ChevauxSelle,1)),
INDEX(Règles_chevaux_selle[Specificite],MATCH(RationEtéChevauxSelle&amp;$EU91,Règles_chevaux_selle[Ration]&amp;Règles_chevaux_selle[Aliment],0))="c"),
INDEX(Règles_chevaux_selle[Valeur 12-24],MATCH(RationEtéChevauxSelle&amp;$EU91,Règles_chevaux_selle[Ration]&amp;Règles_chevaux_selle[Aliment],0)),0),0)*TotalJeuneEtalonSelle_12_24_mois*NbreJoursNourrirChevauxSelle)</f>
        <v>0</v>
      </c>
      <c r="EY91" s="460">
        <f t="array" ref="EY91">IF(OR(ChoixRationComplèteEtéChevauxSelle=OUI,ChoixRationComplèteEtéChevauxSelle="",AND(ChoixChevauxSellePréHiver=OUI,ChoixChevauxSellePréEté=OUI)),0,IFERROR(IF(OR(AND(INDEX(Règles_chevaux_selle[Specificite],MATCH(RationEtéChevauxSelle&amp;$EU91,Règles_chevaux_selle[Ration]&amp;Règles_chevaux_selle[Aliment],0))="s1",IF($EU91=Spécificité1ChevauxSelle,1)),
AND(INDEX(Règles_chevaux_selle[Specificite],MATCH(RationEtéChevauxSelle&amp;$EU91,Règles_chevaux_selle[Ration]&amp;Règles_chevaux_selle[Aliment],0))="s2",IF($EU91=Spécificité2ChevauxSelle,1)),
INDEX(Règles_chevaux_selle[Specificite],MATCH(RationEtéChevauxSelle&amp;$EU91,Règles_chevaux_selle[Ration]&amp;Règles_chevaux_selle[Aliment],0))="c"),
INDEX(Règles_chevaux_selle[Valeur 0-12],MATCH(RationEtéChevauxSelle&amp;$EU91,Règles_chevaux_selle[Ration]&amp;Règles_chevaux_selle[Aliment],0)),0),0)*TotalPoulainSelle_0_12_mois*NbreJoursNourrirChevauxSelle)</f>
        <v>0</v>
      </c>
      <c r="EZ91" s="460">
        <f t="shared" si="16"/>
        <v>0</v>
      </c>
      <c r="FD91" s="457"/>
      <c r="FE91" s="458">
        <f t="array" ref="FE91">IF(OR(ChoixRationComplèteEtéChevauxTrait=OUI,ChoixRationComplèteEtéChevauxTrait="",AND(ChoixChevauxTraitPréHiver=OUI,ChoixChevauxTraitPréEté=OUI)),0,IFERROR(IF(OR(AND(INDEX(Règles_chevaux_trait[Specificite],MATCH(RationEtéChevauxTrait&amp;$FD91,Règles_chevaux_trait[Ration]&amp;Règles_chevaux_trait[Aliment],0))="s1",IF($FD91=Spécificité1ChevauxTrait,1)),
AND(INDEX(Règles_chevaux_trait[Specificite],MATCH(RationEtéChevauxTrait&amp;$FD91,Règles_chevaux_trait[Ration]&amp;Règles_chevaux_trait[Aliment],0))="s2",IF($FD91=Spécificité2ChevauxTrait,1)),
INDEX(Règles_chevaux_trait[Specificite],MATCH(RationEtéChevauxTrait&amp;$FD91,Règles_chevaux_trait[Ration]&amp;Règles_chevaux_trait[Aliment],0))="c"),
INDEX(Règles_chevaux_trait[Valeur 36 et plus],MATCH(RationEtéChevauxTrait&amp;$FD91,Règles_chevaux_trait[Ration]&amp;Règles_chevaux_trait[Aliment],0)),0),0)*TotalEtalonTrait*NbreJoursNourrirChevauxTrait)</f>
        <v>0</v>
      </c>
      <c r="FF91" s="458">
        <f t="array" ref="FF91">IF(OR(ChoixRationComplèteEtéChevauxTrait=OUI,ChoixRationComplèteEtéChevauxTrait="",AND(ChoixChevauxTraitPréHiver=OUI,ChoixChevauxTraitPréEté=OUI)),0,IFERROR(IF(OR(AND(INDEX(Règles_chevaux_trait[Specificite],MATCH(RationEtéChevauxTrait&amp;$FD91,Règles_chevaux_trait[Ration]&amp;Règles_chevaux_trait[Aliment],0))="s1",IF($FD91=Spécificité1ChevauxTrait,1)),
AND(INDEX(Règles_chevaux_trait[Specificite],MATCH(RationEtéChevauxTrait&amp;$FD91,Règles_chevaux_trait[Ration]&amp;Règles_chevaux_trait[Aliment],0))="s2",IF($FD91=Spécificité2ChevauxTrait,1)),
INDEX(Règles_chevaux_trait[Specificite],MATCH(RationEtéChevauxTrait&amp;$FD91,Règles_chevaux_trait[Ration]&amp;Règles_chevaux_trait[Aliment],0))="c"),
INDEX(Règles_chevaux_trait[Valeur 24-36],MATCH(RationEtéChevauxTrait&amp;$FD91,Règles_chevaux_trait[Ration]&amp;Règles_chevaux_trait[Aliment],0)),0),0)*TotalJeuneEtalonTrait_24_36_mois*NbreJoursNourrirChevauxTrait)</f>
        <v>0</v>
      </c>
      <c r="FG91" s="458">
        <f t="array" ref="FG91">IF(OR(ChoixRationComplèteEtéChevauxTrait=OUI,ChoixRationComplèteEtéChevauxTrait="",AND(ChoixChevauxTraitPréHiver=OUI,ChoixChevauxTraitPréEté=OUI)),0,IFERROR(IF(OR(AND(INDEX(Règles_chevaux_trait[Specificite],MATCH(RationEtéChevauxTrait&amp;$FD91,Règles_chevaux_trait[Ration]&amp;Règles_chevaux_trait[Aliment],0))="s1",IF($FD91=Spécificité1ChevauxTrait,1)),
AND(INDEX(Règles_chevaux_trait[Specificite],MATCH(RationEtéChevauxTrait&amp;$FD91,Règles_chevaux_trait[Ration]&amp;Règles_chevaux_trait[Aliment],0))="s2",IF($FD91=Spécificité2ChevauxTrait,1)),
INDEX(Règles_chevaux_trait[Specificite],MATCH(RationEtéChevauxTrait&amp;$FD91,Règles_chevaux_trait[Ration]&amp;Règles_chevaux_trait[Aliment],0))="c"),
INDEX(Règles_chevaux_trait[Valeur 12-24],MATCH(RationEtéChevauxTrait&amp;$FD91,Règles_chevaux_trait[Ration]&amp;Règles_chevaux_trait[Aliment],0)),0),0)*TotalJeuneEtalonTrait_12_24_mois*NbreJoursNourrirChevauxTrait)</f>
        <v>0</v>
      </c>
      <c r="FH91" s="460">
        <f t="array" ref="FH91">IF(OR(ChoixRationComplèteEtéChevauxTrait=OUI,ChoixRationComplèteEtéChevauxTrait="",AND(ChoixChevauxTraitPréHiver=OUI,ChoixChevauxTraitPréEté=OUI)),0,IFERROR(IF(OR(AND(INDEX(Règles_chevaux_trait[Specificite],MATCH(RationEtéChevauxTrait&amp;$FD91,Règles_chevaux_trait[Ration]&amp;Règles_chevaux_trait[Aliment],0))="s1",IF($FD91=Spécificité1ChevauxTrait,1)),
AND(INDEX(Règles_chevaux_trait[Specificite],MATCH(RationEtéChevauxTrait&amp;$FD91,Règles_chevaux_trait[Ration]&amp;Règles_chevaux_trait[Aliment],0))="s2",IF($FD91=Spécificité2ChevauxTrait,1)),
INDEX(Règles_chevaux_trait[Specificite],MATCH(RationEtéChevauxTrait&amp;$FD91,Règles_chevaux_trait[Ration]&amp;Règles_chevaux_trait[Aliment],0))="c"),
INDEX(Règles_chevaux_trait[Valeur 0-12],MATCH(RationEtéChevauxTrait&amp;$FD91,Règles_chevaux_trait[Ration]&amp;Règles_chevaux_trait[Aliment],0)),0),0)*TotalPoulainTrait_0_12_mois*NbreJoursNourrirChevauxTrait)</f>
        <v>0</v>
      </c>
      <c r="FI91" s="460">
        <f t="shared" si="15"/>
        <v>0</v>
      </c>
      <c r="FN91" s="457"/>
      <c r="FO91" s="458">
        <f t="array" ref="FO91">IF(OR(ChoixRationComplèteEtéPoneys=OUI,ChoixRationComplèteEtéPoneys="",AND(ChoixPoneysPréHiver=OUI,ChoixPoneysPréEté=OUI)),0,IFERROR(IF(OR(AND(INDEX(Règles_poneys[Specificite],MATCH(RationEtéPoneys&amp;$FN91,Règles_poneys[Ration]&amp;Règles_poneys[Aliment],0))="s1",IF($FN91=Spécificité1Poneys,1)),
AND(INDEX(Règles_poneys[Specificite],MATCH(RationEtéPoneys&amp;$FN91,Règles_poneys[Ration]&amp;Règles_poneys[Aliment],0))="s2",IF($FN91=Spécificité2Poneys,1)),
INDEX(Règles_poneys[Specificite],MATCH(RationEtéPoneys&amp;$FN91,Règles_poneys[Ration]&amp;Règles_poneys[Aliment],0))="c"),
INDEX(Règles_poneys[Valeur 36 et plus],MATCH(RationEtéPoneys&amp;$FN91,Règles_poneys[Ration]&amp;Règles_poneys[Aliment],0)),0),0)*TotalEtalonPoney*NbreJoursNourrirPoneys)</f>
        <v>0</v>
      </c>
      <c r="FP91" s="458">
        <f t="array" ref="FP91">IF(OR(ChoixRationComplèteEtéPoneys=OUI,ChoixRationComplèteEtéPoneys="",AND(ChoixPoneysPréHiver=OUI,ChoixPoneysPréEté=OUI)),0,IFERROR(IF(OR(AND(INDEX(Règles_poneys[Specificite],MATCH(RationEtéPoneys&amp;$FN91,Règles_poneys[Ration]&amp;Règles_poneys[Aliment],0))="s1",IF($FN91=Spécificité1Poneys,1)),
AND(INDEX(Règles_poneys[Specificite],MATCH(RationEtéPoneys&amp;$FN91,Règles_poneys[Ration]&amp;Règles_poneys[Aliment],0))="s2",IF($FN91=Spécificité2Poneys,1)),
INDEX(Règles_poneys[Specificite],MATCH(RationEtéPoneys&amp;$FN91,Règles_poneys[Ration]&amp;Règles_poneys[Aliment],0))="c"),
INDEX(Règles_poneys[Valeur 36 et plus],MATCH(RationEtéPoneys&amp;$FN91,Règles_poneys[Ration]&amp;Règles_poneys[Aliment],0)),0),0)*TotalJeuneEtalonPoney_24_36_mois*NbreJoursNourrirPoneys)</f>
        <v>0</v>
      </c>
      <c r="FQ91" s="458">
        <f t="array" ref="FQ91">IF(OR(ChoixRationComplèteEtéPoneys=OUI,ChoixRationComplèteEtéPoneys="",AND(ChoixPoneysPréHiver=OUI,ChoixPoneysPréEté=OUI)),0,IFERROR(IF(OR(AND(INDEX(Règles_poneys[Specificite],MATCH(RationEtéPoneys&amp;$FN91,Règles_poneys[Ration]&amp;Règles_poneys[Aliment],0))="s1",IF($FN91=Spécificité1Poneys,1)),
AND(INDEX(Règles_poneys[Specificite],MATCH(RationEtéPoneys&amp;$FN91,Règles_poneys[Ration]&amp;Règles_poneys[Aliment],0))="s2",IF($FN91=Spécificité2Poneys,1)),
INDEX(Règles_poneys[Specificite],MATCH(RationEtéPoneys&amp;$FN91,Règles_poneys[Ration]&amp;Règles_poneys[Aliment],0))="c"),
INDEX(Règles_poneys[Valeur 36 et plus],MATCH(RationEtéPoneys&amp;$FN91,Règles_poneys[Ration]&amp;Règles_poneys[Aliment],0)),0),0)*TotalJeuneEtalonPoney_12_24_mois*NbreJoursNourrirPoneys)</f>
        <v>0</v>
      </c>
      <c r="FR91" s="460">
        <f t="array" ref="FR91">IF(OR(ChoixRationComplèteEtéPoneys=OUI,ChoixRationComplèteEtéPoneys="",AND(ChoixPoneysPréHiver=OUI,ChoixPoneysPréEté=OUI)),0,IFERROR(IF(OR(AND(INDEX(Règles_poneys[Specificite],MATCH(RationEtéPoneys&amp;$FN91,Règles_poneys[Ration]&amp;Règles_poneys[Aliment],0))="s1",IF($FN91=Spécificité1Poneys,1)),
AND(INDEX(Règles_poneys[Specificite],MATCH(RationEtéPoneys&amp;$FN91,Règles_poneys[Ration]&amp;Règles_poneys[Aliment],0))="s2",IF($FN91=Spécificité2Poneys,1)),
INDEX(Règles_poneys[Specificite],MATCH(RationEtéPoneys&amp;$FN91,Règles_poneys[Ration]&amp;Règles_poneys[Aliment],0))="c"),
INDEX(Règles_poneys[Valeur 36 et plus],MATCH(RationEtéPoneys&amp;$FN91,Règles_poneys[Ration]&amp;Règles_poneys[Aliment],0)),0),0)*TotalPoulainPoney_0_12_mois*NbreJoursNourrirPoneys)</f>
        <v>0</v>
      </c>
      <c r="FS91" s="460">
        <f t="shared" si="14"/>
        <v>0</v>
      </c>
      <c r="FW91" s="443" t="str">
        <f t="shared" ref="FW91:FW128" si="27">FW44</f>
        <v>Betterave</v>
      </c>
      <c r="FX91" s="450">
        <f t="array" ref="FX91">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91" s="450">
        <f t="array" ref="FY91">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91" s="450">
        <f t="array" ref="FZ91">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91" s="450">
        <f t="array" ref="GA91">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91" s="451">
        <f>SUM(AlimentsGavageCanards[[#This Row],[Valeur 6 et plus]:[Valeur 0-1]])</f>
        <v>0</v>
      </c>
      <c r="GG91" s="276" t="s">
        <v>955</v>
      </c>
      <c r="GH91" s="276" t="s">
        <v>955</v>
      </c>
      <c r="GI91" s="276" t="s">
        <v>955</v>
      </c>
      <c r="GJ91" s="276" t="s">
        <v>955</v>
      </c>
      <c r="GK91" s="276" t="s">
        <v>955</v>
      </c>
      <c r="GL91" s="276" t="s">
        <v>955</v>
      </c>
      <c r="GM91" s="276" t="s">
        <v>955</v>
      </c>
      <c r="GN91" s="276" t="s">
        <v>955</v>
      </c>
      <c r="GO91" s="276" t="s">
        <v>955</v>
      </c>
      <c r="GP91" s="276" t="s">
        <v>955</v>
      </c>
      <c r="GQ91" s="276" t="s">
        <v>955</v>
      </c>
      <c r="GR91" s="276" t="s">
        <v>955</v>
      </c>
      <c r="GS91" s="276" t="s">
        <v>955</v>
      </c>
      <c r="GT91" s="276" t="s">
        <v>955</v>
      </c>
      <c r="GU91" s="276" t="s">
        <v>955</v>
      </c>
      <c r="GV91" s="276" t="s">
        <v>955</v>
      </c>
      <c r="GY91" s="444" t="str">
        <f t="shared" si="24"/>
        <v>Potassium</v>
      </c>
      <c r="GZ91" s="444"/>
      <c r="HA91" s="342"/>
      <c r="HB91" s="342" t="e">
        <f>IF(COUNTIF(TypeArticleDansEntrepôt,GY91)=0,0,SUMIF(TypeArticleDansEntrepôt,GY91,QtéArticleDansEntrepôt)*VLOOKUP(GY91,#REF!,2,FALSE))</f>
        <v>#REF!</v>
      </c>
      <c r="HN91" s="342" t="e">
        <f>IF(#REF!="","",(VLOOKUP(#REF!,BDD!$HN$5:$HU$38,2,FALSE))*#REF!)</f>
        <v>#REF!</v>
      </c>
      <c r="HO91" s="342" t="e">
        <f>IF(#REF!="","",IF(OR(#REF!=Moutarde,#REF!=Phacélie),0,IF(#REF!=Luzerne,10*#REF!*VLOOKUP(#REF!,BDD!$HN$5:$HU$38,3,FALSE),IF(#REF!=Miscanthus,10.5*#REF!*VLOOKUP(#REF!,BDD!$HN$5:$HU$38,3,FALSE),INDEX(#REF!:#REF!,MATCH(#REF!,#REF!:#REF!,0),MATCH(#REF!,#REF!:#REF!,0))*#REF!*VLOOKUP(#REF!,BDD!$HN$5:$HU$38,3,FALSE)))))</f>
        <v>#REF!</v>
      </c>
      <c r="HP91" s="342" t="e">
        <f>IF(#REF!="","",IF(OR(#REF!=Moutarde,#REF!=Phacélie),0,IF(#REF!=Luzerne,10*#REF!*VLOOKUP(#REF!,BDD!$HN$5:$HU$38,4,FALSE),IF(#REF!=Miscanthus,10.5*#REF!*VLOOKUP(#REF!,BDD!$HN$5:$HU$38,4,FALSE),INDEX(#REF!:#REF!,MATCH(#REF!,#REF!:#REF!,0),MATCH(#REF!,#REF!:#REF!,0))*#REF!*VLOOKUP(#REF!,BDD!$HN$5:$HU$38,4,FALSE)))))</f>
        <v>#REF!</v>
      </c>
      <c r="HQ91" s="342" t="e">
        <f>IF(#REF!="","",IF(OR(#REF!=Moutarde,#REF!=Phacélie),0,IF(#REF!=Luzerne,10*#REF!*VLOOKUP(#REF!,BDD!$HN$5:$HU$38,5,FALSE),IF(#REF!=Miscanthus,10.5*#REF!*VLOOKUP(#REF!,BDD!$HN$5:$HU$38,5,FALSE),INDEX(#REF!:#REF!,MATCH(#REF!,#REF!:#REF!,0),MATCH(#REF!,#REF!:#REF!,0))*#REF!*VLOOKUP(#REF!,BDD!$HN$5:$HU$38,5,FALSE)))))</f>
        <v>#REF!</v>
      </c>
      <c r="HR91" s="342" t="e">
        <f>IF(#REF!="","",IF(OR(#REF!=Moutarde,#REF!=Phacélie),0,IF(#REF!=Luzerne,10*#REF!*VLOOKUP(#REF!,BDD!$HN$5:$HU$38,6,FALSE),IF(#REF!=Miscanthus,10.5*#REF!*VLOOKUP(#REF!,BDD!$HN$5:$HU$38,6,FALSE),INDEX(#REF!:#REF!,MATCH(#REF!,#REF!:#REF!,0),MATCH(#REF!,#REF!:#REF!,0))*#REF!*VLOOKUP(#REF!,BDD!$HN$5:$HU$38,6,FALSE)))))</f>
        <v>#REF!</v>
      </c>
      <c r="HS91" s="342" t="e">
        <f>IF(#REF!="","",IF(OR(#REF!=Moutarde,#REF!=Phacélie),0,IF(#REF!=Luzerne,10*#REF!*VLOOKUP(#REF!,BDD!$HN$5:$HU$38,7,FALSE),IF(#REF!=Miscanthus,10.5*#REF!*VLOOKUP(#REF!,BDD!$HN$5:$HU$38,7,FALSE),INDEX(#REF!:#REF!,MATCH(#REF!,#REF!:#REF!,0),MATCH(#REF!,#REF!:#REF!,0))*#REF!*VLOOKUP(#REF!,BDD!$HN$5:$HU$38,7,FALSE)))))</f>
        <v>#REF!</v>
      </c>
      <c r="HT91" s="342" t="e">
        <f>IF(#REF!="","",IF(OR(#REF!=Moutarde,#REF!=Phacélie),0,IF(#REF!=Luzerne,10*#REF!*VLOOKUP(#REF!,BDD!$HN$5:$HU$38,8,FALSE),IF(#REF!=Miscanthus,10.5*#REF!*VLOOKUP(#REF!,BDD!$HN$5:$HU$38,8,FALSE),INDEX(#REF!:#REF!,MATCH(#REF!,#REF!:#REF!,0),MATCH(#REF!,#REF!:#REF!,0))*#REF!*VLOOKUP(#REF!,BDD!$HN$5:$HU$38,8,FALSE)))))</f>
        <v>#REF!</v>
      </c>
      <c r="HU91" s="342" t="e">
        <f>IF(#REF!="","",IF(OR(#REF!=Moutarde,#REF!=Phacélie),0,1.6*#REF!))</f>
        <v>#REF!</v>
      </c>
      <c r="HV91" s="342" t="e">
        <f>IF(#REF!="","",IF(OR(#REF!=Moutarde,#REF!=Phacélie),0,1.6*#REF!))</f>
        <v>#REF!</v>
      </c>
      <c r="HW91" s="342" t="e">
        <f>IF(#REF!="","",IF(OR(#REF!=Moutarde,#REF!=Phacélie),0,1.6*#REF!))</f>
        <v>#REF!</v>
      </c>
      <c r="HX91" s="342" t="e">
        <f>IF(#REF!="","",(VLOOKUP(#REF!,BDD!$HN$5:$HU$38,2,FALSE))*#REF!)</f>
        <v>#REF!</v>
      </c>
      <c r="HY91" s="342" t="e">
        <f>IF(#REF!="","",IF(OR(#REF!=Moutarde,#REF!=Phacélie),0,IF(#REF!=Luzerne,10*#REF!*VLOOKUP(#REF!,BDD!$HN$5:$HU$38,3,FALSE),IF(#REF!=Miscanthus,10.5*#REF!*VLOOKUP(#REF!,BDD!$HN$5:$HU$38,3,FALSE),INDEX(#REF!:#REF!,MATCH(#REF!,#REF!:#REF!,0),MATCH(#REF!,#REF!:#REF!,0))*#REF!*VLOOKUP(#REF!,BDD!$HN$5:$HU$38,3,FALSE)))))</f>
        <v>#REF!</v>
      </c>
      <c r="HZ91" s="342" t="e">
        <f>IF(#REF!="","",IF(OR(#REF!=Moutarde,#REF!=Phacélie),0,IF(#REF!=Luzerne,10*#REF!*VLOOKUP(#REF!,BDD!$HN$5:$HU$38,4,FALSE),IF(#REF!=Miscanthus,10.5*#REF!*VLOOKUP(#REF!,BDD!$HN$5:$HU$38,4,FALSE),INDEX(#REF!:#REF!,MATCH(#REF!,#REF!:#REF!,0),MATCH(#REF!,#REF!:#REF!,0))*#REF!*VLOOKUP(#REF!,BDD!$HN$5:$HU$38,4,FALSE)))))</f>
        <v>#REF!</v>
      </c>
      <c r="IA91" s="342" t="e">
        <f>IF(#REF!="","",IF(OR(#REF!=Moutarde,#REF!=Phacélie),0,IF(#REF!=Luzerne,10*#REF!*VLOOKUP(#REF!,BDD!$HN$5:$HU$38,5,FALSE),IF(#REF!=Miscanthus,10.5*#REF!*VLOOKUP(#REF!,BDD!$HN$5:$HU$38,5,FALSE),INDEX(#REF!:#REF!,MATCH(#REF!,#REF!:#REF!,0),MATCH(#REF!,#REF!:#REF!,0))*#REF!*VLOOKUP(#REF!,BDD!$HN$5:$HU$38,5,FALSE)))))</f>
        <v>#REF!</v>
      </c>
      <c r="IB91" s="342" t="e">
        <f>IF(#REF!="","",IF(OR(#REF!=Moutarde,#REF!=Phacélie),0,IF(#REF!=Luzerne,10*#REF!*VLOOKUP(#REF!,BDD!$HN$5:$HU$38,6,FALSE),IF(#REF!=Miscanthus,10.5*#REF!*VLOOKUP(#REF!,BDD!$HN$5:$HU$38,6,FALSE),INDEX(#REF!:#REF!,MATCH(#REF!,#REF!:#REF!,0),MATCH(#REF!,#REF!:#REF!,0))*#REF!*VLOOKUP(#REF!,BDD!$HN$5:$HU$38,6,FALSE)))))</f>
        <v>#REF!</v>
      </c>
      <c r="IC91" s="342" t="e">
        <f>IF(#REF!="","",IF(OR(#REF!=Moutarde,#REF!=Phacélie),0,IF(#REF!=Luzerne,10*#REF!*VLOOKUP(#REF!,BDD!$HN$5:$HU$38,7,FALSE),IF(#REF!=Miscanthus,10.5*#REF!*VLOOKUP(#REF!,BDD!$HN$5:$HU$38,7,FALSE),INDEX(#REF!:#REF!,MATCH(#REF!,#REF!:#REF!,0),MATCH(#REF!,#REF!:#REF!,0))*#REF!*VLOOKUP(#REF!,BDD!$HN$5:$HU$38,7,FALSE)))))</f>
        <v>#REF!</v>
      </c>
      <c r="ID91" s="342" t="e">
        <f>IF(#REF!="","",IF(OR(#REF!=Moutarde,#REF!=Phacélie),0,IF(#REF!=Luzerne,10*#REF!*VLOOKUP(#REF!,BDD!$HN$5:$HU$38,8,FALSE),IF(#REF!=Miscanthus,10.5*#REF!*VLOOKUP(#REF!,BDD!$HN$5:$HU$38,8,FALSE),INDEX(#REF!:#REF!,MATCH(#REF!,#REF!:#REF!,0),MATCH(#REF!,#REF!:#REF!,0))*#REF!*VLOOKUP(#REF!,BDD!$HN$5:$HU$38,8,FALSE)))))</f>
        <v>#REF!</v>
      </c>
      <c r="IE91" s="342" t="e">
        <f>IF(#REF!="","",IF(OR(#REF!=Moutarde,#REF!=Phacélie),0,1.6*#REF!))</f>
        <v>#REF!</v>
      </c>
      <c r="IF91" s="342" t="e">
        <f>IF(#REF!="","",IF(OR(#REF!=Moutarde,#REF!=Phacélie),0,1.6*#REF!))</f>
        <v>#REF!</v>
      </c>
      <c r="IG91" s="342" t="e">
        <f>IF(#REF!="","",IF(OR(#REF!=Moutarde,#REF!=Phacélie),0,1.6*#REF!))</f>
        <v>#REF!</v>
      </c>
    </row>
    <row r="92" spans="1:241" ht="12.75" customHeight="1" x14ac:dyDescent="0.2">
      <c r="A92" s="373"/>
      <c r="B92" s="380"/>
      <c r="F92" s="280"/>
      <c r="G92" s="280"/>
      <c r="H92" s="280"/>
      <c r="I92" s="321"/>
      <c r="J92" s="321"/>
      <c r="K92" s="321"/>
      <c r="L92" s="321"/>
      <c r="O92" s="385" t="s">
        <v>996</v>
      </c>
      <c r="P92" s="385" t="e">
        <f>IF(ChoixExpèceAuPré="",0,SUMIF(ChoixEspèceAuPré,Bovins,NbreFemelles_0_3MoisAuPréEté))</f>
        <v>#REF!</v>
      </c>
      <c r="Q92" s="385" t="e">
        <f>IF(ChoixExpèceAuPré="",0,SUMIF(ChoixEspèceAuPré,Ovins,NbreFemelles_0_3MoisAuPréEté))</f>
        <v>#REF!</v>
      </c>
      <c r="R92" s="385" t="e">
        <f>IF(ChoixExpèceAuPré="",0,SUMIF(ChoixEspèceAuPré,Caprins,NbreFemelles_0_3MoisAuPréEté))</f>
        <v>#REF!</v>
      </c>
      <c r="S92" s="385" t="e">
        <f>IF(ChoixExpèceAuPré="",0,SUMIF(ChoixEspèceAuPré,Bisons,NbreFemelles_0_3MoisAuPréEté))</f>
        <v>#REF!</v>
      </c>
      <c r="T92" s="385" t="e">
        <f>IF(ChoixExpèceAuPré="",0,SUMIF(ChoixEspèceAuPré,Daims,NbreFemelles_0_3MoisAuPréEté))</f>
        <v>#REF!</v>
      </c>
      <c r="U92" s="385" t="e">
        <f>IF(ChoixExpèceAuPré="",0,SUMIF(ChoixEspèceAuPré,ChevauxSelle,NbreFemelles_0_3MoisAuPréEté))</f>
        <v>#REF!</v>
      </c>
      <c r="V92" s="385" t="e">
        <f>IF(ChoixExpèceAuPré="",0,SUMIF(ChoixEspèceAuPré,ChevauxTrait,NbreFemelles_0_3MoisAuPréEté))</f>
        <v>#REF!</v>
      </c>
      <c r="W92" s="385" t="e">
        <f>IF(ChoixExpèceAuPré="",0,SUMIF(ChoixEspèceAuPré,Poneys,NbreFemelles_0_3MoisAuPréEté))</f>
        <v>#REF!</v>
      </c>
      <c r="Y92" s="385" t="s">
        <v>1131</v>
      </c>
      <c r="Z92" s="385">
        <f>IF('coût alimentation'!$B$6=$Y$92,28,0)</f>
        <v>0</v>
      </c>
      <c r="AA92" s="385">
        <f>IF('coût alimentation'!$B$6=$Y$92,28,0)</f>
        <v>0</v>
      </c>
      <c r="AB92" s="385">
        <f>IF('coût alimentation'!$B$6=$Y$92,28,0)</f>
        <v>0</v>
      </c>
      <c r="AC92" s="385">
        <f>IF('coût alimentation'!$B$6=$Y$92,28,0)</f>
        <v>0</v>
      </c>
      <c r="AD92" s="385">
        <f>IF('coût alimentation'!$B$6=$Y$92,28,0)</f>
        <v>0</v>
      </c>
      <c r="AE92" s="385">
        <f>IF(AND(ChoixChevauxSellePréEté="OUI",'coût alimentation'!$B$6=$Y$92),21,IF(Y92&lt;&gt;'coût alimentation'!$B$6,0,84))</f>
        <v>0</v>
      </c>
      <c r="AF92" s="385">
        <f>IF(AND(ChoixChevauxTraitPréEté="OUI",'coût alimentation'!$B$6=$Y$92),21,IF(Y92&lt;&gt;'coût alimentation'!$B$6,0,84))</f>
        <v>0</v>
      </c>
      <c r="AG92" s="385">
        <f>IF(AND(ChoixPoneysPréEté="OUI",'coût alimentation'!$B$6=$Y$92),21,IF(Y92&lt;&gt;'coût alimentation'!$B$6,0,84))</f>
        <v>0</v>
      </c>
      <c r="BB92" s="387" t="s">
        <v>512</v>
      </c>
      <c r="BC92" s="362" t="s">
        <v>905</v>
      </c>
      <c r="BD92" s="362" t="s">
        <v>886</v>
      </c>
      <c r="BE92" s="388">
        <v>1</v>
      </c>
      <c r="BF92" s="388">
        <v>0.8</v>
      </c>
      <c r="BG92" s="388">
        <v>0.6</v>
      </c>
      <c r="BH92" s="388">
        <v>0.4</v>
      </c>
      <c r="BI92" s="388">
        <v>0.4</v>
      </c>
      <c r="BJ92" s="388">
        <v>0.4</v>
      </c>
      <c r="BK92" s="389">
        <v>0</v>
      </c>
      <c r="BL92" s="312"/>
      <c r="BM92" s="350" t="str">
        <f t="shared" si="22"/>
        <v>Minéraux + vitamines</v>
      </c>
      <c r="BN92" s="350">
        <f t="array" ref="BN92">IF(Ration_hivernale_complète_bisons[somme]&gt;0,0,IFERROR(IF(OR(AND(INDEX(Règles_bison[Specificite],MATCH(ChoixRationBisons&amp;$BM92,Règles_bison[Ration]&amp;Règles_bison[Aliment],0))="s1",IF($BM92=ChoixSpécificité1Bisons,1)),
INDEX(Règles_bison[Specificite],MATCH(ChoixRationBisons&amp;$BM92,Règles_bison[Ration]&amp;Règles_bison[Aliment],0))="c"),
INDEX(Règles_bison[Valeur 36 et plus],MATCH(ChoixRationBisons&amp;$BM92,Règles_bison[Ration]&amp;Règles_bison[Aliment],0)),0),0)*TotalBisonnes*NbreJoursNourrirBisonsDaims)</f>
        <v>0</v>
      </c>
      <c r="BO92" s="350">
        <f t="array" ref="BO92">IF(Ration_hivernale_complète_bisons[somme]&gt;0,0,IFERROR(IF(OR(AND(INDEX(Règles_bison[Specificite],MATCH(ChoixRationBisons&amp;$BM92,Règles_bison[Ration]&amp;Règles_bison[Aliment],0))="s1",IF($BM92=ChoixSpécificité1Bisons,1)),
INDEX(Règles_bison[Specificite],MATCH(ChoixRationBisons&amp;$BM92,Règles_bison[Ration]&amp;Règles_bison[Aliment],0))="c"),
INDEX(Règles_bison[Valeur 24-36],MATCH(ChoixRationBisons&amp;$BM92,Règles_bison[Ration]&amp;Règles_bison[Aliment],0)),0),0)*TotalBisonsFemelles_24_36_mois*NbreJoursNourrirBisonsDaims)</f>
        <v>0</v>
      </c>
      <c r="BP92" s="350">
        <f t="array" ref="BP92">IF(Ration_hivernale_complète_bisons[somme]&gt;0,0,IFERROR(IF(OR(AND(INDEX(Règles_bison[Specificite],MATCH(ChoixRationBisons&amp;$BM92,Règles_bison[Ration]&amp;Règles_bison[Aliment],0))="s1",IF($BM92=ChoixSpécificité1Bisons,1)),
INDEX(Règles_bison[Specificite],MATCH(ChoixRationBisons&amp;$BM92,Règles_bison[Ration]&amp;Règles_bison[Aliment],0))="c"),
INDEX(Règles_bison[Valeur 18-24],MATCH(ChoixRationBisons&amp;$BM92,Règles_bison[Ration]&amp;Règles_bison[Aliment],0)),0),0)*TotalBisonsFemelles_18_24_mois*NbreJoursNourrirBisonsDaims)</f>
        <v>0</v>
      </c>
      <c r="BQ92" s="350">
        <f t="array" ref="BQ92">IF(Ration_hivernale_complète_bisons[somme]&gt;0,0,IFERROR(IF(OR(AND(INDEX(Règles_bison[Specificite],MATCH(ChoixRationBisons&amp;$BM92,Règles_bison[Ration]&amp;Règles_bison[Aliment],0))="s1",IF($BM92=ChoixSpécificité1Bisons,1)),
INDEX(Règles_bison[Specificite],MATCH(ChoixRationBisons&amp;$BM92,Règles_bison[Ration]&amp;Règles_bison[Aliment],0))="c"),
INDEX(Règles_bison[Valeur 12-18],MATCH(ChoixRationBisons&amp;$BM92,Règles_bison[Ration]&amp;Règles_bison[Aliment],0)),0),0)*TotalBisonsFemelles_12_18_mois*NbreJoursNourrirBisonsDaims)</f>
        <v>0</v>
      </c>
      <c r="BR92" s="350">
        <f t="array" ref="BR92">IF(Ration_hivernale_complète_bisons[somme]&gt;0,0,IFERROR(IF(OR(AND(INDEX(Règles_bison[Specificite],MATCH(ChoixRationBisons&amp;$BM92,Règles_bison[Ration]&amp;Règles_bison[Aliment],0))="s1",IF($BM92=ChoixSpécificité1Bisons,1)),
INDEX(Règles_bison[Specificite],MATCH(ChoixRationBisons&amp;$BM92,Règles_bison[Ration]&amp;Règles_bison[Aliment],0))="c"),
INDEX(Règles_bison[Valeur 6-12],MATCH(ChoixRationBisons&amp;$BM92,Règles_bison[Ration]&amp;Règles_bison[Aliment],0)),0),0)*TotalBisonsFemelles_6_12_mois*NbreJoursNourrirBisonsDaims)</f>
        <v>0</v>
      </c>
      <c r="BS92" s="350">
        <f t="array" ref="BS92">IF(Ration_hivernale_complète_bisons[somme]&gt;0,0,IFERROR(IF(OR(AND(INDEX(Règles_bison[Specificite],MATCH(ChoixRationBisons&amp;$BM92,Règles_bison[Ration]&amp;Règles_bison[Aliment],0))="s1",IF($BM92=ChoixSpécificité1Bisons,1)),
INDEX(Règles_bison[Specificite],MATCH(ChoixRationBisons&amp;$BM92,Règles_bison[Ration]&amp;Règles_bison[Aliment],0))="c"),
INDEX(Règles_bison[Valeur 3-6],MATCH(ChoixRationBisons&amp;$BM92,Règles_bison[Ration]&amp;Règles_bison[Aliment],0)),0),0)*TotalBisonsFemelles_3_6_mois*NbreJoursNourrirBisonsDaims)</f>
        <v>0</v>
      </c>
      <c r="BT92" s="350">
        <f t="array" ref="BT92">IF(Ration_hivernale_complète_bisons[somme]&gt;0,0,IFERROR(IF(OR(AND(INDEX(Règles_bison[Specificite],MATCH(ChoixRationBisons&amp;$BM92,Règles_bison[Ration]&amp;Règles_bison[Aliment],0))="s1",IF($BM92=ChoixSpécificité1Bisons,1)),
INDEX(Règles_bison[Specificite],MATCH(ChoixRationBisons&amp;$BM92,Règles_bison[Ration]&amp;Règles_bison[Aliment],0))="c"),
INDEX(Règles_bison[Valeur 0-3],MATCH(ChoixRationBisons&amp;$BM92,Règles_bison[Ration]&amp;Règles_bison[Aliment],0)),0),0)*TotalBisonsFemelles_0_3_mois*NbreJoursNourrirBisonsDaims)</f>
        <v>0</v>
      </c>
      <c r="BU92" s="350">
        <f t="shared" si="21"/>
        <v>0</v>
      </c>
      <c r="BV92" s="282"/>
      <c r="BW92" s="282"/>
      <c r="BX92" s="373" t="s">
        <v>551</v>
      </c>
      <c r="BY92" s="280" t="s">
        <v>549</v>
      </c>
      <c r="BZ92" s="280" t="s">
        <v>886</v>
      </c>
      <c r="CA92" s="280">
        <v>6</v>
      </c>
      <c r="CB92" s="280">
        <v>4</v>
      </c>
      <c r="CC92" s="280">
        <v>2</v>
      </c>
      <c r="CD92" s="410">
        <v>0</v>
      </c>
      <c r="CE92" s="304"/>
      <c r="CF92" s="304"/>
      <c r="CG92" s="304"/>
      <c r="CH92" s="304"/>
      <c r="CI92" s="277"/>
      <c r="CJ92" s="420" t="str">
        <f t="shared" si="25"/>
        <v>Chanvre</v>
      </c>
      <c r="CK92" s="384">
        <f t="array" ref="CK9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92" s="384">
        <f t="array" ref="CL9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92" s="384">
        <f t="array" ref="CM9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92" s="384">
        <f t="array" ref="CN9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92" s="384">
        <f t="array" ref="CO9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92" s="426">
        <f>SUM(AlimentsRationPorcinsFemelles[[#This Row],[Valeur 12 et plus]:[Valeur 0-1]])</f>
        <v>0</v>
      </c>
      <c r="CS92" s="420"/>
      <c r="CT92" s="433">
        <f t="array" ref="CT92">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92" s="433">
        <f t="array" ref="CU92">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92" s="433">
        <f t="array" ref="CV92">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92" s="434">
        <f>SUM(AlimentsRationLapinsMâles[[#This Row],[Valeur 3 et plus]:[Valeur 0-1]])</f>
        <v>0</v>
      </c>
      <c r="CZ92" s="420"/>
      <c r="DA92" s="433">
        <f t="array" ref="DA9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92" s="433">
        <f t="array" ref="DB9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92" s="433">
        <f t="array" ref="DC9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92" s="434">
        <f>SUM(AlimentsRationVolaillesMâles[[#This Row],[Valeur 6 et plus]:[Valeur 0-1]])</f>
        <v>0</v>
      </c>
      <c r="DE92" s="316"/>
      <c r="DF92" s="277"/>
      <c r="DG92" s="384" t="str">
        <f t="shared" si="26"/>
        <v>Blé</v>
      </c>
      <c r="DH92" s="433">
        <f t="array" ref="DH9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92" s="433">
        <f t="array" ref="DI9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92" s="433">
        <f t="array" ref="DJ9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92" s="437">
        <f>SUM(AlimentsRationPintadesFemelles[[#This Row],[Valeur 6 et plus]:[Valeur 0-1]])</f>
        <v>0</v>
      </c>
      <c r="DN92" s="373" t="s">
        <v>512</v>
      </c>
      <c r="DO92" s="280" t="s">
        <v>907</v>
      </c>
      <c r="DP92" s="280" t="s">
        <v>886</v>
      </c>
      <c r="DQ92" s="310">
        <v>1.2</v>
      </c>
      <c r="DR92" s="310">
        <v>0.8</v>
      </c>
      <c r="DS92" s="310">
        <v>0.6</v>
      </c>
      <c r="DT92" s="439">
        <v>0.4</v>
      </c>
      <c r="DU92" s="298"/>
      <c r="DV92" s="350" t="str">
        <f t="shared" si="23"/>
        <v>Foin</v>
      </c>
      <c r="DW92" s="351">
        <f t="array" ref="DW92">SUM((IF(QualitéAlimentsFaonMâle_0_3_mois=BONNE,VLOOKUP("Foin",AlimentsRationHivernaleDaims,8,FALSE),0)+(IF(QualitéAlimentsFaonFemelle_0_3_mois=BONNE,VLOOKUP("Foin",AlimentsRationHivernaleDaims,8,FALSE),0)+(IF(QualitéAlimentsFaonMâle_3_6_mois=BONNE,VLOOKUP("Foin",AlimentsRationHivernaleDaims,7,FALSE),0)+(IF(QualitéAlimentsFaonFemelle_3_6_mois=BONNE,VLOOKUP("Foin",AlimentsRationHivernaleDaims,7,FALSE),0)+(IF(QualitéAlimentsFaonMâle_6_12_mois=BONNE,VLOOKUP("Foin",AlimentsRationHivernaleDaims,6,FALSE),0)+(IF(QualitéAlimentsFaonFemelle_6_12_mois=BONNE,VLOOKUP("Foin",AlimentsRationHivernaleDaims,6,FALSE),0)+(IF(QualitéAlimentsJeuneDaim_12_18_mois=BONNE,VLOOKUP("Foin",AlimentsRationHivernaleDaims,5,FALSE),0)+(IF(QualitéAlimentsJeuneDaine_12_18_mois=BONNE,VLOOKUP("Foin",AlimentsRationHivernaleDaims,5,FALSE),0)+(IF(QualitéAlimentsJeuneDaim_18_24_mois=BONNE,VLOOKUP("Foin",AlimentsRationHivernaleDaims,4,FALSE),0)+(IF(QualitéAlimentsJeuneDaine_18_24_mois=BONNE,VLOOKUP("Foin",AlimentsRationHivernaleDaims,4,FALSE),0)+(IF(QualitéAlimentsJeuneDaim_24_36_mois=BONNE,VLOOKUP("Foin",AlimentsRationHivernaleDaims,3,FALSE),0)+(IF(QualitéAlimentsJeuneDaine_24_36_mois=BONNE,VLOOKUP("Foin",AlimentsRationHivernaleDaims,3,FALSE),0)+(IF(QualitéAlimentsDaim=BONNE,VLOOKUP("Foin",AlimentsRationHivernaleDaims,2,FALSE),0)+(IF(QualitéAlimentsDaine=BONNE,VLOOKUP("Foin",AlimentsRationHivernaleDaims,2,FALSE),0))))))))))))))))</f>
        <v>0</v>
      </c>
      <c r="DX92" s="351">
        <f t="array" ref="DX92">SUM((IF(QualitéAlimentsFaonMâle_0_3_mois=MOYENNE,VLOOKUP("Foin",AlimentsRationHivernaleDaims,8,FALSE),0)+(IF(QualitéAlimentsFaonFemelle_0_3_mois=MOYENNE,VLOOKUP("Foin",AlimentsRationHivernaleDaims,8,FALSE),0)+(IF(QualitéAlimentsFaonMâle_3_6_mois=MOYENNE,VLOOKUP("Foin",AlimentsRationHivernaleDaims,7,FALSE),0)+(IF(QualitéAlimentsFaonFemelle_3_6_mois=MOYENNE,VLOOKUP("Foin",AlimentsRationHivernaleDaims,7,FALSE),0)+(IF(QualitéAlimentsFaonMâle_6_12_mois=MOYENNE,VLOOKUP("Foin",AlimentsRationHivernaleDaims,6,FALSE),0)+(IF(QualitéAlimentsFaonFemelle_6_12_mois=MOYENNE,VLOOKUP("Foin",AlimentsRationHivernaleDaims,6,FALSE),0)+(IF(QualitéAlimentsJeuneDaim_12_18_mois=MOYENNE,VLOOKUP("Foin",AlimentsRationHivernaleDaims,5,FALSE),0)+(IF(QualitéAlimentsJeuneDaine_12_18_mois=MOYENNE,VLOOKUP("Foin",AlimentsRationHivernaleDaims,5,FALSE),0)+(IF(QualitéAlimentsJeuneDaim_18_24_mois=MOYENNE,VLOOKUP("Foin",AlimentsRationHivernaleDaims,4,FALSE),0)+(IF(QualitéAlimentsJeuneDaine_18_24_mois=MOYENNE,VLOOKUP("Foin",AlimentsRationHivernaleDaims,4,FALSE),0)+(IF(QualitéAlimentsJeuneDaim_24_36_mois=MOYENNE,VLOOKUP("Foin",AlimentsRationHivernaleDaims,3,FALSE),0)+(IF(QualitéAlimentsJeuneDaine_24_36_mois=MOYENNE,VLOOKUP("Foin",AlimentsRationHivernaleDaims,3,FALSE),0)+(IF(QualitéAlimentsDaim=MOYENNE,VLOOKUP("Foin",AlimentsRationHivernaleDaims,2,FALSE),0)+(IF(QualitéAlimentsDaine=MOYENNE,VLOOKUP("Foin",AlimentsRationHivernaleDaims,2,FALSE),0))))))))))))))))</f>
        <v>0</v>
      </c>
      <c r="DY92" s="351">
        <f t="array" ref="DY92">SUM((IF(QualitéAlimentsFaonMâle_0_3_mois=MAUVAISE,VLOOKUP("Foin",AlimentsRationHivernaleDaims,8,FALSE),0)+(IF(QualitéAlimentsFaonFemelle_0_3_mois=MAUVAISE,VLOOKUP("Foin",AlimentsRationHivernaleDaims,8,FALSE),0)+(IF(QualitéAlimentsFaonMâle_3_6_mois=MAUVAISE,VLOOKUP("Foin",AlimentsRationHivernaleDaims,7,FALSE),0)+(IF(QualitéAlimentsFaonFemelle_3_6_mois=MAUVAISE,VLOOKUP("Foin",AlimentsRationHivernaleDaims,7,FALSE),0)+(IF(QualitéAlimentsFaonMâle_6_12_mois=MAUVAISE,VLOOKUP("Foin",AlimentsRationHivernaleDaims,6,FALSE),0)+(IF(QualitéAlimentsFaonFemelle_6_12_mois=MAUVAISE,VLOOKUP("Foin",AlimentsRationHivernaleDaims,6,FALSE),0)+(IF(QualitéAlimentsJeuneDaim_12_18_mois=MAUVAISE,VLOOKUP("Foin",AlimentsRationHivernaleDaims,5,FALSE),0)+(IF(QualitéAlimentsJeuneDaine_12_18_mois=MAUVAISE,VLOOKUP("Foin",AlimentsRationHivernaleDaims,5,FALSE),0)+(IF(QualitéAlimentsJeuneDaim_18_24_mois=MAUVAISE,VLOOKUP("Foin",AlimentsRationHivernaleDaims,4,FALSE),0)+(IF(QualitéAlimentsJeuneDaine_18_24_mois=MAUVAISE,VLOOKUP("Foin",AlimentsRationHivernaleDaims,4,FALSE),0)+(IF(QualitéAlimentsJeuneDaim_24_36_mois=MAUVAISE,VLOOKUP("Foin",AlimentsRationHivernaleDaims,3,FALSE),0)+(IF(QualitéAlimentsJeuneDaine_24_36_mois=MAUVAISE,VLOOKUP("Foin",AlimentsRationHivernaleDaims,3,FALSE),0)+(IF(QualitéAlimentsDaim=MAUVAISE,VLOOKUP("Foin",AlimentsRationHivernaleDaims,2,FALSE),0)+(IF(QualitéAlimentsDaine=MAUVAISE,VLOOKUP("Foin",AlimentsRationHivernaleDaims,2,FALSE),0))))))))))))))))</f>
        <v>0</v>
      </c>
      <c r="DZ92" s="298"/>
      <c r="EA92" s="298"/>
      <c r="EB92" s="298"/>
      <c r="EC92" s="298"/>
      <c r="ED92" s="298"/>
      <c r="EE92" s="298"/>
      <c r="EK92" s="276"/>
      <c r="EL92" s="276"/>
      <c r="EN92" s="335" t="s">
        <v>1162</v>
      </c>
      <c r="EO92" s="335"/>
      <c r="EP92" s="335"/>
      <c r="EQ92" s="335"/>
      <c r="ER92" s="335"/>
      <c r="ES92" s="276"/>
      <c r="EU92" s="457" t="s">
        <v>70</v>
      </c>
      <c r="EV92" s="458">
        <f t="array" ref="EV92">IF(OR(ChoixRationComplèteEtéChevauxSelle=OUI,ChoixRationComplèteEtéChevauxSelle="",AND(ChoixChevauxSellePréHiver=OUI,ChoixChevauxSellePréEté=OUI)),0,IFERROR(IF(OR(AND(INDEX(Règles_chevaux_selle[Specificite],MATCH(RationEtéChevauxSelle&amp;$EU92,Règles_chevaux_selle[Ration]&amp;Règles_chevaux_selle[Aliment],0))="s1",IF($EU92=Spécificité1ChevauxSelle,1)),
AND(INDEX(Règles_chevaux_selle[Specificite],MATCH(RationEtéChevauxSelle&amp;$EU92,Règles_chevaux_selle[Ration]&amp;Règles_chevaux_selle[Aliment],0))="s2",IF($EU92=Spécificité2ChevauxSelle,1)),
INDEX(Règles_chevaux_selle[Specificite],MATCH(RationEtéChevauxSelle&amp;$EU92,Règles_chevaux_selle[Ration]&amp;Règles_chevaux_selle[Aliment],0))="c"),
INDEX(Règles_chevaux_selle[Valeur 36 et plus],MATCH(RationEtéChevauxSelle&amp;$EU92,Règles_chevaux_selle[Ration]&amp;Règles_chevaux_selle[Aliment],0)),0),0)*TotalEtalonSelle*NbreJoursNourrirChevauxSelle)</f>
        <v>0</v>
      </c>
      <c r="EW92" s="458">
        <f t="array" ref="EW92">IF(OR(ChoixRationComplèteEtéChevauxSelle=OUI,ChoixRationComplèteEtéChevauxSelle="",AND(ChoixChevauxSellePréHiver=OUI,ChoixChevauxSellePréEté=OUI)),0,IFERROR(IF(OR(AND(INDEX(Règles_chevaux_selle[Specificite],MATCH(RationEtéChevauxSelle&amp;$EU92,Règles_chevaux_selle[Ration]&amp;Règles_chevaux_selle[Aliment],0))="s1",IF($EU92=Spécificité1ChevauxSelle,1)),
AND(INDEX(Règles_chevaux_selle[Specificite],MATCH(RationEtéChevauxSelle&amp;$EU92,Règles_chevaux_selle[Ration]&amp;Règles_chevaux_selle[Aliment],0))="s2",IF($EU92=Spécificité2ChevauxSelle,1)),
INDEX(Règles_chevaux_selle[Specificite],MATCH(RationEtéChevauxSelle&amp;$EU92,Règles_chevaux_selle[Ration]&amp;Règles_chevaux_selle[Aliment],0))="c"),
INDEX(Règles_chevaux_selle[Valeur 24-36],MATCH(RationEtéChevauxSelle&amp;$EU92,Règles_chevaux_selle[Ration]&amp;Règles_chevaux_selle[Aliment],0)),0),0)*TotalJeuneEtalonSelle_24_36_mois*NbreJoursNourrirChevauxSelle)</f>
        <v>0</v>
      </c>
      <c r="EX92" s="458">
        <f t="array" ref="EX92">IF(OR(ChoixRationComplèteEtéChevauxSelle=OUI,ChoixRationComplèteEtéChevauxSelle="",AND(ChoixChevauxSellePréHiver=OUI,ChoixChevauxSellePréEté=OUI)),0,IFERROR(IF(OR(AND(INDEX(Règles_chevaux_selle[Specificite],MATCH(RationEtéChevauxSelle&amp;$EU92,Règles_chevaux_selle[Ration]&amp;Règles_chevaux_selle[Aliment],0))="s1",IF($EU92=Spécificité1ChevauxSelle,1)),
AND(INDEX(Règles_chevaux_selle[Specificite],MATCH(RationEtéChevauxSelle&amp;$EU92,Règles_chevaux_selle[Ration]&amp;Règles_chevaux_selle[Aliment],0))="s2",IF($EU92=Spécificité2ChevauxSelle,1)),
INDEX(Règles_chevaux_selle[Specificite],MATCH(RationEtéChevauxSelle&amp;$EU92,Règles_chevaux_selle[Ration]&amp;Règles_chevaux_selle[Aliment],0))="c"),
INDEX(Règles_chevaux_selle[Valeur 12-24],MATCH(RationEtéChevauxSelle&amp;$EU92,Règles_chevaux_selle[Ration]&amp;Règles_chevaux_selle[Aliment],0)),0),0)*TotalJeuneEtalonSelle_12_24_mois*NbreJoursNourrirChevauxSelle)</f>
        <v>0</v>
      </c>
      <c r="EY92" s="460">
        <f t="array" ref="EY92">IF(OR(ChoixRationComplèteEtéChevauxSelle=OUI,ChoixRationComplèteEtéChevauxSelle="",AND(ChoixChevauxSellePréHiver=OUI,ChoixChevauxSellePréEté=OUI)),0,IFERROR(IF(OR(AND(INDEX(Règles_chevaux_selle[Specificite],MATCH(RationEtéChevauxSelle&amp;$EU92,Règles_chevaux_selle[Ration]&amp;Règles_chevaux_selle[Aliment],0))="s1",IF($EU92=Spécificité1ChevauxSelle,1)),
AND(INDEX(Règles_chevaux_selle[Specificite],MATCH(RationEtéChevauxSelle&amp;$EU92,Règles_chevaux_selle[Ration]&amp;Règles_chevaux_selle[Aliment],0))="s2",IF($EU92=Spécificité2ChevauxSelle,1)),
INDEX(Règles_chevaux_selle[Specificite],MATCH(RationEtéChevauxSelle&amp;$EU92,Règles_chevaux_selle[Ration]&amp;Règles_chevaux_selle[Aliment],0))="c"),
INDEX(Règles_chevaux_selle[Valeur 0-12],MATCH(RationEtéChevauxSelle&amp;$EU92,Règles_chevaux_selle[Ration]&amp;Règles_chevaux_selle[Aliment],0)),0),0)*TotalPoulainSelle_0_12_mois*NbreJoursNourrirChevauxSelle)</f>
        <v>0</v>
      </c>
      <c r="EZ92" s="460">
        <f t="shared" si="16"/>
        <v>0</v>
      </c>
      <c r="FD92" s="457"/>
      <c r="FE92" s="458">
        <f t="array" ref="FE92">IF(OR(ChoixRationComplèteEtéChevauxTrait=OUI,ChoixRationComplèteEtéChevauxTrait="",AND(ChoixChevauxTraitPréHiver=OUI,ChoixChevauxTraitPréEté=OUI)),0,IFERROR(IF(OR(AND(INDEX(Règles_chevaux_trait[Specificite],MATCH(RationEtéChevauxTrait&amp;$FD92,Règles_chevaux_trait[Ration]&amp;Règles_chevaux_trait[Aliment],0))="s1",IF($FD92=Spécificité1ChevauxTrait,1)),
AND(INDEX(Règles_chevaux_trait[Specificite],MATCH(RationEtéChevauxTrait&amp;$FD92,Règles_chevaux_trait[Ration]&amp;Règles_chevaux_trait[Aliment],0))="s2",IF($FD92=Spécificité2ChevauxTrait,1)),
INDEX(Règles_chevaux_trait[Specificite],MATCH(RationEtéChevauxTrait&amp;$FD92,Règles_chevaux_trait[Ration]&amp;Règles_chevaux_trait[Aliment],0))="c"),
INDEX(Règles_chevaux_trait[Valeur 36 et plus],MATCH(RationEtéChevauxTrait&amp;$FD92,Règles_chevaux_trait[Ration]&amp;Règles_chevaux_trait[Aliment],0)),0),0)*TotalEtalonTrait*NbreJoursNourrirChevauxTrait)</f>
        <v>0</v>
      </c>
      <c r="FF92" s="458">
        <f t="array" ref="FF92">IF(OR(ChoixRationComplèteEtéChevauxTrait=OUI,ChoixRationComplèteEtéChevauxTrait="",AND(ChoixChevauxTraitPréHiver=OUI,ChoixChevauxTraitPréEté=OUI)),0,IFERROR(IF(OR(AND(INDEX(Règles_chevaux_trait[Specificite],MATCH(RationEtéChevauxTrait&amp;$FD92,Règles_chevaux_trait[Ration]&amp;Règles_chevaux_trait[Aliment],0))="s1",IF($FD92=Spécificité1ChevauxTrait,1)),
AND(INDEX(Règles_chevaux_trait[Specificite],MATCH(RationEtéChevauxTrait&amp;$FD92,Règles_chevaux_trait[Ration]&amp;Règles_chevaux_trait[Aliment],0))="s2",IF($FD92=Spécificité2ChevauxTrait,1)),
INDEX(Règles_chevaux_trait[Specificite],MATCH(RationEtéChevauxTrait&amp;$FD92,Règles_chevaux_trait[Ration]&amp;Règles_chevaux_trait[Aliment],0))="c"),
INDEX(Règles_chevaux_trait[Valeur 24-36],MATCH(RationEtéChevauxTrait&amp;$FD92,Règles_chevaux_trait[Ration]&amp;Règles_chevaux_trait[Aliment],0)),0),0)*TotalJeuneEtalonTrait_24_36_mois*NbreJoursNourrirChevauxTrait)</f>
        <v>0</v>
      </c>
      <c r="FG92" s="458">
        <f t="array" ref="FG92">IF(OR(ChoixRationComplèteEtéChevauxTrait=OUI,ChoixRationComplèteEtéChevauxTrait="",AND(ChoixChevauxTraitPréHiver=OUI,ChoixChevauxTraitPréEté=OUI)),0,IFERROR(IF(OR(AND(INDEX(Règles_chevaux_trait[Specificite],MATCH(RationEtéChevauxTrait&amp;$FD92,Règles_chevaux_trait[Ration]&amp;Règles_chevaux_trait[Aliment],0))="s1",IF($FD92=Spécificité1ChevauxTrait,1)),
AND(INDEX(Règles_chevaux_trait[Specificite],MATCH(RationEtéChevauxTrait&amp;$FD92,Règles_chevaux_trait[Ration]&amp;Règles_chevaux_trait[Aliment],0))="s2",IF($FD92=Spécificité2ChevauxTrait,1)),
INDEX(Règles_chevaux_trait[Specificite],MATCH(RationEtéChevauxTrait&amp;$FD92,Règles_chevaux_trait[Ration]&amp;Règles_chevaux_trait[Aliment],0))="c"),
INDEX(Règles_chevaux_trait[Valeur 12-24],MATCH(RationEtéChevauxTrait&amp;$FD92,Règles_chevaux_trait[Ration]&amp;Règles_chevaux_trait[Aliment],0)),0),0)*TotalJeuneEtalonTrait_12_24_mois*NbreJoursNourrirChevauxTrait)</f>
        <v>0</v>
      </c>
      <c r="FH92" s="460">
        <f t="array" ref="FH92">IF(OR(ChoixRationComplèteEtéChevauxTrait=OUI,ChoixRationComplèteEtéChevauxTrait="",AND(ChoixChevauxTraitPréHiver=OUI,ChoixChevauxTraitPréEté=OUI)),0,IFERROR(IF(OR(AND(INDEX(Règles_chevaux_trait[Specificite],MATCH(RationEtéChevauxTrait&amp;$FD92,Règles_chevaux_trait[Ration]&amp;Règles_chevaux_trait[Aliment],0))="s1",IF($FD92=Spécificité1ChevauxTrait,1)),
AND(INDEX(Règles_chevaux_trait[Specificite],MATCH(RationEtéChevauxTrait&amp;$FD92,Règles_chevaux_trait[Ration]&amp;Règles_chevaux_trait[Aliment],0))="s2",IF($FD92=Spécificité2ChevauxTrait,1)),
INDEX(Règles_chevaux_trait[Specificite],MATCH(RationEtéChevauxTrait&amp;$FD92,Règles_chevaux_trait[Ration]&amp;Règles_chevaux_trait[Aliment],0))="c"),
INDEX(Règles_chevaux_trait[Valeur 0-12],MATCH(RationEtéChevauxTrait&amp;$FD92,Règles_chevaux_trait[Ration]&amp;Règles_chevaux_trait[Aliment],0)),0),0)*TotalPoulainTrait_0_12_mois*NbreJoursNourrirChevauxTrait)</f>
        <v>0</v>
      </c>
      <c r="FI92" s="460">
        <f t="shared" si="15"/>
        <v>0</v>
      </c>
      <c r="FS92" s="276"/>
      <c r="FW92" s="443" t="str">
        <f t="shared" si="27"/>
        <v>Blé</v>
      </c>
      <c r="FX92" s="450">
        <f t="array" ref="FX92">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92" s="450">
        <f t="array" ref="FY92">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92" s="450">
        <f t="array" ref="FZ92">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92" s="450">
        <f t="array" ref="GA92">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92" s="451">
        <f>SUM(AlimentsGavageCanards[[#This Row],[Valeur 6 et plus]:[Valeur 0-1]])</f>
        <v>0</v>
      </c>
      <c r="GG92" s="276" t="s">
        <v>955</v>
      </c>
      <c r="GH92" s="276" t="s">
        <v>955</v>
      </c>
      <c r="GI92" s="276" t="s">
        <v>955</v>
      </c>
      <c r="GJ92" s="276" t="s">
        <v>955</v>
      </c>
      <c r="GK92" s="276" t="s">
        <v>955</v>
      </c>
      <c r="GL92" s="276" t="s">
        <v>955</v>
      </c>
      <c r="GM92" s="276" t="s">
        <v>955</v>
      </c>
      <c r="GN92" s="276" t="s">
        <v>955</v>
      </c>
      <c r="GO92" s="276" t="s">
        <v>955</v>
      </c>
      <c r="GP92" s="276" t="s">
        <v>955</v>
      </c>
      <c r="GQ92" s="276" t="s">
        <v>955</v>
      </c>
      <c r="GR92" s="276" t="s">
        <v>955</v>
      </c>
      <c r="GS92" s="276" t="s">
        <v>955</v>
      </c>
      <c r="GT92" s="276" t="s">
        <v>955</v>
      </c>
      <c r="GU92" s="276" t="s">
        <v>955</v>
      </c>
      <c r="GV92" s="276" t="s">
        <v>955</v>
      </c>
      <c r="GY92" s="444" t="str">
        <f t="shared" si="24"/>
        <v>Calcium</v>
      </c>
      <c r="GZ92" s="444"/>
      <c r="HA92" s="342"/>
      <c r="HB92" s="342" t="e">
        <f>IF(COUNTIF(TypeArticleDansEntrepôt,GY92)=0,0,SUMIF(TypeArticleDansEntrepôt,GY92,QtéArticleDansEntrepôt)*VLOOKUP(GY92,#REF!,2,FALSE))</f>
        <v>#REF!</v>
      </c>
      <c r="HN92" s="342" t="e">
        <f>IF(#REF!="","",(VLOOKUP(#REF!,BDD!$HN$5:$HU$38,2,FALSE))*#REF!)</f>
        <v>#REF!</v>
      </c>
      <c r="HO92" s="342" t="e">
        <f>IF(#REF!="","",IF(OR(#REF!=Moutarde,#REF!=Phacélie),0,IF(#REF!=Luzerne,10*#REF!*VLOOKUP(#REF!,BDD!$HN$5:$HU$38,3,FALSE),IF(#REF!=Miscanthus,10.5*#REF!*VLOOKUP(#REF!,BDD!$HN$5:$HU$38,3,FALSE),INDEX(#REF!:#REF!,MATCH(#REF!,#REF!:#REF!,0),MATCH(#REF!,#REF!:#REF!,0))*#REF!*VLOOKUP(#REF!,BDD!$HN$5:$HU$38,3,FALSE)))))</f>
        <v>#REF!</v>
      </c>
      <c r="HP92" s="342" t="e">
        <f>IF(#REF!="","",IF(OR(#REF!=Moutarde,#REF!=Phacélie),0,IF(#REF!=Luzerne,10*#REF!*VLOOKUP(#REF!,BDD!$HN$5:$HU$38,4,FALSE),IF(#REF!=Miscanthus,10.5*#REF!*VLOOKUP(#REF!,BDD!$HN$5:$HU$38,4,FALSE),INDEX(#REF!:#REF!,MATCH(#REF!,#REF!:#REF!,0),MATCH(#REF!,#REF!:#REF!,0))*#REF!*VLOOKUP(#REF!,BDD!$HN$5:$HU$38,4,FALSE)))))</f>
        <v>#REF!</v>
      </c>
      <c r="HQ92" s="342" t="e">
        <f>IF(#REF!="","",IF(OR(#REF!=Moutarde,#REF!=Phacélie),0,IF(#REF!=Luzerne,10*#REF!*VLOOKUP(#REF!,BDD!$HN$5:$HU$38,5,FALSE),IF(#REF!=Miscanthus,10.5*#REF!*VLOOKUP(#REF!,BDD!$HN$5:$HU$38,5,FALSE),INDEX(#REF!:#REF!,MATCH(#REF!,#REF!:#REF!,0),MATCH(#REF!,#REF!:#REF!,0))*#REF!*VLOOKUP(#REF!,BDD!$HN$5:$HU$38,5,FALSE)))))</f>
        <v>#REF!</v>
      </c>
      <c r="HR92" s="342" t="e">
        <f>IF(#REF!="","",IF(OR(#REF!=Moutarde,#REF!=Phacélie),0,IF(#REF!=Luzerne,10*#REF!*VLOOKUP(#REF!,BDD!$HN$5:$HU$38,6,FALSE),IF(#REF!=Miscanthus,10.5*#REF!*VLOOKUP(#REF!,BDD!$HN$5:$HU$38,6,FALSE),INDEX(#REF!:#REF!,MATCH(#REF!,#REF!:#REF!,0),MATCH(#REF!,#REF!:#REF!,0))*#REF!*VLOOKUP(#REF!,BDD!$HN$5:$HU$38,6,FALSE)))))</f>
        <v>#REF!</v>
      </c>
      <c r="HS92" s="342" t="e">
        <f>IF(#REF!="","",IF(OR(#REF!=Moutarde,#REF!=Phacélie),0,IF(#REF!=Luzerne,10*#REF!*VLOOKUP(#REF!,BDD!$HN$5:$HU$38,7,FALSE),IF(#REF!=Miscanthus,10.5*#REF!*VLOOKUP(#REF!,BDD!$HN$5:$HU$38,7,FALSE),INDEX(#REF!:#REF!,MATCH(#REF!,#REF!:#REF!,0),MATCH(#REF!,#REF!:#REF!,0))*#REF!*VLOOKUP(#REF!,BDD!$HN$5:$HU$38,7,FALSE)))))</f>
        <v>#REF!</v>
      </c>
      <c r="HT92" s="342" t="e">
        <f>IF(#REF!="","",IF(OR(#REF!=Moutarde,#REF!=Phacélie),0,IF(#REF!=Luzerne,10*#REF!*VLOOKUP(#REF!,BDD!$HN$5:$HU$38,8,FALSE),IF(#REF!=Miscanthus,10.5*#REF!*VLOOKUP(#REF!,BDD!$HN$5:$HU$38,8,FALSE),INDEX(#REF!:#REF!,MATCH(#REF!,#REF!:#REF!,0),MATCH(#REF!,#REF!:#REF!,0))*#REF!*VLOOKUP(#REF!,BDD!$HN$5:$HU$38,8,FALSE)))))</f>
        <v>#REF!</v>
      </c>
      <c r="HU92" s="342" t="e">
        <f>IF(#REF!="","",IF(OR(#REF!=Moutarde,#REF!=Phacélie),0,1.6*#REF!))</f>
        <v>#REF!</v>
      </c>
      <c r="HV92" s="342" t="e">
        <f>IF(#REF!="","",IF(OR(#REF!=Moutarde,#REF!=Phacélie),0,1.6*#REF!))</f>
        <v>#REF!</v>
      </c>
      <c r="HW92" s="342" t="e">
        <f>IF(#REF!="","",IF(OR(#REF!=Moutarde,#REF!=Phacélie),0,1.6*#REF!))</f>
        <v>#REF!</v>
      </c>
      <c r="HX92" s="342" t="e">
        <f>IF(#REF!="","",(VLOOKUP(#REF!,BDD!$HN$5:$HU$38,2,FALSE))*#REF!)</f>
        <v>#REF!</v>
      </c>
      <c r="HY92" s="342" t="e">
        <f>IF(#REF!="","",IF(OR(#REF!=Moutarde,#REF!=Phacélie),0,IF(#REF!=Luzerne,10*#REF!*VLOOKUP(#REF!,BDD!$HN$5:$HU$38,3,FALSE),IF(#REF!=Miscanthus,10.5*#REF!*VLOOKUP(#REF!,BDD!$HN$5:$HU$38,3,FALSE),INDEX(#REF!:#REF!,MATCH(#REF!,#REF!:#REF!,0),MATCH(#REF!,#REF!:#REF!,0))*#REF!*VLOOKUP(#REF!,BDD!$HN$5:$HU$38,3,FALSE)))))</f>
        <v>#REF!</v>
      </c>
      <c r="HZ92" s="342" t="e">
        <f>IF(#REF!="","",IF(OR(#REF!=Moutarde,#REF!=Phacélie),0,IF(#REF!=Luzerne,10*#REF!*VLOOKUP(#REF!,BDD!$HN$5:$HU$38,4,FALSE),IF(#REF!=Miscanthus,10.5*#REF!*VLOOKUP(#REF!,BDD!$HN$5:$HU$38,4,FALSE),INDEX(#REF!:#REF!,MATCH(#REF!,#REF!:#REF!,0),MATCH(#REF!,#REF!:#REF!,0))*#REF!*VLOOKUP(#REF!,BDD!$HN$5:$HU$38,4,FALSE)))))</f>
        <v>#REF!</v>
      </c>
      <c r="IA92" s="342" t="e">
        <f>IF(#REF!="","",IF(OR(#REF!=Moutarde,#REF!=Phacélie),0,IF(#REF!=Luzerne,10*#REF!*VLOOKUP(#REF!,BDD!$HN$5:$HU$38,5,FALSE),IF(#REF!=Miscanthus,10.5*#REF!*VLOOKUP(#REF!,BDD!$HN$5:$HU$38,5,FALSE),INDEX(#REF!:#REF!,MATCH(#REF!,#REF!:#REF!,0),MATCH(#REF!,#REF!:#REF!,0))*#REF!*VLOOKUP(#REF!,BDD!$HN$5:$HU$38,5,FALSE)))))</f>
        <v>#REF!</v>
      </c>
      <c r="IB92" s="342" t="e">
        <f>IF(#REF!="","",IF(OR(#REF!=Moutarde,#REF!=Phacélie),0,IF(#REF!=Luzerne,10*#REF!*VLOOKUP(#REF!,BDD!$HN$5:$HU$38,6,FALSE),IF(#REF!=Miscanthus,10.5*#REF!*VLOOKUP(#REF!,BDD!$HN$5:$HU$38,6,FALSE),INDEX(#REF!:#REF!,MATCH(#REF!,#REF!:#REF!,0),MATCH(#REF!,#REF!:#REF!,0))*#REF!*VLOOKUP(#REF!,BDD!$HN$5:$HU$38,6,FALSE)))))</f>
        <v>#REF!</v>
      </c>
      <c r="IC92" s="342" t="e">
        <f>IF(#REF!="","",IF(OR(#REF!=Moutarde,#REF!=Phacélie),0,IF(#REF!=Luzerne,10*#REF!*VLOOKUP(#REF!,BDD!$HN$5:$HU$38,7,FALSE),IF(#REF!=Miscanthus,10.5*#REF!*VLOOKUP(#REF!,BDD!$HN$5:$HU$38,7,FALSE),INDEX(#REF!:#REF!,MATCH(#REF!,#REF!:#REF!,0),MATCH(#REF!,#REF!:#REF!,0))*#REF!*VLOOKUP(#REF!,BDD!$HN$5:$HU$38,7,FALSE)))))</f>
        <v>#REF!</v>
      </c>
      <c r="ID92" s="342" t="e">
        <f>IF(#REF!="","",IF(OR(#REF!=Moutarde,#REF!=Phacélie),0,IF(#REF!=Luzerne,10*#REF!*VLOOKUP(#REF!,BDD!$HN$5:$HU$38,8,FALSE),IF(#REF!=Miscanthus,10.5*#REF!*VLOOKUP(#REF!,BDD!$HN$5:$HU$38,8,FALSE),INDEX(#REF!:#REF!,MATCH(#REF!,#REF!:#REF!,0),MATCH(#REF!,#REF!:#REF!,0))*#REF!*VLOOKUP(#REF!,BDD!$HN$5:$HU$38,8,FALSE)))))</f>
        <v>#REF!</v>
      </c>
      <c r="IE92" s="342" t="e">
        <f>IF(#REF!="","",IF(OR(#REF!=Moutarde,#REF!=Phacélie),0,1.6*#REF!))</f>
        <v>#REF!</v>
      </c>
      <c r="IF92" s="342" t="e">
        <f>IF(#REF!="","",IF(OR(#REF!=Moutarde,#REF!=Phacélie),0,1.6*#REF!))</f>
        <v>#REF!</v>
      </c>
      <c r="IG92" s="342" t="e">
        <f>IF(#REF!="","",IF(OR(#REF!=Moutarde,#REF!=Phacélie),0,1.6*#REF!))</f>
        <v>#REF!</v>
      </c>
    </row>
    <row r="93" spans="1:241" ht="12.75" customHeight="1" x14ac:dyDescent="0.2">
      <c r="A93" s="373"/>
      <c r="B93" s="380"/>
      <c r="F93" s="280"/>
      <c r="G93" s="280"/>
      <c r="H93" s="280"/>
      <c r="I93" s="321"/>
      <c r="J93" s="321"/>
      <c r="K93" s="321"/>
      <c r="L93" s="321"/>
      <c r="O93" s="385" t="s">
        <v>997</v>
      </c>
      <c r="P93" s="385" t="e">
        <f>IF(ChoixExpèceAuPré="",0,SUMIF(ChoixEspèceAuPré,Bovins,NbreMâles_3_6MoisAuPréEté))</f>
        <v>#REF!</v>
      </c>
      <c r="Q93" s="385" t="e">
        <f>IF(ChoixExpèceAuPré="",0,SUMIF(ChoixEspèceAuPré,Ovins,NbreMâles_3_6MoisAuPréEté))</f>
        <v>#REF!</v>
      </c>
      <c r="R93" s="385" t="e">
        <f>IF(ChoixExpèceAuPré="",0,SUMIF(ChoixEspèceAuPré,Caprins,NbreMâles_3_6MoisAuPréEté))</f>
        <v>#REF!</v>
      </c>
      <c r="S93" s="385" t="e">
        <f>IF(ChoixExpèceAuPré="",0,SUMIF(ChoixEspèceAuPré,Bisons,NbreMâles_3_6MoisAuPréEté))</f>
        <v>#REF!</v>
      </c>
      <c r="T93" s="385" t="e">
        <f>IF(ChoixExpèceAuPré="",0,SUMIF(ChoixEspèceAuPré,Daims,NbreMâles_3_6MoisAuPréEté))</f>
        <v>#REF!</v>
      </c>
      <c r="U93" s="385" t="e">
        <f>IF(ChoixExpèceAuPré="",0,SUMIF(ChoixEspèceAuPré,ChevauxSelle,NbreMâles_3_6MoisAuPréEté))</f>
        <v>#REF!</v>
      </c>
      <c r="V93" s="385" t="e">
        <f>IF(ChoixExpèceAuPré="",0,SUMIF(ChoixEspèceAuPré,ChevauxTrait,NbreMâles_3_6MoisAuPréEté))</f>
        <v>#REF!</v>
      </c>
      <c r="W93" s="385" t="e">
        <f>IF(ChoixExpèceAuPré="",0,SUMIF(ChoixEspèceAuPré,Poneys,NbreMâles_3_6MoisAuPréEté))</f>
        <v>#REF!</v>
      </c>
      <c r="Y93" s="385" t="s">
        <v>1132</v>
      </c>
      <c r="Z93" s="385">
        <f>IF('coût alimentation'!$B$6=$Y$93,35,0)</f>
        <v>0</v>
      </c>
      <c r="AA93" s="385">
        <f>IF('coût alimentation'!$B$6=$Y$93,35,0)</f>
        <v>0</v>
      </c>
      <c r="AB93" s="385">
        <f>IF('coût alimentation'!$B$6=$Y$93,35,0)</f>
        <v>0</v>
      </c>
      <c r="AC93" s="385">
        <f>IF('coût alimentation'!$B$6=$Y$93,35,0)</f>
        <v>0</v>
      </c>
      <c r="AD93" s="385">
        <f>IF('coût alimentation'!$B$6=$Y$93,35,0)</f>
        <v>0</v>
      </c>
      <c r="AE93" s="385">
        <f>IF(AND(ChoixChevauxSellePréEté="OUI",'coût alimentation'!$B$6=$Y$93),21,IF(Y93&lt;&gt;'coût alimentation'!$B$6,0,84))</f>
        <v>0</v>
      </c>
      <c r="AF93" s="385">
        <f>IF(AND(ChoixChevauxTraitPréEté="OUI",'coût alimentation'!$B$6=$Y$93),21,IF(Y93&lt;&gt;'coût alimentation'!$B$6,0,84))</f>
        <v>0</v>
      </c>
      <c r="AG93" s="385">
        <f>IF(AND(ChoixPoneysPréEté="OUI",'coût alimentation'!$B$6=$Y$93),21,IF(Y93&lt;&gt;'coût alimentation'!$B$6,0,84))</f>
        <v>0</v>
      </c>
      <c r="BB93" s="387" t="s">
        <v>512</v>
      </c>
      <c r="BC93" s="362" t="s">
        <v>1166</v>
      </c>
      <c r="BD93" s="362" t="s">
        <v>886</v>
      </c>
      <c r="BE93" s="388">
        <v>0</v>
      </c>
      <c r="BF93" s="388">
        <v>0</v>
      </c>
      <c r="BG93" s="388">
        <v>0</v>
      </c>
      <c r="BH93" s="388">
        <v>0</v>
      </c>
      <c r="BI93" s="388">
        <v>0</v>
      </c>
      <c r="BJ93" s="388">
        <v>0</v>
      </c>
      <c r="BK93" s="389">
        <v>8</v>
      </c>
      <c r="BL93" s="312"/>
      <c r="BM93" s="350" t="str">
        <f t="shared" si="22"/>
        <v>Orge</v>
      </c>
      <c r="BN93" s="350">
        <f t="array" ref="BN93">IF(Ration_hivernale_complète_bisons[somme]&gt;0,0,IFERROR(IF(OR(AND(INDEX(Règles_bison[Specificite],MATCH(ChoixRationBisons&amp;$BM93,Règles_bison[Ration]&amp;Règles_bison[Aliment],0))="s1",IF($BM93=ChoixSpécificité1Bisons,1)),
INDEX(Règles_bison[Specificite],MATCH(ChoixRationBisons&amp;$BM93,Règles_bison[Ration]&amp;Règles_bison[Aliment],0))="c"),
INDEX(Règles_bison[Valeur 36 et plus],MATCH(ChoixRationBisons&amp;$BM93,Règles_bison[Ration]&amp;Règles_bison[Aliment],0)),0),0)*TotalBisonnes*NbreJoursNourrirBisonsDaims)</f>
        <v>0</v>
      </c>
      <c r="BO93" s="350">
        <f t="array" ref="BO93">IF(Ration_hivernale_complète_bisons[somme]&gt;0,0,IFERROR(IF(OR(AND(INDEX(Règles_bison[Specificite],MATCH(ChoixRationBisons&amp;$BM93,Règles_bison[Ration]&amp;Règles_bison[Aliment],0))="s1",IF($BM93=ChoixSpécificité1Bisons,1)),
INDEX(Règles_bison[Specificite],MATCH(ChoixRationBisons&amp;$BM93,Règles_bison[Ration]&amp;Règles_bison[Aliment],0))="c"),
INDEX(Règles_bison[Valeur 24-36],MATCH(ChoixRationBisons&amp;$BM93,Règles_bison[Ration]&amp;Règles_bison[Aliment],0)),0),0)*TotalBisonsFemelles_24_36_mois*NbreJoursNourrirBisonsDaims)</f>
        <v>0</v>
      </c>
      <c r="BP93" s="350">
        <f t="array" ref="BP93">IF(Ration_hivernale_complète_bisons[somme]&gt;0,0,IFERROR(IF(OR(AND(INDEX(Règles_bison[Specificite],MATCH(ChoixRationBisons&amp;$BM93,Règles_bison[Ration]&amp;Règles_bison[Aliment],0))="s1",IF($BM93=ChoixSpécificité1Bisons,1)),
INDEX(Règles_bison[Specificite],MATCH(ChoixRationBisons&amp;$BM93,Règles_bison[Ration]&amp;Règles_bison[Aliment],0))="c"),
INDEX(Règles_bison[Valeur 18-24],MATCH(ChoixRationBisons&amp;$BM93,Règles_bison[Ration]&amp;Règles_bison[Aliment],0)),0),0)*TotalBisonsFemelles_18_24_mois*NbreJoursNourrirBisonsDaims)</f>
        <v>0</v>
      </c>
      <c r="BQ93" s="350">
        <f t="array" ref="BQ93">IF(Ration_hivernale_complète_bisons[somme]&gt;0,0,IFERROR(IF(OR(AND(INDEX(Règles_bison[Specificite],MATCH(ChoixRationBisons&amp;$BM93,Règles_bison[Ration]&amp;Règles_bison[Aliment],0))="s1",IF($BM93=ChoixSpécificité1Bisons,1)),
INDEX(Règles_bison[Specificite],MATCH(ChoixRationBisons&amp;$BM93,Règles_bison[Ration]&amp;Règles_bison[Aliment],0))="c"),
INDEX(Règles_bison[Valeur 12-18],MATCH(ChoixRationBisons&amp;$BM93,Règles_bison[Ration]&amp;Règles_bison[Aliment],0)),0),0)*TotalBisonsFemelles_12_18_mois*NbreJoursNourrirBisonsDaims)</f>
        <v>0</v>
      </c>
      <c r="BR93" s="350">
        <f t="array" ref="BR93">IF(Ration_hivernale_complète_bisons[somme]&gt;0,0,IFERROR(IF(OR(AND(INDEX(Règles_bison[Specificite],MATCH(ChoixRationBisons&amp;$BM93,Règles_bison[Ration]&amp;Règles_bison[Aliment],0))="s1",IF($BM93=ChoixSpécificité1Bisons,1)),
INDEX(Règles_bison[Specificite],MATCH(ChoixRationBisons&amp;$BM93,Règles_bison[Ration]&amp;Règles_bison[Aliment],0))="c"),
INDEX(Règles_bison[Valeur 6-12],MATCH(ChoixRationBisons&amp;$BM93,Règles_bison[Ration]&amp;Règles_bison[Aliment],0)),0),0)*TotalBisonsFemelles_6_12_mois*NbreJoursNourrirBisonsDaims)</f>
        <v>0</v>
      </c>
      <c r="BS93" s="350">
        <f t="array" ref="BS93">IF(Ration_hivernale_complète_bisons[somme]&gt;0,0,IFERROR(IF(OR(AND(INDEX(Règles_bison[Specificite],MATCH(ChoixRationBisons&amp;$BM93,Règles_bison[Ration]&amp;Règles_bison[Aliment],0))="s1",IF($BM93=ChoixSpécificité1Bisons,1)),
INDEX(Règles_bison[Specificite],MATCH(ChoixRationBisons&amp;$BM93,Règles_bison[Ration]&amp;Règles_bison[Aliment],0))="c"),
INDEX(Règles_bison[Valeur 3-6],MATCH(ChoixRationBisons&amp;$BM93,Règles_bison[Ration]&amp;Règles_bison[Aliment],0)),0),0)*TotalBisonsFemelles_3_6_mois*NbreJoursNourrirBisonsDaims)</f>
        <v>0</v>
      </c>
      <c r="BT93" s="350">
        <f t="array" ref="BT93">IF(Ration_hivernale_complète_bisons[somme]&gt;0,0,IFERROR(IF(OR(AND(INDEX(Règles_bison[Specificite],MATCH(ChoixRationBisons&amp;$BM93,Règles_bison[Ration]&amp;Règles_bison[Aliment],0))="s1",IF($BM93=ChoixSpécificité1Bisons,1)),
INDEX(Règles_bison[Specificite],MATCH(ChoixRationBisons&amp;$BM93,Règles_bison[Ration]&amp;Règles_bison[Aliment],0))="c"),
INDEX(Règles_bison[Valeur 0-3],MATCH(ChoixRationBisons&amp;$BM93,Règles_bison[Ration]&amp;Règles_bison[Aliment],0)),0),0)*TotalBisonsFemelles_0_3_mois*NbreJoursNourrirBisonsDaims)</f>
        <v>0</v>
      </c>
      <c r="BU93" s="350">
        <f t="shared" si="21"/>
        <v>0</v>
      </c>
      <c r="BV93" s="282"/>
      <c r="BW93" s="282"/>
      <c r="BX93" s="373" t="s">
        <v>551</v>
      </c>
      <c r="BY93" s="280" t="s">
        <v>489</v>
      </c>
      <c r="BZ93" s="280" t="s">
        <v>886</v>
      </c>
      <c r="CA93" s="280">
        <v>1.6</v>
      </c>
      <c r="CB93" s="280">
        <v>1.4</v>
      </c>
      <c r="CC93" s="280">
        <v>1.2</v>
      </c>
      <c r="CD93" s="410">
        <v>1</v>
      </c>
      <c r="CE93" s="304"/>
      <c r="CF93" s="304"/>
      <c r="CG93" s="304"/>
      <c r="CH93" s="304"/>
      <c r="CI93" s="277"/>
      <c r="CJ93" s="420" t="str">
        <f t="shared" si="25"/>
        <v>Canola</v>
      </c>
      <c r="CK93" s="384">
        <f t="array" ref="CK9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93" s="384">
        <f t="array" ref="CL9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93" s="384">
        <f t="array" ref="CM9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93" s="384">
        <f t="array" ref="CN9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93" s="384">
        <f t="array" ref="CO9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93" s="426">
        <f>SUM(AlimentsRationPorcinsFemelles[[#This Row],[Valeur 12 et plus]:[Valeur 0-1]])</f>
        <v>0</v>
      </c>
      <c r="CS93" s="420"/>
      <c r="CT93" s="433">
        <f t="array" ref="CT93">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93" s="433">
        <f t="array" ref="CU93">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93" s="433">
        <f t="array" ref="CV93">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93" s="434">
        <f>SUM(AlimentsRationLapinsMâles[[#This Row],[Valeur 3 et plus]:[Valeur 0-1]])</f>
        <v>0</v>
      </c>
      <c r="CZ93" s="420"/>
      <c r="DA93" s="433">
        <f t="array" ref="DA9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93" s="433">
        <f t="array" ref="DB9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93" s="433">
        <f t="array" ref="DC9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93" s="434">
        <f>SUM(AlimentsRationVolaillesMâles[[#This Row],[Valeur 6 et plus]:[Valeur 0-1]])</f>
        <v>0</v>
      </c>
      <c r="DE93" s="316"/>
      <c r="DF93" s="277"/>
      <c r="DG93" s="384" t="str">
        <f t="shared" si="26"/>
        <v>Bouchons luzerne</v>
      </c>
      <c r="DH93" s="433">
        <f t="array" ref="DH9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93" s="433">
        <f t="array" ref="DI9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93" s="433">
        <f t="array" ref="DJ9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93" s="437">
        <f>SUM(AlimentsRationPintadesFemelles[[#This Row],[Valeur 6 et plus]:[Valeur 0-1]])</f>
        <v>0</v>
      </c>
      <c r="DN93" s="373" t="s">
        <v>512</v>
      </c>
      <c r="DO93" s="280" t="s">
        <v>500</v>
      </c>
      <c r="DP93" s="280" t="s">
        <v>886</v>
      </c>
      <c r="DQ93" s="310">
        <v>1.2</v>
      </c>
      <c r="DR93" s="310">
        <v>0.8</v>
      </c>
      <c r="DS93" s="310">
        <v>0.6</v>
      </c>
      <c r="DT93" s="439">
        <v>0.4</v>
      </c>
      <c r="DU93" s="298"/>
      <c r="DV93" s="350" t="str">
        <f t="shared" si="23"/>
        <v>Haricot vert</v>
      </c>
      <c r="DW93" s="351">
        <f t="array" ref="DW93">SUM((IF(QualitéAlimentsFaonMâle_0_3_mois=BONNE,VLOOKUP("Haricot vert",AlimentsRationHivernaleDaims,8,FALSE),0)+(IF(QualitéAlimentsFaonFemelle_0_3_mois=BONNE,VLOOKUP("Haricot vert",AlimentsRationHivernaleDaims,8,FALSE),0)+(IF(QualitéAlimentsFaonMâle_3_6_mois=BONNE,VLOOKUP("Haricot vert",AlimentsRationHivernaleDaims,7,FALSE),0)+(IF(QualitéAlimentsFaonFemelle_3_6_mois=BONNE,VLOOKUP("Haricot vert",AlimentsRationHivernaleDaims,7,FALSE),0)+(IF(QualitéAlimentsFaonMâle_6_12_mois=BONNE,VLOOKUP("Haricot vert",AlimentsRationHivernaleDaims,6,FALSE),0)+(IF(QualitéAlimentsFaonFemelle_6_12_mois=BONNE,VLOOKUP("Haricot vert",AlimentsRationHivernaleDaims,6,FALSE),0)+(IF(QualitéAlimentsJeuneDaim_12_18_mois=BONNE,VLOOKUP("Haricot vert",AlimentsRationHivernaleDaims,5,FALSE),0)+(IF(QualitéAlimentsJeuneDaine_12_18_mois=BONNE,VLOOKUP("Haricot vert",AlimentsRationHivernaleDaims,5,FALSE),0)+(IF(QualitéAlimentsJeuneDaim_18_24_mois=BONNE,VLOOKUP("Haricot vert",AlimentsRationHivernaleDaims,4,FALSE),0)+(IF(QualitéAlimentsJeuneDaine_18_24_mois=BONNE,VLOOKUP("Haricot vert",AlimentsRationHivernaleDaims,4,FALSE),0)+(IF(QualitéAlimentsJeuneDaim_24_36_mois=BONNE,VLOOKUP("Haricot vert",AlimentsRationHivernaleDaims,3,FALSE),0)+(IF(QualitéAlimentsJeuneDaine_24_36_mois=BONNE,VLOOKUP("Haricot vert",AlimentsRationHivernaleDaims,3,FALSE),0)+(IF(QualitéAlimentsDaim=BONNE,VLOOKUP("Haricot vert",AlimentsRationHivernaleDaims,2,FALSE),0)+(IF(QualitéAlimentsDaine=BONNE,VLOOKUP("Haricot vert",AlimentsRationHivernaleDaims,2,FALSE),0))))))))))))))))</f>
        <v>0</v>
      </c>
      <c r="DX93" s="351">
        <f t="array" ref="DX93">SUM((IF(QualitéAlimentsFaonMâle_0_3_mois=MOYENNE,VLOOKUP("Haricot vert",AlimentsRationHivernaleDaims,8,FALSE),0)+(IF(QualitéAlimentsFaonFemelle_0_3_mois=MOYENNE,VLOOKUP("Haricot vert",AlimentsRationHivernaleDaims,8,FALSE),0)+(IF(QualitéAlimentsFaonMâle_3_6_mois=MOYENNE,VLOOKUP("Haricot vert",AlimentsRationHivernaleDaims,7,FALSE),0)+(IF(QualitéAlimentsFaonFemelle_3_6_mois=MOYENNE,VLOOKUP("Haricot vert",AlimentsRationHivernaleDaims,7,FALSE),0)+(IF(QualitéAlimentsFaonMâle_6_12_mois=MOYENNE,VLOOKUP("Haricot vert",AlimentsRationHivernaleDaims,6,FALSE),0)+(IF(QualitéAlimentsFaonFemelle_6_12_mois=MOYENNE,VLOOKUP("Haricot vert",AlimentsRationHivernaleDaims,6,FALSE),0)+(IF(QualitéAlimentsJeuneDaim_12_18_mois=MOYENNE,VLOOKUP("Haricot vert",AlimentsRationHivernaleDaims,5,FALSE),0)+(IF(QualitéAlimentsJeuneDaine_12_18_mois=MOYENNE,VLOOKUP("Haricot vert",AlimentsRationHivernaleDaims,5,FALSE),0)+(IF(QualitéAlimentsJeuneDaim_18_24_mois=MOYENNE,VLOOKUP("Haricot vert",AlimentsRationHivernaleDaims,4,FALSE),0)+(IF(QualitéAlimentsJeuneDaine_18_24_mois=MOYENNE,VLOOKUP("Haricot vert",AlimentsRationHivernaleDaims,4,FALSE),0)+(IF(QualitéAlimentsJeuneDaim_24_36_mois=MOYENNE,VLOOKUP("Haricot vert",AlimentsRationHivernaleDaims,3,FALSE),0)+(IF(QualitéAlimentsJeuneDaine_24_36_mois=MOYENNE,VLOOKUP("Haricot vert",AlimentsRationHivernaleDaims,3,FALSE),0)+(IF(QualitéAlimentsDaim=MOYENNE,VLOOKUP("Haricot vert",AlimentsRationHivernaleDaims,2,FALSE),0)+(IF(QualitéAlimentsDaine=MOYENNE,VLOOKUP("Haricot vert",AlimentsRationHivernaleDaims,2,FALSE),0))))))))))))))))</f>
        <v>0</v>
      </c>
      <c r="DY93" s="351">
        <f t="array" ref="DY93">SUM((IF(QualitéAlimentsFaonMâle_0_3_mois=MAUVAISE,VLOOKUP("Haricot vert",AlimentsRationHivernaleDaims,8,FALSE),0)+(IF(QualitéAlimentsFaonFemelle_0_3_mois=MAUVAISE,VLOOKUP("Haricot vert",AlimentsRationHivernaleDaims,8,FALSE),0)+(IF(QualitéAlimentsFaonMâle_3_6_mois=MAUVAISE,VLOOKUP("Haricot vert",AlimentsRationHivernaleDaims,7,FALSE),0)+(IF(QualitéAlimentsFaonFemelle_3_6_mois=MAUVAISE,VLOOKUP("Haricot vert",AlimentsRationHivernaleDaims,7,FALSE),0)+(IF(QualitéAlimentsFaonMâle_6_12_mois=MAUVAISE,VLOOKUP("Haricot vert",AlimentsRationHivernaleDaims,6,FALSE),0)+(IF(QualitéAlimentsFaonFemelle_6_12_mois=MAUVAISE,VLOOKUP("Haricot vert",AlimentsRationHivernaleDaims,6,FALSE),0)+(IF(QualitéAlimentsJeuneDaim_12_18_mois=MAUVAISE,VLOOKUP("Haricot vert",AlimentsRationHivernaleDaims,5,FALSE),0)+(IF(QualitéAlimentsJeuneDaine_12_18_mois=MAUVAISE,VLOOKUP("Haricot vert",AlimentsRationHivernaleDaims,5,FALSE),0)+(IF(QualitéAlimentsJeuneDaim_18_24_mois=MAUVAISE,VLOOKUP("Haricot vert",AlimentsRationHivernaleDaims,4,FALSE),0)+(IF(QualitéAlimentsJeuneDaine_18_24_mois=MAUVAISE,VLOOKUP("Haricot vert",AlimentsRationHivernaleDaims,4,FALSE),0)+(IF(QualitéAlimentsJeuneDaim_24_36_mois=MAUVAISE,VLOOKUP("Haricot vert",AlimentsRationHivernaleDaims,3,FALSE),0)+(IF(QualitéAlimentsJeuneDaine_24_36_mois=MAUVAISE,VLOOKUP("Haricot vert",AlimentsRationHivernaleDaims,3,FALSE),0)+(IF(QualitéAlimentsDaim=MAUVAISE,VLOOKUP("Haricot vert",AlimentsRationHivernaleDaims,2,FALSE),0)+(IF(QualitéAlimentsDaine=MAUVAISE,VLOOKUP("Haricot vert",AlimentsRationHivernaleDaims,2,FALSE),0))))))))))))))))</f>
        <v>0</v>
      </c>
      <c r="DZ93" s="298"/>
      <c r="EA93" s="298"/>
      <c r="EB93" s="298"/>
      <c r="EC93" s="298"/>
      <c r="ED93" s="298"/>
      <c r="EE93" s="298"/>
      <c r="EG93" s="229" t="s">
        <v>1158</v>
      </c>
      <c r="EH93" s="229"/>
      <c r="EI93" s="229"/>
      <c r="EJ93" s="229"/>
      <c r="EK93" s="229"/>
      <c r="EL93" s="276"/>
      <c r="EN93" s="394" t="s">
        <v>910</v>
      </c>
      <c r="EO93" s="395" t="s">
        <v>929</v>
      </c>
      <c r="EP93" s="395" t="s">
        <v>890</v>
      </c>
      <c r="EQ93" s="395" t="s">
        <v>889</v>
      </c>
      <c r="ER93" s="396" t="s">
        <v>903</v>
      </c>
      <c r="ES93" s="276"/>
      <c r="EU93" s="457"/>
      <c r="EV93" s="458">
        <f t="array" ref="EV93">IF(OR(ChoixRationComplèteEtéChevauxSelle=OUI,ChoixRationComplèteEtéChevauxSelle="",AND(ChoixChevauxSellePréHiver=OUI,ChoixChevauxSellePréEté=OUI)),0,IFERROR(IF(OR(AND(INDEX(Règles_chevaux_selle[Specificite],MATCH(RationEtéChevauxSelle&amp;$EU93,Règles_chevaux_selle[Ration]&amp;Règles_chevaux_selle[Aliment],0))="s1",IF($EU93=Spécificité1ChevauxSelle,1)),
AND(INDEX(Règles_chevaux_selle[Specificite],MATCH(RationEtéChevauxSelle&amp;$EU93,Règles_chevaux_selle[Ration]&amp;Règles_chevaux_selle[Aliment],0))="s2",IF($EU93=Spécificité2ChevauxSelle,1)),
INDEX(Règles_chevaux_selle[Specificite],MATCH(RationEtéChevauxSelle&amp;$EU93,Règles_chevaux_selle[Ration]&amp;Règles_chevaux_selle[Aliment],0))="c"),
INDEX(Règles_chevaux_selle[Valeur 36 et plus],MATCH(RationEtéChevauxSelle&amp;$EU93,Règles_chevaux_selle[Ration]&amp;Règles_chevaux_selle[Aliment],0)),0),0)*TotalEtalonSelle*NbreJoursNourrirChevauxSelle)</f>
        <v>0</v>
      </c>
      <c r="EW93" s="458">
        <f t="array" ref="EW93">IF(OR(ChoixRationComplèteEtéChevauxSelle=OUI,ChoixRationComplèteEtéChevauxSelle="",AND(ChoixChevauxSellePréHiver=OUI,ChoixChevauxSellePréEté=OUI)),0,IFERROR(IF(OR(AND(INDEX(Règles_chevaux_selle[Specificite],MATCH(RationEtéChevauxSelle&amp;$EU93,Règles_chevaux_selle[Ration]&amp;Règles_chevaux_selle[Aliment],0))="s1",IF($EU93=Spécificité1ChevauxSelle,1)),
AND(INDEX(Règles_chevaux_selle[Specificite],MATCH(RationEtéChevauxSelle&amp;$EU93,Règles_chevaux_selle[Ration]&amp;Règles_chevaux_selle[Aliment],0))="s2",IF($EU93=Spécificité2ChevauxSelle,1)),
INDEX(Règles_chevaux_selle[Specificite],MATCH(RationEtéChevauxSelle&amp;$EU93,Règles_chevaux_selle[Ration]&amp;Règles_chevaux_selle[Aliment],0))="c"),
INDEX(Règles_chevaux_selle[Valeur 24-36],MATCH(RationEtéChevauxSelle&amp;$EU93,Règles_chevaux_selle[Ration]&amp;Règles_chevaux_selle[Aliment],0)),0),0)*TotalJeuneEtalonSelle_24_36_mois*NbreJoursNourrirChevauxSelle)</f>
        <v>0</v>
      </c>
      <c r="EX93" s="458">
        <f t="array" ref="EX93">IF(OR(ChoixRationComplèteEtéChevauxSelle=OUI,ChoixRationComplèteEtéChevauxSelle="",AND(ChoixChevauxSellePréHiver=OUI,ChoixChevauxSellePréEté=OUI)),0,IFERROR(IF(OR(AND(INDEX(Règles_chevaux_selle[Specificite],MATCH(RationEtéChevauxSelle&amp;$EU93,Règles_chevaux_selle[Ration]&amp;Règles_chevaux_selle[Aliment],0))="s1",IF($EU93=Spécificité1ChevauxSelle,1)),
AND(INDEX(Règles_chevaux_selle[Specificite],MATCH(RationEtéChevauxSelle&amp;$EU93,Règles_chevaux_selle[Ration]&amp;Règles_chevaux_selle[Aliment],0))="s2",IF($EU93=Spécificité2ChevauxSelle,1)),
INDEX(Règles_chevaux_selle[Specificite],MATCH(RationEtéChevauxSelle&amp;$EU93,Règles_chevaux_selle[Ration]&amp;Règles_chevaux_selle[Aliment],0))="c"),
INDEX(Règles_chevaux_selle[Valeur 12-24],MATCH(RationEtéChevauxSelle&amp;$EU93,Règles_chevaux_selle[Ration]&amp;Règles_chevaux_selle[Aliment],0)),0),0)*TotalJeuneEtalonSelle_12_24_mois*NbreJoursNourrirChevauxSelle)</f>
        <v>0</v>
      </c>
      <c r="EY93" s="460">
        <f t="array" ref="EY93">IF(OR(ChoixRationComplèteEtéChevauxSelle=OUI,ChoixRationComplèteEtéChevauxSelle="",AND(ChoixChevauxSellePréHiver=OUI,ChoixChevauxSellePréEté=OUI)),0,IFERROR(IF(OR(AND(INDEX(Règles_chevaux_selle[Specificite],MATCH(RationEtéChevauxSelle&amp;$EU93,Règles_chevaux_selle[Ration]&amp;Règles_chevaux_selle[Aliment],0))="s1",IF($EU93=Spécificité1ChevauxSelle,1)),
AND(INDEX(Règles_chevaux_selle[Specificite],MATCH(RationEtéChevauxSelle&amp;$EU93,Règles_chevaux_selle[Ration]&amp;Règles_chevaux_selle[Aliment],0))="s2",IF($EU93=Spécificité2ChevauxSelle,1)),
INDEX(Règles_chevaux_selle[Specificite],MATCH(RationEtéChevauxSelle&amp;$EU93,Règles_chevaux_selle[Ration]&amp;Règles_chevaux_selle[Aliment],0))="c"),
INDEX(Règles_chevaux_selle[Valeur 0-12],MATCH(RationEtéChevauxSelle&amp;$EU93,Règles_chevaux_selle[Ration]&amp;Règles_chevaux_selle[Aliment],0)),0),0)*TotalPoulainSelle_0_12_mois*NbreJoursNourrirChevauxSelle)</f>
        <v>0</v>
      </c>
      <c r="EZ93" s="460">
        <f t="shared" si="16"/>
        <v>0</v>
      </c>
      <c r="FI93" s="276"/>
      <c r="FN93" s="335" t="s">
        <v>1162</v>
      </c>
      <c r="FO93" s="335"/>
      <c r="FP93" s="335"/>
      <c r="FQ93" s="335"/>
      <c r="FR93" s="335"/>
      <c r="FS93" s="335"/>
      <c r="FW93" s="443" t="str">
        <f t="shared" si="27"/>
        <v>Bouchons luzerne</v>
      </c>
      <c r="FX93" s="450">
        <f t="array" ref="FX93">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93" s="450">
        <f t="array" ref="FY93">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93" s="450">
        <f t="array" ref="FZ93">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93" s="450">
        <f t="array" ref="GA93">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93" s="451">
        <f>SUM(AlimentsGavageCanards[[#This Row],[Valeur 6 et plus]:[Valeur 0-1]])</f>
        <v>0</v>
      </c>
      <c r="GG93" s="276" t="s">
        <v>955</v>
      </c>
      <c r="GH93" s="276" t="s">
        <v>955</v>
      </c>
      <c r="GI93" s="276" t="s">
        <v>955</v>
      </c>
      <c r="GJ93" s="276" t="s">
        <v>955</v>
      </c>
      <c r="GK93" s="276" t="s">
        <v>955</v>
      </c>
      <c r="GL93" s="276" t="s">
        <v>955</v>
      </c>
      <c r="GM93" s="276" t="s">
        <v>955</v>
      </c>
      <c r="GN93" s="276" t="s">
        <v>955</v>
      </c>
      <c r="GO93" s="276" t="s">
        <v>955</v>
      </c>
      <c r="GP93" s="276" t="s">
        <v>955</v>
      </c>
      <c r="GQ93" s="276" t="s">
        <v>955</v>
      </c>
      <c r="GR93" s="276" t="s">
        <v>955</v>
      </c>
      <c r="GS93" s="276" t="s">
        <v>955</v>
      </c>
      <c r="GT93" s="276" t="s">
        <v>955</v>
      </c>
      <c r="GU93" s="276" t="s">
        <v>955</v>
      </c>
      <c r="GV93" s="276" t="s">
        <v>955</v>
      </c>
      <c r="GY93" s="444" t="str">
        <f t="shared" si="24"/>
        <v>Magnésium</v>
      </c>
      <c r="GZ93" s="444"/>
      <c r="HA93" s="342"/>
      <c r="HB93" s="342" t="e">
        <f>IF(COUNTIF(TypeArticleDansEntrepôt,GY93)=0,0,SUMIF(TypeArticleDansEntrepôt,GY93,QtéArticleDansEntrepôt)*VLOOKUP(GY93,#REF!,2,FALSE))</f>
        <v>#REF!</v>
      </c>
      <c r="HN93" s="342" t="e">
        <f>IF(#REF!="","",(VLOOKUP(#REF!,BDD!$HN$5:$HU$38,2,FALSE))*#REF!)</f>
        <v>#REF!</v>
      </c>
      <c r="HO93" s="342" t="e">
        <f>IF(#REF!="","",IF(OR(#REF!=Moutarde,#REF!=Phacélie),0,IF(#REF!=Luzerne,10*#REF!*VLOOKUP(#REF!,BDD!$HN$5:$HU$38,3,FALSE),IF(#REF!=Miscanthus,10.5*#REF!*VLOOKUP(#REF!,BDD!$HN$5:$HU$38,3,FALSE),INDEX(#REF!:#REF!,MATCH(#REF!,#REF!:#REF!,0),MATCH(#REF!,#REF!:#REF!,0))*#REF!*VLOOKUP(#REF!,BDD!$HN$5:$HU$38,3,FALSE)))))</f>
        <v>#REF!</v>
      </c>
      <c r="HP93" s="342" t="e">
        <f>IF(#REF!="","",IF(OR(#REF!=Moutarde,#REF!=Phacélie),0,IF(#REF!=Luzerne,10*#REF!*VLOOKUP(#REF!,BDD!$HN$5:$HU$38,4,FALSE),IF(#REF!=Miscanthus,10.5*#REF!*VLOOKUP(#REF!,BDD!$HN$5:$HU$38,4,FALSE),INDEX(#REF!:#REF!,MATCH(#REF!,#REF!:#REF!,0),MATCH(#REF!,#REF!:#REF!,0))*#REF!*VLOOKUP(#REF!,BDD!$HN$5:$HU$38,4,FALSE)))))</f>
        <v>#REF!</v>
      </c>
      <c r="HQ93" s="342" t="e">
        <f>IF(#REF!="","",IF(OR(#REF!=Moutarde,#REF!=Phacélie),0,IF(#REF!=Luzerne,10*#REF!*VLOOKUP(#REF!,BDD!$HN$5:$HU$38,5,FALSE),IF(#REF!=Miscanthus,10.5*#REF!*VLOOKUP(#REF!,BDD!$HN$5:$HU$38,5,FALSE),INDEX(#REF!:#REF!,MATCH(#REF!,#REF!:#REF!,0),MATCH(#REF!,#REF!:#REF!,0))*#REF!*VLOOKUP(#REF!,BDD!$HN$5:$HU$38,5,FALSE)))))</f>
        <v>#REF!</v>
      </c>
      <c r="HR93" s="342" t="e">
        <f>IF(#REF!="","",IF(OR(#REF!=Moutarde,#REF!=Phacélie),0,IF(#REF!=Luzerne,10*#REF!*VLOOKUP(#REF!,BDD!$HN$5:$HU$38,6,FALSE),IF(#REF!=Miscanthus,10.5*#REF!*VLOOKUP(#REF!,BDD!$HN$5:$HU$38,6,FALSE),INDEX(#REF!:#REF!,MATCH(#REF!,#REF!:#REF!,0),MATCH(#REF!,#REF!:#REF!,0))*#REF!*VLOOKUP(#REF!,BDD!$HN$5:$HU$38,6,FALSE)))))</f>
        <v>#REF!</v>
      </c>
      <c r="HS93" s="342" t="e">
        <f>IF(#REF!="","",IF(OR(#REF!=Moutarde,#REF!=Phacélie),0,IF(#REF!=Luzerne,10*#REF!*VLOOKUP(#REF!,BDD!$HN$5:$HU$38,7,FALSE),IF(#REF!=Miscanthus,10.5*#REF!*VLOOKUP(#REF!,BDD!$HN$5:$HU$38,7,FALSE),INDEX(#REF!:#REF!,MATCH(#REF!,#REF!:#REF!,0),MATCH(#REF!,#REF!:#REF!,0))*#REF!*VLOOKUP(#REF!,BDD!$HN$5:$HU$38,7,FALSE)))))</f>
        <v>#REF!</v>
      </c>
      <c r="HT93" s="342" t="e">
        <f>IF(#REF!="","",IF(OR(#REF!=Moutarde,#REF!=Phacélie),0,IF(#REF!=Luzerne,10*#REF!*VLOOKUP(#REF!,BDD!$HN$5:$HU$38,8,FALSE),IF(#REF!=Miscanthus,10.5*#REF!*VLOOKUP(#REF!,BDD!$HN$5:$HU$38,8,FALSE),INDEX(#REF!:#REF!,MATCH(#REF!,#REF!:#REF!,0),MATCH(#REF!,#REF!:#REF!,0))*#REF!*VLOOKUP(#REF!,BDD!$HN$5:$HU$38,8,FALSE)))))</f>
        <v>#REF!</v>
      </c>
      <c r="HU93" s="342" t="e">
        <f>IF(#REF!="","",IF(OR(#REF!=Moutarde,#REF!=Phacélie),0,1.6*#REF!))</f>
        <v>#REF!</v>
      </c>
      <c r="HV93" s="342" t="e">
        <f>IF(#REF!="","",IF(OR(#REF!=Moutarde,#REF!=Phacélie),0,1.6*#REF!))</f>
        <v>#REF!</v>
      </c>
      <c r="HW93" s="342" t="e">
        <f>IF(#REF!="","",IF(OR(#REF!=Moutarde,#REF!=Phacélie),0,1.6*#REF!))</f>
        <v>#REF!</v>
      </c>
      <c r="HX93" s="342" t="e">
        <f>IF(#REF!="","",(VLOOKUP(#REF!,BDD!$HN$5:$HU$38,2,FALSE))*#REF!)</f>
        <v>#REF!</v>
      </c>
      <c r="HY93" s="342" t="e">
        <f>IF(#REF!="","",IF(OR(#REF!=Moutarde,#REF!=Phacélie),0,IF(#REF!=Luzerne,10*#REF!*VLOOKUP(#REF!,BDD!$HN$5:$HU$38,3,FALSE),IF(#REF!=Miscanthus,10.5*#REF!*VLOOKUP(#REF!,BDD!$HN$5:$HU$38,3,FALSE),INDEX(#REF!:#REF!,MATCH(#REF!,#REF!:#REF!,0),MATCH(#REF!,#REF!:#REF!,0))*#REF!*VLOOKUP(#REF!,BDD!$HN$5:$HU$38,3,FALSE)))))</f>
        <v>#REF!</v>
      </c>
      <c r="HZ93" s="342" t="e">
        <f>IF(#REF!="","",IF(OR(#REF!=Moutarde,#REF!=Phacélie),0,IF(#REF!=Luzerne,10*#REF!*VLOOKUP(#REF!,BDD!$HN$5:$HU$38,4,FALSE),IF(#REF!=Miscanthus,10.5*#REF!*VLOOKUP(#REF!,BDD!$HN$5:$HU$38,4,FALSE),INDEX(#REF!:#REF!,MATCH(#REF!,#REF!:#REF!,0),MATCH(#REF!,#REF!:#REF!,0))*#REF!*VLOOKUP(#REF!,BDD!$HN$5:$HU$38,4,FALSE)))))</f>
        <v>#REF!</v>
      </c>
      <c r="IA93" s="342" t="e">
        <f>IF(#REF!="","",IF(OR(#REF!=Moutarde,#REF!=Phacélie),0,IF(#REF!=Luzerne,10*#REF!*VLOOKUP(#REF!,BDD!$HN$5:$HU$38,5,FALSE),IF(#REF!=Miscanthus,10.5*#REF!*VLOOKUP(#REF!,BDD!$HN$5:$HU$38,5,FALSE),INDEX(#REF!:#REF!,MATCH(#REF!,#REF!:#REF!,0),MATCH(#REF!,#REF!:#REF!,0))*#REF!*VLOOKUP(#REF!,BDD!$HN$5:$HU$38,5,FALSE)))))</f>
        <v>#REF!</v>
      </c>
      <c r="IB93" s="342" t="e">
        <f>IF(#REF!="","",IF(OR(#REF!=Moutarde,#REF!=Phacélie),0,IF(#REF!=Luzerne,10*#REF!*VLOOKUP(#REF!,BDD!$HN$5:$HU$38,6,FALSE),IF(#REF!=Miscanthus,10.5*#REF!*VLOOKUP(#REF!,BDD!$HN$5:$HU$38,6,FALSE),INDEX(#REF!:#REF!,MATCH(#REF!,#REF!:#REF!,0),MATCH(#REF!,#REF!:#REF!,0))*#REF!*VLOOKUP(#REF!,BDD!$HN$5:$HU$38,6,FALSE)))))</f>
        <v>#REF!</v>
      </c>
      <c r="IC93" s="342" t="e">
        <f>IF(#REF!="","",IF(OR(#REF!=Moutarde,#REF!=Phacélie),0,IF(#REF!=Luzerne,10*#REF!*VLOOKUP(#REF!,BDD!$HN$5:$HU$38,7,FALSE),IF(#REF!=Miscanthus,10.5*#REF!*VLOOKUP(#REF!,BDD!$HN$5:$HU$38,7,FALSE),INDEX(#REF!:#REF!,MATCH(#REF!,#REF!:#REF!,0),MATCH(#REF!,#REF!:#REF!,0))*#REF!*VLOOKUP(#REF!,BDD!$HN$5:$HU$38,7,FALSE)))))</f>
        <v>#REF!</v>
      </c>
      <c r="ID93" s="342" t="e">
        <f>IF(#REF!="","",IF(OR(#REF!=Moutarde,#REF!=Phacélie),0,IF(#REF!=Luzerne,10*#REF!*VLOOKUP(#REF!,BDD!$HN$5:$HU$38,8,FALSE),IF(#REF!=Miscanthus,10.5*#REF!*VLOOKUP(#REF!,BDD!$HN$5:$HU$38,8,FALSE),INDEX(#REF!:#REF!,MATCH(#REF!,#REF!:#REF!,0),MATCH(#REF!,#REF!:#REF!,0))*#REF!*VLOOKUP(#REF!,BDD!$HN$5:$HU$38,8,FALSE)))))</f>
        <v>#REF!</v>
      </c>
      <c r="IE93" s="342" t="e">
        <f>IF(#REF!="","",IF(OR(#REF!=Moutarde,#REF!=Phacélie),0,1.6*#REF!))</f>
        <v>#REF!</v>
      </c>
      <c r="IF93" s="342" t="e">
        <f>IF(#REF!="","",IF(OR(#REF!=Moutarde,#REF!=Phacélie),0,1.6*#REF!))</f>
        <v>#REF!</v>
      </c>
      <c r="IG93" s="342" t="e">
        <f>IF(#REF!="","",IF(OR(#REF!=Moutarde,#REF!=Phacélie),0,1.6*#REF!))</f>
        <v>#REF!</v>
      </c>
    </row>
    <row r="94" spans="1:241" ht="12.75" customHeight="1" x14ac:dyDescent="0.2">
      <c r="A94" s="373"/>
      <c r="B94" s="380"/>
      <c r="F94" s="280"/>
      <c r="G94" s="280"/>
      <c r="H94" s="280"/>
      <c r="I94" s="321"/>
      <c r="J94" s="321"/>
      <c r="K94" s="321"/>
      <c r="L94" s="321"/>
      <c r="O94" s="385" t="s">
        <v>998</v>
      </c>
      <c r="P94" s="385" t="e">
        <f>IF(ChoixExpèceAuPré="",0,SUMIF(ChoixEspèceAuPré,Bovins,NbreFemelles_3_6MoisAuPréEté))</f>
        <v>#REF!</v>
      </c>
      <c r="Q94" s="385" t="e">
        <f>IF(ChoixExpèceAuPré="",0,SUMIF(ChoixEspèceAuPré,Ovins,NbreFemelles_3_6MoisAuPréEté))</f>
        <v>#REF!</v>
      </c>
      <c r="R94" s="385" t="e">
        <f>IF(ChoixExpèceAuPré="",0,SUMIF(ChoixEspèceAuPré,Caprins,NbreFemelles_3_6MoisAuPréEté))</f>
        <v>#REF!</v>
      </c>
      <c r="S94" s="385" t="e">
        <f>IF(ChoixExpèceAuPré="",0,SUMIF(ChoixEspèceAuPré,Bisons,NbreFemelles_3_6MoisAuPréEté))</f>
        <v>#REF!</v>
      </c>
      <c r="T94" s="385" t="e">
        <f>IF(ChoixExpèceAuPré="",0,SUMIF(ChoixEspèceAuPré,Daims,NbreFemelles_3_6MoisAuPréEté))</f>
        <v>#REF!</v>
      </c>
      <c r="U94" s="385" t="e">
        <f>IF(ChoixExpèceAuPré="",0,SUMIF(ChoixEspèceAuPré,ChevauxSelle,NbreFemelles_3_6MoisAuPréEté))</f>
        <v>#REF!</v>
      </c>
      <c r="V94" s="385" t="e">
        <f>IF(ChoixExpèceAuPré="",0,SUMIF(ChoixEspèceAuPré,ChevauxTrait,NbreFemelles_3_6MoisAuPréEté))</f>
        <v>#REF!</v>
      </c>
      <c r="W94" s="385" t="e">
        <f>IF(ChoixExpèceAuPré="",0,SUMIF(ChoixEspèceAuPré,Poneys,NbreFemelles_3_6MoisAuPréEté))</f>
        <v>#REF!</v>
      </c>
      <c r="Y94" s="385" t="s">
        <v>1133</v>
      </c>
      <c r="Z94" s="385">
        <f>IF('coût alimentation'!$B$6=$Y$94,42,0)</f>
        <v>0</v>
      </c>
      <c r="AA94" s="385">
        <f>IF(AND(ChoixBovinsPréEté="OUI",'coût alimentation'!$B$6=$Y$94),35,Z94)</f>
        <v>0</v>
      </c>
      <c r="AB94" s="385">
        <f>IF('coût alimentation'!$B$6=$Y$94,42,0)</f>
        <v>0</v>
      </c>
      <c r="AC94" s="385">
        <f>IF('coût alimentation'!$B$6=$Y$94,35,0)</f>
        <v>0</v>
      </c>
      <c r="AD94" s="385">
        <f>IF(AND(ChoixOvinsPréEté="OUI",'coût alimentation'!$B$6=$Y$94),35,Z94)</f>
        <v>0</v>
      </c>
      <c r="AE94" s="385">
        <f>IF(AND(ChoixChevauxSellePréEté="OUI",'coût alimentation'!$B$6=$Y$94),21,IF(Y94&lt;&gt;'coût alimentation'!$B$6,0,84))</f>
        <v>0</v>
      </c>
      <c r="AF94" s="385">
        <f>IF(AND(ChoixChevauxTraitPréEté="OUI",'coût alimentation'!$B$6=$Y$94),21,IF(Y94&lt;&gt;'coût alimentation'!$B$6,0,84))</f>
        <v>0</v>
      </c>
      <c r="AG94" s="385">
        <f>IF(AND(ChoixPoneysPréEté="OUI",'coût alimentation'!$B$6=$Y$94),21,IF(Y94&lt;&gt;'coût alimentation'!$B$6,0,84))</f>
        <v>0</v>
      </c>
      <c r="BB94" s="387" t="s">
        <v>512</v>
      </c>
      <c r="BC94" s="362" t="s">
        <v>518</v>
      </c>
      <c r="BD94" s="362" t="s">
        <v>886</v>
      </c>
      <c r="BE94" s="388">
        <v>200</v>
      </c>
      <c r="BF94" s="388">
        <v>100</v>
      </c>
      <c r="BG94" s="388">
        <v>80</v>
      </c>
      <c r="BH94" s="388">
        <v>60</v>
      </c>
      <c r="BI94" s="388">
        <v>40</v>
      </c>
      <c r="BJ94" s="388">
        <v>28</v>
      </c>
      <c r="BK94" s="389">
        <v>12</v>
      </c>
      <c r="BL94" s="312"/>
      <c r="BM94" s="350" t="str">
        <f t="shared" si="22"/>
        <v>Paille</v>
      </c>
      <c r="BN94" s="350">
        <f t="array" ref="BN94">IF(Ration_hivernale_complète_bisons[somme]&gt;0,0,IFERROR(IF(OR(AND(INDEX(Règles_bison[Specificite],MATCH(ChoixRationBisons&amp;$BM94,Règles_bison[Ration]&amp;Règles_bison[Aliment],0))="s1",IF($BM94=ChoixSpécificité1Bisons,1)),
INDEX(Règles_bison[Specificite],MATCH(ChoixRationBisons&amp;$BM94,Règles_bison[Ration]&amp;Règles_bison[Aliment],0))="c"),
INDEX(Règles_bison[Valeur 36 et plus],MATCH(ChoixRationBisons&amp;$BM94,Règles_bison[Ration]&amp;Règles_bison[Aliment],0)),0),0)*TotalBisonnes*NbreJoursNourrirBisonsDaims)</f>
        <v>0</v>
      </c>
      <c r="BO94" s="350">
        <f t="array" ref="BO94">IF(Ration_hivernale_complète_bisons[somme]&gt;0,0,IFERROR(IF(OR(AND(INDEX(Règles_bison[Specificite],MATCH(ChoixRationBisons&amp;$BM94,Règles_bison[Ration]&amp;Règles_bison[Aliment],0))="s1",IF($BM94=ChoixSpécificité1Bisons,1)),
INDEX(Règles_bison[Specificite],MATCH(ChoixRationBisons&amp;$BM94,Règles_bison[Ration]&amp;Règles_bison[Aliment],0))="c"),
INDEX(Règles_bison[Valeur 24-36],MATCH(ChoixRationBisons&amp;$BM94,Règles_bison[Ration]&amp;Règles_bison[Aliment],0)),0),0)*TotalBisonsFemelles_24_36_mois*NbreJoursNourrirBisonsDaims)</f>
        <v>0</v>
      </c>
      <c r="BP94" s="350">
        <f t="array" ref="BP94">IF(Ration_hivernale_complète_bisons[somme]&gt;0,0,IFERROR(IF(OR(AND(INDEX(Règles_bison[Specificite],MATCH(ChoixRationBisons&amp;$BM94,Règles_bison[Ration]&amp;Règles_bison[Aliment],0))="s1",IF($BM94=ChoixSpécificité1Bisons,1)),
INDEX(Règles_bison[Specificite],MATCH(ChoixRationBisons&amp;$BM94,Règles_bison[Ration]&amp;Règles_bison[Aliment],0))="c"),
INDEX(Règles_bison[Valeur 18-24],MATCH(ChoixRationBisons&amp;$BM94,Règles_bison[Ration]&amp;Règles_bison[Aliment],0)),0),0)*TotalBisonsFemelles_18_24_mois*NbreJoursNourrirBisonsDaims)</f>
        <v>0</v>
      </c>
      <c r="BQ94" s="350">
        <f t="array" ref="BQ94">IF(Ration_hivernale_complète_bisons[somme]&gt;0,0,IFERROR(IF(OR(AND(INDEX(Règles_bison[Specificite],MATCH(ChoixRationBisons&amp;$BM94,Règles_bison[Ration]&amp;Règles_bison[Aliment],0))="s1",IF($BM94=ChoixSpécificité1Bisons,1)),
INDEX(Règles_bison[Specificite],MATCH(ChoixRationBisons&amp;$BM94,Règles_bison[Ration]&amp;Règles_bison[Aliment],0))="c"),
INDEX(Règles_bison[Valeur 12-18],MATCH(ChoixRationBisons&amp;$BM94,Règles_bison[Ration]&amp;Règles_bison[Aliment],0)),0),0)*TotalBisonsFemelles_12_18_mois*NbreJoursNourrirBisonsDaims)</f>
        <v>0</v>
      </c>
      <c r="BR94" s="350">
        <f t="array" ref="BR94">IF(Ration_hivernale_complète_bisons[somme]&gt;0,0,IFERROR(IF(OR(AND(INDEX(Règles_bison[Specificite],MATCH(ChoixRationBisons&amp;$BM94,Règles_bison[Ration]&amp;Règles_bison[Aliment],0))="s1",IF($BM94=ChoixSpécificité1Bisons,1)),
INDEX(Règles_bison[Specificite],MATCH(ChoixRationBisons&amp;$BM94,Règles_bison[Ration]&amp;Règles_bison[Aliment],0))="c"),
INDEX(Règles_bison[Valeur 6-12],MATCH(ChoixRationBisons&amp;$BM94,Règles_bison[Ration]&amp;Règles_bison[Aliment],0)),0),0)*TotalBisonsFemelles_6_12_mois*NbreJoursNourrirBisonsDaims)</f>
        <v>0</v>
      </c>
      <c r="BS94" s="350">
        <f t="array" ref="BS94">IF(Ration_hivernale_complète_bisons[somme]&gt;0,0,IFERROR(IF(OR(AND(INDEX(Règles_bison[Specificite],MATCH(ChoixRationBisons&amp;$BM94,Règles_bison[Ration]&amp;Règles_bison[Aliment],0))="s1",IF($BM94=ChoixSpécificité1Bisons,1)),
INDEX(Règles_bison[Specificite],MATCH(ChoixRationBisons&amp;$BM94,Règles_bison[Ration]&amp;Règles_bison[Aliment],0))="c"),
INDEX(Règles_bison[Valeur 3-6],MATCH(ChoixRationBisons&amp;$BM94,Règles_bison[Ration]&amp;Règles_bison[Aliment],0)),0),0)*TotalBisonsFemelles_3_6_mois*NbreJoursNourrirBisonsDaims)</f>
        <v>0</v>
      </c>
      <c r="BT94" s="350">
        <f t="array" ref="BT94">IF(Ration_hivernale_complète_bisons[somme]&gt;0,0,IFERROR(IF(OR(AND(INDEX(Règles_bison[Specificite],MATCH(ChoixRationBisons&amp;$BM94,Règles_bison[Ration]&amp;Règles_bison[Aliment],0))="s1",IF($BM94=ChoixSpécificité1Bisons,1)),
INDEX(Règles_bison[Specificite],MATCH(ChoixRationBisons&amp;$BM94,Règles_bison[Ration]&amp;Règles_bison[Aliment],0))="c"),
INDEX(Règles_bison[Valeur 0-3],MATCH(ChoixRationBisons&amp;$BM94,Règles_bison[Ration]&amp;Règles_bison[Aliment],0)),0),0)*TotalBisonsFemelles_0_3_mois*NbreJoursNourrirBisonsDaims)</f>
        <v>0</v>
      </c>
      <c r="BU94" s="350">
        <f t="shared" si="21"/>
        <v>0</v>
      </c>
      <c r="BV94" s="282"/>
      <c r="BW94" s="282"/>
      <c r="BX94" s="373" t="s">
        <v>551</v>
      </c>
      <c r="BY94" s="280" t="s">
        <v>220</v>
      </c>
      <c r="BZ94" s="280" t="s">
        <v>887</v>
      </c>
      <c r="CA94" s="280">
        <v>1.6</v>
      </c>
      <c r="CB94" s="280">
        <v>1.4</v>
      </c>
      <c r="CC94" s="280">
        <v>1.2</v>
      </c>
      <c r="CD94" s="410">
        <v>1</v>
      </c>
      <c r="CE94" s="304"/>
      <c r="CF94" s="304"/>
      <c r="CG94" s="304"/>
      <c r="CH94" s="304"/>
      <c r="CI94" s="277"/>
      <c r="CJ94" s="420" t="str">
        <f t="shared" si="25"/>
        <v>Colza</v>
      </c>
      <c r="CK94" s="384">
        <f t="array" ref="CK9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94" s="384">
        <f t="array" ref="CL9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94" s="384">
        <f t="array" ref="CM9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94" s="384">
        <f t="array" ref="CN9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94" s="384">
        <f t="array" ref="CO9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94" s="426">
        <f>SUM(AlimentsRationPorcinsFemelles[[#This Row],[Valeur 12 et plus]:[Valeur 0-1]])</f>
        <v>0</v>
      </c>
      <c r="CS94" s="420"/>
      <c r="CT94" s="433">
        <f t="array" ref="CT94">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94" s="433">
        <f t="array" ref="CU94">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94" s="433">
        <f t="array" ref="CV94">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94" s="434">
        <f>SUM(AlimentsRationLapinsMâles[[#This Row],[Valeur 3 et plus]:[Valeur 0-1]])</f>
        <v>0</v>
      </c>
      <c r="CZ94" s="420"/>
      <c r="DA94" s="433">
        <f t="array" ref="DA9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94" s="433">
        <f t="array" ref="DB9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94" s="433">
        <f t="array" ref="DC9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94" s="434">
        <f>SUM(AlimentsRationVolaillesMâles[[#This Row],[Valeur 6 et plus]:[Valeur 0-1]])</f>
        <v>0</v>
      </c>
      <c r="DE94" s="316"/>
      <c r="DF94" s="277"/>
      <c r="DG94" s="384" t="str">
        <f t="shared" si="26"/>
        <v>Chanvre</v>
      </c>
      <c r="DH94" s="433">
        <f t="array" ref="DH9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94" s="433">
        <f t="array" ref="DI9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94" s="433">
        <f t="array" ref="DJ9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94" s="437">
        <f>SUM(AlimentsRationPintadesFemelles[[#This Row],[Valeur 6 et plus]:[Valeur 0-1]])</f>
        <v>0</v>
      </c>
      <c r="DN94" s="373" t="s">
        <v>512</v>
      </c>
      <c r="DO94" s="280" t="s">
        <v>905</v>
      </c>
      <c r="DP94" s="280" t="s">
        <v>886</v>
      </c>
      <c r="DQ94" s="310">
        <v>0.14000000000000001</v>
      </c>
      <c r="DR94" s="310">
        <v>0.08</v>
      </c>
      <c r="DS94" s="310">
        <v>0.04</v>
      </c>
      <c r="DT94" s="439">
        <v>0.04</v>
      </c>
      <c r="DU94" s="298"/>
      <c r="DV94" s="350" t="str">
        <f t="shared" si="23"/>
        <v>Lentille</v>
      </c>
      <c r="DW94" s="351">
        <f t="array" ref="DW94">SUM((IF(QualitéAlimentsFaonMâle_0_3_mois=BONNE,VLOOKUP("Lentille",AlimentsRationHivernaleDaims,8,FALSE),0)+(IF(QualitéAlimentsFaonFemelle_0_3_mois=BONNE,VLOOKUP("Lentille",AlimentsRationHivernaleDaims,8,FALSE),0)+(IF(QualitéAlimentsFaonMâle_3_6_mois=BONNE,VLOOKUP("Lentille",AlimentsRationHivernaleDaims,7,FALSE),0)+(IF(QualitéAlimentsFaonFemelle_3_6_mois=BONNE,VLOOKUP("Lentille",AlimentsRationHivernaleDaims,7,FALSE),0)+(IF(QualitéAlimentsFaonMâle_6_12_mois=BONNE,VLOOKUP("Lentille",AlimentsRationHivernaleDaims,6,FALSE),0)+(IF(QualitéAlimentsFaonFemelle_6_12_mois=BONNE,VLOOKUP("Lentille",AlimentsRationHivernaleDaims,6,FALSE),0)+(IF(QualitéAlimentsJeuneDaim_12_18_mois=BONNE,VLOOKUP("Lentille",AlimentsRationHivernaleDaims,5,FALSE),0)+(IF(QualitéAlimentsJeuneDaine_12_18_mois=BONNE,VLOOKUP("Lentille",AlimentsRationHivernaleDaims,5,FALSE),0)+(IF(QualitéAlimentsJeuneDaim_18_24_mois=BONNE,VLOOKUP("Lentille",AlimentsRationHivernaleDaims,4,FALSE),0)+(IF(QualitéAlimentsJeuneDaine_18_24_mois=BONNE,VLOOKUP("Lentille",AlimentsRationHivernaleDaims,4,FALSE),0)+(IF(QualitéAlimentsJeuneDaim_24_36_mois=BONNE,VLOOKUP("Lentille",AlimentsRationHivernaleDaims,3,FALSE),0)+(IF(QualitéAlimentsJeuneDaine_24_36_mois=BONNE,VLOOKUP("Lentille",AlimentsRationHivernaleDaims,3,FALSE),0)+(IF(QualitéAlimentsDaim=BONNE,VLOOKUP("Lentille",AlimentsRationHivernaleDaims,2,FALSE),0)+(IF(QualitéAlimentsDaine=BONNE,VLOOKUP("Lentille",AlimentsRationHivernaleDaims,2,FALSE),0))))))))))))))))</f>
        <v>0</v>
      </c>
      <c r="DX94" s="351">
        <f t="array" ref="DX94">SUM((IF(QualitéAlimentsFaonMâle_0_3_mois=MOYENNE,VLOOKUP("Lentille",AlimentsRationHivernaleDaims,8,FALSE),0)+(IF(QualitéAlimentsFaonFemelle_0_3_mois=MOYENNE,VLOOKUP("Lentille",AlimentsRationHivernaleDaims,8,FALSE),0)+(IF(QualitéAlimentsFaonMâle_3_6_mois=MOYENNE,VLOOKUP("Lentille",AlimentsRationHivernaleDaims,7,FALSE),0)+(IF(QualitéAlimentsFaonFemelle_3_6_mois=MOYENNE,VLOOKUP("Lentille",AlimentsRationHivernaleDaims,7,FALSE),0)+(IF(QualitéAlimentsFaonMâle_6_12_mois=MOYENNE,VLOOKUP("Lentille",AlimentsRationHivernaleDaims,6,FALSE),0)+(IF(QualitéAlimentsFaonFemelle_6_12_mois=MOYENNE,VLOOKUP("Lentille",AlimentsRationHivernaleDaims,6,FALSE),0)+(IF(QualitéAlimentsJeuneDaim_12_18_mois=MOYENNE,VLOOKUP("Lentille",AlimentsRationHivernaleDaims,5,FALSE),0)+(IF(QualitéAlimentsJeuneDaine_12_18_mois=MOYENNE,VLOOKUP("Lentille",AlimentsRationHivernaleDaims,5,FALSE),0)+(IF(QualitéAlimentsJeuneDaim_18_24_mois=MOYENNE,VLOOKUP("Lentille",AlimentsRationHivernaleDaims,4,FALSE),0)+(IF(QualitéAlimentsJeuneDaine_18_24_mois=MOYENNE,VLOOKUP("Lentille",AlimentsRationHivernaleDaims,4,FALSE),0)+(IF(QualitéAlimentsJeuneDaim_24_36_mois=MOYENNE,VLOOKUP("Lentille",AlimentsRationHivernaleDaims,3,FALSE),0)+(IF(QualitéAlimentsJeuneDaine_24_36_mois=MOYENNE,VLOOKUP("Lentille",AlimentsRationHivernaleDaims,3,FALSE),0)+(IF(QualitéAlimentsDaim=MOYENNE,VLOOKUP("Lentille",AlimentsRationHivernaleDaims,2,FALSE),0)+(IF(QualitéAlimentsDaine=MOYENNE,VLOOKUP("Lentille",AlimentsRationHivernaleDaims,2,FALSE),0))))))))))))))))</f>
        <v>0</v>
      </c>
      <c r="DY94" s="351">
        <f t="array" ref="DY94">SUM((IF(QualitéAlimentsFaonMâle_0_3_mois=MAUVAISE,VLOOKUP("Lentille",AlimentsRationHivernaleDaims,8,FALSE),0)+(IF(QualitéAlimentsFaonFemelle_0_3_mois=MAUVAISE,VLOOKUP("Lentille",AlimentsRationHivernaleDaims,8,FALSE),0)+(IF(QualitéAlimentsFaonMâle_3_6_mois=MAUVAISE,VLOOKUP("Lentille",AlimentsRationHivernaleDaims,7,FALSE),0)+(IF(QualitéAlimentsFaonFemelle_3_6_mois=MAUVAISE,VLOOKUP("Lentille",AlimentsRationHivernaleDaims,7,FALSE),0)+(IF(QualitéAlimentsFaonMâle_6_12_mois=MAUVAISE,VLOOKUP("Lentille",AlimentsRationHivernaleDaims,6,FALSE),0)+(IF(QualitéAlimentsFaonFemelle_6_12_mois=MAUVAISE,VLOOKUP("Lentille",AlimentsRationHivernaleDaims,6,FALSE),0)+(IF(QualitéAlimentsJeuneDaim_12_18_mois=MAUVAISE,VLOOKUP("Lentille",AlimentsRationHivernaleDaims,5,FALSE),0)+(IF(QualitéAlimentsJeuneDaine_12_18_mois=MAUVAISE,VLOOKUP("Lentille",AlimentsRationHivernaleDaims,5,FALSE),0)+(IF(QualitéAlimentsJeuneDaim_18_24_mois=MAUVAISE,VLOOKUP("Lentille",AlimentsRationHivernaleDaims,4,FALSE),0)+(IF(QualitéAlimentsJeuneDaine_18_24_mois=MAUVAISE,VLOOKUP("Lentille",AlimentsRationHivernaleDaims,4,FALSE),0)+(IF(QualitéAlimentsJeuneDaim_24_36_mois=MAUVAISE,VLOOKUP("Lentille",AlimentsRationHivernaleDaims,3,FALSE),0)+(IF(QualitéAlimentsJeuneDaine_24_36_mois=MAUVAISE,VLOOKUP("Lentille",AlimentsRationHivernaleDaims,3,FALSE),0)+(IF(QualitéAlimentsDaim=MAUVAISE,VLOOKUP("Lentille",AlimentsRationHivernaleDaims,2,FALSE),0)+(IF(QualitéAlimentsDaine=MAUVAISE,VLOOKUP("Lentille",AlimentsRationHivernaleDaims,2,FALSE),0))))))))))))))))</f>
        <v>0</v>
      </c>
      <c r="DZ94" s="298"/>
      <c r="EA94" s="298"/>
      <c r="EB94" s="298"/>
      <c r="EC94" s="298"/>
      <c r="ED94" s="298"/>
      <c r="EE94" s="298"/>
      <c r="EG94" s="394" t="s">
        <v>910</v>
      </c>
      <c r="EH94" s="395" t="s">
        <v>929</v>
      </c>
      <c r="EI94" s="395" t="s">
        <v>890</v>
      </c>
      <c r="EJ94" s="395" t="s">
        <v>889</v>
      </c>
      <c r="EK94" s="396" t="s">
        <v>903</v>
      </c>
      <c r="EL94" s="276"/>
      <c r="EN94" s="443" t="str">
        <f>EN52</f>
        <v>Avoine</v>
      </c>
      <c r="EO94" s="450">
        <f t="array" ref="EO94">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94" s="450">
        <f t="array" ref="EP94">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94" s="450">
        <f t="array" ref="EQ94">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94" s="451">
        <f>SUM(Ration_canards_Femelles[[#This Row],[Valeur 6 et plus]:[Valeur 0-3]])</f>
        <v>0</v>
      </c>
      <c r="ES94" s="276"/>
      <c r="EU94" s="457"/>
      <c r="EV94" s="458">
        <f t="array" ref="EV94">IF(OR(ChoixRationComplèteEtéChevauxSelle=OUI,ChoixRationComplèteEtéChevauxSelle="",AND(ChoixChevauxSellePréHiver=OUI,ChoixChevauxSellePréEté=OUI)),0,IFERROR(IF(OR(AND(INDEX(Règles_chevaux_selle[Specificite],MATCH(RationEtéChevauxSelle&amp;$EU94,Règles_chevaux_selle[Ration]&amp;Règles_chevaux_selle[Aliment],0))="s1",IF($EU94=Spécificité1ChevauxSelle,1)),
AND(INDEX(Règles_chevaux_selle[Specificite],MATCH(RationEtéChevauxSelle&amp;$EU94,Règles_chevaux_selle[Ration]&amp;Règles_chevaux_selle[Aliment],0))="s2",IF($EU94=Spécificité2ChevauxSelle,1)),
INDEX(Règles_chevaux_selle[Specificite],MATCH(RationEtéChevauxSelle&amp;$EU94,Règles_chevaux_selle[Ration]&amp;Règles_chevaux_selle[Aliment],0))="c"),
INDEX(Règles_chevaux_selle[Valeur 36 et plus],MATCH(RationEtéChevauxSelle&amp;$EU94,Règles_chevaux_selle[Ration]&amp;Règles_chevaux_selle[Aliment],0)),0),0)*TotalEtalonSelle*NbreJoursNourrirChevauxSelle)</f>
        <v>0</v>
      </c>
      <c r="EW94" s="458">
        <f t="array" ref="EW94">IF(OR(ChoixRationComplèteEtéChevauxSelle=OUI,ChoixRationComplèteEtéChevauxSelle="",AND(ChoixChevauxSellePréHiver=OUI,ChoixChevauxSellePréEté=OUI)),0,IFERROR(IF(OR(AND(INDEX(Règles_chevaux_selle[Specificite],MATCH(RationEtéChevauxSelle&amp;$EU94,Règles_chevaux_selle[Ration]&amp;Règles_chevaux_selle[Aliment],0))="s1",IF($EU94=Spécificité1ChevauxSelle,1)),
AND(INDEX(Règles_chevaux_selle[Specificite],MATCH(RationEtéChevauxSelle&amp;$EU94,Règles_chevaux_selle[Ration]&amp;Règles_chevaux_selle[Aliment],0))="s2",IF($EU94=Spécificité2ChevauxSelle,1)),
INDEX(Règles_chevaux_selle[Specificite],MATCH(RationEtéChevauxSelle&amp;$EU94,Règles_chevaux_selle[Ration]&amp;Règles_chevaux_selle[Aliment],0))="c"),
INDEX(Règles_chevaux_selle[Valeur 24-36],MATCH(RationEtéChevauxSelle&amp;$EU94,Règles_chevaux_selle[Ration]&amp;Règles_chevaux_selle[Aliment],0)),0),0)*TotalJeuneEtalonSelle_24_36_mois*NbreJoursNourrirChevauxSelle)</f>
        <v>0</v>
      </c>
      <c r="EX94" s="458">
        <f t="array" ref="EX94">IF(OR(ChoixRationComplèteEtéChevauxSelle=OUI,ChoixRationComplèteEtéChevauxSelle="",AND(ChoixChevauxSellePréHiver=OUI,ChoixChevauxSellePréEté=OUI)),0,IFERROR(IF(OR(AND(INDEX(Règles_chevaux_selle[Specificite],MATCH(RationEtéChevauxSelle&amp;$EU94,Règles_chevaux_selle[Ration]&amp;Règles_chevaux_selle[Aliment],0))="s1",IF($EU94=Spécificité1ChevauxSelle,1)),
AND(INDEX(Règles_chevaux_selle[Specificite],MATCH(RationEtéChevauxSelle&amp;$EU94,Règles_chevaux_selle[Ration]&amp;Règles_chevaux_selle[Aliment],0))="s2",IF($EU94=Spécificité2ChevauxSelle,1)),
INDEX(Règles_chevaux_selle[Specificite],MATCH(RationEtéChevauxSelle&amp;$EU94,Règles_chevaux_selle[Ration]&amp;Règles_chevaux_selle[Aliment],0))="c"),
INDEX(Règles_chevaux_selle[Valeur 12-24],MATCH(RationEtéChevauxSelle&amp;$EU94,Règles_chevaux_selle[Ration]&amp;Règles_chevaux_selle[Aliment],0)),0),0)*TotalJeuneEtalonSelle_12_24_mois*NbreJoursNourrirChevauxSelle)</f>
        <v>0</v>
      </c>
      <c r="EY94" s="460">
        <f t="array" ref="EY94">IF(OR(ChoixRationComplèteEtéChevauxSelle=OUI,ChoixRationComplèteEtéChevauxSelle="",AND(ChoixChevauxSellePréHiver=OUI,ChoixChevauxSellePréEté=OUI)),0,IFERROR(IF(OR(AND(INDEX(Règles_chevaux_selle[Specificite],MATCH(RationEtéChevauxSelle&amp;$EU94,Règles_chevaux_selle[Ration]&amp;Règles_chevaux_selle[Aliment],0))="s1",IF($EU94=Spécificité1ChevauxSelle,1)),
AND(INDEX(Règles_chevaux_selle[Specificite],MATCH(RationEtéChevauxSelle&amp;$EU94,Règles_chevaux_selle[Ration]&amp;Règles_chevaux_selle[Aliment],0))="s2",IF($EU94=Spécificité2ChevauxSelle,1)),
INDEX(Règles_chevaux_selle[Specificite],MATCH(RationEtéChevauxSelle&amp;$EU94,Règles_chevaux_selle[Ration]&amp;Règles_chevaux_selle[Aliment],0))="c"),
INDEX(Règles_chevaux_selle[Valeur 0-12],MATCH(RationEtéChevauxSelle&amp;$EU94,Règles_chevaux_selle[Ration]&amp;Règles_chevaux_selle[Aliment],0)),0),0)*TotalPoulainSelle_0_12_mois*NbreJoursNourrirChevauxSelle)</f>
        <v>0</v>
      </c>
      <c r="EZ94" s="460">
        <f t="shared" si="16"/>
        <v>0</v>
      </c>
      <c r="FD94" s="335" t="s">
        <v>1158</v>
      </c>
      <c r="FE94" s="335"/>
      <c r="FF94" s="335"/>
      <c r="FG94" s="335"/>
      <c r="FH94" s="335"/>
      <c r="FI94" s="335"/>
      <c r="FN94" s="455" t="s">
        <v>910</v>
      </c>
      <c r="FO94" s="455" t="s">
        <v>895</v>
      </c>
      <c r="FP94" s="455" t="s">
        <v>894</v>
      </c>
      <c r="FQ94" s="455" t="s">
        <v>938</v>
      </c>
      <c r="FR94" s="459" t="s">
        <v>937</v>
      </c>
      <c r="FS94" s="455" t="s">
        <v>903</v>
      </c>
      <c r="FW94" s="443" t="str">
        <f t="shared" si="27"/>
        <v>Chanvre</v>
      </c>
      <c r="FX94" s="450">
        <f t="array" ref="FX94">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94" s="450">
        <f t="array" ref="FY94">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94" s="450">
        <f t="array" ref="FZ94">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94" s="450">
        <f t="array" ref="GA94">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94" s="451">
        <f>SUM(AlimentsGavageCanards[[#This Row],[Valeur 6 et plus]:[Valeur 0-1]])</f>
        <v>0</v>
      </c>
      <c r="GG94" s="276" t="s">
        <v>955</v>
      </c>
      <c r="GH94" s="276" t="s">
        <v>955</v>
      </c>
      <c r="GI94" s="276" t="s">
        <v>955</v>
      </c>
      <c r="GJ94" s="276" t="s">
        <v>955</v>
      </c>
      <c r="GK94" s="276" t="s">
        <v>955</v>
      </c>
      <c r="GL94" s="276" t="s">
        <v>955</v>
      </c>
      <c r="GM94" s="276" t="s">
        <v>955</v>
      </c>
      <c r="GN94" s="276" t="s">
        <v>955</v>
      </c>
      <c r="GO94" s="276" t="s">
        <v>955</v>
      </c>
      <c r="GP94" s="276" t="s">
        <v>955</v>
      </c>
      <c r="GQ94" s="276" t="s">
        <v>955</v>
      </c>
      <c r="GR94" s="276" t="s">
        <v>955</v>
      </c>
      <c r="GS94" s="276" t="s">
        <v>955</v>
      </c>
      <c r="GT94" s="276" t="s">
        <v>955</v>
      </c>
      <c r="GU94" s="276" t="s">
        <v>955</v>
      </c>
      <c r="GV94" s="276" t="s">
        <v>955</v>
      </c>
      <c r="GY94" s="444" t="str">
        <f t="shared" si="24"/>
        <v>Soufre</v>
      </c>
      <c r="GZ94" s="444"/>
      <c r="HA94" s="342"/>
      <c r="HB94" s="342" t="e">
        <f>IF(COUNTIF(TypeArticleDansEntrepôt,GY94)=0,0,SUMIF(TypeArticleDansEntrepôt,GY94,QtéArticleDansEntrepôt)*VLOOKUP(GY94,#REF!,2,FALSE))</f>
        <v>#REF!</v>
      </c>
    </row>
    <row r="95" spans="1:241" ht="12.75" customHeight="1" x14ac:dyDescent="0.2">
      <c r="A95" s="373"/>
      <c r="B95" s="380"/>
      <c r="F95" s="280"/>
      <c r="G95" s="280"/>
      <c r="H95" s="280"/>
      <c r="I95" s="321"/>
      <c r="J95" s="321"/>
      <c r="K95" s="321"/>
      <c r="L95" s="321"/>
      <c r="N95" s="277"/>
      <c r="O95" s="385" t="s">
        <v>999</v>
      </c>
      <c r="P95" s="385" t="e">
        <f>IF(ChoixExpèceAuPré="",0,SUMIF(ChoixEspèceAuPré,Bovins,NbreMâles_6_12MoisAuPréEté))</f>
        <v>#REF!</v>
      </c>
      <c r="Q95" s="385" t="e">
        <f>IF(ChoixExpèceAuPré="",0,SUMIF(ChoixEspèceAuPré,Ovins,NbreMâles_6_12MoisAuPréEté))</f>
        <v>#REF!</v>
      </c>
      <c r="R95" s="385" t="e">
        <f>IF(ChoixExpèceAuPré="",0,SUMIF(ChoixEspèceAuPré,Caprins,NbreMâles_6_12MoisAuPréEté))</f>
        <v>#REF!</v>
      </c>
      <c r="S95" s="385" t="e">
        <f>IF(ChoixExpèceAuPré="",0,SUMIF(ChoixEspèceAuPré,Bisons,NbreMâles_6_12MoisAuPréEté))</f>
        <v>#REF!</v>
      </c>
      <c r="T95" s="385" t="e">
        <f>IF(ChoixExpèceAuPré="",0,SUMIF(ChoixEspèceAuPré,Daims,NbreMâles_6_12MoisAuPréEté))</f>
        <v>#REF!</v>
      </c>
      <c r="U95" s="385" t="e">
        <f>IF(ChoixExpèceAuPré="",0,SUMIF(ChoixEspèceAuPré,ChevauxSelle,NbreMâles_6_12MoisAuPréEté))</f>
        <v>#REF!</v>
      </c>
      <c r="V95" s="385" t="e">
        <f>IF(ChoixExpèceAuPré="",0,SUMIF(ChoixEspèceAuPré,ChevauxTrait,NbreMâles_6_12MoisAuPréEté))</f>
        <v>#REF!</v>
      </c>
      <c r="W95" s="385" t="e">
        <f>IF(ChoixExpèceAuPré="",0,SUMIF(ChoixEspèceAuPré,Poneys,NbreMâles_6_12MoisAuPréEté))</f>
        <v>#REF!</v>
      </c>
      <c r="Y95" s="385" t="s">
        <v>1134</v>
      </c>
      <c r="Z95" s="385">
        <f>IF('coût alimentation'!$B$6=$Y$95,49,0)</f>
        <v>0</v>
      </c>
      <c r="AA95" s="385">
        <f>IF(AND(ChoixBovinsPréEté="OUI",'coût alimentation'!$B$6=$Y$95),35,Z95)</f>
        <v>0</v>
      </c>
      <c r="AB95" s="385">
        <f>IF('coût alimentation'!$B$6=$Y$95,42,0)</f>
        <v>0</v>
      </c>
      <c r="AC95" s="385">
        <f>IF(AND(ChoixCaprinsPréEté="OUI",'coût alimentation'!$B$6=$Y$95),35,Z95)</f>
        <v>0</v>
      </c>
      <c r="AD95" s="385">
        <f>IF(AND(ChoixOvinsPréEté="OUI",'coût alimentation'!$B$6=$Y$95),35,Z95)</f>
        <v>0</v>
      </c>
      <c r="AE95" s="385">
        <f>IF(AND(ChoixChevauxSellePréEté="OUI",'coût alimentation'!$B$6=$Y$95),21,IF(Y95&lt;&gt;'coût alimentation'!$B$6,0,84))</f>
        <v>0</v>
      </c>
      <c r="AF95" s="385">
        <f>IF(AND(ChoixChevauxTraitPréEté="OUI",'coût alimentation'!$B$6=$Y$95),21,IF(Y95&lt;&gt;'coût alimentation'!$B$6,0,84))</f>
        <v>0</v>
      </c>
      <c r="AG95" s="385">
        <f>IF(AND(ChoixPoneysPréEté="OUI",'coût alimentation'!$B$6=$Y$95),21,IF(Y95&lt;&gt;'coût alimentation'!$B$6,0,84))</f>
        <v>0</v>
      </c>
      <c r="BB95" s="387" t="s">
        <v>514</v>
      </c>
      <c r="BC95" s="362" t="s">
        <v>508</v>
      </c>
      <c r="BD95" s="362" t="s">
        <v>911</v>
      </c>
      <c r="BE95" s="388">
        <v>0</v>
      </c>
      <c r="BF95" s="388">
        <v>0</v>
      </c>
      <c r="BG95" s="388">
        <v>0</v>
      </c>
      <c r="BH95" s="388">
        <v>0</v>
      </c>
      <c r="BI95" s="388">
        <v>0</v>
      </c>
      <c r="BJ95" s="388">
        <v>0</v>
      </c>
      <c r="BK95" s="389">
        <v>0</v>
      </c>
      <c r="BL95" s="312"/>
      <c r="BM95" s="350" t="str">
        <f t="shared" si="22"/>
        <v>Pois</v>
      </c>
      <c r="BN95" s="350">
        <f t="array" ref="BN95">IF(Ration_hivernale_complète_bisons[somme]&gt;0,0,IFERROR(IF(OR(AND(INDEX(Règles_bison[Specificite],MATCH(ChoixRationBisons&amp;$BM95,Règles_bison[Ration]&amp;Règles_bison[Aliment],0))="s1",IF($BM95=ChoixSpécificité1Bisons,1)),
INDEX(Règles_bison[Specificite],MATCH(ChoixRationBisons&amp;$BM95,Règles_bison[Ration]&amp;Règles_bison[Aliment],0))="c"),
INDEX(Règles_bison[Valeur 36 et plus],MATCH(ChoixRationBisons&amp;$BM95,Règles_bison[Ration]&amp;Règles_bison[Aliment],0)),0),0)*TotalBisonnes*NbreJoursNourrirBisonsDaims)</f>
        <v>0</v>
      </c>
      <c r="BO95" s="350">
        <f t="array" ref="BO95">IF(Ration_hivernale_complète_bisons[somme]&gt;0,0,IFERROR(IF(OR(AND(INDEX(Règles_bison[Specificite],MATCH(ChoixRationBisons&amp;$BM95,Règles_bison[Ration]&amp;Règles_bison[Aliment],0))="s1",IF($BM95=ChoixSpécificité1Bisons,1)),
INDEX(Règles_bison[Specificite],MATCH(ChoixRationBisons&amp;$BM95,Règles_bison[Ration]&amp;Règles_bison[Aliment],0))="c"),
INDEX(Règles_bison[Valeur 24-36],MATCH(ChoixRationBisons&amp;$BM95,Règles_bison[Ration]&amp;Règles_bison[Aliment],0)),0),0)*TotalBisonsFemelles_24_36_mois*NbreJoursNourrirBisonsDaims)</f>
        <v>0</v>
      </c>
      <c r="BP95" s="350">
        <f t="array" ref="BP95">IF(Ration_hivernale_complète_bisons[somme]&gt;0,0,IFERROR(IF(OR(AND(INDEX(Règles_bison[Specificite],MATCH(ChoixRationBisons&amp;$BM95,Règles_bison[Ration]&amp;Règles_bison[Aliment],0))="s1",IF($BM95=ChoixSpécificité1Bisons,1)),
INDEX(Règles_bison[Specificite],MATCH(ChoixRationBisons&amp;$BM95,Règles_bison[Ration]&amp;Règles_bison[Aliment],0))="c"),
INDEX(Règles_bison[Valeur 18-24],MATCH(ChoixRationBisons&amp;$BM95,Règles_bison[Ration]&amp;Règles_bison[Aliment],0)),0),0)*TotalBisonsFemelles_18_24_mois*NbreJoursNourrirBisonsDaims)</f>
        <v>0</v>
      </c>
      <c r="BQ95" s="350">
        <f t="array" ref="BQ95">IF(Ration_hivernale_complète_bisons[somme]&gt;0,0,IFERROR(IF(OR(AND(INDEX(Règles_bison[Specificite],MATCH(ChoixRationBisons&amp;$BM95,Règles_bison[Ration]&amp;Règles_bison[Aliment],0))="s1",IF($BM95=ChoixSpécificité1Bisons,1)),
INDEX(Règles_bison[Specificite],MATCH(ChoixRationBisons&amp;$BM95,Règles_bison[Ration]&amp;Règles_bison[Aliment],0))="c"),
INDEX(Règles_bison[Valeur 12-18],MATCH(ChoixRationBisons&amp;$BM95,Règles_bison[Ration]&amp;Règles_bison[Aliment],0)),0),0)*TotalBisonsFemelles_12_18_mois*NbreJoursNourrirBisonsDaims)</f>
        <v>0</v>
      </c>
      <c r="BR95" s="350">
        <f t="array" ref="BR95">IF(Ration_hivernale_complète_bisons[somme]&gt;0,0,IFERROR(IF(OR(AND(INDEX(Règles_bison[Specificite],MATCH(ChoixRationBisons&amp;$BM95,Règles_bison[Ration]&amp;Règles_bison[Aliment],0))="s1",IF($BM95=ChoixSpécificité1Bisons,1)),
INDEX(Règles_bison[Specificite],MATCH(ChoixRationBisons&amp;$BM95,Règles_bison[Ration]&amp;Règles_bison[Aliment],0))="c"),
INDEX(Règles_bison[Valeur 6-12],MATCH(ChoixRationBisons&amp;$BM95,Règles_bison[Ration]&amp;Règles_bison[Aliment],0)),0),0)*TotalBisonsFemelles_6_12_mois*NbreJoursNourrirBisonsDaims)</f>
        <v>0</v>
      </c>
      <c r="BS95" s="350">
        <f t="array" ref="BS95">IF(Ration_hivernale_complète_bisons[somme]&gt;0,0,IFERROR(IF(OR(AND(INDEX(Règles_bison[Specificite],MATCH(ChoixRationBisons&amp;$BM95,Règles_bison[Ration]&amp;Règles_bison[Aliment],0))="s1",IF($BM95=ChoixSpécificité1Bisons,1)),
INDEX(Règles_bison[Specificite],MATCH(ChoixRationBisons&amp;$BM95,Règles_bison[Ration]&amp;Règles_bison[Aliment],0))="c"),
INDEX(Règles_bison[Valeur 3-6],MATCH(ChoixRationBisons&amp;$BM95,Règles_bison[Ration]&amp;Règles_bison[Aliment],0)),0),0)*TotalBisonsFemelles_3_6_mois*NbreJoursNourrirBisonsDaims)</f>
        <v>0</v>
      </c>
      <c r="BT95" s="350">
        <f t="array" ref="BT95">IF(Ration_hivernale_complète_bisons[somme]&gt;0,0,IFERROR(IF(OR(AND(INDEX(Règles_bison[Specificite],MATCH(ChoixRationBisons&amp;$BM95,Règles_bison[Ration]&amp;Règles_bison[Aliment],0))="s1",IF($BM95=ChoixSpécificité1Bisons,1)),
INDEX(Règles_bison[Specificite],MATCH(ChoixRationBisons&amp;$BM95,Règles_bison[Ration]&amp;Règles_bison[Aliment],0))="c"),
INDEX(Règles_bison[Valeur 0-3],MATCH(ChoixRationBisons&amp;$BM95,Règles_bison[Ration]&amp;Règles_bison[Aliment],0)),0),0)*TotalBisonsFemelles_0_3_mois*NbreJoursNourrirBisonsDaims)</f>
        <v>0</v>
      </c>
      <c r="BU95" s="350">
        <f t="shared" si="21"/>
        <v>0</v>
      </c>
      <c r="BV95" s="282"/>
      <c r="BW95" s="282"/>
      <c r="BX95" s="373" t="s">
        <v>551</v>
      </c>
      <c r="BY95" s="280" t="s">
        <v>70</v>
      </c>
      <c r="BZ95" s="280" t="s">
        <v>887</v>
      </c>
      <c r="CA95" s="280">
        <v>1.6</v>
      </c>
      <c r="CB95" s="280">
        <v>1.4</v>
      </c>
      <c r="CC95" s="280">
        <v>1.2</v>
      </c>
      <c r="CD95" s="410">
        <v>1</v>
      </c>
      <c r="CE95" s="304"/>
      <c r="CF95" s="304"/>
      <c r="CG95" s="304"/>
      <c r="CH95" s="304"/>
      <c r="CI95" s="277"/>
      <c r="CJ95" s="420" t="str">
        <f t="shared" si="25"/>
        <v>concentré jeunes bovins</v>
      </c>
      <c r="CK95" s="384">
        <f t="array" ref="CK9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95" s="384">
        <f t="array" ref="CL9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95" s="384">
        <f t="array" ref="CM9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95" s="384">
        <f t="array" ref="CN9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95" s="384">
        <f t="array" ref="CO9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95" s="426">
        <f>SUM(AlimentsRationPorcinsFemelles[[#This Row],[Valeur 12 et plus]:[Valeur 0-1]])</f>
        <v>0</v>
      </c>
      <c r="CQ95" s="277"/>
      <c r="CS95" s="397"/>
      <c r="CT95" s="398">
        <f t="array" ref="CT95">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3 et plus],MATCH(ChoixRationLapins&amp;AlimentsRationLapinsMâles[[#This Row],[aliment]],Règles_lapins[Ration]&amp;Règles_lapins[Aliment],0)),0),0)*TotalLapins*NbreJoursNourrirAutres)</f>
        <v>0</v>
      </c>
      <c r="CU95" s="398">
        <f t="array" ref="CU95">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1-3],MATCH(ChoixRationLapins&amp;AlimentsRationLapinsMâles[[#This Row],[aliment]],Règles_lapins[Ration]&amp;Règles_lapins[Aliment],0)),0),0)*TotalJeuneLapin_1_3_mois*NbreJoursNourrirAutres)</f>
        <v>0</v>
      </c>
      <c r="CV95" s="398">
        <f t="array" ref="CV95">IF(ChoixRationComplèteLapins=OUI,0,IFERROR(IF(OR(AND(INDEX(Règles_lapins[Specificite],MATCH(ChoixRationLapins&amp;AlimentsRationLapinsMâles[[#This Row],[aliment]],Règles_lapins[Ration]&amp;Règles_lapins[Aliment],0))="s1",IF(AlimentsRationLapinsMâles[[#This Row],[aliment]]=Spécificité1Lapins,1)),
AND(INDEX(Règles_lapins[Specificite],MATCH(ChoixRationLapins&amp;AlimentsRationLapinsMâles[[#This Row],[aliment]],Règles_lapins[Ration]&amp;Règles_lapins[Aliment],0))="s2",IF(AlimentsRationLapinsMâles[[#This Row],[aliment]]=Spécificité2Lapins,1)),
INDEX(Règles_lapins[Specificite],MATCH(ChoixRationLapins&amp;AlimentsRationLapinsMâles[[#This Row],[aliment]],Règles_lapins[Ration]&amp;Règles_lapins[Aliment],0))="c"),
INDEX(Règles_lapins[Valeur 0-1],MATCH(ChoixRationLapins&amp;AlimentsRationLapinsMâles[[#This Row],[aliment]],Règles_lapins[Ration]&amp;Règles_lapins[Aliment],0)),0),0)*TotalLapereauMale_0_1_mois*NbreJoursNourrirAutres)</f>
        <v>0</v>
      </c>
      <c r="CW95" s="435">
        <f>SUM(AlimentsRationLapinsMâles[[#This Row],[Valeur 3 et plus]:[Valeur 0-1]])</f>
        <v>0</v>
      </c>
      <c r="CZ95" s="397"/>
      <c r="DA95" s="398">
        <f t="array" ref="DA9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Row],[aliment]],Règles_volailles[Ration]&amp;Règles_volailles[Aliment],0)),0),0)*TotalCoqs*NbreJoursNourrirAutres)</f>
        <v>0</v>
      </c>
      <c r="DB95" s="398">
        <f t="array" ref="DB9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Row],[aliment]],Règles_volailles[Ration]&amp;Règles_volailles[Aliment],0)),0),0)*JeuneCoq_1_6_mois*NbreJoursNourrirAutres)</f>
        <v>0</v>
      </c>
      <c r="DC95" s="398">
        <f t="array" ref="DC9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Row],[aliment]],Règles_volailles[Ration]&amp;Règles_volailles[Aliment],0)),0),0)*Total_poussin_mâle_0_1_mois*NbreJoursNourrirAutres)</f>
        <v>0</v>
      </c>
      <c r="DD95" s="435">
        <f>SUM(AlimentsRationVolaillesMâles[[#This Row],[Valeur 6 et plus]:[Valeur 0-1]])</f>
        <v>0</v>
      </c>
      <c r="DE95" s="316"/>
      <c r="DF95" s="277"/>
      <c r="DG95" s="384" t="str">
        <f t="shared" si="26"/>
        <v>Canola</v>
      </c>
      <c r="DH95" s="433">
        <f t="array" ref="DH9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95" s="433">
        <f t="array" ref="DI9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95" s="433">
        <f t="array" ref="DJ9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95" s="437">
        <f>SUM(AlimentsRationPintadesFemelles[[#This Row],[Valeur 6 et plus]:[Valeur 0-1]])</f>
        <v>0</v>
      </c>
      <c r="DN95" s="373" t="s">
        <v>512</v>
      </c>
      <c r="DO95" s="280" t="s">
        <v>518</v>
      </c>
      <c r="DP95" s="280" t="s">
        <v>886</v>
      </c>
      <c r="DQ95" s="310">
        <v>20</v>
      </c>
      <c r="DR95" s="310">
        <v>12</v>
      </c>
      <c r="DS95" s="310">
        <v>8</v>
      </c>
      <c r="DT95" s="439">
        <v>4</v>
      </c>
      <c r="DU95" s="298"/>
      <c r="DV95" s="350" t="str">
        <f t="shared" si="23"/>
        <v>Maïs ensilé</v>
      </c>
      <c r="DW95" s="351">
        <f t="array" ref="DW95">SUM((IF(QualitéAlimentsFaonMâle_0_3_mois=BONNE,VLOOKUP("Maïs ensilé",AlimentsRationHivernaleDaims,8,FALSE),0)+(IF(QualitéAlimentsFaonFemelle_0_3_mois=BONNE,VLOOKUP("Maïs ensilé",AlimentsRationHivernaleDaims,8,FALSE),0)+(IF(QualitéAlimentsFaonMâle_3_6_mois=BONNE,VLOOKUP("Maïs ensilé",AlimentsRationHivernaleDaims,7,FALSE),0)+(IF(QualitéAlimentsFaonFemelle_3_6_mois=BONNE,VLOOKUP("Maïs ensilé",AlimentsRationHivernaleDaims,7,FALSE),0)+(IF(QualitéAlimentsFaonMâle_6_12_mois=BONNE,VLOOKUP("Maïs ensilé",AlimentsRationHivernaleDaims,6,FALSE),0)+(IF(QualitéAlimentsFaonFemelle_6_12_mois=BONNE,VLOOKUP("Maïs ensilé",AlimentsRationHivernaleDaims,6,FALSE),0)+(IF(QualitéAlimentsJeuneDaim_12_18_mois=BONNE,VLOOKUP("Maïs ensilé",AlimentsRationHivernaleDaims,5,FALSE),0)+(IF(QualitéAlimentsJeuneDaine_12_18_mois=BONNE,VLOOKUP("Maïs ensilé",AlimentsRationHivernaleDaims,5,FALSE),0)+(IF(QualitéAlimentsJeuneDaim_18_24_mois=BONNE,VLOOKUP("Maïs ensilé",AlimentsRationHivernaleDaims,4,FALSE),0)+(IF(QualitéAlimentsJeuneDaine_18_24_mois=BONNE,VLOOKUP("Maïs ensilé",AlimentsRationHivernaleDaims,4,FALSE),0)+(IF(QualitéAlimentsJeuneDaim_24_36_mois=BONNE,VLOOKUP("Maïs ensilé",AlimentsRationHivernaleDaims,3,FALSE),0)+(IF(QualitéAlimentsJeuneDaine_24_36_mois=BONNE,VLOOKUP("Maïs ensilé",AlimentsRationHivernaleDaims,3,FALSE),0)+(IF(QualitéAlimentsDaim=BONNE,VLOOKUP("Maïs ensilé",AlimentsRationHivernaleDaims,2,FALSE),0)+(IF(QualitéAlimentsDaine=BONNE,VLOOKUP("Maïs ensilé",AlimentsRationHivernaleDaims,2,FALSE),0))))))))))))))))</f>
        <v>0</v>
      </c>
      <c r="DX95" s="351">
        <f t="array" ref="DX95">SUM((IF(QualitéAlimentsFaonMâle_0_3_mois=MOYENNE,VLOOKUP("Maïs ensilé",AlimentsRationHivernaleDaims,8,FALSE),0)+(IF(QualitéAlimentsFaonFemelle_0_3_mois=MOYENNE,VLOOKUP("Maïs ensilé",AlimentsRationHivernaleDaims,8,FALSE),0)+(IF(QualitéAlimentsFaonMâle_3_6_mois=MOYENNE,VLOOKUP("Maïs ensilé",AlimentsRationHivernaleDaims,7,FALSE),0)+(IF(QualitéAlimentsFaonFemelle_3_6_mois=MOYENNE,VLOOKUP("Maïs ensilé",AlimentsRationHivernaleDaims,7,FALSE),0)+(IF(QualitéAlimentsFaonMâle_6_12_mois=MOYENNE,VLOOKUP("Maïs ensilé",AlimentsRationHivernaleDaims,6,FALSE),0)+(IF(QualitéAlimentsFaonFemelle_6_12_mois=MOYENNE,VLOOKUP("Maïs ensilé",AlimentsRationHivernaleDaims,6,FALSE),0)+(IF(QualitéAlimentsJeuneDaim_12_18_mois=MOYENNE,VLOOKUP("Maïs ensilé",AlimentsRationHivernaleDaims,5,FALSE),0)+(IF(QualitéAlimentsJeuneDaine_12_18_mois=MOYENNE,VLOOKUP("Maïs ensilé",AlimentsRationHivernaleDaims,5,FALSE),0)+(IF(QualitéAlimentsJeuneDaim_18_24_mois=MOYENNE,VLOOKUP("Maïs ensilé",AlimentsRationHivernaleDaims,4,FALSE),0)+(IF(QualitéAlimentsJeuneDaine_18_24_mois=MOYENNE,VLOOKUP("Maïs ensilé",AlimentsRationHivernaleDaims,4,FALSE),0)+(IF(QualitéAlimentsJeuneDaim_24_36_mois=MOYENNE,VLOOKUP("Maïs ensilé",AlimentsRationHivernaleDaims,3,FALSE),0)+(IF(QualitéAlimentsJeuneDaine_24_36_mois=MOYENNE,VLOOKUP("Maïs ensilé",AlimentsRationHivernaleDaims,3,FALSE),0)+(IF(QualitéAlimentsDaim=MOYENNE,VLOOKUP("Maïs ensilé",AlimentsRationHivernaleDaims,2,FALSE),0)+(IF(QualitéAlimentsDaine=MOYENNE,VLOOKUP("Maïs ensilé",AlimentsRationHivernaleDaims,2,FALSE),0))))))))))))))))</f>
        <v>0</v>
      </c>
      <c r="DY95" s="351">
        <f t="array" ref="DY95">SUM((IF(QualitéAlimentsFaonMâle_0_3_mois=MAUVAISE,VLOOKUP("Maïs ensilé",AlimentsRationHivernaleDaims,8,FALSE),0)+(IF(QualitéAlimentsFaonFemelle_0_3_mois=MAUVAISE,VLOOKUP("Maïs ensilé",AlimentsRationHivernaleDaims,8,FALSE),0)+(IF(QualitéAlimentsFaonMâle_3_6_mois=MAUVAISE,VLOOKUP("Maïs ensilé",AlimentsRationHivernaleDaims,7,FALSE),0)+(IF(QualitéAlimentsFaonFemelle_3_6_mois=MAUVAISE,VLOOKUP("Maïs ensilé",AlimentsRationHivernaleDaims,7,FALSE),0)+(IF(QualitéAlimentsFaonMâle_6_12_mois=MAUVAISE,VLOOKUP("Maïs ensilé",AlimentsRationHivernaleDaims,6,FALSE),0)+(IF(QualitéAlimentsFaonFemelle_6_12_mois=MAUVAISE,VLOOKUP("Maïs ensilé",AlimentsRationHivernaleDaims,6,FALSE),0)+(IF(QualitéAlimentsJeuneDaim_12_18_mois=MAUVAISE,VLOOKUP("Maïs ensilé",AlimentsRationHivernaleDaims,5,FALSE),0)+(IF(QualitéAlimentsJeuneDaine_12_18_mois=MAUVAISE,VLOOKUP("Maïs ensilé",AlimentsRationHivernaleDaims,5,FALSE),0)+(IF(QualitéAlimentsJeuneDaim_18_24_mois=MAUVAISE,VLOOKUP("Maïs ensilé",AlimentsRationHivernaleDaims,4,FALSE),0)+(IF(QualitéAlimentsJeuneDaine_18_24_mois=MAUVAISE,VLOOKUP("Maïs ensilé",AlimentsRationHivernaleDaims,4,FALSE),0)+(IF(QualitéAlimentsJeuneDaim_24_36_mois=MAUVAISE,VLOOKUP("Maïs ensilé",AlimentsRationHivernaleDaims,3,FALSE),0)+(IF(QualitéAlimentsJeuneDaine_24_36_mois=MAUVAISE,VLOOKUP("Maïs ensilé",AlimentsRationHivernaleDaims,3,FALSE),0)+(IF(QualitéAlimentsDaim=MAUVAISE,VLOOKUP("Maïs ensilé",AlimentsRationHivernaleDaims,2,FALSE),0)+(IF(QualitéAlimentsDaine=MAUVAISE,VLOOKUP("Maïs ensilé",AlimentsRationHivernaleDaims,2,FALSE),0))))))))))))))))</f>
        <v>0</v>
      </c>
      <c r="DZ95" s="298"/>
      <c r="EA95" s="298"/>
      <c r="EB95" s="298"/>
      <c r="EC95" s="298"/>
      <c r="ED95" s="298"/>
      <c r="EE95" s="298"/>
      <c r="EG95" s="420" t="str">
        <f>EG53</f>
        <v>Avoine</v>
      </c>
      <c r="EH95" s="433">
        <f t="array" ref="EH9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95" s="433">
        <f t="array" ref="EI9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95" s="433">
        <f t="array" ref="EJ9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95" s="434">
        <f>SUM(AlimentsRationOiesFemelles[[#This Row],[Valeur 6 et plus]:[Valeur 0-3]])</f>
        <v>0</v>
      </c>
      <c r="EL95" s="276"/>
      <c r="EN95" s="443" t="str">
        <f t="shared" ref="EN95:EN132" si="28">EN53</f>
        <v>Betterave</v>
      </c>
      <c r="EO95" s="450">
        <f t="array" ref="EO95">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95" s="450">
        <f t="array" ref="EP95">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95" s="450">
        <f t="array" ref="EQ95">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95" s="451">
        <f>SUM(Ration_canards_Femelles[[#This Row],[Valeur 6 et plus]:[Valeur 0-3]])</f>
        <v>0</v>
      </c>
      <c r="EU95" s="457"/>
      <c r="EV95" s="458">
        <f t="array" ref="EV95">IF(OR(ChoixRationComplèteEtéChevauxSelle=OUI,ChoixRationComplèteEtéChevauxSelle="",AND(ChoixChevauxSellePréHiver=OUI,ChoixChevauxSellePréEté=OUI)),0,IFERROR(IF(OR(AND(INDEX(Règles_chevaux_selle[Specificite],MATCH(RationEtéChevauxSelle&amp;$EU95,Règles_chevaux_selle[Ration]&amp;Règles_chevaux_selle[Aliment],0))="s1",IF($EU95=Spécificité1ChevauxSelle,1)),
AND(INDEX(Règles_chevaux_selle[Specificite],MATCH(RationEtéChevauxSelle&amp;$EU95,Règles_chevaux_selle[Ration]&amp;Règles_chevaux_selle[Aliment],0))="s2",IF($EU95=Spécificité2ChevauxSelle,1)),
INDEX(Règles_chevaux_selle[Specificite],MATCH(RationEtéChevauxSelle&amp;$EU95,Règles_chevaux_selle[Ration]&amp;Règles_chevaux_selle[Aliment],0))="c"),
INDEX(Règles_chevaux_selle[Valeur 36 et plus],MATCH(RationEtéChevauxSelle&amp;$EU95,Règles_chevaux_selle[Ration]&amp;Règles_chevaux_selle[Aliment],0)),0),0)*TotalEtalonSelle*NbreJoursNourrirChevauxSelle)</f>
        <v>0</v>
      </c>
      <c r="EW95" s="458">
        <f t="array" ref="EW95">IF(OR(ChoixRationComplèteEtéChevauxSelle=OUI,ChoixRationComplèteEtéChevauxSelle="",AND(ChoixChevauxSellePréHiver=OUI,ChoixChevauxSellePréEté=OUI)),0,IFERROR(IF(OR(AND(INDEX(Règles_chevaux_selle[Specificite],MATCH(RationEtéChevauxSelle&amp;$EU95,Règles_chevaux_selle[Ration]&amp;Règles_chevaux_selle[Aliment],0))="s1",IF($EU95=Spécificité1ChevauxSelle,1)),
AND(INDEX(Règles_chevaux_selle[Specificite],MATCH(RationEtéChevauxSelle&amp;$EU95,Règles_chevaux_selle[Ration]&amp;Règles_chevaux_selle[Aliment],0))="s2",IF($EU95=Spécificité2ChevauxSelle,1)),
INDEX(Règles_chevaux_selle[Specificite],MATCH(RationEtéChevauxSelle&amp;$EU95,Règles_chevaux_selle[Ration]&amp;Règles_chevaux_selle[Aliment],0))="c"),
INDEX(Règles_chevaux_selle[Valeur 24-36],MATCH(RationEtéChevauxSelle&amp;$EU95,Règles_chevaux_selle[Ration]&amp;Règles_chevaux_selle[Aliment],0)),0),0)*TotalJeuneEtalonSelle_24_36_mois*NbreJoursNourrirChevauxSelle)</f>
        <v>0</v>
      </c>
      <c r="EX95" s="458">
        <f t="array" ref="EX95">IF(OR(ChoixRationComplèteEtéChevauxSelle=OUI,ChoixRationComplèteEtéChevauxSelle="",AND(ChoixChevauxSellePréHiver=OUI,ChoixChevauxSellePréEté=OUI)),0,IFERROR(IF(OR(AND(INDEX(Règles_chevaux_selle[Specificite],MATCH(RationEtéChevauxSelle&amp;$EU95,Règles_chevaux_selle[Ration]&amp;Règles_chevaux_selle[Aliment],0))="s1",IF($EU95=Spécificité1ChevauxSelle,1)),
AND(INDEX(Règles_chevaux_selle[Specificite],MATCH(RationEtéChevauxSelle&amp;$EU95,Règles_chevaux_selle[Ration]&amp;Règles_chevaux_selle[Aliment],0))="s2",IF($EU95=Spécificité2ChevauxSelle,1)),
INDEX(Règles_chevaux_selle[Specificite],MATCH(RationEtéChevauxSelle&amp;$EU95,Règles_chevaux_selle[Ration]&amp;Règles_chevaux_selle[Aliment],0))="c"),
INDEX(Règles_chevaux_selle[Valeur 12-24],MATCH(RationEtéChevauxSelle&amp;$EU95,Règles_chevaux_selle[Ration]&amp;Règles_chevaux_selle[Aliment],0)),0),0)*TotalJeuneEtalonSelle_12_24_mois*NbreJoursNourrirChevauxSelle)</f>
        <v>0</v>
      </c>
      <c r="EY95" s="460">
        <f t="array" ref="EY95">IF(OR(ChoixRationComplèteEtéChevauxSelle=OUI,ChoixRationComplèteEtéChevauxSelle="",AND(ChoixChevauxSellePréHiver=OUI,ChoixChevauxSellePréEté=OUI)),0,IFERROR(IF(OR(AND(INDEX(Règles_chevaux_selle[Specificite],MATCH(RationEtéChevauxSelle&amp;$EU95,Règles_chevaux_selle[Ration]&amp;Règles_chevaux_selle[Aliment],0))="s1",IF($EU95=Spécificité1ChevauxSelle,1)),
AND(INDEX(Règles_chevaux_selle[Specificite],MATCH(RationEtéChevauxSelle&amp;$EU95,Règles_chevaux_selle[Ration]&amp;Règles_chevaux_selle[Aliment],0))="s2",IF($EU95=Spécificité2ChevauxSelle,1)),
INDEX(Règles_chevaux_selle[Specificite],MATCH(RationEtéChevauxSelle&amp;$EU95,Règles_chevaux_selle[Ration]&amp;Règles_chevaux_selle[Aliment],0))="c"),
INDEX(Règles_chevaux_selle[Valeur 0-12],MATCH(RationEtéChevauxSelle&amp;$EU95,Règles_chevaux_selle[Ration]&amp;Règles_chevaux_selle[Aliment],0)),0),0)*TotalPoulainSelle_0_12_mois*NbreJoursNourrirChevauxSelle)</f>
        <v>0</v>
      </c>
      <c r="EZ95" s="460">
        <f t="shared" si="16"/>
        <v>0</v>
      </c>
      <c r="FD95" s="455" t="s">
        <v>910</v>
      </c>
      <c r="FE95" s="455" t="s">
        <v>895</v>
      </c>
      <c r="FF95" s="455" t="s">
        <v>894</v>
      </c>
      <c r="FG95" s="455" t="s">
        <v>938</v>
      </c>
      <c r="FH95" s="459" t="s">
        <v>937</v>
      </c>
      <c r="FI95" s="455" t="s">
        <v>903</v>
      </c>
      <c r="FN95" s="457" t="str">
        <f>FN53</f>
        <v>Avoine</v>
      </c>
      <c r="FO95" s="458">
        <f t="array" ref="FO95">IF(OR(ChoixRationComplèteEtéPoneys=OUI,ChoixRationComplèteEtéPoneys="",AND(ChoixPoneysPréHiver=OUI,ChoixPoneysPréEté=OUI)),0,IFERROR(IF(OR(AND(INDEX(Règles_poneys[Specificite],MATCH(RationEtéPoneys&amp;$FN95,Règles_poneys[Ration]&amp;Règles_poneys[Aliment],0))="s1",IF($FN95=Spécificité1Poneys,1)),
AND(INDEX(Règles_poneys[Specificite],MATCH(RationEtéPoneys&amp;$FN95,Règles_poneys[Ration]&amp;Règles_poneys[Aliment],0))="s2",IF($FN95=Spécificité2Poneys,1)),
INDEX(Règles_poneys[Specificite],MATCH(RationEtéPoneys&amp;$FN95,Règles_poneys[Ration]&amp;Règles_poneys[Aliment],0))="c"),
INDEX(Règles_poneys[Valeur 36 et plus],MATCH(RationEtéPoneys&amp;$FN95,Règles_poneys[Ration]&amp;Règles_poneys[Aliment],0)),0),0)*TotalJumentPoney*NbreJoursNourrirPoneys)</f>
        <v>0</v>
      </c>
      <c r="FP95" s="458">
        <f t="array" ref="FP95">IF(OR(ChoixRationComplèteEtéPoneys=OUI,ChoixRationComplèteEtéPoneys="",AND(ChoixPoneysPréHiver=OUI,ChoixPoneysPréEté=OUI)),0,IFERROR(IF(OR(AND(INDEX(Règles_poneys[Specificite],MATCH(RationEtéPoneys&amp;$FN95,Règles_poneys[Ration]&amp;Règles_poneys[Aliment],0))="s1",IF($FN95=Spécificité1Poneys,1)),
AND(INDEX(Règles_poneys[Specificite],MATCH(RationEtéPoneys&amp;$FN95,Règles_poneys[Ration]&amp;Règles_poneys[Aliment],0))="s2",IF($FN95=Spécificité2Poneys,1)),
INDEX(Règles_poneys[Specificite],MATCH(RationEtéPoneys&amp;$FN95,Règles_poneys[Ration]&amp;Règles_poneys[Aliment],0))="c"),
INDEX(Règles_poneys[Valeur 36 et plus],MATCH(RationEtéPoneys&amp;$FN95,Règles_poneys[Ration]&amp;Règles_poneys[Aliment],0)),0),0)*TotalJeuneJumentPoney_24_36_mois*NbreJoursNourrirPoneys)</f>
        <v>0</v>
      </c>
      <c r="FQ95" s="458">
        <f>IF(OR(ChoixRationComplèteEtéPoneys=OUI,ChoixRationComplèteEtéPoneys="",AND(ChoixPoneysPréHiver=OUI,ChoixPoneysPréEté=OUI)),0,IFERROR(IF(OR(AND(INDEX(Règles_poneys[Specificite],MATCH(RationEtéPoneys&amp;$FN95,Règles_poneys[Ration]&amp;Règles_poneys[Aliment],0))="s1",IF($FN95=Spécificité1Poneys,1)),
AND(INDEX(Règles_poneys[Specificite],MATCH(RationEtéPoneys&amp;$FN95,Règles_poneys[Ration]&amp;Règles_poneys[Aliment],0))="s2",IF($FN95=Spécificité2Poneys,1)),
INDEX(Règles_poneys[Specificite],MATCH(RationEtéPoneys&amp;$FN95,Règles_poneys[Ration]&amp;Règles_poneys[Aliment],0))="c"),
INDEX(Règles_poneys[Valeur 36 et plus],MATCH(RationEtéPoneys&amp;$FN95,Règles_poneys[Ration]&amp;Règles_poneys[Aliment],0)),0),0)*TotalJeuneJumentPoney_12_24_mois*NbreJoursNourrirPoneys)</f>
        <v>0</v>
      </c>
      <c r="FR95" s="458">
        <f t="array" ref="FR95">IF(OR(ChoixRationComplèteEtéPoneys=OUI,ChoixRationComplèteEtéPoneys="",AND(ChoixPoneysPréHiver=OUI,ChoixPoneysPréEté=OUI)),0,IFERROR(IF(OR(AND(INDEX(Règles_poneys[Specificite],MATCH(RationEtéPoneys&amp;$FN95,Règles_poneys[Ration]&amp;Règles_poneys[Aliment],0))="s1",IF($FN95=Spécificité1Poneys,1)),
AND(INDEX(Règles_poneys[Specificite],MATCH(RationEtéPoneys&amp;$FN95,Règles_poneys[Ration]&amp;Règles_poneys[Aliment],0))="s2",IF($FN95=Spécificité2Poneys,1)),
INDEX(Règles_poneys[Specificite],MATCH(RationEtéPoneys&amp;$FN95,Règles_poneys[Ration]&amp;Règles_poneys[Aliment],0))="c"),
INDEX(Règles_poneys[Valeur 36 et plus],MATCH(RationEtéPoneys&amp;$FN95,Règles_poneys[Ration]&amp;Règles_poneys[Aliment],0)),0),0)*TotalPoulichePoney_0_12_mois*NbreJoursNourrirPoneys)</f>
        <v>0</v>
      </c>
      <c r="FS95" s="460">
        <f t="shared" ref="FS95:FS133" si="29">SUM($FO95:$FQ95)</f>
        <v>0</v>
      </c>
      <c r="FW95" s="443" t="str">
        <f t="shared" si="27"/>
        <v>Canola</v>
      </c>
      <c r="FX95" s="450">
        <f t="array" ref="FX95">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95" s="450">
        <f t="array" ref="FY95">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95" s="450">
        <f t="array" ref="FZ95">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95" s="450">
        <f t="array" ref="GA95">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95" s="451">
        <f>SUM(AlimentsGavageCanards[[#This Row],[Valeur 6 et plus]:[Valeur 0-1]])</f>
        <v>0</v>
      </c>
      <c r="GG95" s="276" t="s">
        <v>955</v>
      </c>
      <c r="GH95" s="276" t="s">
        <v>955</v>
      </c>
      <c r="GI95" s="276" t="s">
        <v>955</v>
      </c>
      <c r="GJ95" s="276" t="s">
        <v>955</v>
      </c>
      <c r="GK95" s="276" t="s">
        <v>955</v>
      </c>
      <c r="GL95" s="276" t="s">
        <v>955</v>
      </c>
      <c r="GM95" s="276" t="s">
        <v>955</v>
      </c>
      <c r="GN95" s="276" t="s">
        <v>955</v>
      </c>
      <c r="GO95" s="276" t="s">
        <v>955</v>
      </c>
      <c r="GP95" s="276" t="s">
        <v>955</v>
      </c>
      <c r="GQ95" s="276" t="s">
        <v>955</v>
      </c>
      <c r="GR95" s="276" t="s">
        <v>955</v>
      </c>
      <c r="GS95" s="276" t="s">
        <v>955</v>
      </c>
      <c r="GT95" s="276" t="s">
        <v>955</v>
      </c>
      <c r="GU95" s="276" t="s">
        <v>955</v>
      </c>
      <c r="GV95" s="276" t="s">
        <v>955</v>
      </c>
      <c r="GY95" s="444" t="s">
        <v>1102</v>
      </c>
      <c r="GZ95" s="444"/>
      <c r="HA95" s="444"/>
      <c r="HB95" s="342" t="e">
        <f>SUM(HB82:HB94)</f>
        <v>#REF!</v>
      </c>
      <c r="HN95" s="335" t="s">
        <v>1084</v>
      </c>
      <c r="HO95" s="335"/>
      <c r="HP95" s="335"/>
      <c r="HQ95" s="335"/>
      <c r="HR95" s="335"/>
      <c r="HS95" s="335"/>
      <c r="HT95" s="335"/>
      <c r="HU95" s="335"/>
      <c r="HV95" s="335"/>
      <c r="HW95" s="335"/>
      <c r="HX95" s="335"/>
      <c r="HY95" s="335"/>
      <c r="HZ95" s="335"/>
      <c r="IA95" s="335"/>
      <c r="IB95" s="335"/>
    </row>
    <row r="96" spans="1:241" ht="12.75" customHeight="1" x14ac:dyDescent="0.2">
      <c r="A96" s="373"/>
      <c r="B96" s="380"/>
      <c r="F96" s="280"/>
      <c r="G96" s="280"/>
      <c r="H96" s="321"/>
      <c r="I96" s="321"/>
      <c r="J96" s="321"/>
      <c r="K96" s="321"/>
      <c r="L96" s="280"/>
      <c r="N96" s="277"/>
      <c r="O96" s="385" t="s">
        <v>1000</v>
      </c>
      <c r="P96" s="385" t="e">
        <f>IF(ChoixExpèceAuPré="",0,SUMIF(ChoixEspèceAuPré,Bovins,NbreFemelles_6_12MoisAuPréEté))</f>
        <v>#REF!</v>
      </c>
      <c r="Q96" s="385" t="e">
        <f>IF(ChoixExpèceAuPré="",0,SUMIF(ChoixEspèceAuPré,Ovins,NbreFemelles_6_12MoisAuPréEté))</f>
        <v>#REF!</v>
      </c>
      <c r="R96" s="385" t="e">
        <f>IF(ChoixExpèceAuPré="",0,SUMIF(ChoixEspèceAuPré,Caprins,NbreFemelles_6_12MoisAuPréEté))</f>
        <v>#REF!</v>
      </c>
      <c r="S96" s="385" t="e">
        <f>IF(ChoixExpèceAuPré="",0,SUMIF(ChoixEspèceAuPré,Bisons,NbreFemelles_6_12MoisAuPréEté))</f>
        <v>#REF!</v>
      </c>
      <c r="T96" s="385" t="e">
        <f>IF(ChoixExpèceAuPré="",0,SUMIF(ChoixEspèceAuPré,Daims,NbreFemelles_6_12MoisAuPréEté))</f>
        <v>#REF!</v>
      </c>
      <c r="U96" s="385" t="e">
        <f>IF(ChoixExpèceAuPré="",0,SUMIF(ChoixEspèceAuPré,ChevauxSelle,NbreFemelles_6_12MoisAuPréEté))</f>
        <v>#REF!</v>
      </c>
      <c r="V96" s="385" t="e">
        <f>IF(ChoixExpèceAuPré="",0,SUMIF(ChoixEspèceAuPré,ChevauxTrait,NbreFemelles_6_12MoisAuPréEté))</f>
        <v>#REF!</v>
      </c>
      <c r="W96" s="385" t="e">
        <f>IF(ChoixExpèceAuPré="",0,SUMIF(ChoixEspèceAuPré,Poneys,NbreFemelles_6_12MoisAuPréEté))</f>
        <v>#REF!</v>
      </c>
      <c r="Y96" s="385" t="s">
        <v>1135</v>
      </c>
      <c r="Z96" s="385">
        <f>IF('coût alimentation'!$B$6=$Y$96,56,0)</f>
        <v>0</v>
      </c>
      <c r="AA96" s="385">
        <f>IF(AND(ChoixBovinsPréEté="OUI",'coût alimentation'!$B$6=$Y$96),35,Z96)</f>
        <v>0</v>
      </c>
      <c r="AB96" s="385">
        <f>IF('coût alimentation'!$B$6=$Y$96,42,0)</f>
        <v>0</v>
      </c>
      <c r="AC96" s="385">
        <f>IF(AND(ChoixCaprinsPréEté="OUI",'coût alimentation'!$B$6=$Y$96),35,Z96)</f>
        <v>0</v>
      </c>
      <c r="AD96" s="385">
        <f>IF(AND(ChoixOvinsPréEté="OUI",'coût alimentation'!$B$6=$Y$96),35,Z96)</f>
        <v>0</v>
      </c>
      <c r="AE96" s="385">
        <f>IF(AND(ChoixChevauxSellePréEté="OUI",'coût alimentation'!$B$6=$Y$96),21,IF(Y96&lt;&gt;'coût alimentation'!$B$6,0,84))</f>
        <v>0</v>
      </c>
      <c r="AF96" s="385">
        <f>IF(AND(ChoixChevauxTraitPréEté="OUI",'coût alimentation'!$B$6=$Y$96),21,IF(Y96&lt;&gt;'coût alimentation'!$B$6,0,84))</f>
        <v>0</v>
      </c>
      <c r="AG96" s="385">
        <f>IF(AND(ChoixPoneysPréEté="OUI",'coût alimentation'!$B$6=$Y$96),21,IF(Y96&lt;&gt;'coût alimentation'!$B$6,0,84))</f>
        <v>0</v>
      </c>
      <c r="BB96" s="387" t="s">
        <v>514</v>
      </c>
      <c r="BC96" s="362" t="s">
        <v>168</v>
      </c>
      <c r="BD96" s="362" t="s">
        <v>886</v>
      </c>
      <c r="BE96" s="388">
        <v>56</v>
      </c>
      <c r="BF96" s="388">
        <v>48</v>
      </c>
      <c r="BG96" s="388">
        <v>32</v>
      </c>
      <c r="BH96" s="388">
        <v>24</v>
      </c>
      <c r="BI96" s="388">
        <v>16</v>
      </c>
      <c r="BJ96" s="388">
        <v>8</v>
      </c>
      <c r="BK96" s="389">
        <v>0</v>
      </c>
      <c r="BL96" s="312"/>
      <c r="BM96" s="350" t="str">
        <f t="shared" si="22"/>
        <v>Pomme de terre</v>
      </c>
      <c r="BN96" s="350">
        <f t="array" ref="BN96">IF(Ration_hivernale_complète_bisons[somme]&gt;0,0,IFERROR(IF(OR(AND(INDEX(Règles_bison[Specificite],MATCH(ChoixRationBisons&amp;$BM96,Règles_bison[Ration]&amp;Règles_bison[Aliment],0))="s1",IF($BM96=ChoixSpécificité1Bisons,1)),
INDEX(Règles_bison[Specificite],MATCH(ChoixRationBisons&amp;$BM96,Règles_bison[Ration]&amp;Règles_bison[Aliment],0))="c"),
INDEX(Règles_bison[Valeur 36 et plus],MATCH(ChoixRationBisons&amp;$BM96,Règles_bison[Ration]&amp;Règles_bison[Aliment],0)),0),0)*TotalBisonnes*NbreJoursNourrirBisonsDaims)</f>
        <v>0</v>
      </c>
      <c r="BO96" s="350">
        <f t="array" ref="BO96">IF(Ration_hivernale_complète_bisons[somme]&gt;0,0,IFERROR(IF(OR(AND(INDEX(Règles_bison[Specificite],MATCH(ChoixRationBisons&amp;$BM96,Règles_bison[Ration]&amp;Règles_bison[Aliment],0))="s1",IF($BM96=ChoixSpécificité1Bisons,1)),
INDEX(Règles_bison[Specificite],MATCH(ChoixRationBisons&amp;$BM96,Règles_bison[Ration]&amp;Règles_bison[Aliment],0))="c"),
INDEX(Règles_bison[Valeur 24-36],MATCH(ChoixRationBisons&amp;$BM96,Règles_bison[Ration]&amp;Règles_bison[Aliment],0)),0),0)*TotalBisonsFemelles_24_36_mois*NbreJoursNourrirBisonsDaims)</f>
        <v>0</v>
      </c>
      <c r="BP96" s="350">
        <f t="array" ref="BP96">IF(Ration_hivernale_complète_bisons[somme]&gt;0,0,IFERROR(IF(OR(AND(INDEX(Règles_bison[Specificite],MATCH(ChoixRationBisons&amp;$BM96,Règles_bison[Ration]&amp;Règles_bison[Aliment],0))="s1",IF($BM96=ChoixSpécificité1Bisons,1)),
INDEX(Règles_bison[Specificite],MATCH(ChoixRationBisons&amp;$BM96,Règles_bison[Ration]&amp;Règles_bison[Aliment],0))="c"),
INDEX(Règles_bison[Valeur 18-24],MATCH(ChoixRationBisons&amp;$BM96,Règles_bison[Ration]&amp;Règles_bison[Aliment],0)),0),0)*TotalBisonsFemelles_18_24_mois*NbreJoursNourrirBisonsDaims)</f>
        <v>0</v>
      </c>
      <c r="BQ96" s="350">
        <f t="array" ref="BQ96">IF(Ration_hivernale_complète_bisons[somme]&gt;0,0,IFERROR(IF(OR(AND(INDEX(Règles_bison[Specificite],MATCH(ChoixRationBisons&amp;$BM96,Règles_bison[Ration]&amp;Règles_bison[Aliment],0))="s1",IF($BM96=ChoixSpécificité1Bisons,1)),
INDEX(Règles_bison[Specificite],MATCH(ChoixRationBisons&amp;$BM96,Règles_bison[Ration]&amp;Règles_bison[Aliment],0))="c"),
INDEX(Règles_bison[Valeur 12-18],MATCH(ChoixRationBisons&amp;$BM96,Règles_bison[Ration]&amp;Règles_bison[Aliment],0)),0),0)*TotalBisonsFemelles_12_18_mois*NbreJoursNourrirBisonsDaims)</f>
        <v>0</v>
      </c>
      <c r="BR96" s="350">
        <f t="array" ref="BR96">IF(Ration_hivernale_complète_bisons[somme]&gt;0,0,IFERROR(IF(OR(AND(INDEX(Règles_bison[Specificite],MATCH(ChoixRationBisons&amp;$BM96,Règles_bison[Ration]&amp;Règles_bison[Aliment],0))="s1",IF($BM96=ChoixSpécificité1Bisons,1)),
INDEX(Règles_bison[Specificite],MATCH(ChoixRationBisons&amp;$BM96,Règles_bison[Ration]&amp;Règles_bison[Aliment],0))="c"),
INDEX(Règles_bison[Valeur 6-12],MATCH(ChoixRationBisons&amp;$BM96,Règles_bison[Ration]&amp;Règles_bison[Aliment],0)),0),0)*TotalBisonsFemelles_6_12_mois*NbreJoursNourrirBisonsDaims)</f>
        <v>0</v>
      </c>
      <c r="BS96" s="350">
        <f t="array" ref="BS96">IF(Ration_hivernale_complète_bisons[somme]&gt;0,0,IFERROR(IF(OR(AND(INDEX(Règles_bison[Specificite],MATCH(ChoixRationBisons&amp;$BM96,Règles_bison[Ration]&amp;Règles_bison[Aliment],0))="s1",IF($BM96=ChoixSpécificité1Bisons,1)),
INDEX(Règles_bison[Specificite],MATCH(ChoixRationBisons&amp;$BM96,Règles_bison[Ration]&amp;Règles_bison[Aliment],0))="c"),
INDEX(Règles_bison[Valeur 3-6],MATCH(ChoixRationBisons&amp;$BM96,Règles_bison[Ration]&amp;Règles_bison[Aliment],0)),0),0)*TotalBisonsFemelles_3_6_mois*NbreJoursNourrirBisonsDaims)</f>
        <v>0</v>
      </c>
      <c r="BT96" s="350">
        <f t="array" ref="BT96">IF(Ration_hivernale_complète_bisons[somme]&gt;0,0,IFERROR(IF(OR(AND(INDEX(Règles_bison[Specificite],MATCH(ChoixRationBisons&amp;$BM96,Règles_bison[Ration]&amp;Règles_bison[Aliment],0))="s1",IF($BM96=ChoixSpécificité1Bisons,1)),
INDEX(Règles_bison[Specificite],MATCH(ChoixRationBisons&amp;$BM96,Règles_bison[Ration]&amp;Règles_bison[Aliment],0))="c"),
INDEX(Règles_bison[Valeur 0-3],MATCH(ChoixRationBisons&amp;$BM96,Règles_bison[Ration]&amp;Règles_bison[Aliment],0)),0),0)*TotalBisonsFemelles_0_3_mois*NbreJoursNourrirBisonsDaims)</f>
        <v>0</v>
      </c>
      <c r="BU96" s="350">
        <f t="shared" si="21"/>
        <v>0</v>
      </c>
      <c r="BV96" s="282"/>
      <c r="BW96" s="282"/>
      <c r="BX96" s="373" t="s">
        <v>551</v>
      </c>
      <c r="BY96" s="280" t="s">
        <v>905</v>
      </c>
      <c r="BZ96" s="280" t="s">
        <v>886</v>
      </c>
      <c r="CA96" s="280">
        <v>0.08</v>
      </c>
      <c r="CB96" s="280">
        <v>0.04</v>
      </c>
      <c r="CC96" s="280">
        <v>0.04</v>
      </c>
      <c r="CD96" s="410">
        <v>0.04</v>
      </c>
      <c r="CE96" s="304"/>
      <c r="CF96" s="304"/>
      <c r="CG96" s="304"/>
      <c r="CH96" s="304"/>
      <c r="CI96" s="277"/>
      <c r="CJ96" s="420" t="str">
        <f t="shared" si="25"/>
        <v>concentré jeunes lapins</v>
      </c>
      <c r="CK96" s="384">
        <f t="array" ref="CK9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96" s="384">
        <f t="array" ref="CL9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96" s="384">
        <f t="array" ref="CM9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96" s="384">
        <f t="array" ref="CN9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96" s="384">
        <f t="array" ref="CO9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96" s="426">
        <f>SUM(AlimentsRationPorcinsFemelles[[#This Row],[Valeur 12 et plus]:[Valeur 0-1]])</f>
        <v>0</v>
      </c>
      <c r="CQ96" s="298"/>
      <c r="CT96" s="315"/>
      <c r="CU96" s="315"/>
      <c r="CV96" s="315"/>
      <c r="DF96" s="277"/>
      <c r="DG96" s="384" t="str">
        <f t="shared" si="26"/>
        <v>Colza</v>
      </c>
      <c r="DH96" s="433">
        <f t="array" ref="DH9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96" s="433">
        <f t="array" ref="DI9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96" s="433">
        <f t="array" ref="DJ9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96" s="437">
        <f>SUM(AlimentsRationPintadesFemelles[[#This Row],[Valeur 6 et plus]:[Valeur 0-1]])</f>
        <v>0</v>
      </c>
      <c r="DN96" s="373" t="s">
        <v>514</v>
      </c>
      <c r="DO96" s="280" t="s">
        <v>508</v>
      </c>
      <c r="DP96" s="280" t="s">
        <v>886</v>
      </c>
      <c r="DQ96" s="310"/>
      <c r="DR96" s="310"/>
      <c r="DS96" s="310"/>
      <c r="DT96" s="439"/>
      <c r="DU96" s="298"/>
      <c r="DV96" s="350" t="str">
        <f t="shared" si="23"/>
        <v>Maïs grain</v>
      </c>
      <c r="DW96" s="351">
        <f t="array" ref="DW96">SUM((IF(QualitéAlimentsFaonMâle_0_3_mois=BONNE,VLOOKUP("Maïs grain",AlimentsRationHivernaleDaims,8,FALSE),0)+(IF(QualitéAlimentsFaonFemelle_0_3_mois=BONNE,VLOOKUP("Maïs grain",AlimentsRationHivernaleDaims,8,FALSE),0)+(IF(QualitéAlimentsFaonMâle_3_6_mois=BONNE,VLOOKUP("Maïs grain",AlimentsRationHivernaleDaims,7,FALSE),0)+(IF(QualitéAlimentsFaonFemelle_3_6_mois=BONNE,VLOOKUP("Maïs grain",AlimentsRationHivernaleDaims,7,FALSE),0)+(IF(QualitéAlimentsFaonMâle_6_12_mois=BONNE,VLOOKUP("Maïs grain",AlimentsRationHivernaleDaims,6,FALSE),0)+(IF(QualitéAlimentsFaonFemelle_6_12_mois=BONNE,VLOOKUP("Maïs grain",AlimentsRationHivernaleDaims,6,FALSE),0)+(IF(QualitéAlimentsJeuneDaim_12_18_mois=BONNE,VLOOKUP("Maïs grain",AlimentsRationHivernaleDaims,5,FALSE),0)+(IF(QualitéAlimentsJeuneDaine_12_18_mois=BONNE,VLOOKUP("Maïs grain",AlimentsRationHivernaleDaims,5,FALSE),0)+(IF(QualitéAlimentsJeuneDaim_18_24_mois=BONNE,VLOOKUP("Maïs grain",AlimentsRationHivernaleDaims,4,FALSE),0)+(IF(QualitéAlimentsJeuneDaine_18_24_mois=BONNE,VLOOKUP("Maïs grain",AlimentsRationHivernaleDaims,4,FALSE),0)+(IF(QualitéAlimentsJeuneDaim_24_36_mois=BONNE,VLOOKUP("Maïs grain",AlimentsRationHivernaleDaims,3,FALSE),0)+(IF(QualitéAlimentsJeuneDaine_24_36_mois=BONNE,VLOOKUP("Maïs grain",AlimentsRationHivernaleDaims,3,FALSE),0)+(IF(QualitéAlimentsDaim=BONNE,VLOOKUP("Maïs grain",AlimentsRationHivernaleDaims,2,FALSE),0)+(IF(QualitéAlimentsDaine=BONNE,VLOOKUP("Maïs grain",AlimentsRationHivernaleDaims,2,FALSE),0))))))))))))))))</f>
        <v>0</v>
      </c>
      <c r="DX96" s="351">
        <f t="array" ref="DX96">SUM((IF(QualitéAlimentsFaonMâle_0_3_mois=MOYENNE,VLOOKUP("Maïs grain",AlimentsRationHivernaleDaims,8,FALSE),0)+(IF(QualitéAlimentsFaonFemelle_0_3_mois=MOYENNE,VLOOKUP("Maïs grain",AlimentsRationHivernaleDaims,8,FALSE),0)+(IF(QualitéAlimentsFaonMâle_3_6_mois=MOYENNE,VLOOKUP("Maïs grain",AlimentsRationHivernaleDaims,7,FALSE),0)+(IF(QualitéAlimentsFaonFemelle_3_6_mois=MOYENNE,VLOOKUP("Maïs grain",AlimentsRationHivernaleDaims,7,FALSE),0)+(IF(QualitéAlimentsFaonMâle_6_12_mois=MOYENNE,VLOOKUP("Maïs grain",AlimentsRationHivernaleDaims,6,FALSE),0)+(IF(QualitéAlimentsFaonFemelle_6_12_mois=MOYENNE,VLOOKUP("Maïs grain",AlimentsRationHivernaleDaims,6,FALSE),0)+(IF(QualitéAlimentsJeuneDaim_12_18_mois=MOYENNE,VLOOKUP("Maïs grain",AlimentsRationHivernaleDaims,5,FALSE),0)+(IF(QualitéAlimentsJeuneDaine_12_18_mois=MOYENNE,VLOOKUP("Maïs grain",AlimentsRationHivernaleDaims,5,FALSE),0)+(IF(QualitéAlimentsJeuneDaim_18_24_mois=MOYENNE,VLOOKUP("Maïs grain",AlimentsRationHivernaleDaims,4,FALSE),0)+(IF(QualitéAlimentsJeuneDaine_18_24_mois=MOYENNE,VLOOKUP("Maïs grain",AlimentsRationHivernaleDaims,4,FALSE),0)+(IF(QualitéAlimentsJeuneDaim_24_36_mois=MOYENNE,VLOOKUP("Maïs grain",AlimentsRationHivernaleDaims,3,FALSE),0)+(IF(QualitéAlimentsJeuneDaine_24_36_mois=MOYENNE,VLOOKUP("Maïs grain",AlimentsRationHivernaleDaims,3,FALSE),0)+(IF(QualitéAlimentsDaim=MOYENNE,VLOOKUP("Maïs grain",AlimentsRationHivernaleDaims,2,FALSE),0)+(IF(QualitéAlimentsDaine=MOYENNE,VLOOKUP("Maïs grain",AlimentsRationHivernaleDaims,2,FALSE),0))))))))))))))))</f>
        <v>0</v>
      </c>
      <c r="DY96" s="351">
        <f t="array" ref="DY96">SUM((IF(QualitéAlimentsFaonMâle_0_3_mois=MAUVAISE,VLOOKUP("Maïs grain",AlimentsRationHivernaleDaims,8,FALSE),0)+(IF(QualitéAlimentsFaonFemelle_0_3_mois=MAUVAISE,VLOOKUP("Maïs grain",AlimentsRationHivernaleDaims,8,FALSE),0)+(IF(QualitéAlimentsFaonMâle_3_6_mois=MAUVAISE,VLOOKUP("Maïs grain",AlimentsRationHivernaleDaims,7,FALSE),0)+(IF(QualitéAlimentsFaonFemelle_3_6_mois=MAUVAISE,VLOOKUP("Maïs grain",AlimentsRationHivernaleDaims,7,FALSE),0)+(IF(QualitéAlimentsFaonMâle_6_12_mois=MAUVAISE,VLOOKUP("Maïs grain",AlimentsRationHivernaleDaims,6,FALSE),0)+(IF(QualitéAlimentsFaonFemelle_6_12_mois=MAUVAISE,VLOOKUP("Maïs grain",AlimentsRationHivernaleDaims,6,FALSE),0)+(IF(QualitéAlimentsJeuneDaim_12_18_mois=MAUVAISE,VLOOKUP("Maïs grain",AlimentsRationHivernaleDaims,5,FALSE),0)+(IF(QualitéAlimentsJeuneDaine_12_18_mois=MAUVAISE,VLOOKUP("Maïs grain",AlimentsRationHivernaleDaims,5,FALSE),0)+(IF(QualitéAlimentsJeuneDaim_18_24_mois=MAUVAISE,VLOOKUP("Maïs grain",AlimentsRationHivernaleDaims,4,FALSE),0)+(IF(QualitéAlimentsJeuneDaine_18_24_mois=MAUVAISE,VLOOKUP("Maïs grain",AlimentsRationHivernaleDaims,4,FALSE),0)+(IF(QualitéAlimentsJeuneDaim_24_36_mois=MAUVAISE,VLOOKUP("Maïs grain",AlimentsRationHivernaleDaims,3,FALSE),0)+(IF(QualitéAlimentsJeuneDaine_24_36_mois=MAUVAISE,VLOOKUP("Maïs grain",AlimentsRationHivernaleDaims,3,FALSE),0)+(IF(QualitéAlimentsDaim=MAUVAISE,VLOOKUP("Maïs grain",AlimentsRationHivernaleDaims,2,FALSE),0)+(IF(QualitéAlimentsDaine=MAUVAISE,VLOOKUP("Maïs grain",AlimentsRationHivernaleDaims,2,FALSE),0))))))))))))))))</f>
        <v>0</v>
      </c>
      <c r="DZ96" s="298"/>
      <c r="EA96" s="298"/>
      <c r="EB96" s="298"/>
      <c r="EC96" s="298"/>
      <c r="ED96" s="298"/>
      <c r="EE96" s="298"/>
      <c r="EG96" s="420" t="str">
        <f t="shared" ref="EG96:EG133" si="30">EG54</f>
        <v>Betterave</v>
      </c>
      <c r="EH96" s="433">
        <f t="array" ref="EH9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96" s="433">
        <f t="array" ref="EI9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96" s="433">
        <f t="array" ref="EJ9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96" s="434">
        <f>SUM(AlimentsRationOiesFemelles[[#This Row],[Valeur 6 et plus]:[Valeur 0-3]])</f>
        <v>0</v>
      </c>
      <c r="EN96" s="443" t="str">
        <f t="shared" si="28"/>
        <v>Blé</v>
      </c>
      <c r="EO96" s="450">
        <f t="array" ref="EO96">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96" s="450">
        <f t="array" ref="EP96">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96" s="450">
        <f t="array" ref="EQ96">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96" s="451">
        <f>SUM(Ration_canards_Femelles[[#This Row],[Valeur 6 et plus]:[Valeur 0-3]])</f>
        <v>0</v>
      </c>
      <c r="EU96" s="457"/>
      <c r="EV96" s="458">
        <f t="array" ref="EV96">IF(OR(ChoixRationComplèteEtéChevauxSelle=OUI,ChoixRationComplèteEtéChevauxSelle="",AND(ChoixChevauxSellePréHiver=OUI,ChoixChevauxSellePréEté=OUI)),0,IFERROR(IF(OR(AND(INDEX(Règles_chevaux_selle[Specificite],MATCH(RationEtéChevauxSelle&amp;$EU96,Règles_chevaux_selle[Ration]&amp;Règles_chevaux_selle[Aliment],0))="s1",IF($EU96=Spécificité1ChevauxSelle,1)),
AND(INDEX(Règles_chevaux_selle[Specificite],MATCH(RationEtéChevauxSelle&amp;$EU96,Règles_chevaux_selle[Ration]&amp;Règles_chevaux_selle[Aliment],0))="s2",IF($EU96=Spécificité2ChevauxSelle,1)),
INDEX(Règles_chevaux_selle[Specificite],MATCH(RationEtéChevauxSelle&amp;$EU96,Règles_chevaux_selle[Ration]&amp;Règles_chevaux_selle[Aliment],0))="c"),
INDEX(Règles_chevaux_selle[Valeur 36 et plus],MATCH(RationEtéChevauxSelle&amp;$EU96,Règles_chevaux_selle[Ration]&amp;Règles_chevaux_selle[Aliment],0)),0),0)*TotalEtalonSelle*NbreJoursNourrirChevauxSelle)</f>
        <v>0</v>
      </c>
      <c r="EW96" s="458">
        <f t="array" ref="EW96">IF(OR(ChoixRationComplèteEtéChevauxSelle=OUI,ChoixRationComplèteEtéChevauxSelle="",AND(ChoixChevauxSellePréHiver=OUI,ChoixChevauxSellePréEté=OUI)),0,IFERROR(IF(OR(AND(INDEX(Règles_chevaux_selle[Specificite],MATCH(RationEtéChevauxSelle&amp;$EU96,Règles_chevaux_selle[Ration]&amp;Règles_chevaux_selle[Aliment],0))="s1",IF($EU96=Spécificité1ChevauxSelle,1)),
AND(INDEX(Règles_chevaux_selle[Specificite],MATCH(RationEtéChevauxSelle&amp;$EU96,Règles_chevaux_selle[Ration]&amp;Règles_chevaux_selle[Aliment],0))="s2",IF($EU96=Spécificité2ChevauxSelle,1)),
INDEX(Règles_chevaux_selle[Specificite],MATCH(RationEtéChevauxSelle&amp;$EU96,Règles_chevaux_selle[Ration]&amp;Règles_chevaux_selle[Aliment],0))="c"),
INDEX(Règles_chevaux_selle[Valeur 24-36],MATCH(RationEtéChevauxSelle&amp;$EU96,Règles_chevaux_selle[Ration]&amp;Règles_chevaux_selle[Aliment],0)),0),0)*TotalJeuneEtalonSelle_24_36_mois*NbreJoursNourrirChevauxSelle)</f>
        <v>0</v>
      </c>
      <c r="EX96" s="458">
        <f t="array" ref="EX96">IF(OR(ChoixRationComplèteEtéChevauxSelle=OUI,ChoixRationComplèteEtéChevauxSelle="",AND(ChoixChevauxSellePréHiver=OUI,ChoixChevauxSellePréEté=OUI)),0,IFERROR(IF(OR(AND(INDEX(Règles_chevaux_selle[Specificite],MATCH(RationEtéChevauxSelle&amp;$EU96,Règles_chevaux_selle[Ration]&amp;Règles_chevaux_selle[Aliment],0))="s1",IF($EU96=Spécificité1ChevauxSelle,1)),
AND(INDEX(Règles_chevaux_selle[Specificite],MATCH(RationEtéChevauxSelle&amp;$EU96,Règles_chevaux_selle[Ration]&amp;Règles_chevaux_selle[Aliment],0))="s2",IF($EU96=Spécificité2ChevauxSelle,1)),
INDEX(Règles_chevaux_selle[Specificite],MATCH(RationEtéChevauxSelle&amp;$EU96,Règles_chevaux_selle[Ration]&amp;Règles_chevaux_selle[Aliment],0))="c"),
INDEX(Règles_chevaux_selle[Valeur 12-24],MATCH(RationEtéChevauxSelle&amp;$EU96,Règles_chevaux_selle[Ration]&amp;Règles_chevaux_selle[Aliment],0)),0),0)*TotalJeuneEtalonSelle_12_24_mois*NbreJoursNourrirChevauxSelle)</f>
        <v>0</v>
      </c>
      <c r="EY96" s="460">
        <f t="array" ref="EY96">IF(OR(ChoixRationComplèteEtéChevauxSelle=OUI,ChoixRationComplèteEtéChevauxSelle="",AND(ChoixChevauxSellePréHiver=OUI,ChoixChevauxSellePréEté=OUI)),0,IFERROR(IF(OR(AND(INDEX(Règles_chevaux_selle[Specificite],MATCH(RationEtéChevauxSelle&amp;$EU96,Règles_chevaux_selle[Ration]&amp;Règles_chevaux_selle[Aliment],0))="s1",IF($EU96=Spécificité1ChevauxSelle,1)),
AND(INDEX(Règles_chevaux_selle[Specificite],MATCH(RationEtéChevauxSelle&amp;$EU96,Règles_chevaux_selle[Ration]&amp;Règles_chevaux_selle[Aliment],0))="s2",IF($EU96=Spécificité2ChevauxSelle,1)),
INDEX(Règles_chevaux_selle[Specificite],MATCH(RationEtéChevauxSelle&amp;$EU96,Règles_chevaux_selle[Ration]&amp;Règles_chevaux_selle[Aliment],0))="c"),
INDEX(Règles_chevaux_selle[Valeur 0-12],MATCH(RationEtéChevauxSelle&amp;$EU96,Règles_chevaux_selle[Ration]&amp;Règles_chevaux_selle[Aliment],0)),0),0)*TotalPoulainSelle_0_12_mois*NbreJoursNourrirChevauxSelle)</f>
        <v>0</v>
      </c>
      <c r="EZ96" s="460">
        <f t="shared" si="16"/>
        <v>0</v>
      </c>
      <c r="FD96" s="457" t="str">
        <f>FD54</f>
        <v>Avoine</v>
      </c>
      <c r="FE96" s="458">
        <f t="array" ref="FE96">IF(OR(ChoixRationComplèteEtéChevauxTrait=OUI,ChoixRationComplèteEtéChevauxTrait="",AND(ChoixChevauxTraitPréHiver=OUI,ChoixChevauxTraitPréEté=OUI)),0,IFERROR(IF(OR(AND(INDEX(Règles_chevaux_trait[Specificite],MATCH(RationEtéChevauxTrait&amp;$FD96,Règles_chevaux_trait[Ration]&amp;Règles_chevaux_trait[Aliment],0))="s1",IF($FD96=Spécificité1ChevauxTrait,1)),
AND(INDEX(Règles_chevaux_trait[Specificite],MATCH(RationEtéChevauxTrait&amp;$FD96,Règles_chevaux_trait[Ration]&amp;Règles_chevaux_trait[Aliment],0))="s2",IF($FD96=Spécificité2ChevauxTrait,1)),
INDEX(Règles_chevaux_trait[Specificite],MATCH(RationEtéChevauxTrait&amp;$FD96,Règles_chevaux_trait[Ration]&amp;Règles_chevaux_trait[Aliment],0))="c"),
INDEX(Règles_chevaux_trait[Valeur 36 et plus],MATCH(RationEtéChevauxTrait&amp;$FD96,Règles_chevaux_trait[Ration]&amp;Règles_chevaux_trait[Aliment],0)),0),0)*TotalJumentTrait*NbreJoursNourrirChevauxTrait)</f>
        <v>0</v>
      </c>
      <c r="FF96" s="458">
        <f t="array" ref="FF96">IF(OR(ChoixRationComplèteEtéChevauxTrait=OUI,ChoixRationComplèteEtéChevauxTrait="",AND(ChoixChevauxTraitPréHiver=OUI,ChoixChevauxTraitPréEté=OUI)),0,IFERROR(IF(OR(AND(INDEX(Règles_chevaux_trait[Specificite],MATCH(RationEtéChevauxTrait&amp;$FD96,Règles_chevaux_trait[Ration]&amp;Règles_chevaux_trait[Aliment],0))="s1",IF($FD96=Spécificité1ChevauxTrait,1)),
AND(INDEX(Règles_chevaux_trait[Specificite],MATCH(RationEtéChevauxTrait&amp;$FD96,Règles_chevaux_trait[Ration]&amp;Règles_chevaux_trait[Aliment],0))="s2",IF($FD96=Spécificité2ChevauxTrait,1)),
INDEX(Règles_chevaux_trait[Specificite],MATCH(RationEtéChevauxTrait&amp;$FD96,Règles_chevaux_trait[Ration]&amp;Règles_chevaux_trait[Aliment],0))="c"),
INDEX(Règles_chevaux_trait[Valeur 24-36],MATCH(RationEtéChevauxTrait&amp;$FD96,Règles_chevaux_trait[Ration]&amp;Règles_chevaux_trait[Aliment],0)),0),0)*TotalJeuneJumentTrait_24_36_mois*NbreJoursNourrirChevauxTrait)</f>
        <v>0</v>
      </c>
      <c r="FG96" s="458">
        <f t="array" ref="FG96">IF(OR(ChoixRationComplèteEtéChevauxTrait=OUI,ChoixRationComplèteEtéChevauxTrait="",AND(ChoixChevauxTraitPréHiver=OUI,ChoixChevauxTraitPréEté=OUI)),0,IFERROR(IF(OR(AND(INDEX(Règles_chevaux_trait[Specificite],MATCH(RationEtéChevauxTrait&amp;$FD96,Règles_chevaux_trait[Ration]&amp;Règles_chevaux_trait[Aliment],0))="s1",IF($FD96=Spécificité1ChevauxTrait,1)),
AND(INDEX(Règles_chevaux_trait[Specificite],MATCH(RationEtéChevauxTrait&amp;$FD96,Règles_chevaux_trait[Ration]&amp;Règles_chevaux_trait[Aliment],0))="s2",IF($FD96=Spécificité2ChevauxTrait,1)),
INDEX(Règles_chevaux_trait[Specificite],MATCH(RationEtéChevauxTrait&amp;$FD96,Règles_chevaux_trait[Ration]&amp;Règles_chevaux_trait[Aliment],0))="c"),
INDEX(Règles_chevaux_trait[Valeur 12-24],MATCH(RationEtéChevauxTrait&amp;$FD96,Règles_chevaux_trait[Ration]&amp;Règles_chevaux_trait[Aliment],0)),0),0)*TotalJeuneJumentTrait_12_24_mois*NbreJoursNourrirChevauxTrait)</f>
        <v>0</v>
      </c>
      <c r="FH96" s="458">
        <f t="array" ref="FH96">IF(OR(ChoixRationComplèteEtéChevauxTrait=OUI,ChoixRationComplèteEtéChevauxTrait="",AND(ChoixChevauxTraitPréHiver=OUI,ChoixChevauxTraitPréEté=OUI)),0,IFERROR(IF(OR(AND(INDEX(Règles_chevaux_trait[Specificite],MATCH(RationEtéChevauxTrait&amp;$FD96,Règles_chevaux_trait[Ration]&amp;Règles_chevaux_trait[Aliment],0))="s1",IF($FD96=Spécificité1ChevauxTrait,1)),
AND(INDEX(Règles_chevaux_trait[Specificite],MATCH(RationEtéChevauxTrait&amp;$FD96,Règles_chevaux_trait[Ration]&amp;Règles_chevaux_trait[Aliment],0))="s2",IF($FD96=Spécificité2ChevauxTrait,1)),
INDEX(Règles_chevaux_trait[Specificite],MATCH(RationEtéChevauxTrait&amp;$FD96,Règles_chevaux_trait[Ration]&amp;Règles_chevaux_trait[Aliment],0))="c"),
INDEX(Règles_chevaux_trait[Valeur 0-12],MATCH(RationEtéChevauxTrait&amp;$FD96,Règles_chevaux_trait[Ration]&amp;Règles_chevaux_trait[Aliment],0)),0),0)*TotalPoulicheTrait_0_12_mois*NbreJoursNourrirChevauxTrait)</f>
        <v>0</v>
      </c>
      <c r="FI96" s="460">
        <f t="shared" ref="FI96:FI134" si="31">SUM($FE96:$FH96)</f>
        <v>0</v>
      </c>
      <c r="FN96" s="457" t="str">
        <f t="shared" ref="FN96:FN133" si="32">FN54</f>
        <v>Betterave</v>
      </c>
      <c r="FO96" s="458">
        <f t="array" ref="FO96">IF(OR(ChoixRationComplèteEtéPoneys=OUI,ChoixRationComplèteEtéPoneys="",AND(ChoixPoneysPréHiver=OUI,ChoixPoneysPréEté=OUI)),0,IFERROR(IF(OR(AND(INDEX(Règles_poneys[Specificite],MATCH(RationHivernaleAuPréPoneys&amp;$FN96,Règles_poneys[Ration]&amp;Règles_poneys[Aliment],0))="s1",IF($FN96=Spécificité1Poneys,1)),
AND(INDEX(Règles_poneys[Specificite],MATCH(RationHivernaleAuPréPoneys&amp;$FN96,Règles_poneys[Ration]&amp;Règles_poneys[Aliment],0))="s2",IF($FN96=Spécificité2Poneys,1)),
INDEX(Règles_poneys[Specificite],MATCH(RationHivernaleAuPréPoneys&amp;$FN96,Règles_poneys[Ration]&amp;Règles_poneys[Aliment],0))="c"),
INDEX(Règles_poneys[Valeur 36 et plus],MATCH(RationHivernaleAuPréPoneys&amp;$FN96,Règles_poneys[Ration]&amp;Règles_poneys[Aliment],0)),0),0)*SUM(TotalPoneysAdultes)*SUM(AG118:AG142))</f>
        <v>0</v>
      </c>
      <c r="FP96" s="458">
        <f t="array" ref="FP96">IF(OR(ChoixRationComplèteEtéPoneys=OUI,ChoixRationComplèteEtéPoneys="",AND(ChoixPoneysPréHiver=OUI,ChoixPoneysPréEté=OUI)),0,IFERROR(IF(OR(AND(INDEX(Règles_poneys[Specificite],MATCH(RationHivernaleAuPréPoneys&amp;$FN96,Règles_poneys[Ration]&amp;Règles_poneys[Aliment],0))="s1",IF($FN96=Spécificité1Poneys,1)),
AND(INDEX(Règles_poneys[Specificite],MATCH(RationHivernaleAuPréPoneys&amp;$FN96,Règles_poneys[Ration]&amp;Règles_poneys[Aliment],0))="s2",IF($FN96=Spécificité2Poneys,1)),
INDEX(Règles_poneys[Specificite],MATCH(RationHivernaleAuPréPoneys&amp;$FN96,Règles_poneys[Ration]&amp;Règles_poneys[Aliment],0))="c"),
INDEX(Règles_poneys[Valeur 24-36],MATCH(RationHivernaleAuPréPoneys&amp;$FN96,Règles_poneys[Ration]&amp;Règles_poneys[Aliment],0)),0),0)*SUM(TotalPoneys_24_36mois)*SUM(AG118:AG142))</f>
        <v>0</v>
      </c>
      <c r="FQ96" s="458">
        <f t="array" ref="FQ96">IF(OR(ChoixRationComplèteEtéPoneys=OUI,ChoixRationComplèteEtéPoneys="",AND(ChoixPoneysPréHiver=OUI,ChoixPoneysPréEté=OUI)),0,IFERROR(IF(OR(AND(INDEX(Règles_poneys[Specificite],MATCH(RationHivernaleAuPréPoneys&amp;$FN96,Règles_poneys[Ration]&amp;Règles_poneys[Aliment],0))="s1",IF($FN96=Spécificité1Poneys,1)),
AND(INDEX(Règles_poneys[Specificite],MATCH(RationHivernaleAuPréPoneys&amp;$FN96,Règles_poneys[Ration]&amp;Règles_poneys[Aliment],0))="s2",IF($FN96=Spécificité2Poneys,1)),
INDEX(Règles_poneys[Specificite],MATCH(RationHivernaleAuPréPoneys&amp;$FN96,Règles_poneys[Ration]&amp;Règles_poneys[Aliment],0))="c"),
INDEX(Règles_poneys[Valeur 12-24],MATCH(RationHivernaleAuPréPoneys&amp;$FN96,Règles_poneys[Ration]&amp;Règles_poneys[Aliment],0)),0),0)*SUM(TotalPoneys_12_24mois)*SUM(AG118:AG142))</f>
        <v>0</v>
      </c>
      <c r="FR96" s="460">
        <f t="array" ref="FR96">IF(OR(ChoixRationComplèteEtéPoneys=OUI,ChoixRationComplèteEtéPoneys="",AND(ChoixPoneysPréHiver=OUI,ChoixPoneysPréEté=OUI)),0,IFERROR(IF(OR(AND(INDEX(Règles_poneys[Specificite],MATCH(RationHivernaleAuPréPoneys&amp;$FN96,Règles_poneys[Ration]&amp;Règles_poneys[Aliment],0))="s1",IF($FN96=Spécificité1Poneys,1)),
AND(INDEX(Règles_poneys[Specificite],MATCH(RationHivernaleAuPréPoneys&amp;$FN96,Règles_poneys[Ration]&amp;Règles_poneys[Aliment],0))="s2",IF($FN96=Spécificité2Poneys,1)),
INDEX(Règles_poneys[Specificite],MATCH(RationHivernaleAuPréPoneys&amp;$FN96,Règles_poneys[Ration]&amp;Règles_poneys[Aliment],0))="c"),
INDEX(Règles_poneys[Valeur 0-12],MATCH(RationHivernaleAuPréPoneys&amp;$FN96,Règles_poneys[Ration]&amp;Règles_poneys[Aliment],0)),0),0)*SUM(TotalPoulainsPoneys)*SUM(AG118:AG142))</f>
        <v>0</v>
      </c>
      <c r="FS96" s="460">
        <f t="shared" si="29"/>
        <v>0</v>
      </c>
      <c r="FW96" s="443" t="str">
        <f t="shared" si="27"/>
        <v>Colza</v>
      </c>
      <c r="FX96" s="450">
        <f t="array" ref="FX96">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96" s="450">
        <f t="array" ref="FY96">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96" s="450">
        <f t="array" ref="FZ96">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96" s="450">
        <f t="array" ref="GA96">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96" s="451">
        <f>SUM(AlimentsGavageCanards[[#This Row],[Valeur 6 et plus]:[Valeur 0-1]])</f>
        <v>0</v>
      </c>
      <c r="GG96" s="276" t="s">
        <v>955</v>
      </c>
      <c r="GH96" s="276" t="s">
        <v>955</v>
      </c>
      <c r="GI96" s="276" t="s">
        <v>955</v>
      </c>
      <c r="GJ96" s="276" t="s">
        <v>955</v>
      </c>
      <c r="GK96" s="276" t="s">
        <v>955</v>
      </c>
      <c r="GL96" s="276" t="s">
        <v>955</v>
      </c>
      <c r="GM96" s="276" t="s">
        <v>955</v>
      </c>
      <c r="GN96" s="276" t="s">
        <v>955</v>
      </c>
      <c r="GO96" s="276" t="s">
        <v>955</v>
      </c>
      <c r="GP96" s="276" t="s">
        <v>955</v>
      </c>
      <c r="GQ96" s="276" t="s">
        <v>955</v>
      </c>
      <c r="GR96" s="276" t="s">
        <v>955</v>
      </c>
      <c r="GS96" s="276" t="s">
        <v>955</v>
      </c>
      <c r="GT96" s="276" t="s">
        <v>955</v>
      </c>
      <c r="GU96" s="276" t="s">
        <v>955</v>
      </c>
      <c r="GV96" s="276" t="s">
        <v>955</v>
      </c>
      <c r="GY96" s="444" t="str">
        <f>GI3</f>
        <v>herbicide</v>
      </c>
      <c r="GZ96" s="444"/>
      <c r="HA96" s="342"/>
      <c r="HB96" s="342" t="e">
        <f>IF(COUNTIF(TypeArticleDansEntrepôt,GY96)=0,0,SUMIF(TypeArticleDansEntrepôt,GY96,QtéArticleDansEntrepôt)*VLOOKUP(GY96,#REF!,2,FALSE))</f>
        <v>#REF!</v>
      </c>
      <c r="HN96" s="342"/>
      <c r="HO96" s="342" t="s">
        <v>99</v>
      </c>
      <c r="HP96" s="342" t="s">
        <v>417</v>
      </c>
      <c r="HQ96" s="342" t="s">
        <v>126</v>
      </c>
      <c r="HR96" s="342" t="s">
        <v>100</v>
      </c>
      <c r="HS96" s="342" t="s">
        <v>1078</v>
      </c>
      <c r="HT96" s="342" t="s">
        <v>164</v>
      </c>
      <c r="HU96" s="342" t="s">
        <v>102</v>
      </c>
      <c r="HV96" s="342" t="s">
        <v>101</v>
      </c>
      <c r="HW96" s="342" t="s">
        <v>198</v>
      </c>
      <c r="HX96" s="342" t="s">
        <v>199</v>
      </c>
      <c r="HY96" s="342" t="s">
        <v>1082</v>
      </c>
      <c r="HZ96" s="342" t="s">
        <v>1083</v>
      </c>
      <c r="IA96" s="342" t="s">
        <v>20</v>
      </c>
      <c r="IB96" s="342" t="s">
        <v>1079</v>
      </c>
    </row>
    <row r="97" spans="1:236" ht="12.75" customHeight="1" x14ac:dyDescent="0.2">
      <c r="A97" s="373"/>
      <c r="B97" s="380"/>
      <c r="F97" s="280"/>
      <c r="G97" s="323"/>
      <c r="H97" s="321"/>
      <c r="I97" s="323"/>
      <c r="J97" s="321"/>
      <c r="K97" s="321"/>
      <c r="L97" s="280"/>
      <c r="N97" s="277"/>
      <c r="O97" s="385" t="s">
        <v>1001</v>
      </c>
      <c r="P97" s="385" t="e">
        <f>IF(ChoixExpèceAuPré="",0,SUMIF(ChoixEspèceAuPré,Bovins,NbreMâles_12_18MoisAuPréEté))</f>
        <v>#REF!</v>
      </c>
      <c r="Q97" s="385" t="e">
        <f>IF(ChoixExpèceAuPré="",0,SUMIF(ChoixEspèceAuPré,Ovins,NbreMâles_12_18MoisAuPréEté))</f>
        <v>#REF!</v>
      </c>
      <c r="R97" s="385" t="e">
        <f>IF(ChoixExpèceAuPré="",0,SUMIF(ChoixEspèceAuPré,Caprins,NbreMâles_12_18MoisAuPréEté))</f>
        <v>#REF!</v>
      </c>
      <c r="S97" s="385" t="e">
        <f>IF(ChoixExpèceAuPré="",0,SUMIF(ChoixEspèceAuPré,Bisons,NbreMâles_12_18MoisAuPréEté))</f>
        <v>#REF!</v>
      </c>
      <c r="T97" s="385" t="e">
        <f>IF(ChoixExpèceAuPré="",0,SUMIF(ChoixEspèceAuPré,Daims,NbreMâles_12_18MoisAuPréEté))</f>
        <v>#REF!</v>
      </c>
      <c r="U97" s="385" t="e">
        <f>IF(ChoixExpèceAuPré="",0,SUMIF(ChoixEspèceAuPré,ChevauxSelle,NbreMâles_12_18MoisAuPréEté))</f>
        <v>#REF!</v>
      </c>
      <c r="V97" s="385" t="e">
        <f>IF(ChoixExpèceAuPré="",0,SUMIF(ChoixEspèceAuPré,ChevauxTrait,NbreMâles_12_18MoisAuPréEté))</f>
        <v>#REF!</v>
      </c>
      <c r="W97" s="385" t="e">
        <f>IF(ChoixExpèceAuPré="",0,SUMIF(ChoixEspèceAuPré,Poneys,NbreMâles_12_18MoisAuPréEté))</f>
        <v>#REF!</v>
      </c>
      <c r="Y97" s="385" t="s">
        <v>1136</v>
      </c>
      <c r="Z97" s="385">
        <f>IF('coût alimentation'!$B$6=$Y$97,63,0)</f>
        <v>0</v>
      </c>
      <c r="AA97" s="385">
        <f>IF(AND(ChoixBovinsPréEté="OUI",'coût alimentation'!$B$6=$Y$97),35,Z97)</f>
        <v>0</v>
      </c>
      <c r="AB97" s="385">
        <f>IF('coût alimentation'!$B$6=$Y$97,42,0)</f>
        <v>0</v>
      </c>
      <c r="AC97" s="385">
        <f>IF(AND(ChoixCaprinsPréEté="OUI",'coût alimentation'!$B$6=$Y$97),35,Z97)</f>
        <v>0</v>
      </c>
      <c r="AD97" s="385">
        <f>IF(AND(ChoixOvinsPréEté="OUI",'coût alimentation'!$B$6=$Y$97),35,Z97)</f>
        <v>0</v>
      </c>
      <c r="AE97" s="385">
        <f>IF(AND(ChoixChevauxSellePréEté="OUI",'coût alimentation'!$B$6=$Y$97),21,IF(Y97&lt;&gt;'coût alimentation'!$B$6,0,84))</f>
        <v>0</v>
      </c>
      <c r="AF97" s="385">
        <f>IF(AND(ChoixChevauxTraitPréEté="OUI",'coût alimentation'!$B$6=$Y$97),21,IF(Y97&lt;&gt;'coût alimentation'!$B$6,0,84))</f>
        <v>0</v>
      </c>
      <c r="AG97" s="385">
        <f>IF(AND(ChoixPoneysPréEté="OUI",'coût alimentation'!$B$6=$Y$97),21,IF(Y97&lt;&gt;'coût alimentation'!$B$6,0,84))</f>
        <v>0</v>
      </c>
      <c r="BB97" s="387" t="s">
        <v>514</v>
      </c>
      <c r="BC97" s="362" t="s">
        <v>269</v>
      </c>
      <c r="BD97" s="362" t="s">
        <v>886</v>
      </c>
      <c r="BE97" s="388">
        <v>48</v>
      </c>
      <c r="BF97" s="388">
        <v>48</v>
      </c>
      <c r="BG97" s="388">
        <v>32</v>
      </c>
      <c r="BH97" s="388">
        <v>24</v>
      </c>
      <c r="BI97" s="388">
        <v>16</v>
      </c>
      <c r="BJ97" s="388">
        <v>8</v>
      </c>
      <c r="BK97" s="389">
        <v>0</v>
      </c>
      <c r="BL97" s="312"/>
      <c r="BM97" s="350" t="str">
        <f t="shared" si="22"/>
        <v>Pulpe déshydratée de betterave</v>
      </c>
      <c r="BN97" s="350">
        <f t="array" ref="BN97">IF(Ration_hivernale_complète_bisons[somme]&gt;0,0,IFERROR(IF(OR(AND(INDEX(Règles_bison[Specificite],MATCH(ChoixRationBisons&amp;$BM97,Règles_bison[Ration]&amp;Règles_bison[Aliment],0))="s1",IF($BM97=ChoixSpécificité1Bisons,1)),
INDEX(Règles_bison[Specificite],MATCH(ChoixRationBisons&amp;$BM97,Règles_bison[Ration]&amp;Règles_bison[Aliment],0))="c"),
INDEX(Règles_bison[Valeur 36 et plus],MATCH(ChoixRationBisons&amp;$BM97,Règles_bison[Ration]&amp;Règles_bison[Aliment],0)),0),0)*TotalBisonnes*NbreJoursNourrirBisonsDaims)</f>
        <v>0</v>
      </c>
      <c r="BO97" s="350">
        <f t="array" ref="BO97">IF(Ration_hivernale_complète_bisons[somme]&gt;0,0,IFERROR(IF(OR(AND(INDEX(Règles_bison[Specificite],MATCH(ChoixRationBisons&amp;$BM97,Règles_bison[Ration]&amp;Règles_bison[Aliment],0))="s1",IF($BM97=ChoixSpécificité1Bisons,1)),
INDEX(Règles_bison[Specificite],MATCH(ChoixRationBisons&amp;$BM97,Règles_bison[Ration]&amp;Règles_bison[Aliment],0))="c"),
INDEX(Règles_bison[Valeur 24-36],MATCH(ChoixRationBisons&amp;$BM97,Règles_bison[Ration]&amp;Règles_bison[Aliment],0)),0),0)*TotalBisonsFemelles_24_36_mois*NbreJoursNourrirBisonsDaims)</f>
        <v>0</v>
      </c>
      <c r="BP97" s="350">
        <f t="array" ref="BP97">IF(Ration_hivernale_complète_bisons[somme]&gt;0,0,IFERROR(IF(OR(AND(INDEX(Règles_bison[Specificite],MATCH(ChoixRationBisons&amp;$BM97,Règles_bison[Ration]&amp;Règles_bison[Aliment],0))="s1",IF($BM97=ChoixSpécificité1Bisons,1)),
INDEX(Règles_bison[Specificite],MATCH(ChoixRationBisons&amp;$BM97,Règles_bison[Ration]&amp;Règles_bison[Aliment],0))="c"),
INDEX(Règles_bison[Valeur 18-24],MATCH(ChoixRationBisons&amp;$BM97,Règles_bison[Ration]&amp;Règles_bison[Aliment],0)),0),0)*TotalBisonsFemelles_18_24_mois*NbreJoursNourrirBisonsDaims)</f>
        <v>0</v>
      </c>
      <c r="BQ97" s="350">
        <f t="array" ref="BQ97">IF(Ration_hivernale_complète_bisons[somme]&gt;0,0,IFERROR(IF(OR(AND(INDEX(Règles_bison[Specificite],MATCH(ChoixRationBisons&amp;$BM97,Règles_bison[Ration]&amp;Règles_bison[Aliment],0))="s1",IF($BM97=ChoixSpécificité1Bisons,1)),
INDEX(Règles_bison[Specificite],MATCH(ChoixRationBisons&amp;$BM97,Règles_bison[Ration]&amp;Règles_bison[Aliment],0))="c"),
INDEX(Règles_bison[Valeur 12-18],MATCH(ChoixRationBisons&amp;$BM97,Règles_bison[Ration]&amp;Règles_bison[Aliment],0)),0),0)*TotalBisonsFemelles_12_18_mois*NbreJoursNourrirBisonsDaims)</f>
        <v>0</v>
      </c>
      <c r="BR97" s="350">
        <f t="array" ref="BR97">IF(Ration_hivernale_complète_bisons[somme]&gt;0,0,IFERROR(IF(OR(AND(INDEX(Règles_bison[Specificite],MATCH(ChoixRationBisons&amp;$BM97,Règles_bison[Ration]&amp;Règles_bison[Aliment],0))="s1",IF($BM97=ChoixSpécificité1Bisons,1)),
INDEX(Règles_bison[Specificite],MATCH(ChoixRationBisons&amp;$BM97,Règles_bison[Ration]&amp;Règles_bison[Aliment],0))="c"),
INDEX(Règles_bison[Valeur 6-12],MATCH(ChoixRationBisons&amp;$BM97,Règles_bison[Ration]&amp;Règles_bison[Aliment],0)),0),0)*TotalBisonsFemelles_6_12_mois*NbreJoursNourrirBisonsDaims)</f>
        <v>0</v>
      </c>
      <c r="BS97" s="350">
        <f t="array" ref="BS97">IF(Ration_hivernale_complète_bisons[somme]&gt;0,0,IFERROR(IF(OR(AND(INDEX(Règles_bison[Specificite],MATCH(ChoixRationBisons&amp;$BM97,Règles_bison[Ration]&amp;Règles_bison[Aliment],0))="s1",IF($BM97=ChoixSpécificité1Bisons,1)),
INDEX(Règles_bison[Specificite],MATCH(ChoixRationBisons&amp;$BM97,Règles_bison[Ration]&amp;Règles_bison[Aliment],0))="c"),
INDEX(Règles_bison[Valeur 3-6],MATCH(ChoixRationBisons&amp;$BM97,Règles_bison[Ration]&amp;Règles_bison[Aliment],0)),0),0)*TotalBisonsFemelles_3_6_mois*NbreJoursNourrirBisonsDaims)</f>
        <v>0</v>
      </c>
      <c r="BT97" s="350">
        <f t="array" ref="BT97">IF(Ration_hivernale_complète_bisons[somme]&gt;0,0,IFERROR(IF(OR(AND(INDEX(Règles_bison[Specificite],MATCH(ChoixRationBisons&amp;$BM97,Règles_bison[Ration]&amp;Règles_bison[Aliment],0))="s1",IF($BM97=ChoixSpécificité1Bisons,1)),
INDEX(Règles_bison[Specificite],MATCH(ChoixRationBisons&amp;$BM97,Règles_bison[Ration]&amp;Règles_bison[Aliment],0))="c"),
INDEX(Règles_bison[Valeur 0-3],MATCH(ChoixRationBisons&amp;$BM97,Règles_bison[Ration]&amp;Règles_bison[Aliment],0)),0),0)*TotalBisonsFemelles_0_3_mois*NbreJoursNourrirBisonsDaims)</f>
        <v>0</v>
      </c>
      <c r="BU97" s="350">
        <f t="shared" si="21"/>
        <v>0</v>
      </c>
      <c r="BV97" s="282"/>
      <c r="BW97" s="282"/>
      <c r="BX97" s="373" t="s">
        <v>551</v>
      </c>
      <c r="BY97" s="280" t="s">
        <v>518</v>
      </c>
      <c r="BZ97" s="280" t="s">
        <v>886</v>
      </c>
      <c r="CA97" s="280">
        <v>20</v>
      </c>
      <c r="CB97" s="280">
        <v>12</v>
      </c>
      <c r="CC97" s="280">
        <v>8</v>
      </c>
      <c r="CD97" s="410">
        <v>4</v>
      </c>
      <c r="CE97" s="304"/>
      <c r="CF97" s="304"/>
      <c r="CG97" s="304"/>
      <c r="CH97" s="304"/>
      <c r="CI97" s="277"/>
      <c r="CJ97" s="420" t="str">
        <f t="shared" si="25"/>
        <v>concentré jeunes porcins</v>
      </c>
      <c r="CK97" s="384">
        <f t="array" ref="CK9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97" s="384">
        <f t="array" ref="CL9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97" s="384">
        <f t="array" ref="CM9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97" s="384">
        <f t="array" ref="CN9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97" s="384">
        <f t="array" ref="CO9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97" s="426">
        <f>SUM(AlimentsRationPorcinsFemelles[[#This Row],[Valeur 12 et plus]:[Valeur 0-1]])</f>
        <v>0</v>
      </c>
      <c r="CQ97" s="298"/>
      <c r="CS97" s="229" t="s">
        <v>1155</v>
      </c>
      <c r="CT97" s="229"/>
      <c r="CU97" s="229"/>
      <c r="CV97" s="229"/>
      <c r="CW97" s="229"/>
      <c r="CZ97" s="229" t="s">
        <v>1158</v>
      </c>
      <c r="DA97" s="229"/>
      <c r="DB97" s="229"/>
      <c r="DC97" s="229"/>
      <c r="DD97" s="229"/>
      <c r="DF97" s="277"/>
      <c r="DG97" s="384" t="str">
        <f t="shared" si="26"/>
        <v>concentré jeunes bovins</v>
      </c>
      <c r="DH97" s="433">
        <f t="array" ref="DH9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97" s="433">
        <f t="array" ref="DI9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97" s="433">
        <f t="array" ref="DJ9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97" s="437">
        <f>SUM(AlimentsRationPintadesFemelles[[#This Row],[Valeur 6 et plus]:[Valeur 0-1]])</f>
        <v>0</v>
      </c>
      <c r="DN97" s="373" t="s">
        <v>514</v>
      </c>
      <c r="DO97" s="280" t="s">
        <v>168</v>
      </c>
      <c r="DP97" s="280" t="s">
        <v>886</v>
      </c>
      <c r="DQ97" s="310">
        <v>10</v>
      </c>
      <c r="DR97" s="310">
        <v>8</v>
      </c>
      <c r="DS97" s="310">
        <v>6</v>
      </c>
      <c r="DT97" s="439">
        <v>0</v>
      </c>
      <c r="DU97" s="298"/>
      <c r="DV97" s="350" t="str">
        <f t="shared" si="23"/>
        <v>Minéraux + vitamines</v>
      </c>
      <c r="DW97" s="351">
        <f t="array" ref="DW97">SUM((IF(QualitéAlimentsFaonMâle_0_3_mois=BONNE,VLOOKUP("Minéraux + vitamines",AlimentsRationHivernaleDaims,8,FALSE),0)+(IF(QualitéAlimentsFaonFemelle_0_3_mois=BONNE,VLOOKUP("Minéraux + vitamines",AlimentsRationHivernaleDaims,8,FALSE),0)+(IF(QualitéAlimentsFaonMâle_3_6_mois=BONNE,VLOOKUP("Minéraux + vitamines",AlimentsRationHivernaleDaims,7,FALSE),0)+(IF(QualitéAlimentsFaonFemelle_3_6_mois=BONNE,VLOOKUP("Minéraux + vitamines",AlimentsRationHivernaleDaims,7,FALSE),0)+(IF(QualitéAlimentsFaonMâle_6_12_mois=BONNE,VLOOKUP("Minéraux + vitamines",AlimentsRationHivernaleDaims,6,FALSE),0)+(IF(QualitéAlimentsFaonFemelle_6_12_mois=BONNE,VLOOKUP("Minéraux + vitamines",AlimentsRationHivernaleDaims,6,FALSE),0)+(IF(QualitéAlimentsJeuneDaim_12_18_mois=BONNE,VLOOKUP("Minéraux + vitamines",AlimentsRationHivernaleDaims,5,FALSE),0)+(IF(QualitéAlimentsJeuneDaine_12_18_mois=BONNE,VLOOKUP("Minéraux + vitamines",AlimentsRationHivernaleDaims,5,FALSE),0)+(IF(QualitéAlimentsJeuneDaim_18_24_mois=BONNE,VLOOKUP("Minéraux + vitamines",AlimentsRationHivernaleDaims,4,FALSE),0)+(IF(QualitéAlimentsJeuneDaine_18_24_mois=BONNE,VLOOKUP("Minéraux + vitamines",AlimentsRationHivernaleDaims,4,FALSE),0)+(IF(QualitéAlimentsJeuneDaim_24_36_mois=BONNE,VLOOKUP("Minéraux + vitamines",AlimentsRationHivernaleDaims,3,FALSE),0)+(IF(QualitéAlimentsJeuneDaine_24_36_mois=BONNE,VLOOKUP("Minéraux + vitamines",AlimentsRationHivernaleDaims,3,FALSE),0)+(IF(QualitéAlimentsDaim=BONNE,VLOOKUP("Minéraux + vitamines",AlimentsRationHivernaleDaims,2,FALSE),0)+(IF(QualitéAlimentsDaine=BONNE,VLOOKUP("Minéraux + vitamines",AlimentsRationHivernaleDaims,2,FALSE),0))))))))))))))))</f>
        <v>0</v>
      </c>
      <c r="DX97" s="351">
        <f t="array" ref="DX97">SUM((IF(QualitéAlimentsFaonMâle_0_3_mois=MOYENNE,VLOOKUP("Minéraux + vitamines",AlimentsRationHivernaleDaims,8,FALSE),0)+(IF(QualitéAlimentsFaonFemelle_0_3_mois=MOYENNE,VLOOKUP("Minéraux + vitamines",AlimentsRationHivernaleDaims,8,FALSE),0)+(IF(QualitéAlimentsFaonMâle_3_6_mois=MOYENNE,VLOOKUP("Minéraux + vitamines",AlimentsRationHivernaleDaims,7,FALSE),0)+(IF(QualitéAlimentsFaonFemelle_3_6_mois=MOYENNE,VLOOKUP("Minéraux + vitamines",AlimentsRationHivernaleDaims,7,FALSE),0)+(IF(QualitéAlimentsFaonMâle_6_12_mois=MOYENNE,VLOOKUP("Minéraux + vitamines",AlimentsRationHivernaleDaims,6,FALSE),0)+(IF(QualitéAlimentsFaonFemelle_6_12_mois=MOYENNE,VLOOKUP("Minéraux + vitamines",AlimentsRationHivernaleDaims,6,FALSE),0)+(IF(QualitéAlimentsJeuneDaim_12_18_mois=MOYENNE,VLOOKUP("Minéraux + vitamines",AlimentsRationHivernaleDaims,5,FALSE),0)+(IF(QualitéAlimentsJeuneDaine_12_18_mois=MOYENNE,VLOOKUP("Minéraux + vitamines",AlimentsRationHivernaleDaims,5,FALSE),0)+(IF(QualitéAlimentsJeuneDaim_18_24_mois=MOYENNE,VLOOKUP("Minéraux + vitamines",AlimentsRationHivernaleDaims,4,FALSE),0)+(IF(QualitéAlimentsJeuneDaine_18_24_mois=MOYENNE,VLOOKUP("Minéraux + vitamines",AlimentsRationHivernaleDaims,4,FALSE),0)+(IF(QualitéAlimentsJeuneDaim_24_36_mois=MOYENNE,VLOOKUP("Minéraux + vitamines",AlimentsRationHivernaleDaims,3,FALSE),0)+(IF(QualitéAlimentsJeuneDaine_24_36_mois=MOYENNE,VLOOKUP("Minéraux + vitamines",AlimentsRationHivernaleDaims,3,FALSE),0)+(IF(QualitéAlimentsDaim=MOYENNE,VLOOKUP("Minéraux + vitamines",AlimentsRationHivernaleDaims,2,FALSE),0)+(IF(QualitéAlimentsDaine=MOYENNE,VLOOKUP("Minéraux + vitamines",AlimentsRationHivernaleDaims,2,FALSE),0))))))))))))))))</f>
        <v>0</v>
      </c>
      <c r="DY97" s="351">
        <f t="array" ref="DY97">SUM((IF(QualitéAlimentsFaonMâle_0_3_mois=MAUVAISE,VLOOKUP("Minéraux + vitamines",AlimentsRationHivernaleDaims,8,FALSE),0)+(IF(QualitéAlimentsFaonFemelle_0_3_mois=MAUVAISE,VLOOKUP("Minéraux + vitamines",AlimentsRationHivernaleDaims,8,FALSE),0)+(IF(QualitéAlimentsFaonMâle_3_6_mois=MAUVAISE,VLOOKUP("Minéraux + vitamines",AlimentsRationHivernaleDaims,7,FALSE),0)+(IF(QualitéAlimentsFaonFemelle_3_6_mois=MAUVAISE,VLOOKUP("Minéraux + vitamines",AlimentsRationHivernaleDaims,7,FALSE),0)+(IF(QualitéAlimentsFaonMâle_6_12_mois=MAUVAISE,VLOOKUP("Minéraux + vitamines",AlimentsRationHivernaleDaims,6,FALSE),0)+(IF(QualitéAlimentsFaonFemelle_6_12_mois=MAUVAISE,VLOOKUP("Minéraux + vitamines",AlimentsRationHivernaleDaims,6,FALSE),0)+(IF(QualitéAlimentsJeuneDaim_12_18_mois=MAUVAISE,VLOOKUP("Minéraux + vitamines",AlimentsRationHivernaleDaims,5,FALSE),0)+(IF(QualitéAlimentsJeuneDaine_12_18_mois=MAUVAISE,VLOOKUP("Minéraux + vitamines",AlimentsRationHivernaleDaims,5,FALSE),0)+(IF(QualitéAlimentsJeuneDaim_18_24_mois=MAUVAISE,VLOOKUP("Minéraux + vitamines",AlimentsRationHivernaleDaims,4,FALSE),0)+(IF(QualitéAlimentsJeuneDaine_18_24_mois=MAUVAISE,VLOOKUP("Minéraux + vitamines",AlimentsRationHivernaleDaims,4,FALSE),0)+(IF(QualitéAlimentsJeuneDaim_24_36_mois=MAUVAISE,VLOOKUP("Minéraux + vitamines",AlimentsRationHivernaleDaims,3,FALSE),0)+(IF(QualitéAlimentsJeuneDaine_24_36_mois=MAUVAISE,VLOOKUP("Minéraux + vitamines",AlimentsRationHivernaleDaims,3,FALSE),0)+(IF(QualitéAlimentsDaim=MAUVAISE,VLOOKUP("Minéraux + vitamines",AlimentsRationHivernaleDaims,2,FALSE),0)+(IF(QualitéAlimentsDaine=MAUVAISE,VLOOKUP("Minéraux + vitamines",AlimentsRationHivernaleDaims,2,FALSE),0))))))))))))))))</f>
        <v>0</v>
      </c>
      <c r="DZ97" s="298"/>
      <c r="EA97" s="298"/>
      <c r="EB97" s="298"/>
      <c r="EC97" s="298"/>
      <c r="ED97" s="298"/>
      <c r="EE97" s="298"/>
      <c r="EG97" s="420" t="str">
        <f t="shared" si="30"/>
        <v>Blé</v>
      </c>
      <c r="EH97" s="433">
        <f t="array" ref="EH9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97" s="433">
        <f t="array" ref="EI9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97" s="433">
        <f t="array" ref="EJ9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97" s="434">
        <f>SUM(AlimentsRationOiesFemelles[[#This Row],[Valeur 6 et plus]:[Valeur 0-3]])</f>
        <v>0</v>
      </c>
      <c r="EN97" s="443" t="str">
        <f t="shared" si="28"/>
        <v>Bouchons luzerne</v>
      </c>
      <c r="EO97" s="450">
        <f t="array" ref="EO97">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97" s="450">
        <f t="array" ref="EP97">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97" s="450">
        <f t="array" ref="EQ97">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97" s="451">
        <f>SUM(Ration_canards_Femelles[[#This Row],[Valeur 6 et plus]:[Valeur 0-3]])</f>
        <v>0</v>
      </c>
      <c r="EU97" s="457"/>
      <c r="EV97" s="458">
        <f t="array" ref="EV97">IF(OR(ChoixRationComplèteEtéChevauxSelle=OUI,ChoixRationComplèteEtéChevauxSelle="",AND(ChoixChevauxSellePréHiver=OUI,ChoixChevauxSellePréEté=OUI)),0,IFERROR(IF(OR(AND(INDEX(Règles_chevaux_selle[Specificite],MATCH(RationEtéChevauxSelle&amp;$EU97,Règles_chevaux_selle[Ration]&amp;Règles_chevaux_selle[Aliment],0))="s1",IF($EU97=Spécificité1ChevauxSelle,1)),
AND(INDEX(Règles_chevaux_selle[Specificite],MATCH(RationEtéChevauxSelle&amp;$EU97,Règles_chevaux_selle[Ration]&amp;Règles_chevaux_selle[Aliment],0))="s2",IF($EU97=Spécificité2ChevauxSelle,1)),
INDEX(Règles_chevaux_selle[Specificite],MATCH(RationEtéChevauxSelle&amp;$EU97,Règles_chevaux_selle[Ration]&amp;Règles_chevaux_selle[Aliment],0))="c"),
INDEX(Règles_chevaux_selle[Valeur 36 et plus],MATCH(RationEtéChevauxSelle&amp;$EU97,Règles_chevaux_selle[Ration]&amp;Règles_chevaux_selle[Aliment],0)),0),0)*TotalEtalonSelle*NbreJoursNourrirChevauxSelle)</f>
        <v>0</v>
      </c>
      <c r="EW97" s="458">
        <f t="array" ref="EW97">IF(OR(ChoixRationComplèteEtéChevauxSelle=OUI,ChoixRationComplèteEtéChevauxSelle="",AND(ChoixChevauxSellePréHiver=OUI,ChoixChevauxSellePréEté=OUI)),0,IFERROR(IF(OR(AND(INDEX(Règles_chevaux_selle[Specificite],MATCH(RationEtéChevauxSelle&amp;$EU97,Règles_chevaux_selle[Ration]&amp;Règles_chevaux_selle[Aliment],0))="s1",IF($EU97=Spécificité1ChevauxSelle,1)),
AND(INDEX(Règles_chevaux_selle[Specificite],MATCH(RationEtéChevauxSelle&amp;$EU97,Règles_chevaux_selle[Ration]&amp;Règles_chevaux_selle[Aliment],0))="s2",IF($EU97=Spécificité2ChevauxSelle,1)),
INDEX(Règles_chevaux_selle[Specificite],MATCH(RationEtéChevauxSelle&amp;$EU97,Règles_chevaux_selle[Ration]&amp;Règles_chevaux_selle[Aliment],0))="c"),
INDEX(Règles_chevaux_selle[Valeur 24-36],MATCH(RationEtéChevauxSelle&amp;$EU97,Règles_chevaux_selle[Ration]&amp;Règles_chevaux_selle[Aliment],0)),0),0)*TotalJeuneEtalonSelle_24_36_mois*NbreJoursNourrirChevauxSelle)</f>
        <v>0</v>
      </c>
      <c r="EX97" s="458">
        <f t="array" ref="EX97">IF(OR(ChoixRationComplèteEtéChevauxSelle=OUI,ChoixRationComplèteEtéChevauxSelle="",AND(ChoixChevauxSellePréHiver=OUI,ChoixChevauxSellePréEté=OUI)),0,IFERROR(IF(OR(AND(INDEX(Règles_chevaux_selle[Specificite],MATCH(RationEtéChevauxSelle&amp;$EU97,Règles_chevaux_selle[Ration]&amp;Règles_chevaux_selle[Aliment],0))="s1",IF($EU97=Spécificité1ChevauxSelle,1)),
AND(INDEX(Règles_chevaux_selle[Specificite],MATCH(RationEtéChevauxSelle&amp;$EU97,Règles_chevaux_selle[Ration]&amp;Règles_chevaux_selle[Aliment],0))="s2",IF($EU97=Spécificité2ChevauxSelle,1)),
INDEX(Règles_chevaux_selle[Specificite],MATCH(RationEtéChevauxSelle&amp;$EU97,Règles_chevaux_selle[Ration]&amp;Règles_chevaux_selle[Aliment],0))="c"),
INDEX(Règles_chevaux_selle[Valeur 12-24],MATCH(RationEtéChevauxSelle&amp;$EU97,Règles_chevaux_selle[Ration]&amp;Règles_chevaux_selle[Aliment],0)),0),0)*TotalJeuneEtalonSelle_12_24_mois*NbreJoursNourrirChevauxSelle)</f>
        <v>0</v>
      </c>
      <c r="EY97" s="460">
        <f t="array" ref="EY97">IF(OR(ChoixRationComplèteEtéChevauxSelle=OUI,ChoixRationComplèteEtéChevauxSelle="",AND(ChoixChevauxSellePréHiver=OUI,ChoixChevauxSellePréEté=OUI)),0,IFERROR(IF(OR(AND(INDEX(Règles_chevaux_selle[Specificite],MATCH(RationEtéChevauxSelle&amp;$EU97,Règles_chevaux_selle[Ration]&amp;Règles_chevaux_selle[Aliment],0))="s1",IF($EU97=Spécificité1ChevauxSelle,1)),
AND(INDEX(Règles_chevaux_selle[Specificite],MATCH(RationEtéChevauxSelle&amp;$EU97,Règles_chevaux_selle[Ration]&amp;Règles_chevaux_selle[Aliment],0))="s2",IF($EU97=Spécificité2ChevauxSelle,1)),
INDEX(Règles_chevaux_selle[Specificite],MATCH(RationEtéChevauxSelle&amp;$EU97,Règles_chevaux_selle[Ration]&amp;Règles_chevaux_selle[Aliment],0))="c"),
INDEX(Règles_chevaux_selle[Valeur 0-12],MATCH(RationEtéChevauxSelle&amp;$EU97,Règles_chevaux_selle[Ration]&amp;Règles_chevaux_selle[Aliment],0)),0),0)*TotalPoulainSelle_0_12_mois*NbreJoursNourrirChevauxSelle)</f>
        <v>0</v>
      </c>
      <c r="EZ97" s="460">
        <f t="shared" si="16"/>
        <v>0</v>
      </c>
      <c r="FD97" s="457" t="str">
        <f t="shared" ref="FD97:FD134" si="33">FD55</f>
        <v>Betterave</v>
      </c>
      <c r="FE97" s="458">
        <f t="array" ref="FE97">IF(OR(ChoixRationComplèteEtéChevauxTrait=OUI,ChoixRationComplèteEtéChevauxTrait="",AND(ChoixChevauxTraitPréHiver=OUI,ChoixChevauxTraitPréEté=OUI)),0,IFERROR(IF(OR(AND(INDEX(Règles_chevaux_trait[Specificite],MATCH(RationEtéChevauxTrait&amp;$FD97,Règles_chevaux_trait[Ration]&amp;Règles_chevaux_trait[Aliment],0))="s1",IF($FD97=Spécificité1ChevauxTrait,1)),
AND(INDEX(Règles_chevaux_trait[Specificite],MATCH(RationEtéChevauxTrait&amp;$FD97,Règles_chevaux_trait[Ration]&amp;Règles_chevaux_trait[Aliment],0))="s2",IF($FD97=Spécificité2ChevauxTrait,1)),
INDEX(Règles_chevaux_trait[Specificite],MATCH(RationEtéChevauxTrait&amp;$FD97,Règles_chevaux_trait[Ration]&amp;Règles_chevaux_trait[Aliment],0))="c"),
INDEX(Règles_chevaux_trait[Valeur 36 et plus],MATCH(RationEtéChevauxTrait&amp;$FD97,Règles_chevaux_trait[Ration]&amp;Règles_chevaux_trait[Aliment],0)),0),0)*TotalJumentTrait*NbreJoursNourrirChevauxTrait)</f>
        <v>0</v>
      </c>
      <c r="FF97" s="458">
        <f t="array" ref="FF97">IF(OR(ChoixRationComplèteEtéChevauxTrait=OUI,ChoixRationComplèteEtéChevauxTrait="",AND(ChoixChevauxTraitPréHiver=OUI,ChoixChevauxTraitPréEté=OUI)),0,IFERROR(IF(OR(AND(INDEX(Règles_chevaux_trait[Specificite],MATCH(RationEtéChevauxTrait&amp;$FD97,Règles_chevaux_trait[Ration]&amp;Règles_chevaux_trait[Aliment],0))="s1",IF($FD97=Spécificité1ChevauxTrait,1)),
AND(INDEX(Règles_chevaux_trait[Specificite],MATCH(RationEtéChevauxTrait&amp;$FD97,Règles_chevaux_trait[Ration]&amp;Règles_chevaux_trait[Aliment],0))="s2",IF($FD97=Spécificité2ChevauxTrait,1)),
INDEX(Règles_chevaux_trait[Specificite],MATCH(RationEtéChevauxTrait&amp;$FD97,Règles_chevaux_trait[Ration]&amp;Règles_chevaux_trait[Aliment],0))="c"),
INDEX(Règles_chevaux_trait[Valeur 24-36],MATCH(RationEtéChevauxTrait&amp;$FD97,Règles_chevaux_trait[Ration]&amp;Règles_chevaux_trait[Aliment],0)),0),0)*TotalJeuneJumentTrait_24_36_mois*NbreJoursNourrirChevauxTrait)</f>
        <v>0</v>
      </c>
      <c r="FG97" s="458">
        <f t="array" ref="FG97">IF(OR(ChoixRationComplèteEtéChevauxTrait=OUI,ChoixRationComplèteEtéChevauxTrait="",AND(ChoixChevauxTraitPréHiver=OUI,ChoixChevauxTraitPréEté=OUI)),0,IFERROR(IF(OR(AND(INDEX(Règles_chevaux_trait[Specificite],MATCH(RationEtéChevauxTrait&amp;$FD97,Règles_chevaux_trait[Ration]&amp;Règles_chevaux_trait[Aliment],0))="s1",IF($FD97=Spécificité1ChevauxTrait,1)),
AND(INDEX(Règles_chevaux_trait[Specificite],MATCH(RationEtéChevauxTrait&amp;$FD97,Règles_chevaux_trait[Ration]&amp;Règles_chevaux_trait[Aliment],0))="s2",IF($FD97=Spécificité2ChevauxTrait,1)),
INDEX(Règles_chevaux_trait[Specificite],MATCH(RationEtéChevauxTrait&amp;$FD97,Règles_chevaux_trait[Ration]&amp;Règles_chevaux_trait[Aliment],0))="c"),
INDEX(Règles_chevaux_trait[Valeur 12-24],MATCH(RationEtéChevauxTrait&amp;$FD97,Règles_chevaux_trait[Ration]&amp;Règles_chevaux_trait[Aliment],0)),0),0)*TotalJeuneJumentTrait_12_24_mois*NbreJoursNourrirChevauxTrait)</f>
        <v>0</v>
      </c>
      <c r="FH97" s="460">
        <f t="array" ref="FH97">IF(OR(ChoixRationComplèteEtéChevauxTrait=OUI,ChoixRationComplèteEtéChevauxTrait="",AND(ChoixChevauxTraitPréHiver=OUI,ChoixChevauxTraitPréEté=OUI)),0,IFERROR(IF(OR(AND(INDEX(Règles_chevaux_trait[Specificite],MATCH(RationEtéChevauxTrait&amp;$FD97,Règles_chevaux_trait[Ration]&amp;Règles_chevaux_trait[Aliment],0))="s1",IF($FD97=Spécificité1ChevauxTrait,1)),
AND(INDEX(Règles_chevaux_trait[Specificite],MATCH(RationEtéChevauxTrait&amp;$FD97,Règles_chevaux_trait[Ration]&amp;Règles_chevaux_trait[Aliment],0))="s2",IF($FD97=Spécificité2ChevauxTrait,1)),
INDEX(Règles_chevaux_trait[Specificite],MATCH(RationEtéChevauxTrait&amp;$FD97,Règles_chevaux_trait[Ration]&amp;Règles_chevaux_trait[Aliment],0))="c"),
INDEX(Règles_chevaux_trait[Valeur 0-12],MATCH(RationEtéChevauxTrait&amp;$FD97,Règles_chevaux_trait[Ration]&amp;Règles_chevaux_trait[Aliment],0)),0),0)*TotalPoulicheTrait_0_12_mois*NbreJoursNourrirChevauxTrait)</f>
        <v>0</v>
      </c>
      <c r="FI97" s="460">
        <f t="shared" si="31"/>
        <v>0</v>
      </c>
      <c r="FN97" s="457" t="str">
        <f t="shared" si="32"/>
        <v>Blé</v>
      </c>
      <c r="FO97" s="458">
        <f t="array" ref="FO97">IF(OR(ChoixRationComplèteEtéPoneys=OUI,ChoixRationComplèteEtéPoneys="",AND(ChoixPoneysPréHiver=OUI,ChoixPoneysPréEté=OUI)),0,IFERROR(IF(OR(AND(INDEX(Règles_poneys[Specificite],MATCH(RationHivernaleAuPréPoneys&amp;$FN97,Règles_poneys[Ration]&amp;Règles_poneys[Aliment],0))="s1",IF($FN97=Spécificité1Poneys,1)),
AND(INDEX(Règles_poneys[Specificite],MATCH(RationHivernaleAuPréPoneys&amp;$FN97,Règles_poneys[Ration]&amp;Règles_poneys[Aliment],0))="s2",IF($FN97=Spécificité2Poneys,1)),
INDEX(Règles_poneys[Specificite],MATCH(RationHivernaleAuPréPoneys&amp;$FN97,Règles_poneys[Ration]&amp;Règles_poneys[Aliment],0))="c"),
INDEX(Règles_poneys[Valeur 36 et plus],MATCH(RationHivernaleAuPréPoneys&amp;$FN97,Règles_poneys[Ration]&amp;Règles_poneys[Aliment],0)),0),0)*SUM(TotalPoneysAdultes)*SUM(AG118:AG142))</f>
        <v>0</v>
      </c>
      <c r="FP97" s="458">
        <f t="array" ref="FP97">IF(OR(ChoixRationComplèteEtéPoneys=OUI,ChoixRationComplèteEtéPoneys="",AND(ChoixPoneysPréHiver=OUI,ChoixPoneysPréEté=OUI)),0,IFERROR(IF(OR(AND(INDEX(Règles_poneys[Specificite],MATCH(RationHivernaleAuPréPoneys&amp;$FN97,Règles_poneys[Ration]&amp;Règles_poneys[Aliment],0))="s1",IF($FN97=Spécificité1Poneys,1)),
AND(INDEX(Règles_poneys[Specificite],MATCH(RationHivernaleAuPréPoneys&amp;$FN97,Règles_poneys[Ration]&amp;Règles_poneys[Aliment],0))="s2",IF($FN97=Spécificité2Poneys,1)),
INDEX(Règles_poneys[Specificite],MATCH(RationHivernaleAuPréPoneys&amp;$FN97,Règles_poneys[Ration]&amp;Règles_poneys[Aliment],0))="c"),
INDEX(Règles_poneys[Valeur 24-36],MATCH(RationHivernaleAuPréPoneys&amp;$FN97,Règles_poneys[Ration]&amp;Règles_poneys[Aliment],0)),0),0)*SUM(TotalPoneys_24_36mois)*SUM(AG118:AG142))</f>
        <v>0</v>
      </c>
      <c r="FQ97" s="458">
        <f t="array" ref="FQ97">IF(OR(ChoixRationComplèteEtéPoneys=OUI,ChoixRationComplèteEtéPoneys="",AND(ChoixPoneysPréHiver=OUI,ChoixPoneysPréEté=OUI)),0,IFERROR(IF(OR(AND(INDEX(Règles_poneys[Specificite],MATCH(RationHivernaleAuPréPoneys&amp;$FN97,Règles_poneys[Ration]&amp;Règles_poneys[Aliment],0))="s1",IF($FN97=Spécificité1Poneys,1)),
AND(INDEX(Règles_poneys[Specificite],MATCH(RationHivernaleAuPréPoneys&amp;$FN97,Règles_poneys[Ration]&amp;Règles_poneys[Aliment],0))="s2",IF($FN97=Spécificité2Poneys,1)),
INDEX(Règles_poneys[Specificite],MATCH(RationHivernaleAuPréPoneys&amp;$FN97,Règles_poneys[Ration]&amp;Règles_poneys[Aliment],0))="c"),
INDEX(Règles_poneys[Valeur 12-24],MATCH(RationHivernaleAuPréPoneys&amp;$FN97,Règles_poneys[Ration]&amp;Règles_poneys[Aliment],0)),0),0)*SUM(TotalPoneys_12_24mois)*SUM(AG118:AG142))</f>
        <v>0</v>
      </c>
      <c r="FR97" s="460">
        <f t="array" ref="FR97">IF(OR(ChoixRationComplèteEtéPoneys=OUI,ChoixRationComplèteEtéPoneys="",AND(ChoixPoneysPréHiver=OUI,ChoixPoneysPréEté=OUI)),0,IFERROR(IF(OR(AND(INDEX(Règles_poneys[Specificite],MATCH(RationHivernaleAuPréPoneys&amp;$FN97,Règles_poneys[Ration]&amp;Règles_poneys[Aliment],0))="s1",IF($FN97=Spécificité1Poneys,1)),
AND(INDEX(Règles_poneys[Specificite],MATCH(RationHivernaleAuPréPoneys&amp;$FN97,Règles_poneys[Ration]&amp;Règles_poneys[Aliment],0))="s2",IF($FN97=Spécificité2Poneys,1)),
INDEX(Règles_poneys[Specificite],MATCH(RationHivernaleAuPréPoneys&amp;$FN97,Règles_poneys[Ration]&amp;Règles_poneys[Aliment],0))="c"),
INDEX(Règles_poneys[Valeur 0-12],MATCH(RationHivernaleAuPréPoneys&amp;$FN97,Règles_poneys[Ration]&amp;Règles_poneys[Aliment],0)),0),0)*SUM(TotalPoulainsPoneys)*SUM(AG118:AG142))</f>
        <v>0</v>
      </c>
      <c r="FS97" s="460">
        <f t="shared" si="29"/>
        <v>0</v>
      </c>
      <c r="FT97" s="298"/>
      <c r="FW97" s="443" t="str">
        <f t="shared" si="27"/>
        <v>concentré jeunes bovins</v>
      </c>
      <c r="FX97" s="450">
        <f t="array" ref="FX97">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97" s="450">
        <f t="array" ref="FY97">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97" s="450">
        <f t="array" ref="FZ97">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97" s="450">
        <f t="array" ref="GA97">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97" s="451">
        <f>SUM(AlimentsGavageCanards[[#This Row],[Valeur 6 et plus]:[Valeur 0-1]])</f>
        <v>0</v>
      </c>
      <c r="GG97" s="276" t="s">
        <v>955</v>
      </c>
      <c r="GH97" s="276" t="s">
        <v>955</v>
      </c>
      <c r="GI97" s="276" t="s">
        <v>955</v>
      </c>
      <c r="GJ97" s="276" t="s">
        <v>955</v>
      </c>
      <c r="GK97" s="276" t="s">
        <v>955</v>
      </c>
      <c r="GL97" s="276" t="s">
        <v>955</v>
      </c>
      <c r="GM97" s="276" t="s">
        <v>955</v>
      </c>
      <c r="GN97" s="276" t="s">
        <v>955</v>
      </c>
      <c r="GO97" s="276" t="s">
        <v>955</v>
      </c>
      <c r="GP97" s="276" t="s">
        <v>955</v>
      </c>
      <c r="GQ97" s="276" t="s">
        <v>955</v>
      </c>
      <c r="GR97" s="276" t="s">
        <v>955</v>
      </c>
      <c r="GS97" s="276" t="s">
        <v>955</v>
      </c>
      <c r="GT97" s="276" t="s">
        <v>955</v>
      </c>
      <c r="GU97" s="276" t="s">
        <v>955</v>
      </c>
      <c r="GV97" s="276" t="s">
        <v>955</v>
      </c>
      <c r="GY97" s="444" t="str">
        <f t="shared" ref="GY97:GY98" si="34">GI4</f>
        <v>fongicide</v>
      </c>
      <c r="GZ97" s="444"/>
      <c r="HA97" s="342"/>
      <c r="HB97" s="342" t="e">
        <f>IF(COUNTIF(TypeArticleDansEntrepôt,GY97)=0,0,SUMIF(TypeArticleDansEntrepôt,GY97,QtéArticleDansEntrepôt)*VLOOKUP(GY97,#REF!,2,FALSE))</f>
        <v>#REF!</v>
      </c>
      <c r="HN97" s="342" t="s">
        <v>1064</v>
      </c>
      <c r="HO97" s="512" t="e">
        <f>IF(SUM((VLOOKUP(BDD!BB214,BDD!BB194:BJ232,9,FALSE)+VLOOKUP(BDD!BB304,BDD!BB284:BJ323,9,FALSE))/1000/SUM(AA76:AA100)*IF(#REF!=OUI,35,84)-(#REF!))&lt;0,0,SUM((VLOOKUP(BDD!BB214,BDD!BB194:BJ232,9,FALSE)+VLOOKUP(BDD!BB304,BDD!BB284:BJ323,9,FALSE))/1000/SUM(AA76:AA100)*IF(#REF!=OUI,35,84)-(#REF!)))</f>
        <v>#REF!</v>
      </c>
      <c r="HP97" s="512" t="e">
        <f>IF(SUM(VLOOKUP(BDD!BM56,BDD!BM36:BU69,9,FALSE)/1000*42-(#REF!))&lt;0,0,SUM(VLOOKUP(BDD!BM56,BDD!BM36:BU69,9,FALSE)/1000*42-(#REF!)))</f>
        <v>#REF!</v>
      </c>
      <c r="HQ97" s="512" t="e">
        <f>IF(SUM(VLOOKUP(BDD!CJ70,BDD!CJ50:CP84,7,FALSE)/1000/SUM(Z76:Z100)*84-(#REF!))&lt;0,0,SUM(VLOOKUP(BDD!CJ70,BDD!CJ50:CP84,7,FALSE)/1000/SUM(Z76:Z100)*84-(#REF!)))</f>
        <v>#REF!</v>
      </c>
      <c r="HR97" s="512" t="e">
        <f>IF(SUM(VLOOKUP(BDD!BX126,BDD!BX106:CC140,6,FALSE)/1000/SUM(AC76:AC100)*IF(#REF!=OUI,49,84)-(#REF!))&lt;0,0,SUM(VLOOKUP(BDD!BX126,BDD!BX106:CC140,6,FALSE)/1000/SUM(AC76:AC100)*IF(#REF!=OUI,49,84)-(#REF!)))</f>
        <v>#REF!</v>
      </c>
      <c r="HS97" s="512">
        <v>0</v>
      </c>
      <c r="HT97" s="512">
        <v>0</v>
      </c>
      <c r="HU97" s="512" t="e">
        <f>IF(SUM(VLOOKUP(BDD!CS77,BDD!CS57:CW95,5,FALSE)/1000/SUM(Z76:Z100)*84-(#REF!))&lt;0,0,SUM(VLOOKUP(BDD!CS77,BDD!CS57:CW95,5,FALSE)/1000/SUM(Z76:Z100)*84-(#REF!)))</f>
        <v>#REF!</v>
      </c>
      <c r="HV97" s="512" t="e">
        <f>IF(SUM(VLOOKUP(BDD!DN170,BDD!DN150:DS188,6,FALSE)+VLOOKUP(BDD!DN258,BDD!DN238:DS276,6,FALSE))/1000/SUM(AD76:AD100)*IF(#REF!=OUI,35,84)-(#REF!)&lt;0,0,(SUM(VLOOKUP(BDD!DN170,BDD!DN150:DS188,6,FALSE)+VLOOKUP(BDD!DN258,BDD!DN238:DS276,6,FALSE))/1000/SUM(AD76:AD100)*IF(#REF!=OUI,35,84)-(#REF!)))</f>
        <v>#REF!</v>
      </c>
      <c r="HW97" s="512">
        <v>0</v>
      </c>
      <c r="HX97" s="512">
        <v>0</v>
      </c>
      <c r="HY97" s="512" t="e">
        <f>IF(SUM(VLOOKUP(BDD!EU80,BDD!EU60:EZ98,6,FALSE)+VLOOKUP(BDD!EU168,BDD!EU148:EZ186,6,FALSE))/1000/SUM(AE76:AE100)*IF(#REF!=OUI,21,84)-(#REF!)&lt;0,0,SUM(VLOOKUP(BDD!EU80,BDD!EU60:EZ98,6,FALSE)+VLOOKUP(BDD!EU168,BDD!EU148:EZ186,6,FALSE))/1000/SUM(AE76:AE100)*IF(#REF!=OUI,21,84)-(#REF!))</f>
        <v>#REF!</v>
      </c>
      <c r="HZ97" s="512" t="e">
        <f>IF(SUM(VLOOKUP(BDD!FD74,BDD!FD54:FI92,6,FALSE)+VLOOKUP(BDD!FD162,BDD!FD142:FI180,6,FALSE))/1000/SUM(AE76:AE100)*IF(#REF!=OUI,21,84)-(#REF!)&lt;0,0,SUM(VLOOKUP(BDD!FD74,BDD!FD54:FI92,6,FALSE)+VLOOKUP(BDD!FD162,BDD!FD142:FI180,6,FALSE))/1000/SUM(AF76:AF100)*IF(#REF!=OUI,21,84)-(#REF!))</f>
        <v>#REF!</v>
      </c>
      <c r="IA97" s="512" t="e">
        <f>IF(SUM(VLOOKUP(BDD!FN73,BDD!FN53:FS91,6,FALSE)+VLOOKUP(BDD!FN161,BDD!FN141:FS179,6,FALSE))/1000/SUM(AE76:AE100)*IF(#REF!=OUI,21,84)-(#REF!)&lt;0,0,SUM(VLOOKUP(BDD!FN73,BDD!FN53:FS91,6,FALSE)+VLOOKUP(BDD!FN161,BDD!FN141:FS179,6,FALSE))/1000/SUM(AE76:AE100)*IF(#REF!=OUI,21,84)-(#REF!))</f>
        <v>#REF!</v>
      </c>
      <c r="IB97" s="512" t="e">
        <f>SUM(HO97:IA98)</f>
        <v>#REF!</v>
      </c>
    </row>
    <row r="98" spans="1:236" ht="12.75" customHeight="1" x14ac:dyDescent="0.2">
      <c r="A98" s="373"/>
      <c r="B98" s="380"/>
      <c r="F98" s="280"/>
      <c r="G98" s="321"/>
      <c r="H98" s="280"/>
      <c r="I98" s="321"/>
      <c r="J98" s="321"/>
      <c r="K98" s="280"/>
      <c r="L98" s="280"/>
      <c r="N98" s="277"/>
      <c r="O98" s="385" t="s">
        <v>1002</v>
      </c>
      <c r="P98" s="385" t="e">
        <f>IF(ChoixExpèceAuPré="",0,SUMIF(ChoixEspèceAuPré,Bovins,NbreFemelles_12_18MoisAuPréEté))</f>
        <v>#REF!</v>
      </c>
      <c r="Q98" s="385" t="e">
        <f>IF(ChoixExpèceAuPré="",0,SUMIF(ChoixEspèceAuPré,Ovins,NbreFemelles_12_18MoisAuPréEté))</f>
        <v>#REF!</v>
      </c>
      <c r="R98" s="385" t="e">
        <f>IF(ChoixExpèceAuPré="",0,SUMIF(ChoixEspèceAuPré,Caprins,NbreFemelles_12_18MoisAuPréEté))</f>
        <v>#REF!</v>
      </c>
      <c r="S98" s="385" t="e">
        <f>IF(ChoixExpèceAuPré="",0,SUMIF(ChoixEspèceAuPré,Bisons,NbreFemelles_12_18MoisAuPréEté))</f>
        <v>#REF!</v>
      </c>
      <c r="T98" s="385" t="e">
        <f>IF(ChoixExpèceAuPré="",0,SUMIF(ChoixEspèceAuPré,Daims,NbreFemelles_12_18MoisAuPréEté))</f>
        <v>#REF!</v>
      </c>
      <c r="U98" s="385" t="e">
        <f>IF(ChoixExpèceAuPré="",0,SUMIF(ChoixEspèceAuPré,ChevauxSelle,NbreFemelles_12_18MoisAuPréEté))</f>
        <v>#REF!</v>
      </c>
      <c r="V98" s="385" t="e">
        <f>IF(ChoixExpèceAuPré="",0,SUMIF(ChoixEspèceAuPré,ChevauxTrait,NbreFemelles_12_18MoisAuPréEté))</f>
        <v>#REF!</v>
      </c>
      <c r="W98" s="385" t="e">
        <f>IF(ChoixExpèceAuPré="",0,SUMIF(ChoixEspèceAuPré,Poneys,NbreFemelles_12_18MoisAuPréEté))</f>
        <v>#REF!</v>
      </c>
      <c r="Y98" s="385" t="s">
        <v>1137</v>
      </c>
      <c r="Z98" s="385">
        <f>IF('coût alimentation'!$B$6=$Y$98,70,0)</f>
        <v>0</v>
      </c>
      <c r="AA98" s="385">
        <f>IF(AND(ChoixBovinsPréEté="OUI",'coût alimentation'!$B$6=$Y$98),35,Z98)</f>
        <v>0</v>
      </c>
      <c r="AB98" s="385">
        <f>IF('coût alimentation'!$B$6=$Y$98,42,0)</f>
        <v>0</v>
      </c>
      <c r="AC98" s="385">
        <f>IF(AND(ChoixCaprinsPréEté="OUI",'coût alimentation'!$B$6=$Y$98),35,Z98)</f>
        <v>0</v>
      </c>
      <c r="AD98" s="385">
        <f>IF(AND(ChoixOvinsPréEté="OUI",'coût alimentation'!$B$6=$Y$98),35,Z98)</f>
        <v>0</v>
      </c>
      <c r="AE98" s="385">
        <f>IF(AND(ChoixChevauxSellePréEté="OUI",'coût alimentation'!$B$6=$Y$98),21,IF(Y98&lt;&gt;'coût alimentation'!$B$6,0,84))</f>
        <v>0</v>
      </c>
      <c r="AF98" s="385">
        <f>IF(AND(ChoixChevauxTraitPréEté="OUI",'coût alimentation'!$B$6=$Y$98),21,IF(Y98&lt;&gt;'coût alimentation'!$B$6,0,84))</f>
        <v>0</v>
      </c>
      <c r="AG98" s="385">
        <f>IF(AND(ChoixPoneysPréEté="OUI",'coût alimentation'!$B$6=$Y$98),21,IF(Y98&lt;&gt;'coût alimentation'!$B$6,0,84))</f>
        <v>0</v>
      </c>
      <c r="BB98" s="387" t="s">
        <v>514</v>
      </c>
      <c r="BC98" s="362" t="s">
        <v>513</v>
      </c>
      <c r="BD98" s="362" t="s">
        <v>886</v>
      </c>
      <c r="BE98" s="388">
        <v>28</v>
      </c>
      <c r="BF98" s="388">
        <v>24</v>
      </c>
      <c r="BG98" s="388">
        <v>16</v>
      </c>
      <c r="BH98" s="388">
        <v>12</v>
      </c>
      <c r="BI98" s="388">
        <v>8</v>
      </c>
      <c r="BJ98" s="388">
        <v>4</v>
      </c>
      <c r="BK98" s="389">
        <v>0</v>
      </c>
      <c r="BL98" s="312"/>
      <c r="BM98" s="350" t="str">
        <f t="shared" si="22"/>
        <v>Ration complète</v>
      </c>
      <c r="BN98" s="350">
        <f t="array" ref="BN98">IF(Ration_hivernale_complète_bisons[somme]&gt;0,0,IFERROR(IF(OR(AND(INDEX(Règles_bison[Specificite],MATCH(ChoixRationBisons&amp;$BM98,Règles_bison[Ration]&amp;Règles_bison[Aliment],0))="s1",IF($BM98=ChoixSpécificité1Bisons,1)),
INDEX(Règles_bison[Specificite],MATCH(ChoixRationBisons&amp;$BM98,Règles_bison[Ration]&amp;Règles_bison[Aliment],0))="c"),
INDEX(Règles_bison[Valeur 36 et plus],MATCH(ChoixRationBisons&amp;$BM98,Règles_bison[Ration]&amp;Règles_bison[Aliment],0)),0),0)*TotalBisonnes*NbreJoursNourrirBisonsDaims)</f>
        <v>0</v>
      </c>
      <c r="BO98" s="350">
        <f t="array" ref="BO98">IF(Ration_hivernale_complète_bisons[somme]&gt;0,0,IFERROR(IF(OR(AND(INDEX(Règles_bison[Specificite],MATCH(ChoixRationBisons&amp;$BM98,Règles_bison[Ration]&amp;Règles_bison[Aliment],0))="s1",IF($BM98=ChoixSpécificité1Bisons,1)),
INDEX(Règles_bison[Specificite],MATCH(ChoixRationBisons&amp;$BM98,Règles_bison[Ration]&amp;Règles_bison[Aliment],0))="c"),
INDEX(Règles_bison[Valeur 24-36],MATCH(ChoixRationBisons&amp;$BM98,Règles_bison[Ration]&amp;Règles_bison[Aliment],0)),0),0)*TotalBisonsFemelles_24_36_mois*NbreJoursNourrirBisonsDaims)</f>
        <v>0</v>
      </c>
      <c r="BP98" s="350">
        <f t="array" ref="BP98">IF(Ration_hivernale_complète_bisons[somme]&gt;0,0,IFERROR(IF(OR(AND(INDEX(Règles_bison[Specificite],MATCH(ChoixRationBisons&amp;$BM98,Règles_bison[Ration]&amp;Règles_bison[Aliment],0))="s1",IF($BM98=ChoixSpécificité1Bisons,1)),
INDEX(Règles_bison[Specificite],MATCH(ChoixRationBisons&amp;$BM98,Règles_bison[Ration]&amp;Règles_bison[Aliment],0))="c"),
INDEX(Règles_bison[Valeur 18-24],MATCH(ChoixRationBisons&amp;$BM98,Règles_bison[Ration]&amp;Règles_bison[Aliment],0)),0),0)*TotalBisonsFemelles_18_24_mois*NbreJoursNourrirBisonsDaims)</f>
        <v>0</v>
      </c>
      <c r="BQ98" s="350">
        <f t="array" ref="BQ98">IF(Ration_hivernale_complète_bisons[somme]&gt;0,0,IFERROR(IF(OR(AND(INDEX(Règles_bison[Specificite],MATCH(ChoixRationBisons&amp;$BM98,Règles_bison[Ration]&amp;Règles_bison[Aliment],0))="s1",IF($BM98=ChoixSpécificité1Bisons,1)),
INDEX(Règles_bison[Specificite],MATCH(ChoixRationBisons&amp;$BM98,Règles_bison[Ration]&amp;Règles_bison[Aliment],0))="c"),
INDEX(Règles_bison[Valeur 12-18],MATCH(ChoixRationBisons&amp;$BM98,Règles_bison[Ration]&amp;Règles_bison[Aliment],0)),0),0)*TotalBisonsFemelles_12_18_mois*NbreJoursNourrirBisonsDaims)</f>
        <v>0</v>
      </c>
      <c r="BR98" s="350">
        <f t="array" ref="BR98">IF(Ration_hivernale_complète_bisons[somme]&gt;0,0,IFERROR(IF(OR(AND(INDEX(Règles_bison[Specificite],MATCH(ChoixRationBisons&amp;$BM98,Règles_bison[Ration]&amp;Règles_bison[Aliment],0))="s1",IF($BM98=ChoixSpécificité1Bisons,1)),
INDEX(Règles_bison[Specificite],MATCH(ChoixRationBisons&amp;$BM98,Règles_bison[Ration]&amp;Règles_bison[Aliment],0))="c"),
INDEX(Règles_bison[Valeur 6-12],MATCH(ChoixRationBisons&amp;$BM98,Règles_bison[Ration]&amp;Règles_bison[Aliment],0)),0),0)*TotalBisonsFemelles_6_12_mois*NbreJoursNourrirBisonsDaims)</f>
        <v>0</v>
      </c>
      <c r="BS98" s="350">
        <f t="array" ref="BS98">IF(Ration_hivernale_complète_bisons[somme]&gt;0,0,IFERROR(IF(OR(AND(INDEX(Règles_bison[Specificite],MATCH(ChoixRationBisons&amp;$BM98,Règles_bison[Ration]&amp;Règles_bison[Aliment],0))="s1",IF($BM98=ChoixSpécificité1Bisons,1)),
INDEX(Règles_bison[Specificite],MATCH(ChoixRationBisons&amp;$BM98,Règles_bison[Ration]&amp;Règles_bison[Aliment],0))="c"),
INDEX(Règles_bison[Valeur 3-6],MATCH(ChoixRationBisons&amp;$BM98,Règles_bison[Ration]&amp;Règles_bison[Aliment],0)),0),0)*TotalBisonsFemelles_3_6_mois*NbreJoursNourrirBisonsDaims)</f>
        <v>0</v>
      </c>
      <c r="BT98" s="350">
        <f t="array" ref="BT98">IF(Ration_hivernale_complète_bisons[somme]&gt;0,0,IFERROR(IF(OR(AND(INDEX(Règles_bison[Specificite],MATCH(ChoixRationBisons&amp;$BM98,Règles_bison[Ration]&amp;Règles_bison[Aliment],0))="s1",IF($BM98=ChoixSpécificité1Bisons,1)),
INDEX(Règles_bison[Specificite],MATCH(ChoixRationBisons&amp;$BM98,Règles_bison[Ration]&amp;Règles_bison[Aliment],0))="c"),
INDEX(Règles_bison[Valeur 0-3],MATCH(ChoixRationBisons&amp;$BM98,Règles_bison[Ration]&amp;Règles_bison[Aliment],0)),0),0)*TotalBisonsFemelles_0_3_mois*NbreJoursNourrirBisonsDaims)</f>
        <v>0</v>
      </c>
      <c r="BU98" s="350">
        <f t="shared" si="21"/>
        <v>0</v>
      </c>
      <c r="BV98" s="282"/>
      <c r="BW98" s="282"/>
      <c r="BX98" s="373"/>
      <c r="BY98" s="280"/>
      <c r="BZ98" s="280"/>
      <c r="CA98" s="280"/>
      <c r="CB98" s="280"/>
      <c r="CC98" s="280"/>
      <c r="CD98" s="410"/>
      <c r="CE98" s="304"/>
      <c r="CF98" s="304"/>
      <c r="CG98" s="304"/>
      <c r="CH98" s="304"/>
      <c r="CI98" s="277"/>
      <c r="CJ98" s="420" t="str">
        <f t="shared" si="25"/>
        <v>Ensilage d'herbe</v>
      </c>
      <c r="CK98" s="384">
        <f t="array" ref="CK9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98" s="384">
        <f t="array" ref="CL9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98" s="384">
        <f t="array" ref="CM9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98" s="384">
        <f t="array" ref="CN9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98" s="384">
        <f t="array" ref="CO9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98" s="426">
        <f>SUM(AlimentsRationPorcinsFemelles[[#This Row],[Valeur 12 et plus]:[Valeur 0-1]])</f>
        <v>0</v>
      </c>
      <c r="CQ98" s="298"/>
      <c r="CS98" s="394" t="s">
        <v>910</v>
      </c>
      <c r="CT98" s="395" t="s">
        <v>924</v>
      </c>
      <c r="CU98" s="395" t="s">
        <v>917</v>
      </c>
      <c r="CV98" s="395" t="s">
        <v>918</v>
      </c>
      <c r="CW98" s="396" t="s">
        <v>903</v>
      </c>
      <c r="CZ98" s="394" t="s">
        <v>910</v>
      </c>
      <c r="DA98" s="395" t="s">
        <v>929</v>
      </c>
      <c r="DB98" s="395" t="s">
        <v>930</v>
      </c>
      <c r="DC98" s="395" t="s">
        <v>918</v>
      </c>
      <c r="DD98" s="396" t="s">
        <v>903</v>
      </c>
      <c r="DF98" s="277"/>
      <c r="DG98" s="384" t="str">
        <f t="shared" si="26"/>
        <v>concentré jeunes lapins</v>
      </c>
      <c r="DH98" s="433">
        <f t="array" ref="DH9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98" s="433">
        <f t="array" ref="DI9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98" s="433">
        <f t="array" ref="DJ9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98" s="437">
        <f>SUM(AlimentsRationPintadesFemelles[[#This Row],[Valeur 6 et plus]:[Valeur 0-1]])</f>
        <v>0</v>
      </c>
      <c r="DN98" s="373" t="s">
        <v>514</v>
      </c>
      <c r="DO98" s="280" t="s">
        <v>269</v>
      </c>
      <c r="DP98" s="280" t="s">
        <v>886</v>
      </c>
      <c r="DQ98" s="310">
        <v>8</v>
      </c>
      <c r="DR98" s="310">
        <v>6</v>
      </c>
      <c r="DS98" s="310">
        <v>4</v>
      </c>
      <c r="DT98" s="439">
        <v>0</v>
      </c>
      <c r="DU98" s="298"/>
      <c r="DV98" s="350" t="str">
        <f t="shared" si="23"/>
        <v>Orge</v>
      </c>
      <c r="DW98" s="351">
        <f t="array" ref="DW98">SUM((IF(QualitéAlimentsFaonMâle_0_3_mois=BONNE,VLOOKUP("Orge",AlimentsRationHivernaleDaims,8,FALSE),0)+(IF(QualitéAlimentsFaonFemelle_0_3_mois=BONNE,VLOOKUP("Orge",AlimentsRationHivernaleDaims,8,FALSE),0)+(IF(QualitéAlimentsFaonMâle_3_6_mois=BONNE,VLOOKUP("Orge",AlimentsRationHivernaleDaims,7,FALSE),0)+(IF(QualitéAlimentsFaonFemelle_3_6_mois=BONNE,VLOOKUP("Orge",AlimentsRationHivernaleDaims,7,FALSE),0)+(IF(QualitéAlimentsFaonMâle_6_12_mois=BONNE,VLOOKUP("Orge",AlimentsRationHivernaleDaims,6,FALSE),0)+(IF(QualitéAlimentsFaonFemelle_6_12_mois=BONNE,VLOOKUP("Orge",AlimentsRationHivernaleDaims,6,FALSE),0)+(IF(QualitéAlimentsJeuneDaim_12_18_mois=BONNE,VLOOKUP("Orge",AlimentsRationHivernaleDaims,5,FALSE),0)+(IF(QualitéAlimentsJeuneDaine_12_18_mois=BONNE,VLOOKUP("Orge",AlimentsRationHivernaleDaims,5,FALSE),0)+(IF(QualitéAlimentsJeuneDaim_18_24_mois=BONNE,VLOOKUP("Orge",AlimentsRationHivernaleDaims,4,FALSE),0)+(IF(QualitéAlimentsJeuneDaine_18_24_mois=BONNE,VLOOKUP("Orge",AlimentsRationHivernaleDaims,4,FALSE),0)+(IF(QualitéAlimentsJeuneDaim_24_36_mois=BONNE,VLOOKUP("Orge",AlimentsRationHivernaleDaims,3,FALSE),0)+(IF(QualitéAlimentsJeuneDaine_24_36_mois=BONNE,VLOOKUP("Orge",AlimentsRationHivernaleDaims,3,FALSE),0)+(IF(QualitéAlimentsDaim=BONNE,VLOOKUP("Orge",AlimentsRationHivernaleDaims,2,FALSE),0)+(IF(QualitéAlimentsDaine=BONNE,VLOOKUP("Orge",AlimentsRationHivernaleDaims,2,FALSE),0))))))))))))))))</f>
        <v>0</v>
      </c>
      <c r="DX98" s="351">
        <f t="array" ref="DX98">SUM((IF(QualitéAlimentsFaonMâle_0_3_mois=MOYENNE,VLOOKUP("Orge",AlimentsRationHivernaleDaims,8,FALSE),0)+(IF(QualitéAlimentsFaonFemelle_0_3_mois=MOYENNE,VLOOKUP("Orge",AlimentsRationHivernaleDaims,8,FALSE),0)+(IF(QualitéAlimentsFaonMâle_3_6_mois=MOYENNE,VLOOKUP("Orge",AlimentsRationHivernaleDaims,7,FALSE),0)+(IF(QualitéAlimentsFaonFemelle_3_6_mois=MOYENNE,VLOOKUP("Orge",AlimentsRationHivernaleDaims,7,FALSE),0)+(IF(QualitéAlimentsFaonMâle_6_12_mois=MOYENNE,VLOOKUP("Orge",AlimentsRationHivernaleDaims,6,FALSE),0)+(IF(QualitéAlimentsFaonFemelle_6_12_mois=MOYENNE,VLOOKUP("Orge",AlimentsRationHivernaleDaims,6,FALSE),0)+(IF(QualitéAlimentsJeuneDaim_12_18_mois=MOYENNE,VLOOKUP("Orge",AlimentsRationHivernaleDaims,5,FALSE),0)+(IF(QualitéAlimentsJeuneDaine_12_18_mois=MOYENNE,VLOOKUP("Orge",AlimentsRationHivernaleDaims,5,FALSE),0)+(IF(QualitéAlimentsJeuneDaim_18_24_mois=MOYENNE,VLOOKUP("Orge",AlimentsRationHivernaleDaims,4,FALSE),0)+(IF(QualitéAlimentsJeuneDaine_18_24_mois=MOYENNE,VLOOKUP("Orge",AlimentsRationHivernaleDaims,4,FALSE),0)+(IF(QualitéAlimentsJeuneDaim_24_36_mois=MOYENNE,VLOOKUP("Orge",AlimentsRationHivernaleDaims,3,FALSE),0)+(IF(QualitéAlimentsJeuneDaine_24_36_mois=MOYENNE,VLOOKUP("Orge",AlimentsRationHivernaleDaims,3,FALSE),0)+(IF(QualitéAlimentsDaim=MOYENNE,VLOOKUP("Orge",AlimentsRationHivernaleDaims,2,FALSE),0)+(IF(QualitéAlimentsDaine=MOYENNE,VLOOKUP("Orge",AlimentsRationHivernaleDaims,2,FALSE),0))))))))))))))))</f>
        <v>0</v>
      </c>
      <c r="DY98" s="351">
        <f t="array" ref="DY98">SUM((IF(QualitéAlimentsFaonMâle_0_3_mois=MAUVAISE,VLOOKUP("Orge",AlimentsRationHivernaleDaims,8,FALSE),0)+(IF(QualitéAlimentsFaonFemelle_0_3_mois=MAUVAISE,VLOOKUP("Orge",AlimentsRationHivernaleDaims,8,FALSE),0)+(IF(QualitéAlimentsFaonMâle_3_6_mois=MAUVAISE,VLOOKUP("Orge",AlimentsRationHivernaleDaims,7,FALSE),0)+(IF(QualitéAlimentsFaonFemelle_3_6_mois=MAUVAISE,VLOOKUP("Orge",AlimentsRationHivernaleDaims,7,FALSE),0)+(IF(QualitéAlimentsFaonMâle_6_12_mois=MAUVAISE,VLOOKUP("Orge",AlimentsRationHivernaleDaims,6,FALSE),0)+(IF(QualitéAlimentsFaonFemelle_6_12_mois=MAUVAISE,VLOOKUP("Orge",AlimentsRationHivernaleDaims,6,FALSE),0)+(IF(QualitéAlimentsJeuneDaim_12_18_mois=MAUVAISE,VLOOKUP("Orge",AlimentsRationHivernaleDaims,5,FALSE),0)+(IF(QualitéAlimentsJeuneDaine_12_18_mois=MAUVAISE,VLOOKUP("Orge",AlimentsRationHivernaleDaims,5,FALSE),0)+(IF(QualitéAlimentsJeuneDaim_18_24_mois=MAUVAISE,VLOOKUP("Orge",AlimentsRationHivernaleDaims,4,FALSE),0)+(IF(QualitéAlimentsJeuneDaine_18_24_mois=MAUVAISE,VLOOKUP("Orge",AlimentsRationHivernaleDaims,4,FALSE),0)+(IF(QualitéAlimentsJeuneDaim_24_36_mois=MAUVAISE,VLOOKUP("Orge",AlimentsRationHivernaleDaims,3,FALSE),0)+(IF(QualitéAlimentsJeuneDaine_24_36_mois=MAUVAISE,VLOOKUP("Orge",AlimentsRationHivernaleDaims,3,FALSE),0)+(IF(QualitéAlimentsDaim=MAUVAISE,VLOOKUP("Orge",AlimentsRationHivernaleDaims,2,FALSE),0)+(IF(QualitéAlimentsDaine=MAUVAISE,VLOOKUP("Orge",AlimentsRationHivernaleDaims,2,FALSE),0))))))))))))))))</f>
        <v>0</v>
      </c>
      <c r="DZ98" s="298"/>
      <c r="EA98" s="298"/>
      <c r="EB98" s="298"/>
      <c r="EC98" s="298"/>
      <c r="ED98" s="298"/>
      <c r="EE98" s="298"/>
      <c r="EG98" s="420" t="str">
        <f t="shared" si="30"/>
        <v>Bouchons luzerne</v>
      </c>
      <c r="EH98" s="433">
        <f t="array" ref="EH9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98" s="433">
        <f t="array" ref="EI9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98" s="433">
        <f t="array" ref="EJ9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98" s="434">
        <f>SUM(AlimentsRationOiesFemelles[[#This Row],[Valeur 6 et plus]:[Valeur 0-3]])</f>
        <v>0</v>
      </c>
      <c r="EN98" s="443" t="str">
        <f t="shared" si="28"/>
        <v>Chanvre</v>
      </c>
      <c r="EO98" s="450">
        <f t="array" ref="EO98">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98" s="450">
        <f t="array" ref="EP98">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98" s="450">
        <f t="array" ref="EQ98">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98" s="451">
        <f>SUM(Ration_canards_Femelles[[#This Row],[Valeur 6 et plus]:[Valeur 0-3]])</f>
        <v>0</v>
      </c>
      <c r="EU98" s="457"/>
      <c r="EV98" s="458">
        <f t="array" ref="EV98">IF(OR(ChoixRationComplèteEtéChevauxSelle=OUI,ChoixRationComplèteEtéChevauxSelle="",AND(ChoixChevauxSellePréHiver=OUI,ChoixChevauxSellePréEté=OUI)),0,IFERROR(IF(OR(AND(INDEX(Règles_chevaux_selle[Specificite],MATCH(RationEtéChevauxSelle&amp;$EU98,Règles_chevaux_selle[Ration]&amp;Règles_chevaux_selle[Aliment],0))="s1",IF($EU98=Spécificité1ChevauxSelle,1)),
AND(INDEX(Règles_chevaux_selle[Specificite],MATCH(RationEtéChevauxSelle&amp;$EU98,Règles_chevaux_selle[Ration]&amp;Règles_chevaux_selle[Aliment],0))="s2",IF($EU98=Spécificité2ChevauxSelle,1)),
INDEX(Règles_chevaux_selle[Specificite],MATCH(RationEtéChevauxSelle&amp;$EU98,Règles_chevaux_selle[Ration]&amp;Règles_chevaux_selle[Aliment],0))="c"),
INDEX(Règles_chevaux_selle[Valeur 36 et plus],MATCH(RationEtéChevauxSelle&amp;$EU98,Règles_chevaux_selle[Ration]&amp;Règles_chevaux_selle[Aliment],0)),0),0)*TotalEtalonSelle*NbreJoursNourrirChevauxSelle)</f>
        <v>0</v>
      </c>
      <c r="EW98" s="458">
        <f t="array" ref="EW98">IF(OR(ChoixRationComplèteEtéChevauxSelle=OUI,ChoixRationComplèteEtéChevauxSelle="",AND(ChoixChevauxSellePréHiver=OUI,ChoixChevauxSellePréEté=OUI)),0,IFERROR(IF(OR(AND(INDEX(Règles_chevaux_selle[Specificite],MATCH(RationEtéChevauxSelle&amp;$EU98,Règles_chevaux_selle[Ration]&amp;Règles_chevaux_selle[Aliment],0))="s1",IF($EU98=Spécificité1ChevauxSelle,1)),
AND(INDEX(Règles_chevaux_selle[Specificite],MATCH(RationEtéChevauxSelle&amp;$EU98,Règles_chevaux_selle[Ration]&amp;Règles_chevaux_selle[Aliment],0))="s2",IF($EU98=Spécificité2ChevauxSelle,1)),
INDEX(Règles_chevaux_selle[Specificite],MATCH(RationEtéChevauxSelle&amp;$EU98,Règles_chevaux_selle[Ration]&amp;Règles_chevaux_selle[Aliment],0))="c"),
INDEX(Règles_chevaux_selle[Valeur 24-36],MATCH(RationEtéChevauxSelle&amp;$EU98,Règles_chevaux_selle[Ration]&amp;Règles_chevaux_selle[Aliment],0)),0),0)*TotalJeuneEtalonSelle_24_36_mois*NbreJoursNourrirChevauxSelle)</f>
        <v>0</v>
      </c>
      <c r="EX98" s="458">
        <f t="array" ref="EX98">IF(OR(ChoixRationComplèteEtéChevauxSelle=OUI,ChoixRationComplèteEtéChevauxSelle="",AND(ChoixChevauxSellePréHiver=OUI,ChoixChevauxSellePréEté=OUI)),0,IFERROR(IF(OR(AND(INDEX(Règles_chevaux_selle[Specificite],MATCH(RationEtéChevauxSelle&amp;$EU98,Règles_chevaux_selle[Ration]&amp;Règles_chevaux_selle[Aliment],0))="s1",IF($EU98=Spécificité1ChevauxSelle,1)),
AND(INDEX(Règles_chevaux_selle[Specificite],MATCH(RationEtéChevauxSelle&amp;$EU98,Règles_chevaux_selle[Ration]&amp;Règles_chevaux_selle[Aliment],0))="s2",IF($EU98=Spécificité2ChevauxSelle,1)),
INDEX(Règles_chevaux_selle[Specificite],MATCH(RationEtéChevauxSelle&amp;$EU98,Règles_chevaux_selle[Ration]&amp;Règles_chevaux_selle[Aliment],0))="c"),
INDEX(Règles_chevaux_selle[Valeur 12-24],MATCH(RationEtéChevauxSelle&amp;$EU98,Règles_chevaux_selle[Ration]&amp;Règles_chevaux_selle[Aliment],0)),0),0)*TotalJeuneEtalonSelle_12_24_mois*NbreJoursNourrirChevauxSelle)</f>
        <v>0</v>
      </c>
      <c r="EY98" s="460">
        <f t="array" ref="EY98">IF(OR(ChoixRationComplèteEtéChevauxSelle=OUI,ChoixRationComplèteEtéChevauxSelle="",AND(ChoixChevauxSellePréHiver=OUI,ChoixChevauxSellePréEté=OUI)),0,IFERROR(IF(OR(AND(INDEX(Règles_chevaux_selle[Specificite],MATCH(RationEtéChevauxSelle&amp;$EU98,Règles_chevaux_selle[Ration]&amp;Règles_chevaux_selle[Aliment],0))="s1",IF($EU98=Spécificité1ChevauxSelle,1)),
AND(INDEX(Règles_chevaux_selle[Specificite],MATCH(RationEtéChevauxSelle&amp;$EU98,Règles_chevaux_selle[Ration]&amp;Règles_chevaux_selle[Aliment],0))="s2",IF($EU98=Spécificité2ChevauxSelle,1)),
INDEX(Règles_chevaux_selle[Specificite],MATCH(RationEtéChevauxSelle&amp;$EU98,Règles_chevaux_selle[Ration]&amp;Règles_chevaux_selle[Aliment],0))="c"),
INDEX(Règles_chevaux_selle[Valeur 0-12],MATCH(RationEtéChevauxSelle&amp;$EU98,Règles_chevaux_selle[Ration]&amp;Règles_chevaux_selle[Aliment],0)),0),0)*TotalPoulainSelle_0_12_mois*NbreJoursNourrirChevauxSelle)</f>
        <v>0</v>
      </c>
      <c r="EZ98" s="460">
        <f t="shared" si="16"/>
        <v>0</v>
      </c>
      <c r="FD98" s="457" t="str">
        <f t="shared" si="33"/>
        <v>Blé</v>
      </c>
      <c r="FE98" s="458">
        <f t="array" ref="FE98">IF(OR(ChoixRationComplèteEtéChevauxTrait=OUI,ChoixRationComplèteEtéChevauxTrait="",AND(ChoixChevauxTraitPréHiver=OUI,ChoixChevauxTraitPréEté=OUI)),0,IFERROR(IF(OR(AND(INDEX(Règles_chevaux_trait[Specificite],MATCH(RationEtéChevauxTrait&amp;$FD98,Règles_chevaux_trait[Ration]&amp;Règles_chevaux_trait[Aliment],0))="s1",IF($FD98=Spécificité1ChevauxTrait,1)),
AND(INDEX(Règles_chevaux_trait[Specificite],MATCH(RationEtéChevauxTrait&amp;$FD98,Règles_chevaux_trait[Ration]&amp;Règles_chevaux_trait[Aliment],0))="s2",IF($FD98=Spécificité2ChevauxTrait,1)),
INDEX(Règles_chevaux_trait[Specificite],MATCH(RationEtéChevauxTrait&amp;$FD98,Règles_chevaux_trait[Ration]&amp;Règles_chevaux_trait[Aliment],0))="c"),
INDEX(Règles_chevaux_trait[Valeur 36 et plus],MATCH(RationEtéChevauxTrait&amp;$FD98,Règles_chevaux_trait[Ration]&amp;Règles_chevaux_trait[Aliment],0)),0),0)*TotalJumentTrait*NbreJoursNourrirChevauxTrait)</f>
        <v>0</v>
      </c>
      <c r="FF98" s="458">
        <f t="array" ref="FF98">IF(OR(ChoixRationComplèteEtéChevauxTrait=OUI,ChoixRationComplèteEtéChevauxTrait="",AND(ChoixChevauxTraitPréHiver=OUI,ChoixChevauxTraitPréEté=OUI)),0,IFERROR(IF(OR(AND(INDEX(Règles_chevaux_trait[Specificite],MATCH(RationEtéChevauxTrait&amp;$FD98,Règles_chevaux_trait[Ration]&amp;Règles_chevaux_trait[Aliment],0))="s1",IF($FD98=Spécificité1ChevauxTrait,1)),
AND(INDEX(Règles_chevaux_trait[Specificite],MATCH(RationEtéChevauxTrait&amp;$FD98,Règles_chevaux_trait[Ration]&amp;Règles_chevaux_trait[Aliment],0))="s2",IF($FD98=Spécificité2ChevauxTrait,1)),
INDEX(Règles_chevaux_trait[Specificite],MATCH(RationEtéChevauxTrait&amp;$FD98,Règles_chevaux_trait[Ration]&amp;Règles_chevaux_trait[Aliment],0))="c"),
INDEX(Règles_chevaux_trait[Valeur 24-36],MATCH(RationEtéChevauxTrait&amp;$FD98,Règles_chevaux_trait[Ration]&amp;Règles_chevaux_trait[Aliment],0)),0),0)*TotalJeuneJumentTrait_24_36_mois*NbreJoursNourrirChevauxTrait)</f>
        <v>0</v>
      </c>
      <c r="FG98" s="458">
        <f t="array" ref="FG98">IF(OR(ChoixRationComplèteEtéChevauxTrait=OUI,ChoixRationComplèteEtéChevauxTrait="",AND(ChoixChevauxTraitPréHiver=OUI,ChoixChevauxTraitPréEté=OUI)),0,IFERROR(IF(OR(AND(INDEX(Règles_chevaux_trait[Specificite],MATCH(RationEtéChevauxTrait&amp;$FD98,Règles_chevaux_trait[Ration]&amp;Règles_chevaux_trait[Aliment],0))="s1",IF($FD98=Spécificité1ChevauxTrait,1)),
AND(INDEX(Règles_chevaux_trait[Specificite],MATCH(RationEtéChevauxTrait&amp;$FD98,Règles_chevaux_trait[Ration]&amp;Règles_chevaux_trait[Aliment],0))="s2",IF($FD98=Spécificité2ChevauxTrait,1)),
INDEX(Règles_chevaux_trait[Specificite],MATCH(RationEtéChevauxTrait&amp;$FD98,Règles_chevaux_trait[Ration]&amp;Règles_chevaux_trait[Aliment],0))="c"),
INDEX(Règles_chevaux_trait[Valeur 12-24],MATCH(RationEtéChevauxTrait&amp;$FD98,Règles_chevaux_trait[Ration]&amp;Règles_chevaux_trait[Aliment],0)),0),0)*TotalJeuneJumentTrait_12_24_mois*NbreJoursNourrirChevauxTrait)</f>
        <v>0</v>
      </c>
      <c r="FH98" s="460">
        <f t="array" ref="FH98">IF(OR(ChoixRationComplèteEtéChevauxTrait=OUI,ChoixRationComplèteEtéChevauxTrait="",AND(ChoixChevauxTraitPréHiver=OUI,ChoixChevauxTraitPréEté=OUI)),0,IFERROR(IF(OR(AND(INDEX(Règles_chevaux_trait[Specificite],MATCH(RationEtéChevauxTrait&amp;$FD98,Règles_chevaux_trait[Ration]&amp;Règles_chevaux_trait[Aliment],0))="s1",IF($FD98=Spécificité1ChevauxTrait,1)),
AND(INDEX(Règles_chevaux_trait[Specificite],MATCH(RationEtéChevauxTrait&amp;$FD98,Règles_chevaux_trait[Ration]&amp;Règles_chevaux_trait[Aliment],0))="s2",IF($FD98=Spécificité2ChevauxTrait,1)),
INDEX(Règles_chevaux_trait[Specificite],MATCH(RationEtéChevauxTrait&amp;$FD98,Règles_chevaux_trait[Ration]&amp;Règles_chevaux_trait[Aliment],0))="c"),
INDEX(Règles_chevaux_trait[Valeur 0-12],MATCH(RationEtéChevauxTrait&amp;$FD98,Règles_chevaux_trait[Ration]&amp;Règles_chevaux_trait[Aliment],0)),0),0)*TotalPoulicheTrait_0_12_mois*NbreJoursNourrirChevauxTrait)</f>
        <v>0</v>
      </c>
      <c r="FI98" s="460">
        <f t="shared" si="31"/>
        <v>0</v>
      </c>
      <c r="FN98" s="457" t="str">
        <f t="shared" si="32"/>
        <v>Bouchons luzerne</v>
      </c>
      <c r="FO98" s="458">
        <f t="array" ref="FO98">IF(OR(ChoixRationComplèteEtéPoneys=OUI,ChoixRationComplèteEtéPoneys="",AND(ChoixPoneysPréHiver=OUI,ChoixPoneysPréEté=OUI)),0,IFERROR(IF(OR(AND(INDEX(Règles_poneys[Specificite],MATCH(RationHivernaleAuPréPoneys&amp;$FN98,Règles_poneys[Ration]&amp;Règles_poneys[Aliment],0))="s1",IF($FN98=Spécificité1Poneys,1)),
AND(INDEX(Règles_poneys[Specificite],MATCH(RationHivernaleAuPréPoneys&amp;$FN98,Règles_poneys[Ration]&amp;Règles_poneys[Aliment],0))="s2",IF($FN98=Spécificité2Poneys,1)),
INDEX(Règles_poneys[Specificite],MATCH(RationHivernaleAuPréPoneys&amp;$FN98,Règles_poneys[Ration]&amp;Règles_poneys[Aliment],0))="c"),
INDEX(Règles_poneys[Valeur 36 et plus],MATCH(RationHivernaleAuPréPoneys&amp;$FN98,Règles_poneys[Ration]&amp;Règles_poneys[Aliment],0)),0),0)*SUM(TotalPoneysAdultes)*SUM(AG118:AG142))</f>
        <v>0</v>
      </c>
      <c r="FP98" s="458">
        <f t="array" ref="FP98">IF(OR(ChoixRationComplèteEtéPoneys=OUI,ChoixRationComplèteEtéPoneys="",AND(ChoixPoneysPréHiver=OUI,ChoixPoneysPréEté=OUI)),0,IFERROR(IF(OR(AND(INDEX(Règles_poneys[Specificite],MATCH(RationHivernaleAuPréPoneys&amp;$FN98,Règles_poneys[Ration]&amp;Règles_poneys[Aliment],0))="s1",IF($FN98=Spécificité1Poneys,1)),
AND(INDEX(Règles_poneys[Specificite],MATCH(RationHivernaleAuPréPoneys&amp;$FN98,Règles_poneys[Ration]&amp;Règles_poneys[Aliment],0))="s2",IF($FN98=Spécificité2Poneys,1)),
INDEX(Règles_poneys[Specificite],MATCH(RationHivernaleAuPréPoneys&amp;$FN98,Règles_poneys[Ration]&amp;Règles_poneys[Aliment],0))="c"),
INDEX(Règles_poneys[Valeur 24-36],MATCH(RationHivernaleAuPréPoneys&amp;$FN98,Règles_poneys[Ration]&amp;Règles_poneys[Aliment],0)),0),0)*SUM(TotalPoneys_24_36mois)*SUM(AG118:AG142))</f>
        <v>0</v>
      </c>
      <c r="FQ98" s="458">
        <f t="array" ref="FQ98">IF(OR(ChoixRationComplèteEtéPoneys=OUI,ChoixRationComplèteEtéPoneys="",AND(ChoixPoneysPréHiver=OUI,ChoixPoneysPréEté=OUI)),0,IFERROR(IF(OR(AND(INDEX(Règles_poneys[Specificite],MATCH(RationHivernaleAuPréPoneys&amp;$FN98,Règles_poneys[Ration]&amp;Règles_poneys[Aliment],0))="s1",IF($FN98=Spécificité1Poneys,1)),
AND(INDEX(Règles_poneys[Specificite],MATCH(RationHivernaleAuPréPoneys&amp;$FN98,Règles_poneys[Ration]&amp;Règles_poneys[Aliment],0))="s2",IF($FN98=Spécificité2Poneys,1)),
INDEX(Règles_poneys[Specificite],MATCH(RationHivernaleAuPréPoneys&amp;$FN98,Règles_poneys[Ration]&amp;Règles_poneys[Aliment],0))="c"),
INDEX(Règles_poneys[Valeur 12-24],MATCH(RationHivernaleAuPréPoneys&amp;$FN98,Règles_poneys[Ration]&amp;Règles_poneys[Aliment],0)),0),0)*SUM(TotalPoneys_12_24mois)*SUM(AG118:AG142))</f>
        <v>0</v>
      </c>
      <c r="FR98" s="460">
        <f t="array" ref="FR98">IF(OR(ChoixRationComplèteEtéPoneys=OUI,ChoixRationComplèteEtéPoneys="",AND(ChoixPoneysPréHiver=OUI,ChoixPoneysPréEté=OUI)),0,IFERROR(IF(OR(AND(INDEX(Règles_poneys[Specificite],MATCH(RationHivernaleAuPréPoneys&amp;$FN98,Règles_poneys[Ration]&amp;Règles_poneys[Aliment],0))="s1",IF($FN98=Spécificité1Poneys,1)),
AND(INDEX(Règles_poneys[Specificite],MATCH(RationHivernaleAuPréPoneys&amp;$FN98,Règles_poneys[Ration]&amp;Règles_poneys[Aliment],0))="s2",IF($FN98=Spécificité2Poneys,1)),
INDEX(Règles_poneys[Specificite],MATCH(RationHivernaleAuPréPoneys&amp;$FN98,Règles_poneys[Ration]&amp;Règles_poneys[Aliment],0))="c"),
INDEX(Règles_poneys[Valeur 0-12],MATCH(RationHivernaleAuPréPoneys&amp;$FN98,Règles_poneys[Ration]&amp;Règles_poneys[Aliment],0)),0),0)*SUM(TotalPoulainsPoneys)*SUM(AG118:AG142))</f>
        <v>0</v>
      </c>
      <c r="FS98" s="460">
        <f t="shared" si="29"/>
        <v>0</v>
      </c>
      <c r="FT98" s="298"/>
      <c r="FW98" s="443" t="str">
        <f t="shared" si="27"/>
        <v>concentré jeunes lapins</v>
      </c>
      <c r="FX98" s="450">
        <f t="array" ref="FX98">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98" s="450">
        <f t="array" ref="FY98">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98" s="450">
        <f t="array" ref="FZ98">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98" s="450">
        <f t="array" ref="GA98">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98" s="451">
        <f>SUM(AlimentsGavageCanards[[#This Row],[Valeur 6 et plus]:[Valeur 0-1]])</f>
        <v>0</v>
      </c>
      <c r="GG98" s="276" t="s">
        <v>955</v>
      </c>
      <c r="GH98" s="276" t="s">
        <v>955</v>
      </c>
      <c r="GI98" s="276" t="s">
        <v>955</v>
      </c>
      <c r="GJ98" s="276" t="s">
        <v>955</v>
      </c>
      <c r="GK98" s="276" t="s">
        <v>955</v>
      </c>
      <c r="GL98" s="276" t="s">
        <v>955</v>
      </c>
      <c r="GM98" s="276" t="s">
        <v>955</v>
      </c>
      <c r="GN98" s="276" t="s">
        <v>955</v>
      </c>
      <c r="GO98" s="276" t="s">
        <v>955</v>
      </c>
      <c r="GP98" s="276" t="s">
        <v>955</v>
      </c>
      <c r="GQ98" s="276" t="s">
        <v>955</v>
      </c>
      <c r="GR98" s="276" t="s">
        <v>955</v>
      </c>
      <c r="GS98" s="276" t="s">
        <v>955</v>
      </c>
      <c r="GT98" s="276" t="s">
        <v>955</v>
      </c>
      <c r="GU98" s="276" t="s">
        <v>955</v>
      </c>
      <c r="GV98" s="276" t="s">
        <v>955</v>
      </c>
      <c r="GY98" s="444" t="str">
        <f t="shared" si="34"/>
        <v>insecticide</v>
      </c>
      <c r="GZ98" s="444"/>
      <c r="HA98" s="342"/>
      <c r="HB98" s="342" t="e">
        <f>IF(COUNTIF(TypeArticleDansEntrepôt,GY98)=0,0,SUMIF(TypeArticleDansEntrepôt,GY98,QtéArticleDansEntrepôt)*VLOOKUP(GY98,#REF!,2,FALSE))</f>
        <v>#REF!</v>
      </c>
      <c r="HN98" s="342" t="s">
        <v>1065</v>
      </c>
      <c r="HO98" s="513"/>
      <c r="HP98" s="513"/>
      <c r="HQ98" s="513"/>
      <c r="HR98" s="513"/>
      <c r="HS98" s="513"/>
      <c r="HT98" s="513"/>
      <c r="HU98" s="513"/>
      <c r="HV98" s="513"/>
      <c r="HW98" s="513"/>
      <c r="HX98" s="513"/>
      <c r="HY98" s="513"/>
      <c r="HZ98" s="513"/>
      <c r="IA98" s="513"/>
      <c r="IB98" s="513"/>
    </row>
    <row r="99" spans="1:236" ht="12.75" customHeight="1" x14ac:dyDescent="0.2">
      <c r="A99" s="373"/>
      <c r="B99" s="380"/>
      <c r="F99" s="280"/>
      <c r="G99" s="280"/>
      <c r="H99" s="323"/>
      <c r="I99" s="321"/>
      <c r="J99" s="280"/>
      <c r="K99" s="323"/>
      <c r="L99" s="280"/>
      <c r="N99" s="277"/>
      <c r="O99" s="385" t="s">
        <v>1003</v>
      </c>
      <c r="P99" s="385" t="e">
        <f>IF(ChoixExpèceAuPré="",0,SUMIF(ChoixEspèceAuPré,Bovins,NbreMâles_18_24MoisAuPréEté))</f>
        <v>#REF!</v>
      </c>
      <c r="Q99" s="385" t="e">
        <f>IF(ChoixExpèceAuPré="",0,SUMIF(ChoixEspèceAuPré,Ovins,NbreMâles_18_24MoisAuPréEté))</f>
        <v>#REF!</v>
      </c>
      <c r="R99" s="385" t="e">
        <f>IF(ChoixExpèceAuPré="",0,SUMIF(ChoixEspèceAuPré,Caprins,NbreMâles_18_24MoisAuPréEté))</f>
        <v>#REF!</v>
      </c>
      <c r="S99" s="385" t="e">
        <f>IF(ChoixExpèceAuPré="",0,SUMIF(ChoixEspèceAuPré,Bisons,NbreMâles_18_24MoisAuPréEté))</f>
        <v>#REF!</v>
      </c>
      <c r="T99" s="385" t="e">
        <f>IF(ChoixExpèceAuPré="",0,SUMIF(ChoixEspèceAuPré,Daims,NbreMâles_18_24MoisAuPréEté))</f>
        <v>#REF!</v>
      </c>
      <c r="U99" s="385" t="e">
        <f>IF(ChoixExpèceAuPré="",0,SUMIF(ChoixEspèceAuPré,ChevauxSelle,NbreMâles_18_24MoisAuPréEté))</f>
        <v>#REF!</v>
      </c>
      <c r="V99" s="385" t="e">
        <f>IF(ChoixExpèceAuPré="",0,SUMIF(ChoixEspèceAuPré,ChevauxTrait,NbreMâles_18_24MoisAuPréEté))</f>
        <v>#REF!</v>
      </c>
      <c r="W99" s="385" t="e">
        <f>IF(ChoixExpèceAuPré="",0,SUMIF(ChoixEspèceAuPré,Poneys,NbreMâles_18_24MoisAuPréEté))</f>
        <v>#REF!</v>
      </c>
      <c r="Y99" s="385" t="s">
        <v>1138</v>
      </c>
      <c r="Z99" s="385">
        <f>IF('coût alimentation'!$B$6=$Y$99,77,0)</f>
        <v>0</v>
      </c>
      <c r="AA99" s="385">
        <f>IF(AND(ChoixBovinsPréEté="OUI",'coût alimentation'!$B$6=$Y$99),35,Z99)</f>
        <v>0</v>
      </c>
      <c r="AB99" s="385">
        <f>IF('coût alimentation'!$B$6=$Y$99,42,0)</f>
        <v>0</v>
      </c>
      <c r="AC99" s="385">
        <f>IF(AND(ChoixCaprinsPréEté="OUI",'coût alimentation'!$B$6=$Y$99),35,Z99)</f>
        <v>0</v>
      </c>
      <c r="AD99" s="385">
        <f>IF(AND(ChoixOvinsPréEté="OUI",'coût alimentation'!$B$6=$Y$99),35,Z99)</f>
        <v>0</v>
      </c>
      <c r="AE99" s="385">
        <f>IF(AND(ChoixChevauxSellePréEté="OUI",'coût alimentation'!$B$6=$Y$99),21,IF(Y99&lt;&gt;'coût alimentation'!$B$6,0,84))</f>
        <v>0</v>
      </c>
      <c r="AF99" s="385">
        <f>IF(AND(ChoixChevauxTraitPréEté="OUI",'coût alimentation'!$B$6=$Y$99),21,IF(Y99&lt;&gt;'coût alimentation'!$B$6,0,84))</f>
        <v>0</v>
      </c>
      <c r="AG99" s="385">
        <f>IF(AND(ChoixPoneysPréEté="OUI",'coût alimentation'!$B$6=$Y$99),21,IF(Y99&lt;&gt;'coût alimentation'!$B$6,0,84))</f>
        <v>0</v>
      </c>
      <c r="BB99" s="387" t="s">
        <v>514</v>
      </c>
      <c r="BC99" s="362" t="s">
        <v>489</v>
      </c>
      <c r="BD99" s="362" t="s">
        <v>887</v>
      </c>
      <c r="BE99" s="388">
        <v>7.2</v>
      </c>
      <c r="BF99" s="388">
        <v>6</v>
      </c>
      <c r="BG99" s="388">
        <v>4</v>
      </c>
      <c r="BH99" s="388">
        <v>2</v>
      </c>
      <c r="BI99" s="388">
        <v>1.2</v>
      </c>
      <c r="BJ99" s="388">
        <v>0.6</v>
      </c>
      <c r="BK99" s="389">
        <v>0</v>
      </c>
      <c r="BL99" s="312"/>
      <c r="BM99" s="350" t="str">
        <f t="shared" si="22"/>
        <v>Seigle</v>
      </c>
      <c r="BN99" s="350">
        <f t="array" ref="BN99">IF(Ration_hivernale_complète_bisons[somme]&gt;0,0,IFERROR(IF(OR(AND(INDEX(Règles_bison[Specificite],MATCH(ChoixRationBisons&amp;$BM99,Règles_bison[Ration]&amp;Règles_bison[Aliment],0))="s1",IF($BM99=ChoixSpécificité1Bisons,1)),
INDEX(Règles_bison[Specificite],MATCH(ChoixRationBisons&amp;$BM99,Règles_bison[Ration]&amp;Règles_bison[Aliment],0))="c"),
INDEX(Règles_bison[Valeur 36 et plus],MATCH(ChoixRationBisons&amp;$BM99,Règles_bison[Ration]&amp;Règles_bison[Aliment],0)),0),0)*TotalBisonnes*NbreJoursNourrirBisonsDaims)</f>
        <v>0</v>
      </c>
      <c r="BO99" s="350">
        <f t="array" ref="BO99">IF(Ration_hivernale_complète_bisons[somme]&gt;0,0,IFERROR(IF(OR(AND(INDEX(Règles_bison[Specificite],MATCH(ChoixRationBisons&amp;$BM99,Règles_bison[Ration]&amp;Règles_bison[Aliment],0))="s1",IF($BM99=ChoixSpécificité1Bisons,1)),
INDEX(Règles_bison[Specificite],MATCH(ChoixRationBisons&amp;$BM99,Règles_bison[Ration]&amp;Règles_bison[Aliment],0))="c"),
INDEX(Règles_bison[Valeur 24-36],MATCH(ChoixRationBisons&amp;$BM99,Règles_bison[Ration]&amp;Règles_bison[Aliment],0)),0),0)*TotalBisonsFemelles_24_36_mois*NbreJoursNourrirBisonsDaims)</f>
        <v>0</v>
      </c>
      <c r="BP99" s="350">
        <f t="array" ref="BP99">IF(Ration_hivernale_complète_bisons[somme]&gt;0,0,IFERROR(IF(OR(AND(INDEX(Règles_bison[Specificite],MATCH(ChoixRationBisons&amp;$BM99,Règles_bison[Ration]&amp;Règles_bison[Aliment],0))="s1",IF($BM99=ChoixSpécificité1Bisons,1)),
INDEX(Règles_bison[Specificite],MATCH(ChoixRationBisons&amp;$BM99,Règles_bison[Ration]&amp;Règles_bison[Aliment],0))="c"),
INDEX(Règles_bison[Valeur 18-24],MATCH(ChoixRationBisons&amp;$BM99,Règles_bison[Ration]&amp;Règles_bison[Aliment],0)),0),0)*TotalBisonsFemelles_18_24_mois*NbreJoursNourrirBisonsDaims)</f>
        <v>0</v>
      </c>
      <c r="BQ99" s="350">
        <f t="array" ref="BQ99">IF(Ration_hivernale_complète_bisons[somme]&gt;0,0,IFERROR(IF(OR(AND(INDEX(Règles_bison[Specificite],MATCH(ChoixRationBisons&amp;$BM99,Règles_bison[Ration]&amp;Règles_bison[Aliment],0))="s1",IF($BM99=ChoixSpécificité1Bisons,1)),
INDEX(Règles_bison[Specificite],MATCH(ChoixRationBisons&amp;$BM99,Règles_bison[Ration]&amp;Règles_bison[Aliment],0))="c"),
INDEX(Règles_bison[Valeur 12-18],MATCH(ChoixRationBisons&amp;$BM99,Règles_bison[Ration]&amp;Règles_bison[Aliment],0)),0),0)*TotalBisonsFemelles_12_18_mois*NbreJoursNourrirBisonsDaims)</f>
        <v>0</v>
      </c>
      <c r="BR99" s="350">
        <f t="array" ref="BR99">IF(Ration_hivernale_complète_bisons[somme]&gt;0,0,IFERROR(IF(OR(AND(INDEX(Règles_bison[Specificite],MATCH(ChoixRationBisons&amp;$BM99,Règles_bison[Ration]&amp;Règles_bison[Aliment],0))="s1",IF($BM99=ChoixSpécificité1Bisons,1)),
INDEX(Règles_bison[Specificite],MATCH(ChoixRationBisons&amp;$BM99,Règles_bison[Ration]&amp;Règles_bison[Aliment],0))="c"),
INDEX(Règles_bison[Valeur 6-12],MATCH(ChoixRationBisons&amp;$BM99,Règles_bison[Ration]&amp;Règles_bison[Aliment],0)),0),0)*TotalBisonsFemelles_6_12_mois*NbreJoursNourrirBisonsDaims)</f>
        <v>0</v>
      </c>
      <c r="BS99" s="350">
        <f t="array" ref="BS99">IF(Ration_hivernale_complète_bisons[somme]&gt;0,0,IFERROR(IF(OR(AND(INDEX(Règles_bison[Specificite],MATCH(ChoixRationBisons&amp;$BM99,Règles_bison[Ration]&amp;Règles_bison[Aliment],0))="s1",IF($BM99=ChoixSpécificité1Bisons,1)),
INDEX(Règles_bison[Specificite],MATCH(ChoixRationBisons&amp;$BM99,Règles_bison[Ration]&amp;Règles_bison[Aliment],0))="c"),
INDEX(Règles_bison[Valeur 3-6],MATCH(ChoixRationBisons&amp;$BM99,Règles_bison[Ration]&amp;Règles_bison[Aliment],0)),0),0)*TotalBisonsFemelles_3_6_mois*NbreJoursNourrirBisonsDaims)</f>
        <v>0</v>
      </c>
      <c r="BT99" s="350">
        <f t="array" ref="BT99">IF(Ration_hivernale_complète_bisons[somme]&gt;0,0,IFERROR(IF(OR(AND(INDEX(Règles_bison[Specificite],MATCH(ChoixRationBisons&amp;$BM99,Règles_bison[Ration]&amp;Règles_bison[Aliment],0))="s1",IF($BM99=ChoixSpécificité1Bisons,1)),
INDEX(Règles_bison[Specificite],MATCH(ChoixRationBisons&amp;$BM99,Règles_bison[Ration]&amp;Règles_bison[Aliment],0))="c"),
INDEX(Règles_bison[Valeur 0-3],MATCH(ChoixRationBisons&amp;$BM99,Règles_bison[Ration]&amp;Règles_bison[Aliment],0)),0),0)*TotalBisonsFemelles_0_3_mois*NbreJoursNourrirBisonsDaims)</f>
        <v>0</v>
      </c>
      <c r="BU99" s="350">
        <f t="shared" si="21"/>
        <v>0</v>
      </c>
      <c r="BV99" s="282"/>
      <c r="BW99" s="282"/>
      <c r="BX99" s="373"/>
      <c r="BY99" s="280"/>
      <c r="BZ99" s="280"/>
      <c r="CA99" s="280"/>
      <c r="CB99" s="280"/>
      <c r="CC99" s="280"/>
      <c r="CD99" s="410"/>
      <c r="CE99" s="304"/>
      <c r="CF99" s="304"/>
      <c r="CG99" s="304"/>
      <c r="CH99" s="304"/>
      <c r="CI99" s="277"/>
      <c r="CJ99" s="420" t="str">
        <f t="shared" si="25"/>
        <v>Eau</v>
      </c>
      <c r="CK99" s="384">
        <f t="array" ref="CK9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99" s="384">
        <f t="array" ref="CL9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99" s="384">
        <f t="array" ref="CM9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99" s="384">
        <f t="array" ref="CN9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99" s="384">
        <f t="array" ref="CO9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99" s="426">
        <f>SUM(AlimentsRationPorcinsFemelles[[#This Row],[Valeur 12 et plus]:[Valeur 0-1]])</f>
        <v>0</v>
      </c>
      <c r="CQ99" s="298"/>
      <c r="CS99" s="420" t="str">
        <f>CS57</f>
        <v>Avoine</v>
      </c>
      <c r="CT99" s="433">
        <f t="array" ref="CT99">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99" s="433">
        <f t="array" ref="CU99">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99" s="433">
        <f t="array" ref="CV99">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99" s="434">
        <f>SUM(AlimentsRationLapinsFemelles[[#This Row],[Valeur 3 et plus]:[Valeur 0-1]])</f>
        <v>0</v>
      </c>
      <c r="CZ99" s="420" t="str">
        <f>CZ57</f>
        <v>Avoine</v>
      </c>
      <c r="DA99" s="433">
        <f t="array" ref="DA9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99" s="433">
        <f t="array" ref="DB9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99" s="433">
        <f t="array" ref="DC9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99" s="434">
        <f>SUM(AlimentsRationVolaillesFemelles[[#This Row],[Valeur 6 et plus]:[Valeur 0-1]])</f>
        <v>0</v>
      </c>
      <c r="DF99" s="277"/>
      <c r="DG99" s="384" t="str">
        <f t="shared" si="26"/>
        <v>concentré jeunes porcins</v>
      </c>
      <c r="DH99" s="433">
        <f t="array" ref="DH9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99" s="433">
        <f t="array" ref="DI9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99" s="433">
        <f t="array" ref="DJ9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99" s="437">
        <f>SUM(AlimentsRationPintadesFemelles[[#This Row],[Valeur 6 et plus]:[Valeur 0-1]])</f>
        <v>0</v>
      </c>
      <c r="DN99" s="373" t="s">
        <v>514</v>
      </c>
      <c r="DO99" s="280" t="s">
        <v>513</v>
      </c>
      <c r="DP99" s="280" t="s">
        <v>886</v>
      </c>
      <c r="DQ99" s="310">
        <v>6</v>
      </c>
      <c r="DR99" s="310">
        <v>4</v>
      </c>
      <c r="DS99" s="310">
        <v>2</v>
      </c>
      <c r="DT99" s="439">
        <v>0</v>
      </c>
      <c r="DU99" s="298"/>
      <c r="DV99" s="350" t="str">
        <f t="shared" si="23"/>
        <v>Paille</v>
      </c>
      <c r="DW99" s="351">
        <f t="array" ref="DW99">SUM((IF(QualitéAlimentsFaonMâle_0_3_mois=BONNE,VLOOKUP("Paille",AlimentsRationHivernaleDaims,8,FALSE),0)+(IF(QualitéAlimentsFaonFemelle_0_3_mois=BONNE,VLOOKUP("Paille",AlimentsRationHivernaleDaims,8,FALSE),0)+(IF(QualitéAlimentsFaonMâle_3_6_mois=BONNE,VLOOKUP("Paille",AlimentsRationHivernaleDaims,7,FALSE),0)+(IF(QualitéAlimentsFaonFemelle_3_6_mois=BONNE,VLOOKUP("Paille",AlimentsRationHivernaleDaims,7,FALSE),0)+(IF(QualitéAlimentsFaonMâle_6_12_mois=BONNE,VLOOKUP("Paille",AlimentsRationHivernaleDaims,6,FALSE),0)+(IF(QualitéAlimentsFaonFemelle_6_12_mois=BONNE,VLOOKUP("Paille",AlimentsRationHivernaleDaims,6,FALSE),0)+(IF(QualitéAlimentsJeuneDaim_12_18_mois=BONNE,VLOOKUP("Paille",AlimentsRationHivernaleDaims,5,FALSE),0)+(IF(QualitéAlimentsJeuneDaine_12_18_mois=BONNE,VLOOKUP("Paille",AlimentsRationHivernaleDaims,5,FALSE),0)+(IF(QualitéAlimentsJeuneDaim_18_24_mois=BONNE,VLOOKUP("Paille",AlimentsRationHivernaleDaims,4,FALSE),0)+(IF(QualitéAlimentsJeuneDaine_18_24_mois=BONNE,VLOOKUP("Paille",AlimentsRationHivernaleDaims,4,FALSE),0)+(IF(QualitéAlimentsJeuneDaim_24_36_mois=BONNE,VLOOKUP("Paille",AlimentsRationHivernaleDaims,3,FALSE),0)+(IF(QualitéAlimentsJeuneDaine_24_36_mois=BONNE,VLOOKUP("Paille",AlimentsRationHivernaleDaims,3,FALSE),0)+(IF(QualitéAlimentsDaim=BONNE,VLOOKUP("Paille",AlimentsRationHivernaleDaims,2,FALSE),0)+(IF(QualitéAlimentsDaine=BONNE,VLOOKUP("Paille",AlimentsRationHivernaleDaims,2,FALSE),0))))))))))))))))</f>
        <v>0</v>
      </c>
      <c r="DX99" s="351">
        <f t="array" ref="DX99">SUM((IF(QualitéAlimentsFaonMâle_0_3_mois=MOYENNE,VLOOKUP("Paille",AlimentsRationHivernaleDaims,8,FALSE),0)+(IF(QualitéAlimentsFaonFemelle_0_3_mois=MOYENNE,VLOOKUP("Paille",AlimentsRationHivernaleDaims,8,FALSE),0)+(IF(QualitéAlimentsFaonMâle_3_6_mois=MOYENNE,VLOOKUP("Paille",AlimentsRationHivernaleDaims,7,FALSE),0)+(IF(QualitéAlimentsFaonFemelle_3_6_mois=MOYENNE,VLOOKUP("Paille",AlimentsRationHivernaleDaims,7,FALSE),0)+(IF(QualitéAlimentsFaonMâle_6_12_mois=MOYENNE,VLOOKUP("Paille",AlimentsRationHivernaleDaims,6,FALSE),0)+(IF(QualitéAlimentsFaonFemelle_6_12_mois=MOYENNE,VLOOKUP("Paille",AlimentsRationHivernaleDaims,6,FALSE),0)+(IF(QualitéAlimentsJeuneDaim_12_18_mois=MOYENNE,VLOOKUP("Paille",AlimentsRationHivernaleDaims,5,FALSE),0)+(IF(QualitéAlimentsJeuneDaine_12_18_mois=MOYENNE,VLOOKUP("Paille",AlimentsRationHivernaleDaims,5,FALSE),0)+(IF(QualitéAlimentsJeuneDaim_18_24_mois=MOYENNE,VLOOKUP("Paille",AlimentsRationHivernaleDaims,4,FALSE),0)+(IF(QualitéAlimentsJeuneDaine_18_24_mois=MOYENNE,VLOOKUP("Paille",AlimentsRationHivernaleDaims,4,FALSE),0)+(IF(QualitéAlimentsJeuneDaim_24_36_mois=MOYENNE,VLOOKUP("Paille",AlimentsRationHivernaleDaims,3,FALSE),0)+(IF(QualitéAlimentsJeuneDaine_24_36_mois=MOYENNE,VLOOKUP("Paille",AlimentsRationHivernaleDaims,3,FALSE),0)+(IF(QualitéAlimentsDaim=MOYENNE,VLOOKUP("Paille",AlimentsRationHivernaleDaims,2,FALSE),0)+(IF(QualitéAlimentsDaine=MOYENNE,VLOOKUP("Paille",AlimentsRationHivernaleDaims,2,FALSE),0))))))))))))))))</f>
        <v>0</v>
      </c>
      <c r="DY99" s="351">
        <f t="array" ref="DY99">SUM((IF(QualitéAlimentsFaonMâle_0_3_mois=MAUVAISE,VLOOKUP("Paille",AlimentsRationHivernaleDaims,8,FALSE),0)+(IF(QualitéAlimentsFaonFemelle_0_3_mois=MAUVAISE,VLOOKUP("Paille",AlimentsRationHivernaleDaims,8,FALSE),0)+(IF(QualitéAlimentsFaonMâle_3_6_mois=MAUVAISE,VLOOKUP("Paille",AlimentsRationHivernaleDaims,7,FALSE),0)+(IF(QualitéAlimentsFaonFemelle_3_6_mois=MAUVAISE,VLOOKUP("Paille",AlimentsRationHivernaleDaims,7,FALSE),0)+(IF(QualitéAlimentsFaonMâle_6_12_mois=MAUVAISE,VLOOKUP("Paille",AlimentsRationHivernaleDaims,6,FALSE),0)+(IF(QualitéAlimentsFaonFemelle_6_12_mois=MAUVAISE,VLOOKUP("Paille",AlimentsRationHivernaleDaims,6,FALSE),0)+(IF(QualitéAlimentsJeuneDaim_12_18_mois=MAUVAISE,VLOOKUP("Paille",AlimentsRationHivernaleDaims,5,FALSE),0)+(IF(QualitéAlimentsJeuneDaine_12_18_mois=MAUVAISE,VLOOKUP("Paille",AlimentsRationHivernaleDaims,5,FALSE),0)+(IF(QualitéAlimentsJeuneDaim_18_24_mois=MAUVAISE,VLOOKUP("Paille",AlimentsRationHivernaleDaims,4,FALSE),0)+(IF(QualitéAlimentsJeuneDaine_18_24_mois=MAUVAISE,VLOOKUP("Paille",AlimentsRationHivernaleDaims,4,FALSE),0)+(IF(QualitéAlimentsJeuneDaim_24_36_mois=MAUVAISE,VLOOKUP("Paille",AlimentsRationHivernaleDaims,3,FALSE),0)+(IF(QualitéAlimentsJeuneDaine_24_36_mois=MAUVAISE,VLOOKUP("Paille",AlimentsRationHivernaleDaims,3,FALSE),0)+(IF(QualitéAlimentsDaim=MAUVAISE,VLOOKUP("Paille",AlimentsRationHivernaleDaims,2,FALSE),0)+(IF(QualitéAlimentsDaine=MAUVAISE,VLOOKUP("Paille",AlimentsRationHivernaleDaims,2,FALSE),0))))))))))))))))</f>
        <v>0</v>
      </c>
      <c r="DZ99" s="298"/>
      <c r="EA99" s="298"/>
      <c r="EB99" s="298"/>
      <c r="EC99" s="298"/>
      <c r="ED99" s="298"/>
      <c r="EE99" s="298"/>
      <c r="EG99" s="420" t="str">
        <f t="shared" si="30"/>
        <v>Chanvre</v>
      </c>
      <c r="EH99" s="433">
        <f t="array" ref="EH9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99" s="433">
        <f t="array" ref="EI9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99" s="433">
        <f t="array" ref="EJ9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99" s="434">
        <f>SUM(AlimentsRationOiesFemelles[[#This Row],[Valeur 6 et plus]:[Valeur 0-3]])</f>
        <v>0</v>
      </c>
      <c r="EN99" s="443" t="str">
        <f t="shared" si="28"/>
        <v>Canola</v>
      </c>
      <c r="EO99" s="450">
        <f t="array" ref="EO99">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99" s="450">
        <f t="array" ref="EP99">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99" s="450">
        <f t="array" ref="EQ99">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99" s="451">
        <f>SUM(Ration_canards_Femelles[[#This Row],[Valeur 6 et plus]:[Valeur 0-3]])</f>
        <v>0</v>
      </c>
      <c r="EZ99" s="276"/>
      <c r="FD99" s="457" t="str">
        <f t="shared" si="33"/>
        <v>Bouchons luzerne</v>
      </c>
      <c r="FE99" s="458">
        <f t="array" ref="FE99">IF(OR(ChoixRationComplèteEtéChevauxTrait=OUI,ChoixRationComplèteEtéChevauxTrait="",AND(ChoixChevauxTraitPréHiver=OUI,ChoixChevauxTraitPréEté=OUI)),0,IFERROR(IF(OR(AND(INDEX(Règles_chevaux_trait[Specificite],MATCH(RationEtéChevauxTrait&amp;$FD99,Règles_chevaux_trait[Ration]&amp;Règles_chevaux_trait[Aliment],0))="s1",IF($FD99=Spécificité1ChevauxTrait,1)),
AND(INDEX(Règles_chevaux_trait[Specificite],MATCH(RationEtéChevauxTrait&amp;$FD99,Règles_chevaux_trait[Ration]&amp;Règles_chevaux_trait[Aliment],0))="s2",IF($FD99=Spécificité2ChevauxTrait,1)),
INDEX(Règles_chevaux_trait[Specificite],MATCH(RationEtéChevauxTrait&amp;$FD99,Règles_chevaux_trait[Ration]&amp;Règles_chevaux_trait[Aliment],0))="c"),
INDEX(Règles_chevaux_trait[Valeur 36 et plus],MATCH(RationEtéChevauxTrait&amp;$FD99,Règles_chevaux_trait[Ration]&amp;Règles_chevaux_trait[Aliment],0)),0),0)*TotalJumentTrait*NbreJoursNourrirChevauxTrait)</f>
        <v>0</v>
      </c>
      <c r="FF99" s="458">
        <f t="array" ref="FF99">IF(OR(ChoixRationComplèteEtéChevauxTrait=OUI,ChoixRationComplèteEtéChevauxTrait="",AND(ChoixChevauxTraitPréHiver=OUI,ChoixChevauxTraitPréEté=OUI)),0,IFERROR(IF(OR(AND(INDEX(Règles_chevaux_trait[Specificite],MATCH(RationEtéChevauxTrait&amp;$FD99,Règles_chevaux_trait[Ration]&amp;Règles_chevaux_trait[Aliment],0))="s1",IF($FD99=Spécificité1ChevauxTrait,1)),
AND(INDEX(Règles_chevaux_trait[Specificite],MATCH(RationEtéChevauxTrait&amp;$FD99,Règles_chevaux_trait[Ration]&amp;Règles_chevaux_trait[Aliment],0))="s2",IF($FD99=Spécificité2ChevauxTrait,1)),
INDEX(Règles_chevaux_trait[Specificite],MATCH(RationEtéChevauxTrait&amp;$FD99,Règles_chevaux_trait[Ration]&amp;Règles_chevaux_trait[Aliment],0))="c"),
INDEX(Règles_chevaux_trait[Valeur 24-36],MATCH(RationEtéChevauxTrait&amp;$FD99,Règles_chevaux_trait[Ration]&amp;Règles_chevaux_trait[Aliment],0)),0),0)*TotalJeuneJumentTrait_24_36_mois*NbreJoursNourrirChevauxTrait)</f>
        <v>0</v>
      </c>
      <c r="FG99" s="458">
        <f t="array" ref="FG99">IF(OR(ChoixRationComplèteEtéChevauxTrait=OUI,ChoixRationComplèteEtéChevauxTrait="",AND(ChoixChevauxTraitPréHiver=OUI,ChoixChevauxTraitPréEté=OUI)),0,IFERROR(IF(OR(AND(INDEX(Règles_chevaux_trait[Specificite],MATCH(RationEtéChevauxTrait&amp;$FD99,Règles_chevaux_trait[Ration]&amp;Règles_chevaux_trait[Aliment],0))="s1",IF($FD99=Spécificité1ChevauxTrait,1)),
AND(INDEX(Règles_chevaux_trait[Specificite],MATCH(RationEtéChevauxTrait&amp;$FD99,Règles_chevaux_trait[Ration]&amp;Règles_chevaux_trait[Aliment],0))="s2",IF($FD99=Spécificité2ChevauxTrait,1)),
INDEX(Règles_chevaux_trait[Specificite],MATCH(RationEtéChevauxTrait&amp;$FD99,Règles_chevaux_trait[Ration]&amp;Règles_chevaux_trait[Aliment],0))="c"),
INDEX(Règles_chevaux_trait[Valeur 12-24],MATCH(RationEtéChevauxTrait&amp;$FD99,Règles_chevaux_trait[Ration]&amp;Règles_chevaux_trait[Aliment],0)),0),0)*TotalJeuneJumentTrait_12_24_mois*NbreJoursNourrirChevauxTrait)</f>
        <v>0</v>
      </c>
      <c r="FH99" s="460">
        <f t="array" ref="FH99">IF(OR(ChoixRationComplèteEtéChevauxTrait=OUI,ChoixRationComplèteEtéChevauxTrait="",AND(ChoixChevauxTraitPréHiver=OUI,ChoixChevauxTraitPréEté=OUI)),0,IFERROR(IF(OR(AND(INDEX(Règles_chevaux_trait[Specificite],MATCH(RationEtéChevauxTrait&amp;$FD99,Règles_chevaux_trait[Ration]&amp;Règles_chevaux_trait[Aliment],0))="s1",IF($FD99=Spécificité1ChevauxTrait,1)),
AND(INDEX(Règles_chevaux_trait[Specificite],MATCH(RationEtéChevauxTrait&amp;$FD99,Règles_chevaux_trait[Ration]&amp;Règles_chevaux_trait[Aliment],0))="s2",IF($FD99=Spécificité2ChevauxTrait,1)),
INDEX(Règles_chevaux_trait[Specificite],MATCH(RationEtéChevauxTrait&amp;$FD99,Règles_chevaux_trait[Ration]&amp;Règles_chevaux_trait[Aliment],0))="c"),
INDEX(Règles_chevaux_trait[Valeur 0-12],MATCH(RationEtéChevauxTrait&amp;$FD99,Règles_chevaux_trait[Ration]&amp;Règles_chevaux_trait[Aliment],0)),0),0)*TotalPoulicheTrait_0_12_mois*NbreJoursNourrirChevauxTrait)</f>
        <v>0</v>
      </c>
      <c r="FI99" s="460">
        <f t="shared" si="31"/>
        <v>0</v>
      </c>
      <c r="FJ99" s="298"/>
      <c r="FN99" s="457" t="str">
        <f t="shared" si="32"/>
        <v>Chanvre</v>
      </c>
      <c r="FO99" s="458">
        <f t="array" ref="FO99">IF(OR(ChoixRationComplèteEtéPoneys=OUI,ChoixRationComplèteEtéPoneys="",AND(ChoixPoneysPréHiver=OUI,ChoixPoneysPréEté=OUI)),0,IFERROR(IF(OR(AND(INDEX(Règles_poneys[Specificite],MATCH(RationHivernaleAuPréPoneys&amp;$FN99,Règles_poneys[Ration]&amp;Règles_poneys[Aliment],0))="s1",IF($FN99=Spécificité1Poneys,1)),
AND(INDEX(Règles_poneys[Specificite],MATCH(RationHivernaleAuPréPoneys&amp;$FN99,Règles_poneys[Ration]&amp;Règles_poneys[Aliment],0))="s2",IF($FN99=Spécificité2Poneys,1)),
INDEX(Règles_poneys[Specificite],MATCH(RationHivernaleAuPréPoneys&amp;$FN99,Règles_poneys[Ration]&amp;Règles_poneys[Aliment],0))="c"),
INDEX(Règles_poneys[Valeur 36 et plus],MATCH(RationHivernaleAuPréPoneys&amp;$FN99,Règles_poneys[Ration]&amp;Règles_poneys[Aliment],0)),0),0)*SUM(TotalPoneysAdultes)*SUM(AG118:AG142))</f>
        <v>0</v>
      </c>
      <c r="FP99" s="458">
        <f t="array" ref="FP99">IF(OR(ChoixRationComplèteEtéPoneys=OUI,ChoixRationComplèteEtéPoneys="",AND(ChoixPoneysPréHiver=OUI,ChoixPoneysPréEté=OUI)),0,IFERROR(IF(OR(AND(INDEX(Règles_poneys[Specificite],MATCH(RationHivernaleAuPréPoneys&amp;$FN99,Règles_poneys[Ration]&amp;Règles_poneys[Aliment],0))="s1",IF($FN99=Spécificité1Poneys,1)),
AND(INDEX(Règles_poneys[Specificite],MATCH(RationHivernaleAuPréPoneys&amp;$FN99,Règles_poneys[Ration]&amp;Règles_poneys[Aliment],0))="s2",IF($FN99=Spécificité2Poneys,1)),
INDEX(Règles_poneys[Specificite],MATCH(RationHivernaleAuPréPoneys&amp;$FN99,Règles_poneys[Ration]&amp;Règles_poneys[Aliment],0))="c"),
INDEX(Règles_poneys[Valeur 24-36],MATCH(RationHivernaleAuPréPoneys&amp;$FN99,Règles_poneys[Ration]&amp;Règles_poneys[Aliment],0)),0),0)*SUM(TotalPoneys_24_36mois)*SUM(AG118:AG142))</f>
        <v>0</v>
      </c>
      <c r="FQ99" s="458">
        <f t="array" ref="FQ99">IF(OR(ChoixRationComplèteEtéPoneys=OUI,ChoixRationComplèteEtéPoneys="",AND(ChoixPoneysPréHiver=OUI,ChoixPoneysPréEté=OUI)),0,IFERROR(IF(OR(AND(INDEX(Règles_poneys[Specificite],MATCH(RationHivernaleAuPréPoneys&amp;$FN99,Règles_poneys[Ration]&amp;Règles_poneys[Aliment],0))="s1",IF($FN99=Spécificité1Poneys,1)),
AND(INDEX(Règles_poneys[Specificite],MATCH(RationHivernaleAuPréPoneys&amp;$FN99,Règles_poneys[Ration]&amp;Règles_poneys[Aliment],0))="s2",IF($FN99=Spécificité2Poneys,1)),
INDEX(Règles_poneys[Specificite],MATCH(RationHivernaleAuPréPoneys&amp;$FN99,Règles_poneys[Ration]&amp;Règles_poneys[Aliment],0))="c"),
INDEX(Règles_poneys[Valeur 12-24],MATCH(RationHivernaleAuPréPoneys&amp;$FN99,Règles_poneys[Ration]&amp;Règles_poneys[Aliment],0)),0),0)*SUM(TotalPoneys_12_24mois)*SUM(AG118:AG142))</f>
        <v>0</v>
      </c>
      <c r="FR99" s="460">
        <f t="array" ref="FR99">IF(OR(ChoixRationComplèteEtéPoneys=OUI,ChoixRationComplèteEtéPoneys="",AND(ChoixPoneysPréHiver=OUI,ChoixPoneysPréEté=OUI)),0,IFERROR(IF(OR(AND(INDEX(Règles_poneys[Specificite],MATCH(RationHivernaleAuPréPoneys&amp;$FN99,Règles_poneys[Ration]&amp;Règles_poneys[Aliment],0))="s1",IF($FN99=Spécificité1Poneys,1)),
AND(INDEX(Règles_poneys[Specificite],MATCH(RationHivernaleAuPréPoneys&amp;$FN99,Règles_poneys[Ration]&amp;Règles_poneys[Aliment],0))="s2",IF($FN99=Spécificité2Poneys,1)),
INDEX(Règles_poneys[Specificite],MATCH(RationHivernaleAuPréPoneys&amp;$FN99,Règles_poneys[Ration]&amp;Règles_poneys[Aliment],0))="c"),
INDEX(Règles_poneys[Valeur 0-12],MATCH(RationHivernaleAuPréPoneys&amp;$FN99,Règles_poneys[Ration]&amp;Règles_poneys[Aliment],0)),0),0)*SUM(TotalPoulainsPoneys)*SUM(AG118:AG142))</f>
        <v>0</v>
      </c>
      <c r="FS99" s="460">
        <f t="shared" si="29"/>
        <v>0</v>
      </c>
      <c r="FT99" s="298"/>
      <c r="FW99" s="443" t="str">
        <f t="shared" si="27"/>
        <v>concentré jeunes porcins</v>
      </c>
      <c r="FX99" s="450">
        <f t="array" ref="FX99">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99" s="450">
        <f t="array" ref="FY99">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99" s="450">
        <f t="array" ref="FZ99">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99" s="450">
        <f t="array" ref="GA99">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99" s="451">
        <f>SUM(AlimentsGavageCanards[[#This Row],[Valeur 6 et plus]:[Valeur 0-1]])</f>
        <v>0</v>
      </c>
      <c r="GG99" s="276" t="s">
        <v>955</v>
      </c>
      <c r="GH99" s="276" t="s">
        <v>955</v>
      </c>
      <c r="GI99" s="276" t="s">
        <v>955</v>
      </c>
      <c r="GJ99" s="276" t="s">
        <v>955</v>
      </c>
      <c r="GK99" s="276" t="s">
        <v>955</v>
      </c>
      <c r="GL99" s="276" t="s">
        <v>955</v>
      </c>
      <c r="GM99" s="276" t="s">
        <v>955</v>
      </c>
      <c r="GN99" s="276" t="s">
        <v>955</v>
      </c>
      <c r="GO99" s="276" t="s">
        <v>955</v>
      </c>
      <c r="GP99" s="276" t="s">
        <v>955</v>
      </c>
      <c r="GQ99" s="276" t="s">
        <v>955</v>
      </c>
      <c r="GR99" s="276" t="s">
        <v>955</v>
      </c>
      <c r="GS99" s="276" t="s">
        <v>955</v>
      </c>
      <c r="GT99" s="276" t="s">
        <v>955</v>
      </c>
      <c r="GU99" s="276" t="s">
        <v>955</v>
      </c>
      <c r="GV99" s="276" t="s">
        <v>955</v>
      </c>
      <c r="GY99" s="444" t="str">
        <f>GI6</f>
        <v>traitement pêchers</v>
      </c>
      <c r="GZ99" s="444"/>
      <c r="HA99" s="342"/>
      <c r="HB99" s="342" t="e">
        <f>IF(COUNTIF(TypeArticleDansEntrepôt,GY99)=0,0,SUMIF(TypeArticleDansEntrepôt,GY99,QtéArticleDansEntrepôt)*VLOOKUP(GY99,#REF!,2,FALSE))</f>
        <v>#REF!</v>
      </c>
      <c r="HN99" s="342" t="s">
        <v>1066</v>
      </c>
      <c r="HO99" s="342" t="e">
        <f>IF(SUM((VLOOKUP(BDD!BB196,BDD!BB194:BJ232,9,FALSE)+VLOOKUP(BDD!BB286,BDD!BB284:BJ323,9,FALSE))/1000/SUM(AA76:AA100)*IF(#REF!=OUI,35,84)-(#REF!))&lt;0,0,SUM((VLOOKUP(BDD!BB196,BDD!BB194:BJ232,9,FALSE)+VLOOKUP(BDD!BB286,BDD!BB284:BJ323,9,FALSE))/1000/SUM(AA76:AA100)*IF(#REF!=OUI,35,84)-(#REF!)))</f>
        <v>#REF!</v>
      </c>
      <c r="HP99" s="342" t="e">
        <f>IF(SUM(VLOOKUP(BDD!BM38,BDD!BM36:BU69,9,FALSE)/1000*42-(#REF!))&lt;0,0,SUM(VLOOKUP(BDD!BM38,BDD!BM36:BU69,9,FALSE)/1000*42-(#REF!)))</f>
        <v>#REF!</v>
      </c>
      <c r="HQ99" s="342" t="e">
        <f>IF(SUM(VLOOKUP(BDD!CJ52,BDD!CJ50:CP84,7,FALSE)/1000/SUM(Z76:Z100)*84-(#REF!))&lt;0,0,SUM(VLOOKUP(BDD!CJ52,BDD!CJ50:CP84,7,FALSE)/1000/SUM(Z76:Z100)*84-(#REF!)))</f>
        <v>#REF!</v>
      </c>
      <c r="HR99" s="342" t="e">
        <f>IF(SUM(VLOOKUP(BDD!BX108,BDD!BX106:CC140,6,FALSE)/1000/SUM(AC76:AC100)*IF(#REF!=OUI,49,84)-(#REF!))&lt;0,0,SUM(VLOOKUP(BDD!BX108,BDD!BX106:CC140,6,FALSE)/1000/SUM(AC76:AC100)*IF(#REF!=OUI,49,84)-(#REF!)))</f>
        <v>#REF!</v>
      </c>
      <c r="HS99" s="342" t="e">
        <f>IF(SUM(VLOOKUP(BDD!CZ59,AlimentsRationVolaillesMâles[],5,FALSE)/1000/SUM(Z76:Z100)*84-(#REF!)&lt;0),0,SUM(VLOOKUP(BDD!CZ59,AlimentsRationVolaillesMâles[],5,FALSE)/1000/SUM(Z76:Z100)*84-(#REF!)))</f>
        <v>#REF!</v>
      </c>
      <c r="HT99" s="342" t="e">
        <f>IF(SUM(VLOOKUP(BDD!DG50,AlimentsRationPintadesMâles[],5,FALSE)/1000/SUM(Z76:Z100)*84-(#REF!)&lt;0),0,SUM(VLOOKUP(BDD!DG50,AlimentsRationPintadesMâles[],5,FALSE)/1000/SUM(Z76:Z100)*84-(#REF!)))</f>
        <v>#REF!</v>
      </c>
      <c r="HU99" s="342" t="e">
        <f>IF(SUM(VLOOKUP(BDD!CS59,BDD!CS57:CW95,5,FALSE)/1000/SUM(Z76:Z100)*84-(#REF!))&lt;0,0,SUM(VLOOKUP(BDD!CS59,BDD!CS57:CW95,5,FALSE)/1000/SUM(Z76:Z100)*84-(#REF!)))</f>
        <v>#REF!</v>
      </c>
      <c r="HV99" s="342" t="e">
        <f>IF(SUM(VLOOKUP(BDD!DN152,BDD!DN150:DS188,6,FALSE)+VLOOKUP(BDD!DN240,BDD!DN238:DS276,6,FALSE))/1000/SUM(AD76:AD100)*IF(#REF!=OUI,35,84)-(#REF!)&lt;0,0,(SUM(VLOOKUP(BDD!DN152,BDD!DN150:DS188,6,FALSE)+VLOOKUP(BDD!DN240,BDD!DN238:DS276,6,FALSE))/1000/SUM(AD76:AD100)*IF(#REF!=OUI,35,84)-(#REF!)))</f>
        <v>#REF!</v>
      </c>
      <c r="HW99" s="342" t="e">
        <f>IF(SUM(VLOOKUP(BDD!EG55,AlimentsRationOiesMâles[],5,FALSE)/1000/SUM(Z76:Z100)*84+VLOOKUP(BDD!FW45,AlimentsGavageOies[],6,FALSE))-(#REF!)&lt;0,0,SUM(VLOOKUP(BDD!EG55,AlimentsRationOiesMâles[],5,FALSE)/1000/SUM(Z76:Z100)*84+VLOOKUP(BDD!FW45,AlimentsGavageOies[],6,FALSE))-(#REF!))</f>
        <v>#REF!</v>
      </c>
      <c r="HX99" s="342" t="e">
        <f>IF(SUM(VLOOKUP(BDD!EN54,Ration_canards_Mâles[],5,FALSE)/1000/SUM(Z76:Z100)*84+VLOOKUP(BDD!FW92,AlimentsGavageCanards[],6,FALSE))-(#REF!)&lt;0,0,SUM(VLOOKUP(BDD!EN54,Ration_canards_Mâles[],5,FALSE)/1000/SUM(Z76:Z100)*84+VLOOKUP(BDD!FW92,AlimentsGavageCanards[],6,FALSE))-(#REF!))</f>
        <v>#REF!</v>
      </c>
      <c r="HY99" s="342">
        <v>0</v>
      </c>
      <c r="HZ99" s="342">
        <v>0</v>
      </c>
      <c r="IA99" s="342">
        <v>0</v>
      </c>
      <c r="IB99" s="342" t="e">
        <f t="shared" ref="IB99:IB104" si="35">SUM(HO99:IA99)</f>
        <v>#REF!</v>
      </c>
    </row>
    <row r="100" spans="1:236" ht="12.75" customHeight="1" x14ac:dyDescent="0.2">
      <c r="A100" s="373"/>
      <c r="B100" s="380"/>
      <c r="F100" s="280"/>
      <c r="G100" s="280"/>
      <c r="H100" s="323"/>
      <c r="I100" s="321"/>
      <c r="J100" s="280"/>
      <c r="K100" s="323"/>
      <c r="L100" s="280"/>
      <c r="N100" s="277"/>
      <c r="O100" s="385" t="s">
        <v>1004</v>
      </c>
      <c r="P100" s="385" t="e">
        <f>IF(ChoixExpèceAuPré="",0,SUMIF(ChoixEspèceAuPré,Bovins,NbreFemelles_18_24MoisAuPréEté))</f>
        <v>#REF!</v>
      </c>
      <c r="Q100" s="385" t="e">
        <f>IF(ChoixExpèceAuPré="",0,SUMIF(ChoixEspèceAuPré,Ovins,NbreFemelles_18_24MoisAuPréEté))</f>
        <v>#REF!</v>
      </c>
      <c r="R100" s="385" t="e">
        <f>IF(ChoixExpèceAuPré="",0,SUMIF(ChoixEspèceAuPré,Caprins,NbreFemelles_18_24MoisAuPréEté))</f>
        <v>#REF!</v>
      </c>
      <c r="S100" s="385" t="e">
        <f>IF(ChoixExpèceAuPré="",0,SUMIF(ChoixEspèceAuPré,Bisons,NbreFemelles_18_24MoisAuPréEté))</f>
        <v>#REF!</v>
      </c>
      <c r="T100" s="385" t="e">
        <f>IF(ChoixExpèceAuPré="",0,SUMIF(ChoixEspèceAuPré,Daims,NbreFemelles_18_24MoisAuPréEté))</f>
        <v>#REF!</v>
      </c>
      <c r="U100" s="385" t="e">
        <f>IF(ChoixExpèceAuPré="",0,SUMIF(ChoixEspèceAuPré,ChevauxSelle,NbreFemelles_18_24MoisAuPréEté))</f>
        <v>#REF!</v>
      </c>
      <c r="V100" s="385" t="e">
        <f>IF(ChoixExpèceAuPré="",0,SUMIF(ChoixEspèceAuPré,ChevauxTrait,NbreFemelles_18_24MoisAuPréEté))</f>
        <v>#REF!</v>
      </c>
      <c r="W100" s="385" t="e">
        <f>IF(ChoixExpèceAuPré="",0,SUMIF(ChoixEspèceAuPré,Poneys,NbreFemelles_18_24MoisAuPréEté))</f>
        <v>#REF!</v>
      </c>
      <c r="Y100" s="385" t="s">
        <v>337</v>
      </c>
      <c r="Z100" s="385">
        <f>IF('coût alimentation'!$B$6=$Y$100,84,0)</f>
        <v>0</v>
      </c>
      <c r="AA100" s="385">
        <f>IF(AND(ChoixBovinsPréEté="OUI",'coût alimentation'!$B$6=$Y$100),42,Z100)</f>
        <v>0</v>
      </c>
      <c r="AB100" s="385">
        <f>IF('coût alimentation'!$B$6=$Y$100,42,0)</f>
        <v>0</v>
      </c>
      <c r="AC100" s="385">
        <f>IF(AND(ChoixCaprinsPréEté="OUI",'coût alimentation'!$B$6=$Y$100),42,Z100)</f>
        <v>0</v>
      </c>
      <c r="AD100" s="385">
        <f>IF(AND(ChoixOvinsPréEté="OUI",'coût alimentation'!$B$6=$Y$100),42,Z100)</f>
        <v>0</v>
      </c>
      <c r="AE100" s="385">
        <f>IF(AND(ChoixChevauxSellePréEté="OUI",'coût alimentation'!$B$6=$Y$100),21,IF(Y100&lt;&gt;'coût alimentation'!$B$6,0,84))</f>
        <v>0</v>
      </c>
      <c r="AF100" s="385">
        <f>IF(AND(ChoixChevauxTraitPréEté="OUI",'coût alimentation'!$B$6=$Y$100),21,IF(Y100&lt;&gt;'coût alimentation'!$B$6,0,84))</f>
        <v>0</v>
      </c>
      <c r="AG100" s="385">
        <f>IF(AND(ChoixPoneysPréEté="OUI",'coût alimentation'!$B$6=$Y$100),21,IF(Y100&lt;&gt;'coût alimentation'!$B$6,0,84))</f>
        <v>0</v>
      </c>
      <c r="BB100" s="387" t="s">
        <v>514</v>
      </c>
      <c r="BC100" s="362" t="s">
        <v>220</v>
      </c>
      <c r="BD100" s="362" t="s">
        <v>887</v>
      </c>
      <c r="BE100" s="388">
        <v>7.2</v>
      </c>
      <c r="BF100" s="388">
        <v>6</v>
      </c>
      <c r="BG100" s="388">
        <v>4</v>
      </c>
      <c r="BH100" s="388">
        <v>2</v>
      </c>
      <c r="BI100" s="388">
        <v>1.2</v>
      </c>
      <c r="BJ100" s="388">
        <v>0.6</v>
      </c>
      <c r="BK100" s="389">
        <v>0</v>
      </c>
      <c r="BL100" s="312"/>
      <c r="BM100" s="350" t="str">
        <f t="shared" si="22"/>
        <v>Soja</v>
      </c>
      <c r="BN100" s="350">
        <f t="array" ref="BN100">IF(Ration_hivernale_complète_bisons[somme]&gt;0,0,IFERROR(IF(OR(AND(INDEX(Règles_bison[Specificite],MATCH(ChoixRationBisons&amp;$BM100,Règles_bison[Ration]&amp;Règles_bison[Aliment],0))="s1",IF($BM100=ChoixSpécificité1Bisons,1)),
INDEX(Règles_bison[Specificite],MATCH(ChoixRationBisons&amp;$BM100,Règles_bison[Ration]&amp;Règles_bison[Aliment],0))="c"),
INDEX(Règles_bison[Valeur 36 et plus],MATCH(ChoixRationBisons&amp;$BM100,Règles_bison[Ration]&amp;Règles_bison[Aliment],0)),0),0)*TotalBisonnes*NbreJoursNourrirBisonsDaims)</f>
        <v>0</v>
      </c>
      <c r="BO100" s="350">
        <f t="array" ref="BO100">IF(Ration_hivernale_complète_bisons[somme]&gt;0,0,IFERROR(IF(OR(AND(INDEX(Règles_bison[Specificite],MATCH(ChoixRationBisons&amp;$BM100,Règles_bison[Ration]&amp;Règles_bison[Aliment],0))="s1",IF($BM100=ChoixSpécificité1Bisons,1)),
INDEX(Règles_bison[Specificite],MATCH(ChoixRationBisons&amp;$BM100,Règles_bison[Ration]&amp;Règles_bison[Aliment],0))="c"),
INDEX(Règles_bison[Valeur 24-36],MATCH(ChoixRationBisons&amp;$BM100,Règles_bison[Ration]&amp;Règles_bison[Aliment],0)),0),0)*TotalBisonsFemelles_24_36_mois*NbreJoursNourrirBisonsDaims)</f>
        <v>0</v>
      </c>
      <c r="BP100" s="350">
        <f t="array" ref="BP100">IF(Ration_hivernale_complète_bisons[somme]&gt;0,0,IFERROR(IF(OR(AND(INDEX(Règles_bison[Specificite],MATCH(ChoixRationBisons&amp;$BM100,Règles_bison[Ration]&amp;Règles_bison[Aliment],0))="s1",IF($BM100=ChoixSpécificité1Bisons,1)),
INDEX(Règles_bison[Specificite],MATCH(ChoixRationBisons&amp;$BM100,Règles_bison[Ration]&amp;Règles_bison[Aliment],0))="c"),
INDEX(Règles_bison[Valeur 18-24],MATCH(ChoixRationBisons&amp;$BM100,Règles_bison[Ration]&amp;Règles_bison[Aliment],0)),0),0)*TotalBisonsFemelles_18_24_mois*NbreJoursNourrirBisonsDaims)</f>
        <v>0</v>
      </c>
      <c r="BQ100" s="350">
        <f t="array" ref="BQ100">IF(Ration_hivernale_complète_bisons[somme]&gt;0,0,IFERROR(IF(OR(AND(INDEX(Règles_bison[Specificite],MATCH(ChoixRationBisons&amp;$BM100,Règles_bison[Ration]&amp;Règles_bison[Aliment],0))="s1",IF($BM100=ChoixSpécificité1Bisons,1)),
INDEX(Règles_bison[Specificite],MATCH(ChoixRationBisons&amp;$BM100,Règles_bison[Ration]&amp;Règles_bison[Aliment],0))="c"),
INDEX(Règles_bison[Valeur 12-18],MATCH(ChoixRationBisons&amp;$BM100,Règles_bison[Ration]&amp;Règles_bison[Aliment],0)),0),0)*TotalBisonsFemelles_12_18_mois*NbreJoursNourrirBisonsDaims)</f>
        <v>0</v>
      </c>
      <c r="BR100" s="350">
        <f t="array" ref="BR100">IF(Ration_hivernale_complète_bisons[somme]&gt;0,0,IFERROR(IF(OR(AND(INDEX(Règles_bison[Specificite],MATCH(ChoixRationBisons&amp;$BM100,Règles_bison[Ration]&amp;Règles_bison[Aliment],0))="s1",IF($BM100=ChoixSpécificité1Bisons,1)),
INDEX(Règles_bison[Specificite],MATCH(ChoixRationBisons&amp;$BM100,Règles_bison[Ration]&amp;Règles_bison[Aliment],0))="c"),
INDEX(Règles_bison[Valeur 6-12],MATCH(ChoixRationBisons&amp;$BM100,Règles_bison[Ration]&amp;Règles_bison[Aliment],0)),0),0)*TotalBisonsFemelles_6_12_mois*NbreJoursNourrirBisonsDaims)</f>
        <v>0</v>
      </c>
      <c r="BS100" s="350">
        <f t="array" ref="BS100">IF(Ration_hivernale_complète_bisons[somme]&gt;0,0,IFERROR(IF(OR(AND(INDEX(Règles_bison[Specificite],MATCH(ChoixRationBisons&amp;$BM100,Règles_bison[Ration]&amp;Règles_bison[Aliment],0))="s1",IF($BM100=ChoixSpécificité1Bisons,1)),
INDEX(Règles_bison[Specificite],MATCH(ChoixRationBisons&amp;$BM100,Règles_bison[Ration]&amp;Règles_bison[Aliment],0))="c"),
INDEX(Règles_bison[Valeur 3-6],MATCH(ChoixRationBisons&amp;$BM100,Règles_bison[Ration]&amp;Règles_bison[Aliment],0)),0),0)*TotalBisonsFemelles_3_6_mois*NbreJoursNourrirBisonsDaims)</f>
        <v>0</v>
      </c>
      <c r="BT100" s="350">
        <f t="array" ref="BT100">IF(Ration_hivernale_complète_bisons[somme]&gt;0,0,IFERROR(IF(OR(AND(INDEX(Règles_bison[Specificite],MATCH(ChoixRationBisons&amp;$BM100,Règles_bison[Ration]&amp;Règles_bison[Aliment],0))="s1",IF($BM100=ChoixSpécificité1Bisons,1)),
INDEX(Règles_bison[Specificite],MATCH(ChoixRationBisons&amp;$BM100,Règles_bison[Ration]&amp;Règles_bison[Aliment],0))="c"),
INDEX(Règles_bison[Valeur 0-3],MATCH(ChoixRationBisons&amp;$BM100,Règles_bison[Ration]&amp;Règles_bison[Aliment],0)),0),0)*TotalBisonsFemelles_0_3_mois*NbreJoursNourrirBisonsDaims)</f>
        <v>0</v>
      </c>
      <c r="BU100" s="350">
        <f t="shared" si="21"/>
        <v>0</v>
      </c>
      <c r="BV100" s="282"/>
      <c r="BW100" s="282"/>
      <c r="BX100" s="373"/>
      <c r="BY100" s="280"/>
      <c r="BZ100" s="280"/>
      <c r="CA100" s="280"/>
      <c r="CB100" s="280"/>
      <c r="CC100" s="280"/>
      <c r="CD100" s="410"/>
      <c r="CE100" s="304"/>
      <c r="CF100" s="304"/>
      <c r="CG100" s="304"/>
      <c r="CH100" s="304"/>
      <c r="CI100" s="277"/>
      <c r="CJ100" s="420" t="str">
        <f t="shared" si="25"/>
        <v>Epinard</v>
      </c>
      <c r="CK100" s="384">
        <f t="array" ref="CK10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00" s="384">
        <f t="array" ref="CL10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00" s="384">
        <f t="array" ref="CM10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00" s="384">
        <f t="array" ref="CN10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00" s="384">
        <f t="array" ref="CO10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00" s="426">
        <f>SUM(AlimentsRationPorcinsFemelles[[#This Row],[Valeur 12 et plus]:[Valeur 0-1]])</f>
        <v>0</v>
      </c>
      <c r="CQ100" s="298"/>
      <c r="CS100" s="420" t="str">
        <f t="shared" ref="CS100:CS137" si="36">CS58</f>
        <v>Betterave</v>
      </c>
      <c r="CT100" s="433">
        <f t="array" ref="CT100">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00" s="433">
        <f t="array" ref="CU100">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00" s="433">
        <f t="array" ref="CV100">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00" s="434">
        <f>SUM(AlimentsRationLapinsFemelles[[#This Row],[Valeur 3 et plus]:[Valeur 0-1]])</f>
        <v>0</v>
      </c>
      <c r="CZ100" s="420" t="str">
        <f t="shared" ref="CZ100:CZ137" si="37">CZ58</f>
        <v>Betterave</v>
      </c>
      <c r="DA100" s="433">
        <f t="array" ref="DA10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00" s="433">
        <f t="array" ref="DB10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00" s="433">
        <f t="array" ref="DC10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00" s="434">
        <f>SUM(AlimentsRationVolaillesFemelles[[#This Row],[Valeur 6 et plus]:[Valeur 0-1]])</f>
        <v>0</v>
      </c>
      <c r="DF100" s="277"/>
      <c r="DG100" s="384" t="str">
        <f t="shared" si="26"/>
        <v>Ensilage d'herbe</v>
      </c>
      <c r="DH100" s="433">
        <f t="array" ref="DH10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00" s="433">
        <f t="array" ref="DI10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00" s="433">
        <f t="array" ref="DJ10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00" s="437">
        <f>SUM(AlimentsRationPintadesFemelles[[#This Row],[Valeur 6 et plus]:[Valeur 0-1]])</f>
        <v>0</v>
      </c>
      <c r="DN100" s="373" t="s">
        <v>514</v>
      </c>
      <c r="DO100" s="280" t="s">
        <v>489</v>
      </c>
      <c r="DP100" s="280" t="s">
        <v>887</v>
      </c>
      <c r="DQ100" s="310">
        <v>1.6</v>
      </c>
      <c r="DR100" s="310">
        <v>1.4</v>
      </c>
      <c r="DS100" s="310">
        <v>1.2</v>
      </c>
      <c r="DT100" s="439">
        <v>1</v>
      </c>
      <c r="DU100" s="298"/>
      <c r="DV100" s="350" t="str">
        <f t="shared" si="23"/>
        <v>Pois</v>
      </c>
      <c r="DW100" s="351">
        <f t="array" ref="DW100">SUM((IF(QualitéAlimentsFaonMâle_0_3_mois=BONNE,VLOOKUP("Pois",AlimentsRationHivernaleDaims,8,FALSE),0)+(IF(QualitéAlimentsFaonFemelle_0_3_mois=BONNE,VLOOKUP("Pois",AlimentsRationHivernaleDaims,8,FALSE),0)+(IF(QualitéAlimentsFaonMâle_3_6_mois=BONNE,VLOOKUP("Pois",AlimentsRationHivernaleDaims,7,FALSE),0)+(IF(QualitéAlimentsFaonFemelle_3_6_mois=BONNE,VLOOKUP("Pois",AlimentsRationHivernaleDaims,7,FALSE),0)+(IF(QualitéAlimentsFaonMâle_6_12_mois=BONNE,VLOOKUP("Pois",AlimentsRationHivernaleDaims,6,FALSE),0)+(IF(QualitéAlimentsFaonFemelle_6_12_mois=BONNE,VLOOKUP("Pois",AlimentsRationHivernaleDaims,6,FALSE),0)+(IF(QualitéAlimentsJeuneDaim_12_18_mois=BONNE,VLOOKUP("Pois",AlimentsRationHivernaleDaims,5,FALSE),0)+(IF(QualitéAlimentsJeuneDaine_12_18_mois=BONNE,VLOOKUP("Pois",AlimentsRationHivernaleDaims,5,FALSE),0)+(IF(QualitéAlimentsJeuneDaim_18_24_mois=BONNE,VLOOKUP("Pois",AlimentsRationHivernaleDaims,4,FALSE),0)+(IF(QualitéAlimentsJeuneDaine_18_24_mois=BONNE,VLOOKUP("Pois",AlimentsRationHivernaleDaims,4,FALSE),0)+(IF(QualitéAlimentsJeuneDaim_24_36_mois=BONNE,VLOOKUP("Pois",AlimentsRationHivernaleDaims,3,FALSE),0)+(IF(QualitéAlimentsJeuneDaine_24_36_mois=BONNE,VLOOKUP("Pois",AlimentsRationHivernaleDaims,3,FALSE),0)+(IF(QualitéAlimentsDaim=BONNE,VLOOKUP("Pois",AlimentsRationHivernaleDaims,2,FALSE),0)+(IF(QualitéAlimentsDaine=BONNE,VLOOKUP("Pois",AlimentsRationHivernaleDaims,2,FALSE),0))))))))))))))))</f>
        <v>0</v>
      </c>
      <c r="DX100" s="351">
        <f t="array" ref="DX100">SUM((IF(QualitéAlimentsFaonMâle_0_3_mois=MOYENNE,VLOOKUP("Pois",AlimentsRationHivernaleDaims,8,FALSE),0)+(IF(QualitéAlimentsFaonFemelle_0_3_mois=MOYENNE,VLOOKUP("Pois",AlimentsRationHivernaleDaims,8,FALSE),0)+(IF(QualitéAlimentsFaonMâle_3_6_mois=MOYENNE,VLOOKUP("Pois",AlimentsRationHivernaleDaims,7,FALSE),0)+(IF(QualitéAlimentsFaonFemelle_3_6_mois=MOYENNE,VLOOKUP("Pois",AlimentsRationHivernaleDaims,7,FALSE),0)+(IF(QualitéAlimentsFaonMâle_6_12_mois=MOYENNE,VLOOKUP("Pois",AlimentsRationHivernaleDaims,6,FALSE),0)+(IF(QualitéAlimentsFaonFemelle_6_12_mois=MOYENNE,VLOOKUP("Pois",AlimentsRationHivernaleDaims,6,FALSE),0)+(IF(QualitéAlimentsJeuneDaim_12_18_mois=MOYENNE,VLOOKUP("Pois",AlimentsRationHivernaleDaims,5,FALSE),0)+(IF(QualitéAlimentsJeuneDaine_12_18_mois=MOYENNE,VLOOKUP("Pois",AlimentsRationHivernaleDaims,5,FALSE),0)+(IF(QualitéAlimentsJeuneDaim_18_24_mois=MOYENNE,VLOOKUP("Pois",AlimentsRationHivernaleDaims,4,FALSE),0)+(IF(QualitéAlimentsJeuneDaine_18_24_mois=MOYENNE,VLOOKUP("Pois",AlimentsRationHivernaleDaims,4,FALSE),0)+(IF(QualitéAlimentsJeuneDaim_24_36_mois=MOYENNE,VLOOKUP("Pois",AlimentsRationHivernaleDaims,3,FALSE),0)+(IF(QualitéAlimentsJeuneDaine_24_36_mois=MOYENNE,VLOOKUP("Pois",AlimentsRationHivernaleDaims,3,FALSE),0)+(IF(QualitéAlimentsDaim=MOYENNE,VLOOKUP("Pois",AlimentsRationHivernaleDaims,2,FALSE),0)+(IF(QualitéAlimentsDaine=MOYENNE,VLOOKUP("Pois",AlimentsRationHivernaleDaims,2,FALSE),0))))))))))))))))</f>
        <v>0</v>
      </c>
      <c r="DY100" s="351">
        <f t="array" ref="DY100">SUM((IF(QualitéAlimentsFaonMâle_0_3_mois=MAUVAISE,VLOOKUP("Pois",AlimentsRationHivernaleDaims,8,FALSE),0)+(IF(QualitéAlimentsFaonFemelle_0_3_mois=MAUVAISE,VLOOKUP("Pois",AlimentsRationHivernaleDaims,8,FALSE),0)+(IF(QualitéAlimentsFaonMâle_3_6_mois=MAUVAISE,VLOOKUP("Pois",AlimentsRationHivernaleDaims,7,FALSE),0)+(IF(QualitéAlimentsFaonFemelle_3_6_mois=MAUVAISE,VLOOKUP("Pois",AlimentsRationHivernaleDaims,7,FALSE),0)+(IF(QualitéAlimentsFaonMâle_6_12_mois=MAUVAISE,VLOOKUP("Pois",AlimentsRationHivernaleDaims,6,FALSE),0)+(IF(QualitéAlimentsFaonFemelle_6_12_mois=MAUVAISE,VLOOKUP("Pois",AlimentsRationHivernaleDaims,6,FALSE),0)+(IF(QualitéAlimentsJeuneDaim_12_18_mois=MAUVAISE,VLOOKUP("Pois",AlimentsRationHivernaleDaims,5,FALSE),0)+(IF(QualitéAlimentsJeuneDaine_12_18_mois=MAUVAISE,VLOOKUP("Pois",AlimentsRationHivernaleDaims,5,FALSE),0)+(IF(QualitéAlimentsJeuneDaim_18_24_mois=MAUVAISE,VLOOKUP("Pois",AlimentsRationHivernaleDaims,4,FALSE),0)+(IF(QualitéAlimentsJeuneDaine_18_24_mois=MAUVAISE,VLOOKUP("Pois",AlimentsRationHivernaleDaims,4,FALSE),0)+(IF(QualitéAlimentsJeuneDaim_24_36_mois=MAUVAISE,VLOOKUP("Pois",AlimentsRationHivernaleDaims,3,FALSE),0)+(IF(QualitéAlimentsJeuneDaine_24_36_mois=MAUVAISE,VLOOKUP("Pois",AlimentsRationHivernaleDaims,3,FALSE),0)+(IF(QualitéAlimentsDaim=MAUVAISE,VLOOKUP("Pois",AlimentsRationHivernaleDaims,2,FALSE),0)+(IF(QualitéAlimentsDaine=MAUVAISE,VLOOKUP("Pois",AlimentsRationHivernaleDaims,2,FALSE),0))))))))))))))))</f>
        <v>0</v>
      </c>
      <c r="DZ100" s="298"/>
      <c r="EA100" s="298"/>
      <c r="EB100" s="298"/>
      <c r="EC100" s="298"/>
      <c r="ED100" s="298"/>
      <c r="EE100" s="298"/>
      <c r="EG100" s="420" t="str">
        <f t="shared" si="30"/>
        <v>Canola</v>
      </c>
      <c r="EH100" s="433">
        <f t="array" ref="EH10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00" s="433">
        <f t="array" ref="EI10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00" s="433">
        <f t="array" ref="EJ10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00" s="434">
        <f>SUM(AlimentsRationOiesFemelles[[#This Row],[Valeur 6 et plus]:[Valeur 0-3]])</f>
        <v>0</v>
      </c>
      <c r="EN100" s="443" t="str">
        <f t="shared" si="28"/>
        <v>Colza</v>
      </c>
      <c r="EO100" s="450">
        <f t="array" ref="EO100">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00" s="450">
        <f t="array" ref="EP100">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00" s="450">
        <f t="array" ref="EQ100">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00" s="451">
        <f>SUM(Ration_canards_Femelles[[#This Row],[Valeur 6 et plus]:[Valeur 0-3]])</f>
        <v>0</v>
      </c>
      <c r="EU100" s="335" t="s">
        <v>1164</v>
      </c>
      <c r="EV100" s="335"/>
      <c r="EW100" s="335"/>
      <c r="EX100" s="335"/>
      <c r="EY100" s="335"/>
      <c r="EZ100" s="335"/>
      <c r="FD100" s="457" t="str">
        <f t="shared" si="33"/>
        <v>Chanvre</v>
      </c>
      <c r="FE100" s="458">
        <f t="array" ref="FE100">IF(OR(ChoixRationComplèteEtéChevauxTrait=OUI,ChoixRationComplèteEtéChevauxTrait="",AND(ChoixChevauxTraitPréHiver=OUI,ChoixChevauxTraitPréEté=OUI)),0,IFERROR(IF(OR(AND(INDEX(Règles_chevaux_trait[Specificite],MATCH(RationEtéChevauxTrait&amp;$FD100,Règles_chevaux_trait[Ration]&amp;Règles_chevaux_trait[Aliment],0))="s1",IF($FD100=Spécificité1ChevauxTrait,1)),
AND(INDEX(Règles_chevaux_trait[Specificite],MATCH(RationEtéChevauxTrait&amp;$FD100,Règles_chevaux_trait[Ration]&amp;Règles_chevaux_trait[Aliment],0))="s2",IF($FD100=Spécificité2ChevauxTrait,1)),
INDEX(Règles_chevaux_trait[Specificite],MATCH(RationEtéChevauxTrait&amp;$FD100,Règles_chevaux_trait[Ration]&amp;Règles_chevaux_trait[Aliment],0))="c"),
INDEX(Règles_chevaux_trait[Valeur 36 et plus],MATCH(RationEtéChevauxTrait&amp;$FD100,Règles_chevaux_trait[Ration]&amp;Règles_chevaux_trait[Aliment],0)),0),0)*TotalJumentTrait*NbreJoursNourrirChevauxTrait)</f>
        <v>0</v>
      </c>
      <c r="FF100" s="458">
        <f t="array" ref="FF100">IF(OR(ChoixRationComplèteEtéChevauxTrait=OUI,ChoixRationComplèteEtéChevauxTrait="",AND(ChoixChevauxTraitPréHiver=OUI,ChoixChevauxTraitPréEté=OUI)),0,IFERROR(IF(OR(AND(INDEX(Règles_chevaux_trait[Specificite],MATCH(RationEtéChevauxTrait&amp;$FD100,Règles_chevaux_trait[Ration]&amp;Règles_chevaux_trait[Aliment],0))="s1",IF($FD100=Spécificité1ChevauxTrait,1)),
AND(INDEX(Règles_chevaux_trait[Specificite],MATCH(RationEtéChevauxTrait&amp;$FD100,Règles_chevaux_trait[Ration]&amp;Règles_chevaux_trait[Aliment],0))="s2",IF($FD100=Spécificité2ChevauxTrait,1)),
INDEX(Règles_chevaux_trait[Specificite],MATCH(RationEtéChevauxTrait&amp;$FD100,Règles_chevaux_trait[Ration]&amp;Règles_chevaux_trait[Aliment],0))="c"),
INDEX(Règles_chevaux_trait[Valeur 24-36],MATCH(RationEtéChevauxTrait&amp;$FD100,Règles_chevaux_trait[Ration]&amp;Règles_chevaux_trait[Aliment],0)),0),0)*TotalJeuneJumentTrait_24_36_mois*NbreJoursNourrirChevauxTrait)</f>
        <v>0</v>
      </c>
      <c r="FG100" s="458">
        <f t="array" ref="FG100">IF(OR(ChoixRationComplèteEtéChevauxTrait=OUI,ChoixRationComplèteEtéChevauxTrait="",AND(ChoixChevauxTraitPréHiver=OUI,ChoixChevauxTraitPréEté=OUI)),0,IFERROR(IF(OR(AND(INDEX(Règles_chevaux_trait[Specificite],MATCH(RationEtéChevauxTrait&amp;$FD100,Règles_chevaux_trait[Ration]&amp;Règles_chevaux_trait[Aliment],0))="s1",IF($FD100=Spécificité1ChevauxTrait,1)),
AND(INDEX(Règles_chevaux_trait[Specificite],MATCH(RationEtéChevauxTrait&amp;$FD100,Règles_chevaux_trait[Ration]&amp;Règles_chevaux_trait[Aliment],0))="s2",IF($FD100=Spécificité2ChevauxTrait,1)),
INDEX(Règles_chevaux_trait[Specificite],MATCH(RationEtéChevauxTrait&amp;$FD100,Règles_chevaux_trait[Ration]&amp;Règles_chevaux_trait[Aliment],0))="c"),
INDEX(Règles_chevaux_trait[Valeur 12-24],MATCH(RationEtéChevauxTrait&amp;$FD100,Règles_chevaux_trait[Ration]&amp;Règles_chevaux_trait[Aliment],0)),0),0)*TotalJeuneJumentTrait_12_24_mois*NbreJoursNourrirChevauxTrait)</f>
        <v>0</v>
      </c>
      <c r="FH100" s="460">
        <f t="array" ref="FH100">IF(OR(ChoixRationComplèteEtéChevauxTrait=OUI,ChoixRationComplèteEtéChevauxTrait="",AND(ChoixChevauxTraitPréHiver=OUI,ChoixChevauxTraitPréEté=OUI)),0,IFERROR(IF(OR(AND(INDEX(Règles_chevaux_trait[Specificite],MATCH(RationEtéChevauxTrait&amp;$FD100,Règles_chevaux_trait[Ration]&amp;Règles_chevaux_trait[Aliment],0))="s1",IF($FD100=Spécificité1ChevauxTrait,1)),
AND(INDEX(Règles_chevaux_trait[Specificite],MATCH(RationEtéChevauxTrait&amp;$FD100,Règles_chevaux_trait[Ration]&amp;Règles_chevaux_trait[Aliment],0))="s2",IF($FD100=Spécificité2ChevauxTrait,1)),
INDEX(Règles_chevaux_trait[Specificite],MATCH(RationEtéChevauxTrait&amp;$FD100,Règles_chevaux_trait[Ration]&amp;Règles_chevaux_trait[Aliment],0))="c"),
INDEX(Règles_chevaux_trait[Valeur 0-12],MATCH(RationEtéChevauxTrait&amp;$FD100,Règles_chevaux_trait[Ration]&amp;Règles_chevaux_trait[Aliment],0)),0),0)*TotalPoulicheTrait_0_12_mois*NbreJoursNourrirChevauxTrait)</f>
        <v>0</v>
      </c>
      <c r="FI100" s="460">
        <f t="shared" si="31"/>
        <v>0</v>
      </c>
      <c r="FJ100" s="298"/>
      <c r="FN100" s="457" t="str">
        <f t="shared" si="32"/>
        <v>Canola</v>
      </c>
      <c r="FO100" s="458">
        <f t="array" ref="FO100">IF(OR(ChoixRationComplèteEtéPoneys=OUI,ChoixRationComplèteEtéPoneys="",AND(ChoixPoneysPréHiver=OUI,ChoixPoneysPréEté=OUI)),0,IFERROR(IF(OR(AND(INDEX(Règles_poneys[Specificite],MATCH(RationHivernaleAuPréPoneys&amp;$FN100,Règles_poneys[Ration]&amp;Règles_poneys[Aliment],0))="s1",IF($FN100=Spécificité1Poneys,1)),
AND(INDEX(Règles_poneys[Specificite],MATCH(RationHivernaleAuPréPoneys&amp;$FN100,Règles_poneys[Ration]&amp;Règles_poneys[Aliment],0))="s2",IF($FN100=Spécificité2Poneys,1)),
INDEX(Règles_poneys[Specificite],MATCH(RationHivernaleAuPréPoneys&amp;$FN100,Règles_poneys[Ration]&amp;Règles_poneys[Aliment],0))="c"),
INDEX(Règles_poneys[Valeur 36 et plus],MATCH(RationHivernaleAuPréPoneys&amp;$FN100,Règles_poneys[Ration]&amp;Règles_poneys[Aliment],0)),0),0)*SUM(TotalPoneysAdultes)*SUM(AG118:AG142))</f>
        <v>0</v>
      </c>
      <c r="FP100" s="458">
        <f t="array" ref="FP100">IF(OR(ChoixRationComplèteEtéPoneys=OUI,ChoixRationComplèteEtéPoneys="",AND(ChoixPoneysPréHiver=OUI,ChoixPoneysPréEté=OUI)),0,IFERROR(IF(OR(AND(INDEX(Règles_poneys[Specificite],MATCH(RationHivernaleAuPréPoneys&amp;$FN100,Règles_poneys[Ration]&amp;Règles_poneys[Aliment],0))="s1",IF($FN100=Spécificité1Poneys,1)),
AND(INDEX(Règles_poneys[Specificite],MATCH(RationHivernaleAuPréPoneys&amp;$FN100,Règles_poneys[Ration]&amp;Règles_poneys[Aliment],0))="s2",IF($FN100=Spécificité2Poneys,1)),
INDEX(Règles_poneys[Specificite],MATCH(RationHivernaleAuPréPoneys&amp;$FN100,Règles_poneys[Ration]&amp;Règles_poneys[Aliment],0))="c"),
INDEX(Règles_poneys[Valeur 24-36],MATCH(RationHivernaleAuPréPoneys&amp;$FN100,Règles_poneys[Ration]&amp;Règles_poneys[Aliment],0)),0),0)*SUM(TotalPoneys_24_36mois)*SUM(AG118:AG142))</f>
        <v>0</v>
      </c>
      <c r="FQ100" s="458">
        <f t="array" ref="FQ100">IF(OR(ChoixRationComplèteEtéPoneys=OUI,ChoixRationComplèteEtéPoneys="",AND(ChoixPoneysPréHiver=OUI,ChoixPoneysPréEté=OUI)),0,IFERROR(IF(OR(AND(INDEX(Règles_poneys[Specificite],MATCH(RationHivernaleAuPréPoneys&amp;$FN100,Règles_poneys[Ration]&amp;Règles_poneys[Aliment],0))="s1",IF($FN100=Spécificité1Poneys,1)),
AND(INDEX(Règles_poneys[Specificite],MATCH(RationHivernaleAuPréPoneys&amp;$FN100,Règles_poneys[Ration]&amp;Règles_poneys[Aliment],0))="s2",IF($FN100=Spécificité2Poneys,1)),
INDEX(Règles_poneys[Specificite],MATCH(RationHivernaleAuPréPoneys&amp;$FN100,Règles_poneys[Ration]&amp;Règles_poneys[Aliment],0))="c"),
INDEX(Règles_poneys[Valeur 12-24],MATCH(RationHivernaleAuPréPoneys&amp;$FN100,Règles_poneys[Ration]&amp;Règles_poneys[Aliment],0)),0),0)*SUM(TotalPoneys_12_24mois)*SUM(AG118:AG142))</f>
        <v>0</v>
      </c>
      <c r="FR100" s="460">
        <f t="array" ref="FR100">IF(OR(ChoixRationComplèteEtéPoneys=OUI,ChoixRationComplèteEtéPoneys="",AND(ChoixPoneysPréHiver=OUI,ChoixPoneysPréEté=OUI)),0,IFERROR(IF(OR(AND(INDEX(Règles_poneys[Specificite],MATCH(RationHivernaleAuPréPoneys&amp;$FN100,Règles_poneys[Ration]&amp;Règles_poneys[Aliment],0))="s1",IF($FN100=Spécificité1Poneys,1)),
AND(INDEX(Règles_poneys[Specificite],MATCH(RationHivernaleAuPréPoneys&amp;$FN100,Règles_poneys[Ration]&amp;Règles_poneys[Aliment],0))="s2",IF($FN100=Spécificité2Poneys,1)),
INDEX(Règles_poneys[Specificite],MATCH(RationHivernaleAuPréPoneys&amp;$FN100,Règles_poneys[Ration]&amp;Règles_poneys[Aliment],0))="c"),
INDEX(Règles_poneys[Valeur 0-12],MATCH(RationHivernaleAuPréPoneys&amp;$FN100,Règles_poneys[Ration]&amp;Règles_poneys[Aliment],0)),0),0)*SUM(TotalPoulainsPoneys)*SUM(AG118:AG142))</f>
        <v>0</v>
      </c>
      <c r="FS100" s="460">
        <f t="shared" si="29"/>
        <v>0</v>
      </c>
      <c r="FT100" s="298"/>
      <c r="FW100" s="443" t="str">
        <f t="shared" si="27"/>
        <v>Ensilage d'herbe</v>
      </c>
      <c r="FX100" s="450">
        <f t="array" ref="FX100">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00" s="450">
        <f t="array" ref="FY100">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00" s="450">
        <f t="array" ref="FZ100">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00" s="450">
        <f t="array" ref="GA100">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00" s="451">
        <f>SUM(AlimentsGavageCanards[[#This Row],[Valeur 6 et plus]:[Valeur 0-1]])</f>
        <v>0</v>
      </c>
      <c r="GG100" s="276" t="s">
        <v>955</v>
      </c>
      <c r="GH100" s="276" t="s">
        <v>955</v>
      </c>
      <c r="GI100" s="276" t="s">
        <v>955</v>
      </c>
      <c r="GJ100" s="276" t="s">
        <v>955</v>
      </c>
      <c r="GK100" s="276" t="s">
        <v>955</v>
      </c>
      <c r="GL100" s="276" t="s">
        <v>955</v>
      </c>
      <c r="GM100" s="276" t="s">
        <v>955</v>
      </c>
      <c r="GN100" s="276" t="s">
        <v>955</v>
      </c>
      <c r="GO100" s="276" t="s">
        <v>955</v>
      </c>
      <c r="GP100" s="276" t="s">
        <v>955</v>
      </c>
      <c r="GQ100" s="276" t="s">
        <v>955</v>
      </c>
      <c r="GR100" s="276" t="s">
        <v>955</v>
      </c>
      <c r="GS100" s="276" t="s">
        <v>955</v>
      </c>
      <c r="GT100" s="276" t="s">
        <v>955</v>
      </c>
      <c r="GU100" s="276" t="s">
        <v>955</v>
      </c>
      <c r="GV100" s="276" t="s">
        <v>955</v>
      </c>
      <c r="GY100" s="444" t="str">
        <f t="shared" ref="GY100:GY103" si="38">GI7</f>
        <v>traitement poiriers</v>
      </c>
      <c r="GZ100" s="444"/>
      <c r="HA100" s="342"/>
      <c r="HB100" s="342" t="e">
        <f>IF(COUNTIF(TypeArticleDansEntrepôt,GY100)=0,0,SUMIF(TypeArticleDansEntrepôt,GY100,QtéArticleDansEntrepôt)*VLOOKUP(GY100,#REF!,2,FALSE))</f>
        <v>#REF!</v>
      </c>
      <c r="HN100" s="342" t="s">
        <v>1068</v>
      </c>
      <c r="HO100" s="342" t="e">
        <f>IF(SUM((VLOOKUP(BDD!BB226,BDD!BB194:BJ232,9,FALSE)+VLOOKUP(BDD!BB316,BDD!BB284:BJ323,9,FALSE))/1000/SUM(AA76:AA100)*IF(#REF!=OUI,35,84)-(#REF!))&lt;0,0,SUM((VLOOKUP(BDD!BB226,BDD!BB194:BJ232,9,FALSE)+VLOOKUP(BDD!BB316,BDD!BB284:BJ323,9,FALSE))/1000/SUM(AA76:AA100)*IF(#REF!=OUI,35,84)-(#REF!)))</f>
        <v>#REF!</v>
      </c>
      <c r="HP100" s="342" t="e">
        <f>IF(SUM(VLOOKUP(BDD!BM68,BDD!BM36:BU69,9,FALSE)/1000*42-(#REF!))&lt;0,0,SUM(VLOOKUP(BDD!BM68,BDD!BM36:BU69,9,FALSE)/1000*42-(#REF!)))</f>
        <v>#REF!</v>
      </c>
      <c r="HQ100" s="342" t="e">
        <f>IF(SUM(VLOOKUP(BDD!CJ82,BDD!CJ50:CP84,7,FALSE)/1000/SUM(Z76:Z100)*84-(#REF!))&lt;0,0,SUM(VLOOKUP(BDD!CJ82,BDD!CJ50:CP84,7,FALSE)/1000/SUM(Z76:Z100)*84-(#REF!)))</f>
        <v>#REF!</v>
      </c>
      <c r="HR100" s="342" t="e">
        <f>IF(SUM(VLOOKUP(BDD!BX138,BDD!BX106:CC140,6,FALSE)/1000/SUM(AC76:AC100)*IF(#REF!=OUI,49,84)-(#REF!))&lt;0,0,SUM(VLOOKUP(BDD!BX138,BDD!BX106:CC140,6,FALSE)/1000/SUM(AC76:AC100)*IF(#REF!=OUI,49,84)-(#REF!)))</f>
        <v>#REF!</v>
      </c>
      <c r="HS100" s="342" t="e">
        <f>IF(SUM(VLOOKUP(BDD!CZ89,AlimentsRationVolaillesMâles[],5,FALSE)/1000/SUM(Z76:Z100)*84-(#REF!)&lt;0),0,SUM(VLOOKUP(BDD!CZ89,AlimentsRationVolaillesMâles[],5,FALSE)/1000/SUM(Z76:Z100)*84-(#REF!)))</f>
        <v>#REF!</v>
      </c>
      <c r="HT100" s="342" t="e">
        <f>IF(SUM(VLOOKUP(BDD!DG80,AlimentsRationPintadesMâles[],5,FALSE)/1000/SUM(Z76:Z100)*84-(#REF!)&lt;0),0,SUM(VLOOKUP(BDD!DG80,AlimentsRationPintadesMâles[],5,FALSE)/1000/SUM(Z76:Z100)*84-(#REF!)))</f>
        <v>#REF!</v>
      </c>
      <c r="HU100" s="342" t="e">
        <f>IF(SUM(VLOOKUP(BDD!CS89,BDD!CS57:CW95,5,FALSE)/1000/SUM(Z76:Z100)*84-(#REF!))&lt;0,0,SUM(VLOOKUP(BDD!CS89,BDD!CS57:CW95,5,FALSE)/1000/SUM(Z76:Z100)*84-(#REF!)))</f>
        <v>#REF!</v>
      </c>
      <c r="HV100" s="342" t="e">
        <f>IF(SUM(VLOOKUP(BDD!DN182,BDD!DN150:DS188,6,FALSE)+VLOOKUP(BDD!DN270,BDD!DN238:DS276,6,FALSE))/1000/SUM(AD76:AD100)*IF(#REF!=OUI,35,84)-(#REF!)&lt;0,0,(SUM(VLOOKUP(BDD!DN182,BDD!DN150:DS188,6,FALSE)+VLOOKUP(BDD!DN270,BDD!DN238:DS276,6,FALSE))/1000/SUM(AD76:AD100)*IF(#REF!=OUI,35,84)-(#REF!)))</f>
        <v>#REF!</v>
      </c>
      <c r="HW100" s="342" t="e">
        <f>IF(SUM(VLOOKUP(BDD!EG85,AlimentsRationOiesMâles[],5,FALSE)/1000/SUM(Z76:Z100)*84+VLOOKUP(BDD!FW75,AlimentsGavageOies[],6,FALSE))-(#REF!)&lt;0,0,SUM(VLOOKUP(BDD!EG85,AlimentsRationOiesMâles[],5,FALSE)/1000/SUM(Z76:Z100)*84+VLOOKUP(BDD!FW75,AlimentsGavageOies[],6,FALSE))-(#REF!))</f>
        <v>#REF!</v>
      </c>
      <c r="HX100" s="342" t="e">
        <f>IF(SUM(VLOOKUP(BDD!EN84,Ration_canards_Mâles[],5,FALSE)/1000/SUM(Z76:Z100)*84+VLOOKUP(BDD!FW122,AlimentsGavageCanards[],6,FALSE))-(#REF!)&lt;0,0,SUM(VLOOKUP(BDD!EN84,Ration_canards_Mâles[],5,FALSE)/1000/SUM(Z76:Z100)*84+VLOOKUP(BDD!FW122,AlimentsGavageCanards[],6,FALSE))-(#REF!))</f>
        <v>#REF!</v>
      </c>
      <c r="HY100" s="342">
        <v>0</v>
      </c>
      <c r="HZ100" s="342">
        <v>0</v>
      </c>
      <c r="IA100" s="342">
        <v>0</v>
      </c>
      <c r="IB100" s="342" t="e">
        <f t="shared" si="35"/>
        <v>#REF!</v>
      </c>
    </row>
    <row r="101" spans="1:236" ht="12.75" customHeight="1" x14ac:dyDescent="0.2">
      <c r="A101" s="373"/>
      <c r="B101" s="380"/>
      <c r="F101" s="280"/>
      <c r="G101" s="280"/>
      <c r="H101" s="323"/>
      <c r="I101" s="280"/>
      <c r="J101" s="280"/>
      <c r="K101" s="323"/>
      <c r="L101" s="280"/>
      <c r="N101" s="277"/>
      <c r="O101" s="385" t="s">
        <v>1005</v>
      </c>
      <c r="P101" s="385" t="e">
        <f>IF(ChoixExpèceAuPré="",0,SUMIF(ChoixEspèceAuPré,Bovins,NbreMâles_24_36MoisAuPréEté))</f>
        <v>#REF!</v>
      </c>
      <c r="Q101" s="385" t="e">
        <f>IF(ChoixExpèceAuPré="",0,SUMIF(ChoixEspèceAuPré,Ovins,NbreMâles_24_36MoisAuPréEté))</f>
        <v>#REF!</v>
      </c>
      <c r="R101" s="385" t="e">
        <f>IF(ChoixExpèceAuPré="",0,SUMIF(ChoixEspèceAuPré,Caprins,NbreMâles_24_36MoisAuPréEté))</f>
        <v>#REF!</v>
      </c>
      <c r="S101" s="385" t="e">
        <f>IF(ChoixExpèceAuPré="",0,SUMIF(ChoixEspèceAuPré,Bisons,NbreMâles_24_36MoisAuPréEté))</f>
        <v>#REF!</v>
      </c>
      <c r="T101" s="385" t="e">
        <f>IF(ChoixExpèceAuPré="",0,SUMIF(ChoixEspèceAuPré,Daims,NbreMâles_24_36MoisAuPréEté))</f>
        <v>#REF!</v>
      </c>
      <c r="U101" s="385" t="e">
        <f>IF(ChoixExpèceAuPré="",0,SUMIF(ChoixEspèceAuPré,ChevauxSelle,NbreMâles_24_36MoisAuPréEté))</f>
        <v>#REF!</v>
      </c>
      <c r="V101" s="385" t="e">
        <f>IF(ChoixExpèceAuPré="",0,SUMIF(ChoixEspèceAuPré,ChevauxTrait,NbreMâles_24_36MoisAuPréEté))</f>
        <v>#REF!</v>
      </c>
      <c r="W101" s="385" t="e">
        <f>IF(ChoixExpèceAuPré="",0,SUMIF(ChoixEspèceAuPré,Poneys,NbreMâles_24_36MoisAuPréEté))</f>
        <v>#REF!</v>
      </c>
      <c r="BB101" s="387" t="s">
        <v>514</v>
      </c>
      <c r="BC101" s="362" t="s">
        <v>70</v>
      </c>
      <c r="BD101" s="362" t="s">
        <v>887</v>
      </c>
      <c r="BE101" s="388">
        <v>7.2</v>
      </c>
      <c r="BF101" s="388">
        <v>6</v>
      </c>
      <c r="BG101" s="388">
        <v>4</v>
      </c>
      <c r="BH101" s="388">
        <v>2</v>
      </c>
      <c r="BI101" s="388">
        <v>1.2</v>
      </c>
      <c r="BJ101" s="388">
        <v>0.6</v>
      </c>
      <c r="BK101" s="389">
        <v>0</v>
      </c>
      <c r="BL101" s="312"/>
      <c r="BM101" s="350" t="str">
        <f t="shared" si="22"/>
        <v>Sorgho ensilé</v>
      </c>
      <c r="BN101" s="350">
        <f t="array" ref="BN101">IF(Ration_hivernale_complète_bisons[somme]&gt;0,0,IFERROR(IF(OR(AND(INDEX(Règles_bison[Specificite],MATCH(ChoixRationBisons&amp;$BM101,Règles_bison[Ration]&amp;Règles_bison[Aliment],0))="s1",IF($BM101=ChoixSpécificité1Bisons,1)),
INDEX(Règles_bison[Specificite],MATCH(ChoixRationBisons&amp;$BM101,Règles_bison[Ration]&amp;Règles_bison[Aliment],0))="c"),
INDEX(Règles_bison[Valeur 36 et plus],MATCH(ChoixRationBisons&amp;$BM101,Règles_bison[Ration]&amp;Règles_bison[Aliment],0)),0),0)*TotalBisonnes*NbreJoursNourrirBisonsDaims)</f>
        <v>0</v>
      </c>
      <c r="BO101" s="350">
        <f t="array" ref="BO101">IF(Ration_hivernale_complète_bisons[somme]&gt;0,0,IFERROR(IF(OR(AND(INDEX(Règles_bison[Specificite],MATCH(ChoixRationBisons&amp;$BM101,Règles_bison[Ration]&amp;Règles_bison[Aliment],0))="s1",IF($BM101=ChoixSpécificité1Bisons,1)),
INDEX(Règles_bison[Specificite],MATCH(ChoixRationBisons&amp;$BM101,Règles_bison[Ration]&amp;Règles_bison[Aliment],0))="c"),
INDEX(Règles_bison[Valeur 24-36],MATCH(ChoixRationBisons&amp;$BM101,Règles_bison[Ration]&amp;Règles_bison[Aliment],0)),0),0)*TotalBisonsFemelles_24_36_mois*NbreJoursNourrirBisonsDaims)</f>
        <v>0</v>
      </c>
      <c r="BP101" s="350">
        <f t="array" ref="BP101">IF(Ration_hivernale_complète_bisons[somme]&gt;0,0,IFERROR(IF(OR(AND(INDEX(Règles_bison[Specificite],MATCH(ChoixRationBisons&amp;$BM101,Règles_bison[Ration]&amp;Règles_bison[Aliment],0))="s1",IF($BM101=ChoixSpécificité1Bisons,1)),
INDEX(Règles_bison[Specificite],MATCH(ChoixRationBisons&amp;$BM101,Règles_bison[Ration]&amp;Règles_bison[Aliment],0))="c"),
INDEX(Règles_bison[Valeur 18-24],MATCH(ChoixRationBisons&amp;$BM101,Règles_bison[Ration]&amp;Règles_bison[Aliment],0)),0),0)*TotalBisonsFemelles_18_24_mois*NbreJoursNourrirBisonsDaims)</f>
        <v>0</v>
      </c>
      <c r="BQ101" s="350">
        <f t="array" ref="BQ101">IF(Ration_hivernale_complète_bisons[somme]&gt;0,0,IFERROR(IF(OR(AND(INDEX(Règles_bison[Specificite],MATCH(ChoixRationBisons&amp;$BM101,Règles_bison[Ration]&amp;Règles_bison[Aliment],0))="s1",IF($BM101=ChoixSpécificité1Bisons,1)),
INDEX(Règles_bison[Specificite],MATCH(ChoixRationBisons&amp;$BM101,Règles_bison[Ration]&amp;Règles_bison[Aliment],0))="c"),
INDEX(Règles_bison[Valeur 12-18],MATCH(ChoixRationBisons&amp;$BM101,Règles_bison[Ration]&amp;Règles_bison[Aliment],0)),0),0)*TotalBisonsFemelles_12_18_mois*NbreJoursNourrirBisonsDaims)</f>
        <v>0</v>
      </c>
      <c r="BR101" s="350">
        <f t="array" ref="BR101">IF(Ration_hivernale_complète_bisons[somme]&gt;0,0,IFERROR(IF(OR(AND(INDEX(Règles_bison[Specificite],MATCH(ChoixRationBisons&amp;$BM101,Règles_bison[Ration]&amp;Règles_bison[Aliment],0))="s1",IF($BM101=ChoixSpécificité1Bisons,1)),
INDEX(Règles_bison[Specificite],MATCH(ChoixRationBisons&amp;$BM101,Règles_bison[Ration]&amp;Règles_bison[Aliment],0))="c"),
INDEX(Règles_bison[Valeur 6-12],MATCH(ChoixRationBisons&amp;$BM101,Règles_bison[Ration]&amp;Règles_bison[Aliment],0)),0),0)*TotalBisonsFemelles_6_12_mois*NbreJoursNourrirBisonsDaims)</f>
        <v>0</v>
      </c>
      <c r="BS101" s="350">
        <f t="array" ref="BS101">IF(Ration_hivernale_complète_bisons[somme]&gt;0,0,IFERROR(IF(OR(AND(INDEX(Règles_bison[Specificite],MATCH(ChoixRationBisons&amp;$BM101,Règles_bison[Ration]&amp;Règles_bison[Aliment],0))="s1",IF($BM101=ChoixSpécificité1Bisons,1)),
INDEX(Règles_bison[Specificite],MATCH(ChoixRationBisons&amp;$BM101,Règles_bison[Ration]&amp;Règles_bison[Aliment],0))="c"),
INDEX(Règles_bison[Valeur 3-6],MATCH(ChoixRationBisons&amp;$BM101,Règles_bison[Ration]&amp;Règles_bison[Aliment],0)),0),0)*TotalBisonsFemelles_3_6_mois*NbreJoursNourrirBisonsDaims)</f>
        <v>0</v>
      </c>
      <c r="BT101" s="350">
        <f t="array" ref="BT101">IF(Ration_hivernale_complète_bisons[somme]&gt;0,0,IFERROR(IF(OR(AND(INDEX(Règles_bison[Specificite],MATCH(ChoixRationBisons&amp;$BM101,Règles_bison[Ration]&amp;Règles_bison[Aliment],0))="s1",IF($BM101=ChoixSpécificité1Bisons,1)),
INDEX(Règles_bison[Specificite],MATCH(ChoixRationBisons&amp;$BM101,Règles_bison[Ration]&amp;Règles_bison[Aliment],0))="c"),
INDEX(Règles_bison[Valeur 0-3],MATCH(ChoixRationBisons&amp;$BM101,Règles_bison[Ration]&amp;Règles_bison[Aliment],0)),0),0)*TotalBisonsFemelles_0_3_mois*NbreJoursNourrirBisonsDaims)</f>
        <v>0</v>
      </c>
      <c r="BU101" s="350">
        <f t="shared" si="21"/>
        <v>0</v>
      </c>
      <c r="BV101" s="282"/>
      <c r="BW101" s="282"/>
      <c r="BX101" s="373"/>
      <c r="BY101" s="280"/>
      <c r="BZ101" s="280"/>
      <c r="CA101" s="280"/>
      <c r="CB101" s="280"/>
      <c r="CC101" s="280"/>
      <c r="CD101" s="410"/>
      <c r="CE101" s="304"/>
      <c r="CF101" s="304"/>
      <c r="CG101" s="304"/>
      <c r="CH101" s="304"/>
      <c r="CI101" s="277"/>
      <c r="CJ101" s="420" t="str">
        <f t="shared" si="25"/>
        <v>Féverole</v>
      </c>
      <c r="CK101" s="384">
        <f t="array" ref="CK10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01" s="384">
        <f t="array" ref="CL10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01" s="384">
        <f t="array" ref="CM10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01" s="384">
        <f t="array" ref="CN10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01" s="384">
        <f t="array" ref="CO10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01" s="426">
        <f>SUM(AlimentsRationPorcinsFemelles[[#This Row],[Valeur 12 et plus]:[Valeur 0-1]])</f>
        <v>0</v>
      </c>
      <c r="CQ101" s="298"/>
      <c r="CS101" s="420" t="str">
        <f t="shared" si="36"/>
        <v>Blé</v>
      </c>
      <c r="CT101" s="433">
        <f t="array" ref="CT101">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01" s="433">
        <f t="array" ref="CU101">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01" s="433">
        <f t="array" ref="CV101">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01" s="434">
        <f>SUM(AlimentsRationLapinsFemelles[[#This Row],[Valeur 3 et plus]:[Valeur 0-1]])</f>
        <v>0</v>
      </c>
      <c r="CZ101" s="420" t="str">
        <f t="shared" si="37"/>
        <v>Blé</v>
      </c>
      <c r="DA101" s="433">
        <f t="array" ref="DA10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01" s="433">
        <f t="array" ref="DB10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01" s="433">
        <f t="array" ref="DC10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01" s="434">
        <f>SUM(AlimentsRationVolaillesFemelles[[#This Row],[Valeur 6 et plus]:[Valeur 0-1]])</f>
        <v>0</v>
      </c>
      <c r="DF101" s="277"/>
      <c r="DG101" s="384" t="str">
        <f t="shared" si="26"/>
        <v>Eau</v>
      </c>
      <c r="DH101" s="433">
        <f t="array" ref="DH10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01" s="433">
        <f t="array" ref="DI10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01" s="433">
        <f t="array" ref="DJ10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01" s="437">
        <f>SUM(AlimentsRationPintadesFemelles[[#This Row],[Valeur 6 et plus]:[Valeur 0-1]])</f>
        <v>0</v>
      </c>
      <c r="DN101" s="373" t="s">
        <v>514</v>
      </c>
      <c r="DO101" s="280" t="s">
        <v>220</v>
      </c>
      <c r="DP101" s="280" t="s">
        <v>887</v>
      </c>
      <c r="DQ101" s="310">
        <v>1.6</v>
      </c>
      <c r="DR101" s="310">
        <v>1.4</v>
      </c>
      <c r="DS101" s="310">
        <v>1.2</v>
      </c>
      <c r="DT101" s="439">
        <v>1</v>
      </c>
      <c r="DU101" s="298"/>
      <c r="DV101" s="350" t="str">
        <f t="shared" si="23"/>
        <v>Pomme de terre</v>
      </c>
      <c r="DW101" s="351">
        <f t="array" ref="DW101">SUM((IF(QualitéAlimentsFaonMâle_0_3_mois=BONNE,VLOOKUP("Pomme de terre",AlimentsRationHivernaleDaims,8,FALSE),0)+(IF(QualitéAlimentsFaonFemelle_0_3_mois=BONNE,VLOOKUP("Pomme de terre",AlimentsRationHivernaleDaims,8,FALSE),0)+(IF(QualitéAlimentsFaonMâle_3_6_mois=BONNE,VLOOKUP("Pomme de terre",AlimentsRationHivernaleDaims,7,FALSE),0)+(IF(QualitéAlimentsFaonFemelle_3_6_mois=BONNE,VLOOKUP("Pomme de terre",AlimentsRationHivernaleDaims,7,FALSE),0)+(IF(QualitéAlimentsFaonMâle_6_12_mois=BONNE,VLOOKUP("Pomme de terre",AlimentsRationHivernaleDaims,6,FALSE),0)+(IF(QualitéAlimentsFaonFemelle_6_12_mois=BONNE,VLOOKUP("Pomme de terre",AlimentsRationHivernaleDaims,6,FALSE),0)+(IF(QualitéAlimentsJeuneDaim_12_18_mois=BONNE,VLOOKUP("Pomme de terre",AlimentsRationHivernaleDaims,5,FALSE),0)+(IF(QualitéAlimentsJeuneDaine_12_18_mois=BONNE,VLOOKUP("Pomme de terre",AlimentsRationHivernaleDaims,5,FALSE),0)+(IF(QualitéAlimentsJeuneDaim_18_24_mois=BONNE,VLOOKUP("Pomme de terre",AlimentsRationHivernaleDaims,4,FALSE),0)+(IF(QualitéAlimentsJeuneDaine_18_24_mois=BONNE,VLOOKUP("Pomme de terre",AlimentsRationHivernaleDaims,4,FALSE),0)+(IF(QualitéAlimentsJeuneDaim_24_36_mois=BONNE,VLOOKUP("Pomme de terre",AlimentsRationHivernaleDaims,3,FALSE),0)+(IF(QualitéAlimentsJeuneDaine_24_36_mois=BONNE,VLOOKUP("Pomme de terre",AlimentsRationHivernaleDaims,3,FALSE),0)+(IF(QualitéAlimentsDaim=BONNE,VLOOKUP("Pomme de terre",AlimentsRationHivernaleDaims,2,FALSE),0)+(IF(QualitéAlimentsDaine=BONNE,VLOOKUP("Pomme de terre",AlimentsRationHivernaleDaims,2,FALSE),0))))))))))))))))</f>
        <v>0</v>
      </c>
      <c r="DX101" s="351">
        <f t="array" ref="DX101">SUM((IF(QualitéAlimentsFaonMâle_0_3_mois=MOYENNE,VLOOKUP("Pomme de terre",AlimentsRationHivernaleDaims,8,FALSE),0)+(IF(QualitéAlimentsFaonFemelle_0_3_mois=MOYENNE,VLOOKUP("Pomme de terre",AlimentsRationHivernaleDaims,8,FALSE),0)+(IF(QualitéAlimentsFaonMâle_3_6_mois=MOYENNE,VLOOKUP("Pomme de terre",AlimentsRationHivernaleDaims,7,FALSE),0)+(IF(QualitéAlimentsFaonFemelle_3_6_mois=MOYENNE,VLOOKUP("Pomme de terre",AlimentsRationHivernaleDaims,7,FALSE),0)+(IF(QualitéAlimentsFaonMâle_6_12_mois=MOYENNE,VLOOKUP("Pomme de terre",AlimentsRationHivernaleDaims,6,FALSE),0)+(IF(QualitéAlimentsFaonFemelle_6_12_mois=MOYENNE,VLOOKUP("Pomme de terre",AlimentsRationHivernaleDaims,6,FALSE),0)+(IF(QualitéAlimentsJeuneDaim_12_18_mois=MOYENNE,VLOOKUP("Pomme de terre",AlimentsRationHivernaleDaims,5,FALSE),0)+(IF(QualitéAlimentsJeuneDaine_12_18_mois=MOYENNE,VLOOKUP("Pomme de terre",AlimentsRationHivernaleDaims,5,FALSE),0)+(IF(QualitéAlimentsJeuneDaim_18_24_mois=MOYENNE,VLOOKUP("Pomme de terre",AlimentsRationHivernaleDaims,4,FALSE),0)+(IF(QualitéAlimentsJeuneDaine_18_24_mois=MOYENNE,VLOOKUP("Pomme de terre",AlimentsRationHivernaleDaims,4,FALSE),0)+(IF(QualitéAlimentsJeuneDaim_24_36_mois=MOYENNE,VLOOKUP("Pomme de terre",AlimentsRationHivernaleDaims,3,FALSE),0)+(IF(QualitéAlimentsJeuneDaine_24_36_mois=MOYENNE,VLOOKUP("Pomme de terre",AlimentsRationHivernaleDaims,3,FALSE),0)+(IF(QualitéAlimentsDaim=MOYENNE,VLOOKUP("Pomme de terre",AlimentsRationHivernaleDaims,2,FALSE),0)+(IF(QualitéAlimentsDaine=MOYENNE,VLOOKUP("Pomme de terre",AlimentsRationHivernaleDaims,2,FALSE),0))))))))))))))))</f>
        <v>0</v>
      </c>
      <c r="DY101" s="351">
        <f t="array" ref="DY101">SUM((IF(QualitéAlimentsFaonMâle_0_3_mois=MAUVAISE,VLOOKUP("Pomme de terre",AlimentsRationHivernaleDaims,8,FALSE),0)+(IF(QualitéAlimentsFaonFemelle_0_3_mois=MAUVAISE,VLOOKUP("Pomme de terre",AlimentsRationHivernaleDaims,8,FALSE),0)+(IF(QualitéAlimentsFaonMâle_3_6_mois=MAUVAISE,VLOOKUP("Pomme de terre",AlimentsRationHivernaleDaims,7,FALSE),0)+(IF(QualitéAlimentsFaonFemelle_3_6_mois=MAUVAISE,VLOOKUP("Pomme de terre",AlimentsRationHivernaleDaims,7,FALSE),0)+(IF(QualitéAlimentsFaonMâle_6_12_mois=MAUVAISE,VLOOKUP("Pomme de terre",AlimentsRationHivernaleDaims,6,FALSE),0)+(IF(QualitéAlimentsFaonFemelle_6_12_mois=MAUVAISE,VLOOKUP("Pomme de terre",AlimentsRationHivernaleDaims,6,FALSE),0)+(IF(QualitéAlimentsJeuneDaim_12_18_mois=MAUVAISE,VLOOKUP("Pomme de terre",AlimentsRationHivernaleDaims,5,FALSE),0)+(IF(QualitéAlimentsJeuneDaine_12_18_mois=MAUVAISE,VLOOKUP("Pomme de terre",AlimentsRationHivernaleDaims,5,FALSE),0)+(IF(QualitéAlimentsJeuneDaim_18_24_mois=MAUVAISE,VLOOKUP("Pomme de terre",AlimentsRationHivernaleDaims,4,FALSE),0)+(IF(QualitéAlimentsJeuneDaine_18_24_mois=MAUVAISE,VLOOKUP("Pomme de terre",AlimentsRationHivernaleDaims,4,FALSE),0)+(IF(QualitéAlimentsJeuneDaim_24_36_mois=MAUVAISE,VLOOKUP("Pomme de terre",AlimentsRationHivernaleDaims,3,FALSE),0)+(IF(QualitéAlimentsJeuneDaine_24_36_mois=MAUVAISE,VLOOKUP("Pomme de terre",AlimentsRationHivernaleDaims,3,FALSE),0)+(IF(QualitéAlimentsDaim=MAUVAISE,VLOOKUP("Pomme de terre",AlimentsRationHivernaleDaims,2,FALSE),0)+(IF(QualitéAlimentsDaine=MAUVAISE,VLOOKUP("Pomme de terre",AlimentsRationHivernaleDaims,2,FALSE),0))))))))))))))))</f>
        <v>0</v>
      </c>
      <c r="DZ101" s="298"/>
      <c r="EA101" s="298"/>
      <c r="EB101" s="298"/>
      <c r="EC101" s="298"/>
      <c r="ED101" s="298"/>
      <c r="EE101" s="298"/>
      <c r="EG101" s="420" t="str">
        <f t="shared" si="30"/>
        <v>Colza</v>
      </c>
      <c r="EH101" s="433">
        <f t="array" ref="EH10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01" s="433">
        <f t="array" ref="EI10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01" s="433">
        <f t="array" ref="EJ10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01" s="434">
        <f>SUM(AlimentsRationOiesFemelles[[#This Row],[Valeur 6 et plus]:[Valeur 0-3]])</f>
        <v>0</v>
      </c>
      <c r="EN101" s="443" t="str">
        <f t="shared" si="28"/>
        <v>concentré jeunes bovins</v>
      </c>
      <c r="EO101" s="450">
        <f t="array" ref="EO101">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01" s="450">
        <f t="array" ref="EP101">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01" s="450">
        <f t="array" ref="EQ101">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01" s="451">
        <f>SUM(Ration_canards_Femelles[[#This Row],[Valeur 6 et plus]:[Valeur 0-3]])</f>
        <v>0</v>
      </c>
      <c r="EU101" s="455" t="s">
        <v>910</v>
      </c>
      <c r="EV101" s="455" t="s">
        <v>895</v>
      </c>
      <c r="EW101" s="455" t="s">
        <v>894</v>
      </c>
      <c r="EX101" s="455" t="s">
        <v>938</v>
      </c>
      <c r="EY101" s="459" t="s">
        <v>937</v>
      </c>
      <c r="EZ101" s="455" t="s">
        <v>903</v>
      </c>
      <c r="FD101" s="457" t="str">
        <f t="shared" si="33"/>
        <v>Canola</v>
      </c>
      <c r="FE101" s="458">
        <f t="array" ref="FE101">IF(OR(ChoixRationComplèteEtéChevauxTrait=OUI,ChoixRationComplèteEtéChevauxTrait="",AND(ChoixChevauxTraitPréHiver=OUI,ChoixChevauxTraitPréEté=OUI)),0,IFERROR(IF(OR(AND(INDEX(Règles_chevaux_trait[Specificite],MATCH(RationEtéChevauxTrait&amp;$FD101,Règles_chevaux_trait[Ration]&amp;Règles_chevaux_trait[Aliment],0))="s1",IF($FD101=Spécificité1ChevauxTrait,1)),
AND(INDEX(Règles_chevaux_trait[Specificite],MATCH(RationEtéChevauxTrait&amp;$FD101,Règles_chevaux_trait[Ration]&amp;Règles_chevaux_trait[Aliment],0))="s2",IF($FD101=Spécificité2ChevauxTrait,1)),
INDEX(Règles_chevaux_trait[Specificite],MATCH(RationEtéChevauxTrait&amp;$FD101,Règles_chevaux_trait[Ration]&amp;Règles_chevaux_trait[Aliment],0))="c"),
INDEX(Règles_chevaux_trait[Valeur 36 et plus],MATCH(RationEtéChevauxTrait&amp;$FD101,Règles_chevaux_trait[Ration]&amp;Règles_chevaux_trait[Aliment],0)),0),0)*TotalJumentTrait*NbreJoursNourrirChevauxTrait)</f>
        <v>0</v>
      </c>
      <c r="FF101" s="458">
        <f t="array" ref="FF101">IF(OR(ChoixRationComplèteEtéChevauxTrait=OUI,ChoixRationComplèteEtéChevauxTrait="",AND(ChoixChevauxTraitPréHiver=OUI,ChoixChevauxTraitPréEté=OUI)),0,IFERROR(IF(OR(AND(INDEX(Règles_chevaux_trait[Specificite],MATCH(RationEtéChevauxTrait&amp;$FD101,Règles_chevaux_trait[Ration]&amp;Règles_chevaux_trait[Aliment],0))="s1",IF($FD101=Spécificité1ChevauxTrait,1)),
AND(INDEX(Règles_chevaux_trait[Specificite],MATCH(RationEtéChevauxTrait&amp;$FD101,Règles_chevaux_trait[Ration]&amp;Règles_chevaux_trait[Aliment],0))="s2",IF($FD101=Spécificité2ChevauxTrait,1)),
INDEX(Règles_chevaux_trait[Specificite],MATCH(RationEtéChevauxTrait&amp;$FD101,Règles_chevaux_trait[Ration]&amp;Règles_chevaux_trait[Aliment],0))="c"),
INDEX(Règles_chevaux_trait[Valeur 24-36],MATCH(RationEtéChevauxTrait&amp;$FD101,Règles_chevaux_trait[Ration]&amp;Règles_chevaux_trait[Aliment],0)),0),0)*TotalJeuneJumentTrait_24_36_mois*NbreJoursNourrirChevauxTrait)</f>
        <v>0</v>
      </c>
      <c r="FG101" s="458">
        <f t="array" ref="FG101">IF(OR(ChoixRationComplèteEtéChevauxTrait=OUI,ChoixRationComplèteEtéChevauxTrait="",AND(ChoixChevauxTraitPréHiver=OUI,ChoixChevauxTraitPréEté=OUI)),0,IFERROR(IF(OR(AND(INDEX(Règles_chevaux_trait[Specificite],MATCH(RationEtéChevauxTrait&amp;$FD101,Règles_chevaux_trait[Ration]&amp;Règles_chevaux_trait[Aliment],0))="s1",IF($FD101=Spécificité1ChevauxTrait,1)),
AND(INDEX(Règles_chevaux_trait[Specificite],MATCH(RationEtéChevauxTrait&amp;$FD101,Règles_chevaux_trait[Ration]&amp;Règles_chevaux_trait[Aliment],0))="s2",IF($FD101=Spécificité2ChevauxTrait,1)),
INDEX(Règles_chevaux_trait[Specificite],MATCH(RationEtéChevauxTrait&amp;$FD101,Règles_chevaux_trait[Ration]&amp;Règles_chevaux_trait[Aliment],0))="c"),
INDEX(Règles_chevaux_trait[Valeur 12-24],MATCH(RationEtéChevauxTrait&amp;$FD101,Règles_chevaux_trait[Ration]&amp;Règles_chevaux_trait[Aliment],0)),0),0)*TotalJeuneJumentTrait_12_24_mois*NbreJoursNourrirChevauxTrait)</f>
        <v>0</v>
      </c>
      <c r="FH101" s="460">
        <f t="array" ref="FH101">IF(OR(ChoixRationComplèteEtéChevauxTrait=OUI,ChoixRationComplèteEtéChevauxTrait="",AND(ChoixChevauxTraitPréHiver=OUI,ChoixChevauxTraitPréEté=OUI)),0,IFERROR(IF(OR(AND(INDEX(Règles_chevaux_trait[Specificite],MATCH(RationEtéChevauxTrait&amp;$FD101,Règles_chevaux_trait[Ration]&amp;Règles_chevaux_trait[Aliment],0))="s1",IF($FD101=Spécificité1ChevauxTrait,1)),
AND(INDEX(Règles_chevaux_trait[Specificite],MATCH(RationEtéChevauxTrait&amp;$FD101,Règles_chevaux_trait[Ration]&amp;Règles_chevaux_trait[Aliment],0))="s2",IF($FD101=Spécificité2ChevauxTrait,1)),
INDEX(Règles_chevaux_trait[Specificite],MATCH(RationEtéChevauxTrait&amp;$FD101,Règles_chevaux_trait[Ration]&amp;Règles_chevaux_trait[Aliment],0))="c"),
INDEX(Règles_chevaux_trait[Valeur 0-12],MATCH(RationEtéChevauxTrait&amp;$FD101,Règles_chevaux_trait[Ration]&amp;Règles_chevaux_trait[Aliment],0)),0),0)*TotalPoulicheTrait_0_12_mois*NbreJoursNourrirChevauxTrait)</f>
        <v>0</v>
      </c>
      <c r="FI101" s="460">
        <f t="shared" si="31"/>
        <v>0</v>
      </c>
      <c r="FJ101" s="298"/>
      <c r="FN101" s="457" t="str">
        <f t="shared" si="32"/>
        <v>Colza</v>
      </c>
      <c r="FO101" s="458">
        <f t="array" ref="FO101">IF(OR(ChoixRationComplèteEtéPoneys=OUI,ChoixRationComplèteEtéPoneys="",AND(ChoixPoneysPréHiver=OUI,ChoixPoneysPréEté=OUI)),0,IFERROR(IF(OR(AND(INDEX(Règles_poneys[Specificite],MATCH(RationHivernaleAuPréPoneys&amp;$FN101,Règles_poneys[Ration]&amp;Règles_poneys[Aliment],0))="s1",IF($FN101=Spécificité1Poneys,1)),
AND(INDEX(Règles_poneys[Specificite],MATCH(RationHivernaleAuPréPoneys&amp;$FN101,Règles_poneys[Ration]&amp;Règles_poneys[Aliment],0))="s2",IF($FN101=Spécificité2Poneys,1)),
INDEX(Règles_poneys[Specificite],MATCH(RationHivernaleAuPréPoneys&amp;$FN101,Règles_poneys[Ration]&amp;Règles_poneys[Aliment],0))="c"),
INDEX(Règles_poneys[Valeur 36 et plus],MATCH(RationHivernaleAuPréPoneys&amp;$FN101,Règles_poneys[Ration]&amp;Règles_poneys[Aliment],0)),0),0)*SUM(TotalPoneysAdultes)*SUM(AG118:AG142))</f>
        <v>0</v>
      </c>
      <c r="FP101" s="458">
        <f t="array" ref="FP101">IF(OR(ChoixRationComplèteEtéPoneys=OUI,ChoixRationComplèteEtéPoneys="",AND(ChoixPoneysPréHiver=OUI,ChoixPoneysPréEté=OUI)),0,IFERROR(IF(OR(AND(INDEX(Règles_poneys[Specificite],MATCH(RationHivernaleAuPréPoneys&amp;$FN101,Règles_poneys[Ration]&amp;Règles_poneys[Aliment],0))="s1",IF($FN101=Spécificité1Poneys,1)),
AND(INDEX(Règles_poneys[Specificite],MATCH(RationHivernaleAuPréPoneys&amp;$FN101,Règles_poneys[Ration]&amp;Règles_poneys[Aliment],0))="s2",IF($FN101=Spécificité2Poneys,1)),
INDEX(Règles_poneys[Specificite],MATCH(RationHivernaleAuPréPoneys&amp;$FN101,Règles_poneys[Ration]&amp;Règles_poneys[Aliment],0))="c"),
INDEX(Règles_poneys[Valeur 24-36],MATCH(RationHivernaleAuPréPoneys&amp;$FN101,Règles_poneys[Ration]&amp;Règles_poneys[Aliment],0)),0),0)*SUM(TotalPoneys_24_36mois)*SUM(AG118:AG142))</f>
        <v>0</v>
      </c>
      <c r="FQ101" s="458">
        <f t="array" ref="FQ101">IF(OR(ChoixRationComplèteEtéPoneys=OUI,ChoixRationComplèteEtéPoneys="",AND(ChoixPoneysPréHiver=OUI,ChoixPoneysPréEté=OUI)),0,IFERROR(IF(OR(AND(INDEX(Règles_poneys[Specificite],MATCH(RationHivernaleAuPréPoneys&amp;$FN101,Règles_poneys[Ration]&amp;Règles_poneys[Aliment],0))="s1",IF($FN101=Spécificité1Poneys,1)),
AND(INDEX(Règles_poneys[Specificite],MATCH(RationHivernaleAuPréPoneys&amp;$FN101,Règles_poneys[Ration]&amp;Règles_poneys[Aliment],0))="s2",IF($FN101=Spécificité2Poneys,1)),
INDEX(Règles_poneys[Specificite],MATCH(RationHivernaleAuPréPoneys&amp;$FN101,Règles_poneys[Ration]&amp;Règles_poneys[Aliment],0))="c"),
INDEX(Règles_poneys[Valeur 12-24],MATCH(RationHivernaleAuPréPoneys&amp;$FN101,Règles_poneys[Ration]&amp;Règles_poneys[Aliment],0)),0),0)*SUM(TotalPoneys_12_24mois)*SUM(AG118:AG142))</f>
        <v>0</v>
      </c>
      <c r="FR101" s="460">
        <f t="array" ref="FR101">IF(OR(ChoixRationComplèteEtéPoneys=OUI,ChoixRationComplèteEtéPoneys="",AND(ChoixPoneysPréHiver=OUI,ChoixPoneysPréEté=OUI)),0,IFERROR(IF(OR(AND(INDEX(Règles_poneys[Specificite],MATCH(RationHivernaleAuPréPoneys&amp;$FN101,Règles_poneys[Ration]&amp;Règles_poneys[Aliment],0))="s1",IF($FN101=Spécificité1Poneys,1)),
AND(INDEX(Règles_poneys[Specificite],MATCH(RationHivernaleAuPréPoneys&amp;$FN101,Règles_poneys[Ration]&amp;Règles_poneys[Aliment],0))="s2",IF($FN101=Spécificité2Poneys,1)),
INDEX(Règles_poneys[Specificite],MATCH(RationHivernaleAuPréPoneys&amp;$FN101,Règles_poneys[Ration]&amp;Règles_poneys[Aliment],0))="c"),
INDEX(Règles_poneys[Valeur 0-12],MATCH(RationHivernaleAuPréPoneys&amp;$FN101,Règles_poneys[Ration]&amp;Règles_poneys[Aliment],0)),0),0)*SUM(TotalPoulainsPoneys)*SUM(AG118:AG142))</f>
        <v>0</v>
      </c>
      <c r="FS101" s="460">
        <f t="shared" si="29"/>
        <v>0</v>
      </c>
      <c r="FT101" s="298"/>
      <c r="FW101" s="443" t="str">
        <f t="shared" si="27"/>
        <v>Eau</v>
      </c>
      <c r="FX101" s="450">
        <f t="array" ref="FX101">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01" s="450">
        <f t="array" ref="FY101">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01" s="450">
        <f t="array" ref="FZ101">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01" s="450">
        <f t="array" ref="GA101">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01" s="451">
        <f>SUM(AlimentsGavageCanards[[#This Row],[Valeur 6 et plus]:[Valeur 0-1]])</f>
        <v>0</v>
      </c>
      <c r="GG101" s="276" t="s">
        <v>955</v>
      </c>
      <c r="GH101" s="276" t="s">
        <v>955</v>
      </c>
      <c r="GI101" s="276" t="s">
        <v>955</v>
      </c>
      <c r="GJ101" s="276" t="s">
        <v>955</v>
      </c>
      <c r="GK101" s="276" t="s">
        <v>955</v>
      </c>
      <c r="GL101" s="276" t="s">
        <v>955</v>
      </c>
      <c r="GM101" s="276" t="s">
        <v>955</v>
      </c>
      <c r="GN101" s="276" t="s">
        <v>955</v>
      </c>
      <c r="GO101" s="276" t="s">
        <v>955</v>
      </c>
      <c r="GP101" s="276" t="s">
        <v>955</v>
      </c>
      <c r="GQ101" s="276" t="s">
        <v>955</v>
      </c>
      <c r="GR101" s="276" t="s">
        <v>955</v>
      </c>
      <c r="GS101" s="276" t="s">
        <v>955</v>
      </c>
      <c r="GT101" s="276" t="s">
        <v>955</v>
      </c>
      <c r="GU101" s="276" t="s">
        <v>955</v>
      </c>
      <c r="GV101" s="276" t="s">
        <v>955</v>
      </c>
      <c r="GY101" s="444" t="str">
        <f t="shared" si="38"/>
        <v>traitement pommiers</v>
      </c>
      <c r="GZ101" s="444"/>
      <c r="HA101" s="342"/>
      <c r="HB101" s="342" t="e">
        <f>IF(COUNTIF(TypeArticleDansEntrepôt,GY101)=0,0,SUMIF(TypeArticleDansEntrepôt,GY101,QtéArticleDansEntrepôt)*VLOOKUP(GY101,#REF!,2,FALSE))</f>
        <v>#REF!</v>
      </c>
      <c r="HN101" s="342" t="s">
        <v>1069</v>
      </c>
      <c r="HO101" s="342" t="e">
        <f>IF(SUM((VLOOKUP(BDD!BB221,BDD!BB194:BJ232,9,FALSE)+VLOOKUP(BDD!BB311,BDD!BB284:BJ323,9,FALSE))/1000/SUM(AA76:AA100)*IF(#REF!=OUI,35,84)-(#REF!))&lt;0,0,SUM((VLOOKUP(BDD!BB221,BDD!BB194:BJ232,9,FALSE)+VLOOKUP(BDD!BB311,BDD!BB284:BJ323,9,FALSE))/1000/SUM(AA76:AA100)*IF(#REF!=OUI,35,84)-(#REF!)))</f>
        <v>#REF!</v>
      </c>
      <c r="HP101" s="342" t="e">
        <f>IF(SUM(VLOOKUP(BDD!BM63,BDD!BM36:BU69,9,FALSE)/1000*42-(#REF!))&lt;0,0,SUM(VLOOKUP(BDD!BM63,BDD!BM36:BU69,9,FALSE)/1000*42-(#REF!)))</f>
        <v>#REF!</v>
      </c>
      <c r="HQ101" s="342">
        <v>0</v>
      </c>
      <c r="HR101" s="342">
        <v>0</v>
      </c>
      <c r="HS101" s="342">
        <v>0</v>
      </c>
      <c r="HT101" s="342">
        <v>0</v>
      </c>
      <c r="HU101" s="342">
        <v>0</v>
      </c>
      <c r="HV101" s="342">
        <v>0</v>
      </c>
      <c r="HW101" s="342">
        <v>0</v>
      </c>
      <c r="HX101" s="342" t="e">
        <f>IF(SUM(VLOOKUP(BDD!EN79,Ration_canards_Mâles[],5,FALSE)/1000/SUM(Z76:Z100)*84+VLOOKUP(BDD!FW117,AlimentsGavageCanards[],6,FALSE))-(#REF!)&lt;0,0,SUM(VLOOKUP(BDD!EN79,Ration_canards_Mâles[],5,FALSE)/1000/SUM(Z76:Z100)*84+VLOOKUP(BDD!FW117,AlimentsGavageCanards[],6,FALSE))-(#REF!))</f>
        <v>#REF!</v>
      </c>
      <c r="HY101" s="342">
        <v>0</v>
      </c>
      <c r="HZ101" s="342">
        <v>0</v>
      </c>
      <c r="IA101" s="342">
        <v>0</v>
      </c>
      <c r="IB101" s="342" t="e">
        <f t="shared" si="35"/>
        <v>#REF!</v>
      </c>
    </row>
    <row r="102" spans="1:236" ht="12.75" customHeight="1" x14ac:dyDescent="0.2">
      <c r="A102" s="373"/>
      <c r="B102" s="380"/>
      <c r="F102" s="280"/>
      <c r="G102" s="280"/>
      <c r="H102" s="323"/>
      <c r="I102" s="280"/>
      <c r="J102" s="321"/>
      <c r="K102" s="321"/>
      <c r="L102" s="321"/>
      <c r="N102" s="277"/>
      <c r="O102" s="385" t="s">
        <v>1006</v>
      </c>
      <c r="P102" s="385" t="e">
        <f>IF(ChoixExpèceAuPré="",0,SUMIF(ChoixEspèceAuPré,Bovins,NbreFemelles_24_36MoisAuPréEté))</f>
        <v>#REF!</v>
      </c>
      <c r="Q102" s="385" t="e">
        <f>IF(ChoixExpèceAuPré="",0,SUMIF(ChoixEspèceAuPré,Ovins,NbreFemelles_24_36MoisAuPréEté))</f>
        <v>#REF!</v>
      </c>
      <c r="R102" s="385" t="e">
        <f>IF(ChoixExpèceAuPré="",0,SUMIF(ChoixEspèceAuPré,Caprins,NbreFemelles_24_36MoisAuPréEté))</f>
        <v>#REF!</v>
      </c>
      <c r="S102" s="385" t="e">
        <f>IF(ChoixExpèceAuPré="",0,SUMIF(ChoixEspèceAuPré,Bisons,NbreFemelles_24_36MoisAuPréEté))</f>
        <v>#REF!</v>
      </c>
      <c r="T102" s="385" t="e">
        <f>IF(ChoixExpèceAuPré="",0,SUMIF(ChoixEspèceAuPré,Daims,NbreFemelles_24_36MoisAuPréEté))</f>
        <v>#REF!</v>
      </c>
      <c r="U102" s="385" t="e">
        <f>IF(ChoixExpèceAuPré="",0,SUMIF(ChoixEspèceAuPré,ChevauxSelle,NbreFemelles_24_36MoisAuPréEté))</f>
        <v>#REF!</v>
      </c>
      <c r="V102" s="385" t="e">
        <f>IF(ChoixExpèceAuPré="",0,SUMIF(ChoixEspèceAuPré,ChevauxTrait,NbreFemelles_24_36MoisAuPréEté))</f>
        <v>#REF!</v>
      </c>
      <c r="W102" s="385" t="e">
        <f>IF(ChoixExpèceAuPré="",0,SUMIF(ChoixEspèceAuPré,Poneys,NbreFemelles_24_36MoisAuPréEté))</f>
        <v>#REF!</v>
      </c>
      <c r="BB102" s="387" t="s">
        <v>514</v>
      </c>
      <c r="BC102" s="362" t="s">
        <v>907</v>
      </c>
      <c r="BD102" s="362" t="s">
        <v>888</v>
      </c>
      <c r="BE102" s="388">
        <v>4.8</v>
      </c>
      <c r="BF102" s="388">
        <v>4</v>
      </c>
      <c r="BG102" s="388">
        <v>4</v>
      </c>
      <c r="BH102" s="388">
        <v>4</v>
      </c>
      <c r="BI102" s="388">
        <v>2</v>
      </c>
      <c r="BJ102" s="388">
        <v>1.2</v>
      </c>
      <c r="BK102" s="389">
        <v>0</v>
      </c>
      <c r="BL102" s="312"/>
      <c r="BM102" s="350" t="str">
        <f t="shared" si="22"/>
        <v>Tournesol</v>
      </c>
      <c r="BN102" s="350">
        <f t="array" ref="BN102">IF(Ration_hivernale_complète_bisons[somme]&gt;0,0,IFERROR(IF(OR(AND(INDEX(Règles_bison[Specificite],MATCH(ChoixRationBisons&amp;$BM102,Règles_bison[Ration]&amp;Règles_bison[Aliment],0))="s1",IF($BM102=ChoixSpécificité1Bisons,1)),
INDEX(Règles_bison[Specificite],MATCH(ChoixRationBisons&amp;$BM102,Règles_bison[Ration]&amp;Règles_bison[Aliment],0))="c"),
INDEX(Règles_bison[Valeur 36 et plus],MATCH(ChoixRationBisons&amp;$BM102,Règles_bison[Ration]&amp;Règles_bison[Aliment],0)),0),0)*TotalBisonnes*NbreJoursNourrirBisonsDaims)</f>
        <v>0</v>
      </c>
      <c r="BO102" s="350">
        <f t="array" ref="BO102">IF(Ration_hivernale_complète_bisons[somme]&gt;0,0,IFERROR(IF(OR(AND(INDEX(Règles_bison[Specificite],MATCH(ChoixRationBisons&amp;$BM102,Règles_bison[Ration]&amp;Règles_bison[Aliment],0))="s1",IF($BM102=ChoixSpécificité1Bisons,1)),
INDEX(Règles_bison[Specificite],MATCH(ChoixRationBisons&amp;$BM102,Règles_bison[Ration]&amp;Règles_bison[Aliment],0))="c"),
INDEX(Règles_bison[Valeur 24-36],MATCH(ChoixRationBisons&amp;$BM102,Règles_bison[Ration]&amp;Règles_bison[Aliment],0)),0),0)*TotalBisonsFemelles_24_36_mois*NbreJoursNourrirBisonsDaims)</f>
        <v>0</v>
      </c>
      <c r="BP102" s="350">
        <f t="array" ref="BP102">IF(Ration_hivernale_complète_bisons[somme]&gt;0,0,IFERROR(IF(OR(AND(INDEX(Règles_bison[Specificite],MATCH(ChoixRationBisons&amp;$BM102,Règles_bison[Ration]&amp;Règles_bison[Aliment],0))="s1",IF($BM102=ChoixSpécificité1Bisons,1)),
INDEX(Règles_bison[Specificite],MATCH(ChoixRationBisons&amp;$BM102,Règles_bison[Ration]&amp;Règles_bison[Aliment],0))="c"),
INDEX(Règles_bison[Valeur 18-24],MATCH(ChoixRationBisons&amp;$BM102,Règles_bison[Ration]&amp;Règles_bison[Aliment],0)),0),0)*TotalBisonsFemelles_18_24_mois*NbreJoursNourrirBisonsDaims)</f>
        <v>0</v>
      </c>
      <c r="BQ102" s="350">
        <f t="array" ref="BQ102">IF(Ration_hivernale_complète_bisons[somme]&gt;0,0,IFERROR(IF(OR(AND(INDEX(Règles_bison[Specificite],MATCH(ChoixRationBisons&amp;$BM102,Règles_bison[Ration]&amp;Règles_bison[Aliment],0))="s1",IF($BM102=ChoixSpécificité1Bisons,1)),
INDEX(Règles_bison[Specificite],MATCH(ChoixRationBisons&amp;$BM102,Règles_bison[Ration]&amp;Règles_bison[Aliment],0))="c"),
INDEX(Règles_bison[Valeur 12-18],MATCH(ChoixRationBisons&amp;$BM102,Règles_bison[Ration]&amp;Règles_bison[Aliment],0)),0),0)*TotalBisonsFemelles_12_18_mois*NbreJoursNourrirBisonsDaims)</f>
        <v>0</v>
      </c>
      <c r="BR102" s="350">
        <f t="array" ref="BR102">IF(Ration_hivernale_complète_bisons[somme]&gt;0,0,IFERROR(IF(OR(AND(INDEX(Règles_bison[Specificite],MATCH(ChoixRationBisons&amp;$BM102,Règles_bison[Ration]&amp;Règles_bison[Aliment],0))="s1",IF($BM102=ChoixSpécificité1Bisons,1)),
INDEX(Règles_bison[Specificite],MATCH(ChoixRationBisons&amp;$BM102,Règles_bison[Ration]&amp;Règles_bison[Aliment],0))="c"),
INDEX(Règles_bison[Valeur 6-12],MATCH(ChoixRationBisons&amp;$BM102,Règles_bison[Ration]&amp;Règles_bison[Aliment],0)),0),0)*TotalBisonsFemelles_6_12_mois*NbreJoursNourrirBisonsDaims)</f>
        <v>0</v>
      </c>
      <c r="BS102" s="350">
        <f t="array" ref="BS102">IF(Ration_hivernale_complète_bisons[somme]&gt;0,0,IFERROR(IF(OR(AND(INDEX(Règles_bison[Specificite],MATCH(ChoixRationBisons&amp;$BM102,Règles_bison[Ration]&amp;Règles_bison[Aliment],0))="s1",IF($BM102=ChoixSpécificité1Bisons,1)),
INDEX(Règles_bison[Specificite],MATCH(ChoixRationBisons&amp;$BM102,Règles_bison[Ration]&amp;Règles_bison[Aliment],0))="c"),
INDEX(Règles_bison[Valeur 3-6],MATCH(ChoixRationBisons&amp;$BM102,Règles_bison[Ration]&amp;Règles_bison[Aliment],0)),0),0)*TotalBisonsFemelles_3_6_mois*NbreJoursNourrirBisonsDaims)</f>
        <v>0</v>
      </c>
      <c r="BT102" s="350">
        <f t="array" ref="BT102">IF(Ration_hivernale_complète_bisons[somme]&gt;0,0,IFERROR(IF(OR(AND(INDEX(Règles_bison[Specificite],MATCH(ChoixRationBisons&amp;$BM102,Règles_bison[Ration]&amp;Règles_bison[Aliment],0))="s1",IF($BM102=ChoixSpécificité1Bisons,1)),
INDEX(Règles_bison[Specificite],MATCH(ChoixRationBisons&amp;$BM102,Règles_bison[Ration]&amp;Règles_bison[Aliment],0))="c"),
INDEX(Règles_bison[Valeur 0-3],MATCH(ChoixRationBisons&amp;$BM102,Règles_bison[Ration]&amp;Règles_bison[Aliment],0)),0),0)*TotalBisonsFemelles_0_3_mois*NbreJoursNourrirBisonsDaims)</f>
        <v>0</v>
      </c>
      <c r="BU102" s="350">
        <f t="shared" si="21"/>
        <v>0</v>
      </c>
      <c r="BV102" s="282"/>
      <c r="BW102" s="282"/>
      <c r="BX102" s="376"/>
      <c r="BY102" s="305"/>
      <c r="BZ102" s="305"/>
      <c r="CA102" s="305"/>
      <c r="CB102" s="305"/>
      <c r="CC102" s="305"/>
      <c r="CD102" s="411"/>
      <c r="CE102" s="304"/>
      <c r="CF102" s="304"/>
      <c r="CG102" s="304"/>
      <c r="CH102" s="304"/>
      <c r="CI102" s="277"/>
      <c r="CJ102" s="420" t="str">
        <f t="shared" si="25"/>
        <v>Foin</v>
      </c>
      <c r="CK102" s="384">
        <f t="array" ref="CK10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02" s="384">
        <f t="array" ref="CL10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02" s="384">
        <f t="array" ref="CM10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02" s="384">
        <f t="array" ref="CN10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02" s="384">
        <f t="array" ref="CO10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02" s="426">
        <f>SUM(AlimentsRationPorcinsFemelles[[#This Row],[Valeur 12 et plus]:[Valeur 0-1]])</f>
        <v>0</v>
      </c>
      <c r="CQ102" s="298"/>
      <c r="CS102" s="420" t="str">
        <f t="shared" si="36"/>
        <v>Bouchons luzerne</v>
      </c>
      <c r="CT102" s="433">
        <f t="array" ref="CT102">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02" s="433">
        <f t="array" ref="CU102">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02" s="433">
        <f t="array" ref="CV102">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02" s="434">
        <f>SUM(AlimentsRationLapinsFemelles[[#This Row],[Valeur 3 et plus]:[Valeur 0-1]])</f>
        <v>0</v>
      </c>
      <c r="CZ102" s="420" t="str">
        <f t="shared" si="37"/>
        <v>Bouchons luzerne</v>
      </c>
      <c r="DA102" s="433">
        <f t="array" ref="DA10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02" s="433">
        <f t="array" ref="DB10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02" s="433">
        <f t="array" ref="DC10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02" s="434">
        <f>SUM(AlimentsRationVolaillesFemelles[[#This Row],[Valeur 6 et plus]:[Valeur 0-1]])</f>
        <v>0</v>
      </c>
      <c r="DF102" s="277"/>
      <c r="DG102" s="384" t="str">
        <f t="shared" si="26"/>
        <v>Epinard</v>
      </c>
      <c r="DH102" s="433">
        <f t="array" ref="DH10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02" s="433">
        <f t="array" ref="DI10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02" s="433">
        <f t="array" ref="DJ10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02" s="437">
        <f>SUM(AlimentsRationPintadesFemelles[[#This Row],[Valeur 6 et plus]:[Valeur 0-1]])</f>
        <v>0</v>
      </c>
      <c r="DN102" s="373" t="s">
        <v>514</v>
      </c>
      <c r="DO102" s="280" t="s">
        <v>70</v>
      </c>
      <c r="DP102" s="280" t="s">
        <v>887</v>
      </c>
      <c r="DQ102" s="310">
        <v>1.6</v>
      </c>
      <c r="DR102" s="310">
        <v>1.4</v>
      </c>
      <c r="DS102" s="310">
        <v>1.2</v>
      </c>
      <c r="DT102" s="439">
        <v>1</v>
      </c>
      <c r="DU102" s="298"/>
      <c r="DV102" s="350" t="str">
        <f t="shared" si="23"/>
        <v>Pulpe déshydratée de betterave</v>
      </c>
      <c r="DW102" s="351">
        <f t="array" ref="DW102">SUM((IF(QualitéAlimentsFaonMâle_0_3_mois=BONNE,VLOOKUP("Pulpe déshydratée de betterave",AlimentsRationHivernaleDaims,8,FALSE),0)+(IF(QualitéAlimentsFaonFemelle_0_3_mois=BONNE,VLOOKUP("Pulpe déshydratée de betterave",AlimentsRationHivernaleDaims,8,FALSE),0)+(IF(QualitéAlimentsFaonMâle_3_6_mois=BONNE,VLOOKUP("Pulpe déshydratée de betterave",AlimentsRationHivernaleDaims,7,FALSE),0)+(IF(QualitéAlimentsFaonFemelle_3_6_mois=BONNE,VLOOKUP("Pulpe déshydratée de betterave",AlimentsRationHivernaleDaims,7,FALSE),0)+(IF(QualitéAlimentsFaonMâle_6_12_mois=BONNE,VLOOKUP("Pulpe déshydratée de betterave",AlimentsRationHivernaleDaims,6,FALSE),0)+(IF(QualitéAlimentsFaonFemelle_6_12_mois=BONNE,VLOOKUP("Pulpe déshydratée de betterave",AlimentsRationHivernaleDaims,6,FALSE),0)+(IF(QualitéAlimentsJeuneDaim_12_18_mois=BONNE,VLOOKUP("Pulpe déshydratée de betterave",AlimentsRationHivernaleDaims,5,FALSE),0)+(IF(QualitéAlimentsJeuneDaine_12_18_mois=BONNE,VLOOKUP("Pulpe déshydratée de betterave",AlimentsRationHivernaleDaims,5,FALSE),0)+(IF(QualitéAlimentsJeuneDaim_18_24_mois=BONNE,VLOOKUP("Pulpe déshydratée de betterave",AlimentsRationHivernaleDaims,4,FALSE),0)+(IF(QualitéAlimentsJeuneDaine_18_24_mois=BONNE,VLOOKUP("Pulpe déshydratée de betterave",AlimentsRationHivernaleDaims,4,FALSE),0)+(IF(QualitéAlimentsJeuneDaim_24_36_mois=BONNE,VLOOKUP("Pulpe déshydratée de betterave",AlimentsRationHivernaleDaims,3,FALSE),0)+(IF(QualitéAlimentsJeuneDaine_24_36_mois=BONNE,VLOOKUP("Pulpe déshydratée de betterave",AlimentsRationHivernaleDaims,3,FALSE),0)+(IF(QualitéAlimentsDaim=BONNE,VLOOKUP("Pulpe déshydratée de betterave",AlimentsRationHivernaleDaims,2,FALSE),0)+(IF(QualitéAlimentsDaine=BONNE,VLOOKUP("Pulpe déshydratée de betterave",AlimentsRationHivernaleDaims,2,FALSE),0))))))))))))))))</f>
        <v>0</v>
      </c>
      <c r="DX102" s="351">
        <f t="array" ref="DX102">SUM((IF(QualitéAlimentsFaonMâle_0_3_mois=MOYENNE,VLOOKUP("Pulpe déshydratée de betterave",AlimentsRationHivernaleDaims,8,FALSE),0)+(IF(QualitéAlimentsFaonFemelle_0_3_mois=MOYENNE,VLOOKUP("Pulpe déshydratée de betterave",AlimentsRationHivernaleDaims,8,FALSE),0)+(IF(QualitéAlimentsFaonMâle_3_6_mois=MOYENNE,VLOOKUP("Pulpe déshydratée de betterave",AlimentsRationHivernaleDaims,7,FALSE),0)+(IF(QualitéAlimentsFaonFemelle_3_6_mois=MOYENNE,VLOOKUP("Pulpe déshydratée de betterave",AlimentsRationHivernaleDaims,7,FALSE),0)+(IF(QualitéAlimentsFaonMâle_6_12_mois=MOYENNE,VLOOKUP("Pulpe déshydratée de betterave",AlimentsRationHivernaleDaims,6,FALSE),0)+(IF(QualitéAlimentsFaonFemelle_6_12_mois=MOYENNE,VLOOKUP("Pulpe déshydratée de betterave",AlimentsRationHivernaleDaims,6,FALSE),0)+(IF(QualitéAlimentsJeuneDaim_12_18_mois=MOYENNE,VLOOKUP("Pulpe déshydratée de betterave",AlimentsRationHivernaleDaims,5,FALSE),0)+(IF(QualitéAlimentsJeuneDaine_12_18_mois=MOYENNE,VLOOKUP("Pulpe déshydratée de betterave",AlimentsRationHivernaleDaims,5,FALSE),0)+(IF(QualitéAlimentsJeuneDaim_18_24_mois=MOYENNE,VLOOKUP("Pulpe déshydratée de betterave",AlimentsRationHivernaleDaims,4,FALSE),0)+(IF(QualitéAlimentsJeuneDaine_18_24_mois=MOYENNE,VLOOKUP("Pulpe déshydratée de betterave",AlimentsRationHivernaleDaims,4,FALSE),0)+(IF(QualitéAlimentsJeuneDaim_24_36_mois=MOYENNE,VLOOKUP("Pulpe déshydratée de betterave",AlimentsRationHivernaleDaims,3,FALSE),0)+(IF(QualitéAlimentsJeuneDaine_24_36_mois=MOYENNE,VLOOKUP("Pulpe déshydratée de betterave",AlimentsRationHivernaleDaims,3,FALSE),0)+(IF(QualitéAlimentsDaim=MOYENNE,VLOOKUP("Pulpe déshydratée de betterave",AlimentsRationHivernaleDaims,2,FALSE),0)+(IF(QualitéAlimentsDaine=MOYENNE,VLOOKUP("Pulpe déshydratée de betterave",AlimentsRationHivernaleDaims,2,FALSE),0))))))))))))))))</f>
        <v>0</v>
      </c>
      <c r="DY102" s="351">
        <f t="array" ref="DY102">SUM((IF(QualitéAlimentsFaonMâle_0_3_mois=MAUVAISE,VLOOKUP("Pulpe déshydratée de betterave",AlimentsRationHivernaleDaims,8,FALSE),0)+(IF(QualitéAlimentsFaonFemelle_0_3_mois=MAUVAISE,VLOOKUP("Pulpe déshydratée de betterave",AlimentsRationHivernaleDaims,8,FALSE),0)+(IF(QualitéAlimentsFaonMâle_3_6_mois=MAUVAISE,VLOOKUP("Pulpe déshydratée de betterave",AlimentsRationHivernaleDaims,7,FALSE),0)+(IF(QualitéAlimentsFaonFemelle_3_6_mois=MAUVAISE,VLOOKUP("Pulpe déshydratée de betterave",AlimentsRationHivernaleDaims,7,FALSE),0)+(IF(QualitéAlimentsFaonMâle_6_12_mois=MAUVAISE,VLOOKUP("Pulpe déshydratée de betterave",AlimentsRationHivernaleDaims,6,FALSE),0)+(IF(QualitéAlimentsFaonFemelle_6_12_mois=MAUVAISE,VLOOKUP("Pulpe déshydratée de betterave",AlimentsRationHivernaleDaims,6,FALSE),0)+(IF(QualitéAlimentsJeuneDaim_12_18_mois=MAUVAISE,VLOOKUP("Pulpe déshydratée de betterave",AlimentsRationHivernaleDaims,5,FALSE),0)+(IF(QualitéAlimentsJeuneDaine_12_18_mois=MAUVAISE,VLOOKUP("Pulpe déshydratée de betterave",AlimentsRationHivernaleDaims,5,FALSE),0)+(IF(QualitéAlimentsJeuneDaim_18_24_mois=MAUVAISE,VLOOKUP("Pulpe déshydratée de betterave",AlimentsRationHivernaleDaims,4,FALSE),0)+(IF(QualitéAlimentsJeuneDaine_18_24_mois=MAUVAISE,VLOOKUP("Pulpe déshydratée de betterave",AlimentsRationHivernaleDaims,4,FALSE),0)+(IF(QualitéAlimentsJeuneDaim_24_36_mois=MAUVAISE,VLOOKUP("Pulpe déshydratée de betterave",AlimentsRationHivernaleDaims,3,FALSE),0)+(IF(QualitéAlimentsJeuneDaine_24_36_mois=MAUVAISE,VLOOKUP("Pulpe déshydratée de betterave",AlimentsRationHivernaleDaims,3,FALSE),0)+(IF(QualitéAlimentsDaim=MAUVAISE,VLOOKUP("Pulpe déshydratée de betterave",AlimentsRationHivernaleDaims,2,FALSE),0)+(IF(QualitéAlimentsDaine=MAUVAISE,VLOOKUP("Pulpe déshydratée de betterave",AlimentsRationHivernaleDaims,2,FALSE),0))))))))))))))))</f>
        <v>0</v>
      </c>
      <c r="DZ102" s="298"/>
      <c r="EA102" s="298"/>
      <c r="EB102" s="298"/>
      <c r="EC102" s="298"/>
      <c r="ED102" s="298"/>
      <c r="EE102" s="298"/>
      <c r="EG102" s="420" t="str">
        <f t="shared" si="30"/>
        <v>concentré jeunes bovins</v>
      </c>
      <c r="EH102" s="433">
        <f t="array" ref="EH10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02" s="433">
        <f t="array" ref="EI10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02" s="433">
        <f t="array" ref="EJ10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02" s="434">
        <f>SUM(AlimentsRationOiesFemelles[[#This Row],[Valeur 6 et plus]:[Valeur 0-3]])</f>
        <v>0</v>
      </c>
      <c r="EN102" s="443" t="str">
        <f t="shared" si="28"/>
        <v>concentré jeunes lapins</v>
      </c>
      <c r="EO102" s="450">
        <f t="array" ref="EO102">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02" s="450">
        <f t="array" ref="EP102">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02" s="450">
        <f t="array" ref="EQ102">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02" s="451">
        <f>SUM(Ration_canards_Femelles[[#This Row],[Valeur 6 et plus]:[Valeur 0-3]])</f>
        <v>0</v>
      </c>
      <c r="EU102" s="457" t="str">
        <f>EU60</f>
        <v>Avoine</v>
      </c>
      <c r="EV102" s="458">
        <f t="array" ref="EV102">IF(OR(ChoixRationComplèteEtéChevauxSelle=OUI,ChoixRationComplèteEtéChevauxSelle="",AND(ChoixChevauxSellePréHiver=OUI,ChoixChevauxSellePréEté=OUI)),0,IFERROR(IF(OR(AND(INDEX(Règles_chevaux_selle[Specificite],MATCH(RationEtéChevauxSelle&amp;$EU102,Règles_chevaux_selle[Ration]&amp;Règles_chevaux_selle[Aliment],0))="s1",IF($EU102=Spécificité1ChevauxSelle,1)),
AND(INDEX(Règles_chevaux_selle[Specificite],MATCH(RationEtéChevauxSelle&amp;$EU102,Règles_chevaux_selle[Ration]&amp;Règles_chevaux_selle[Aliment],0))="s2",IF($EU102=Spécificité2ChevauxSelle,1)),
INDEX(Règles_chevaux_selle[Specificite],MATCH(RationEtéChevauxSelle&amp;$EU102,Règles_chevaux_selle[Ration]&amp;Règles_chevaux_selle[Aliment],0))="c"),
INDEX(Règles_chevaux_selle[Valeur 36 et plus],MATCH(RationEtéChevauxSelle&amp;$EU102,Règles_chevaux_selle[Ration]&amp;Règles_chevaux_selle[Aliment],0)),0),0)*TotalJumentSelle*NbreJoursNourrirChevauxSelle)</f>
        <v>0</v>
      </c>
      <c r="EW102" s="458">
        <f t="array" ref="EW102">IF(OR(ChoixRationComplèteEtéChevauxSelle=OUI,ChoixRationComplèteEtéChevauxSelle="",AND(ChoixChevauxSellePréHiver=OUI,ChoixChevauxSellePréEté=OUI)),0,IFERROR(IF(OR(AND(INDEX(Règles_chevaux_selle[Specificite],MATCH(RationEtéChevauxSelle&amp;$EU102,Règles_chevaux_selle[Ration]&amp;Règles_chevaux_selle[Aliment],0))="s1",IF($EU102=Spécificité1ChevauxSelle,1)),
AND(INDEX(Règles_chevaux_selle[Specificite],MATCH(RationEtéChevauxSelle&amp;$EU102,Règles_chevaux_selle[Ration]&amp;Règles_chevaux_selle[Aliment],0))="s2",IF($EU102=Spécificité2ChevauxSelle,1)),
INDEX(Règles_chevaux_selle[Specificite],MATCH(RationEtéChevauxSelle&amp;$EU102,Règles_chevaux_selle[Ration]&amp;Règles_chevaux_selle[Aliment],0))="c"),
INDEX(Règles_chevaux_selle[Valeur 24-36],MATCH(RationEtéChevauxSelle&amp;$EU102,Règles_chevaux_selle[Ration]&amp;Règles_chevaux_selle[Aliment],0)),0),0)*TotalJeuneJumentSelle_24_36_mois*NbreJoursNourrirChevauxSelle)</f>
        <v>0</v>
      </c>
      <c r="EX102" s="458">
        <f t="array" ref="EX102">IF(OR(ChoixRationComplèteEtéChevauxSelle=OUI,ChoixRationComplèteEtéChevauxSelle="",AND(ChoixChevauxSellePréHiver=OUI,ChoixChevauxSellePréEté=OUI)),0,IFERROR(IF(OR(AND(INDEX(Règles_chevaux_selle[Specificite],MATCH(RationEtéChevauxSelle&amp;$EU102,Règles_chevaux_selle[Ration]&amp;Règles_chevaux_selle[Aliment],0))="s1",IF($EU102=Spécificité1ChevauxSelle,1)),
AND(INDEX(Règles_chevaux_selle[Specificite],MATCH(RationEtéChevauxSelle&amp;$EU102,Règles_chevaux_selle[Ration]&amp;Règles_chevaux_selle[Aliment],0))="s2",IF($EU102=Spécificité2ChevauxSelle,1)),
INDEX(Règles_chevaux_selle[Specificite],MATCH(RationEtéChevauxSelle&amp;$EU102,Règles_chevaux_selle[Ration]&amp;Règles_chevaux_selle[Aliment],0))="c"),
INDEX(Règles_chevaux_selle[Valeur 12-24],MATCH(RationEtéChevauxSelle&amp;$EU102,Règles_chevaux_selle[Ration]&amp;Règles_chevaux_selle[Aliment],0)),0),0)*TotalJeuneJumentSelle_12_24_mois_12_24_mois*NbreJoursNourrirChevauxSelle)</f>
        <v>0</v>
      </c>
      <c r="EY102" s="458">
        <f t="array" ref="EY102">IF(OR(ChoixRationComplèteEtéChevauxSelle=OUI,ChoixRationComplèteEtéChevauxSelle="",AND(ChoixChevauxSellePréHiver=OUI,ChoixChevauxSellePréEté=OUI)),0,IFERROR(IF(OR(AND(INDEX(Règles_chevaux_selle[Specificite],MATCH(RationEtéChevauxSelle&amp;$EU102,Règles_chevaux_selle[Ration]&amp;Règles_chevaux_selle[Aliment],0))="s1",IF($EU102=Spécificité1ChevauxSelle,1)),
AND(INDEX(Règles_chevaux_selle[Specificite],MATCH(RationEtéChevauxSelle&amp;$EU102,Règles_chevaux_selle[Ration]&amp;Règles_chevaux_selle[Aliment],0))="s2",IF($EU102=Spécificité2ChevauxSelle,1)),
INDEX(Règles_chevaux_selle[Specificite],MATCH(RationEtéChevauxSelle&amp;$EU102,Règles_chevaux_selle[Ration]&amp;Règles_chevaux_selle[Aliment],0))="c"),
INDEX(Règles_chevaux_selle[Valeur 0-12],MATCH(RationEtéChevauxSelle&amp;$EU102,Règles_chevaux_selle[Ration]&amp;Règles_chevaux_selle[Aliment],0)),0),0)*TotalPoulicheSelle_0_12_mois*NbreJoursNourrirChevauxSelle)</f>
        <v>0</v>
      </c>
      <c r="EZ102" s="460">
        <f t="shared" ref="EZ102:EZ140" si="39">SUM($EV102:$EY102)</f>
        <v>0</v>
      </c>
      <c r="FD102" s="457" t="str">
        <f t="shared" si="33"/>
        <v>Colza</v>
      </c>
      <c r="FE102" s="458">
        <f t="array" ref="FE102">IF(OR(ChoixRationComplèteEtéChevauxTrait=OUI,ChoixRationComplèteEtéChevauxTrait="",AND(ChoixChevauxTraitPréHiver=OUI,ChoixChevauxTraitPréEté=OUI)),0,IFERROR(IF(OR(AND(INDEX(Règles_chevaux_trait[Specificite],MATCH(RationEtéChevauxTrait&amp;$FD102,Règles_chevaux_trait[Ration]&amp;Règles_chevaux_trait[Aliment],0))="s1",IF($FD102=Spécificité1ChevauxTrait,1)),
AND(INDEX(Règles_chevaux_trait[Specificite],MATCH(RationEtéChevauxTrait&amp;$FD102,Règles_chevaux_trait[Ration]&amp;Règles_chevaux_trait[Aliment],0))="s2",IF($FD102=Spécificité2ChevauxTrait,1)),
INDEX(Règles_chevaux_trait[Specificite],MATCH(RationEtéChevauxTrait&amp;$FD102,Règles_chevaux_trait[Ration]&amp;Règles_chevaux_trait[Aliment],0))="c"),
INDEX(Règles_chevaux_trait[Valeur 36 et plus],MATCH(RationEtéChevauxTrait&amp;$FD102,Règles_chevaux_trait[Ration]&amp;Règles_chevaux_trait[Aliment],0)),0),0)*TotalJumentTrait*NbreJoursNourrirChevauxTrait)</f>
        <v>0</v>
      </c>
      <c r="FF102" s="458">
        <f t="array" ref="FF102">IF(OR(ChoixRationComplèteEtéChevauxTrait=OUI,ChoixRationComplèteEtéChevauxTrait="",AND(ChoixChevauxTraitPréHiver=OUI,ChoixChevauxTraitPréEté=OUI)),0,IFERROR(IF(OR(AND(INDEX(Règles_chevaux_trait[Specificite],MATCH(RationEtéChevauxTrait&amp;$FD102,Règles_chevaux_trait[Ration]&amp;Règles_chevaux_trait[Aliment],0))="s1",IF($FD102=Spécificité1ChevauxTrait,1)),
AND(INDEX(Règles_chevaux_trait[Specificite],MATCH(RationEtéChevauxTrait&amp;$FD102,Règles_chevaux_trait[Ration]&amp;Règles_chevaux_trait[Aliment],0))="s2",IF($FD102=Spécificité2ChevauxTrait,1)),
INDEX(Règles_chevaux_trait[Specificite],MATCH(RationEtéChevauxTrait&amp;$FD102,Règles_chevaux_trait[Ration]&amp;Règles_chevaux_trait[Aliment],0))="c"),
INDEX(Règles_chevaux_trait[Valeur 24-36],MATCH(RationEtéChevauxTrait&amp;$FD102,Règles_chevaux_trait[Ration]&amp;Règles_chevaux_trait[Aliment],0)),0),0)*TotalJeuneJumentTrait_24_36_mois*NbreJoursNourrirChevauxTrait)</f>
        <v>0</v>
      </c>
      <c r="FG102" s="458">
        <f t="array" ref="FG102">IF(OR(ChoixRationComplèteEtéChevauxTrait=OUI,ChoixRationComplèteEtéChevauxTrait="",AND(ChoixChevauxTraitPréHiver=OUI,ChoixChevauxTraitPréEté=OUI)),0,IFERROR(IF(OR(AND(INDEX(Règles_chevaux_trait[Specificite],MATCH(RationEtéChevauxTrait&amp;$FD102,Règles_chevaux_trait[Ration]&amp;Règles_chevaux_trait[Aliment],0))="s1",IF($FD102=Spécificité1ChevauxTrait,1)),
AND(INDEX(Règles_chevaux_trait[Specificite],MATCH(RationEtéChevauxTrait&amp;$FD102,Règles_chevaux_trait[Ration]&amp;Règles_chevaux_trait[Aliment],0))="s2",IF($FD102=Spécificité2ChevauxTrait,1)),
INDEX(Règles_chevaux_trait[Specificite],MATCH(RationEtéChevauxTrait&amp;$FD102,Règles_chevaux_trait[Ration]&amp;Règles_chevaux_trait[Aliment],0))="c"),
INDEX(Règles_chevaux_trait[Valeur 12-24],MATCH(RationEtéChevauxTrait&amp;$FD102,Règles_chevaux_trait[Ration]&amp;Règles_chevaux_trait[Aliment],0)),0),0)*TotalJeuneJumentTrait_12_24_mois*NbreJoursNourrirChevauxTrait)</f>
        <v>0</v>
      </c>
      <c r="FH102" s="460">
        <f t="array" ref="FH102">IF(OR(ChoixRationComplèteEtéChevauxTrait=OUI,ChoixRationComplèteEtéChevauxTrait="",AND(ChoixChevauxTraitPréHiver=OUI,ChoixChevauxTraitPréEté=OUI)),0,IFERROR(IF(OR(AND(INDEX(Règles_chevaux_trait[Specificite],MATCH(RationEtéChevauxTrait&amp;$FD102,Règles_chevaux_trait[Ration]&amp;Règles_chevaux_trait[Aliment],0))="s1",IF($FD102=Spécificité1ChevauxTrait,1)),
AND(INDEX(Règles_chevaux_trait[Specificite],MATCH(RationEtéChevauxTrait&amp;$FD102,Règles_chevaux_trait[Ration]&amp;Règles_chevaux_trait[Aliment],0))="s2",IF($FD102=Spécificité2ChevauxTrait,1)),
INDEX(Règles_chevaux_trait[Specificite],MATCH(RationEtéChevauxTrait&amp;$FD102,Règles_chevaux_trait[Ration]&amp;Règles_chevaux_trait[Aliment],0))="c"),
INDEX(Règles_chevaux_trait[Valeur 0-12],MATCH(RationEtéChevauxTrait&amp;$FD102,Règles_chevaux_trait[Ration]&amp;Règles_chevaux_trait[Aliment],0)),0),0)*TotalPoulicheTrait_0_12_mois*NbreJoursNourrirChevauxTrait)</f>
        <v>0</v>
      </c>
      <c r="FI102" s="460">
        <f t="shared" si="31"/>
        <v>0</v>
      </c>
      <c r="FJ102" s="298"/>
      <c r="FN102" s="457" t="str">
        <f t="shared" si="32"/>
        <v>concentré jeunes bovins</v>
      </c>
      <c r="FO102" s="458">
        <f t="array" ref="FO102">IF(OR(ChoixRationComplèteEtéPoneys=OUI,ChoixRationComplèteEtéPoneys="",AND(ChoixPoneysPréHiver=OUI,ChoixPoneysPréEté=OUI)),0,IFERROR(IF(OR(AND(INDEX(Règles_poneys[Specificite],MATCH(RationHivernaleAuPréPoneys&amp;$FN102,Règles_poneys[Ration]&amp;Règles_poneys[Aliment],0))="s1",IF($FN102=Spécificité1Poneys,1)),
AND(INDEX(Règles_poneys[Specificite],MATCH(RationHivernaleAuPréPoneys&amp;$FN102,Règles_poneys[Ration]&amp;Règles_poneys[Aliment],0))="s2",IF($FN102=Spécificité2Poneys,1)),
INDEX(Règles_poneys[Specificite],MATCH(RationHivernaleAuPréPoneys&amp;$FN102,Règles_poneys[Ration]&amp;Règles_poneys[Aliment],0))="c"),
INDEX(Règles_poneys[Valeur 36 et plus],MATCH(RationHivernaleAuPréPoneys&amp;$FN102,Règles_poneys[Ration]&amp;Règles_poneys[Aliment],0)),0),0)*SUM(TotalPoneysAdultes)*SUM(AG118:AG142))</f>
        <v>0</v>
      </c>
      <c r="FP102" s="458">
        <f t="array" ref="FP102">IF(OR(ChoixRationComplèteEtéPoneys=OUI,ChoixRationComplèteEtéPoneys="",AND(ChoixPoneysPréHiver=OUI,ChoixPoneysPréEté=OUI)),0,IFERROR(IF(OR(AND(INDEX(Règles_poneys[Specificite],MATCH(RationHivernaleAuPréPoneys&amp;$FN102,Règles_poneys[Ration]&amp;Règles_poneys[Aliment],0))="s1",IF($FN102=Spécificité1Poneys,1)),
AND(INDEX(Règles_poneys[Specificite],MATCH(RationHivernaleAuPréPoneys&amp;$FN102,Règles_poneys[Ration]&amp;Règles_poneys[Aliment],0))="s2",IF($FN102=Spécificité2Poneys,1)),
INDEX(Règles_poneys[Specificite],MATCH(RationHivernaleAuPréPoneys&amp;$FN102,Règles_poneys[Ration]&amp;Règles_poneys[Aliment],0))="c"),
INDEX(Règles_poneys[Valeur 24-36],MATCH(RationHivernaleAuPréPoneys&amp;$FN102,Règles_poneys[Ration]&amp;Règles_poneys[Aliment],0)),0),0)*SUM(TotalPoneys_24_36mois)*SUM(AG118:AG142))</f>
        <v>0</v>
      </c>
      <c r="FQ102" s="458">
        <f t="array" ref="FQ102">IF(OR(ChoixRationComplèteEtéPoneys=OUI,ChoixRationComplèteEtéPoneys="",AND(ChoixPoneysPréHiver=OUI,ChoixPoneysPréEté=OUI)),0,IFERROR(IF(OR(AND(INDEX(Règles_poneys[Specificite],MATCH(RationHivernaleAuPréPoneys&amp;$FN102,Règles_poneys[Ration]&amp;Règles_poneys[Aliment],0))="s1",IF($FN102=Spécificité1Poneys,1)),
AND(INDEX(Règles_poneys[Specificite],MATCH(RationHivernaleAuPréPoneys&amp;$FN102,Règles_poneys[Ration]&amp;Règles_poneys[Aliment],0))="s2",IF($FN102=Spécificité2Poneys,1)),
INDEX(Règles_poneys[Specificite],MATCH(RationHivernaleAuPréPoneys&amp;$FN102,Règles_poneys[Ration]&amp;Règles_poneys[Aliment],0))="c"),
INDEX(Règles_poneys[Valeur 12-24],MATCH(RationHivernaleAuPréPoneys&amp;$FN102,Règles_poneys[Ration]&amp;Règles_poneys[Aliment],0)),0),0)*SUM(TotalPoneys_12_24mois)*SUM(AG118:AG142))</f>
        <v>0</v>
      </c>
      <c r="FR102" s="460">
        <f t="array" ref="FR102">IF(OR(ChoixRationComplèteEtéPoneys=OUI,ChoixRationComplèteEtéPoneys="",AND(ChoixPoneysPréHiver=OUI,ChoixPoneysPréEté=OUI)),0,IFERROR(IF(OR(AND(INDEX(Règles_poneys[Specificite],MATCH(RationHivernaleAuPréPoneys&amp;$FN102,Règles_poneys[Ration]&amp;Règles_poneys[Aliment],0))="s1",IF($FN102=Spécificité1Poneys,1)),
AND(INDEX(Règles_poneys[Specificite],MATCH(RationHivernaleAuPréPoneys&amp;$FN102,Règles_poneys[Ration]&amp;Règles_poneys[Aliment],0))="s2",IF($FN102=Spécificité2Poneys,1)),
INDEX(Règles_poneys[Specificite],MATCH(RationHivernaleAuPréPoneys&amp;$FN102,Règles_poneys[Ration]&amp;Règles_poneys[Aliment],0))="c"),
INDEX(Règles_poneys[Valeur 0-12],MATCH(RationHivernaleAuPréPoneys&amp;$FN102,Règles_poneys[Ration]&amp;Règles_poneys[Aliment],0)),0),0)*SUM(TotalPoulainsPoneys)*SUM(AG118:AG142))</f>
        <v>0</v>
      </c>
      <c r="FS102" s="460">
        <f t="shared" si="29"/>
        <v>0</v>
      </c>
      <c r="FT102" s="298"/>
      <c r="FW102" s="443" t="str">
        <f t="shared" si="27"/>
        <v>Epinard</v>
      </c>
      <c r="FX102" s="450">
        <f t="array" ref="FX102">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02" s="450">
        <f t="array" ref="FY102">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02" s="450">
        <f t="array" ref="FZ102">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02" s="450">
        <f t="array" ref="GA102">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02" s="451">
        <f>SUM(AlimentsGavageCanards[[#This Row],[Valeur 6 et plus]:[Valeur 0-1]])</f>
        <v>0</v>
      </c>
      <c r="GG102" s="276" t="s">
        <v>955</v>
      </c>
      <c r="GH102" s="276" t="s">
        <v>955</v>
      </c>
      <c r="GI102" s="276" t="s">
        <v>955</v>
      </c>
      <c r="GJ102" s="276" t="s">
        <v>955</v>
      </c>
      <c r="GK102" s="276" t="s">
        <v>955</v>
      </c>
      <c r="GL102" s="276" t="s">
        <v>955</v>
      </c>
      <c r="GM102" s="276" t="s">
        <v>955</v>
      </c>
      <c r="GN102" s="276" t="s">
        <v>955</v>
      </c>
      <c r="GO102" s="276" t="s">
        <v>955</v>
      </c>
      <c r="GP102" s="276" t="s">
        <v>955</v>
      </c>
      <c r="GQ102" s="276" t="s">
        <v>955</v>
      </c>
      <c r="GR102" s="276" t="s">
        <v>955</v>
      </c>
      <c r="GS102" s="276" t="s">
        <v>955</v>
      </c>
      <c r="GT102" s="276" t="s">
        <v>955</v>
      </c>
      <c r="GU102" s="276" t="s">
        <v>955</v>
      </c>
      <c r="GV102" s="276" t="s">
        <v>955</v>
      </c>
      <c r="GY102" s="444" t="str">
        <f t="shared" si="38"/>
        <v>traitement pruniers</v>
      </c>
      <c r="GZ102" s="444"/>
      <c r="HA102" s="342"/>
      <c r="HB102" s="342" t="e">
        <f>IF(COUNTIF(TypeArticleDansEntrepôt,GY102)=0,0,SUMIF(TypeArticleDansEntrepôt,GY102,QtéArticleDansEntrepôt)*VLOOKUP(GY102,#REF!,2,FALSE))</f>
        <v>#REF!</v>
      </c>
      <c r="HN102" s="342" t="s">
        <v>988</v>
      </c>
      <c r="HO102" s="342" t="e">
        <f>IF(SUM((VLOOKUP(BDD!BB208,BDD!BB194:BJ232,9,FALSE)+VLOOKUP(BDD!BB298,BDD!BB284:BJ323,9,FALSE))/1000/SUM(AA76:AA100)*IF(#REF!=OUI,35,84)-(SUM(StockFoinDansEntrepôt))&lt;0),0,SUM((VLOOKUP(BDD!BB208,BDD!BB194:BJ232,9,FALSE)+VLOOKUP(BDD!BB298,BDD!BB284:BJ323,9,FALSE))/1000/SUM(AA76:AA100)*IF(#REF!=OUI,35,84)-(SUM(StockFoinDansEntrepôt))))</f>
        <v>#REF!</v>
      </c>
      <c r="HP102" s="342" t="e">
        <f>IF(SUM(VLOOKUP(BDD!BM50,BDD!BM36:BU69,9,FALSE)/1000*42-(SUM(StockFoinDansEntrepôt)))&lt;0,0,SUM(VLOOKUP(BDD!BM50,BDD!BM36:BU69,9,FALSE)/1000*42-(SUM(StockFoinDansEntrepôt))))</f>
        <v>#REF!</v>
      </c>
      <c r="HQ102" s="342">
        <v>0</v>
      </c>
      <c r="HR102" s="342" t="e">
        <f>IF(SUM(VLOOKUP(BDD!BX120,BDD!BX106:CC140,6,FALSE)/1000/SUM(AC76:AC100)*IF(#REF!=OUI,49,84)-(SUM(StockFoinDansEntrepôt)))&lt;0,0,SUM(VLOOKUP(BDD!BX120,BDD!BX106:CC140,6,FALSE)/1000/SUM(AC76:AC100)*IF(#REF!=OUI,49,84)-(SUM(StockFoinDansEntrepôt))))</f>
        <v>#REF!</v>
      </c>
      <c r="HS102" s="342">
        <v>0</v>
      </c>
      <c r="HT102" s="342">
        <v>0</v>
      </c>
      <c r="HU102" s="342" t="e">
        <f>IF(SUM(VLOOKUP(BDD!CS71,BDD!CS57:CW95,5,FALSE)/1000/SUM(Z76:Z100)*84-(SUM(StockFoinDansEntrepôt)))&lt;0,0,SUM(VLOOKUP(BDD!CS71,BDD!CS57:CW95,5,FALSE)/1000/SUM(Z76:Z100)*84-(SUM(StockFoinDansEntrepôt))))</f>
        <v>#REF!</v>
      </c>
      <c r="HV102" s="342" t="e">
        <f>IF(SUM(VLOOKUP(BDD!DN164,BDD!DN150:DS188,6,FALSE)+VLOOKUP(BDD!DN252,BDD!DN238:DS276,6,FALSE))/1000/SUM(AD76:AD100)*IF(#REF!=OUI,35,84)-(SUM(StockFoinDansEntrepôt))&lt;0,0,(SUM(VLOOKUP(BDD!DN164,BDD!DN150:DS188,6,FALSE)+VLOOKUP(BDD!DN252,BDD!DN238:DS276,6,FALSE))/1000/SUM(AD76:AD100)*IF(#REF!=OUI,35,84)-(SUM(StockFoinDansEntrepôt))))</f>
        <v>#REF!</v>
      </c>
      <c r="HW102" s="342">
        <v>0</v>
      </c>
      <c r="HX102" s="342">
        <v>0</v>
      </c>
      <c r="HY102" s="342" t="e">
        <f>IF(SUM(VLOOKUP(BDD!EU74,BDD!EU60:EZ98,6,FALSE)+VLOOKUP(BDD!EU162,BDD!EU148:EZ186,6,FALSE))/1000/SUM(AE76:AE100)*IF(#REF!=OUI,21,84)-(SUM(StockFoinDansEntrepôt))&lt;0,0,SUM(VLOOKUP(BDD!EU74,BDD!EU60:EZ98,6,FALSE)+VLOOKUP(BDD!EU162,BDD!EU148:EZ186,6,FALSE))/1000/SUM(AE76:AE100)*IF(#REF!=OUI,21,84)-(SUM(StockFoinDansEntrepôt)))</f>
        <v>#REF!</v>
      </c>
      <c r="HZ102" s="342" t="e">
        <f>IF(SUM(VLOOKUP(BDD!FD68,AlimentsRationEcurieChevauxMâlesTrait,6,FALSE)+VLOOKUP(BDD!FD156,BDD!FD142:FI180,6,FALSE))/1000/SUM(AF76:AF100)*IF(#REF!=OUI,21,84)-(SUM(StockFoinDansEntrepôt))&lt;0,0,SUM(VLOOKUP(BDD!FD68,AlimentsRationEcurieChevauxMâlesTrait,6,FALSE)+VLOOKUP(BDD!FD156,BDD!FD142:FI180,6,FALSE))/1000/SUM(AF76:AF100)*IF(#REF!=OUI,21,84)-(SUM(StockFoinDansEntrepôt)))</f>
        <v>#REF!</v>
      </c>
      <c r="IA102" s="342" t="e">
        <f>IF(SUM(VLOOKUP(BDD!FN67,AlimentsRationEcuriePoneysMâles,6,FALSE)+VLOOKUP(BDD!FN155,BDD!FN141:FS179,6,FALSE))/1000/SUM(AE76:AE100)*IF(#REF!=OUI,21,84)-(SUM(StockFoinDansEntrepôt))&lt;0,0,SUM(VLOOKUP(BDD!FN67,AlimentsRationEcuriePoneysMâles,6,FALSE)+VLOOKUP(BDD!FN155,BDD!FN141:FS179,6,FALSE))/1000/SUM(AE76:AE100)*IF(#REF!=OUI,21,84)-(SUM(StockFoinDansEntrepôt)))</f>
        <v>#REF!</v>
      </c>
      <c r="IB102" s="342" t="e">
        <f t="shared" si="35"/>
        <v>#REF!</v>
      </c>
    </row>
    <row r="103" spans="1:236" ht="12.75" customHeight="1" x14ac:dyDescent="0.2">
      <c r="A103" s="373"/>
      <c r="B103" s="380"/>
      <c r="F103" s="280"/>
      <c r="G103" s="280"/>
      <c r="H103" s="323"/>
      <c r="I103" s="280"/>
      <c r="J103" s="321"/>
      <c r="K103" s="321"/>
      <c r="L103" s="321"/>
      <c r="O103" s="385" t="s">
        <v>1007</v>
      </c>
      <c r="P103" s="385" t="e">
        <f>IF(ChoixExpèceAuPré="",0,SUMIF(ChoixEspèceAuPré,Bovins,NbreMâles_3_AnsEtPlusAuPréEté))</f>
        <v>#REF!</v>
      </c>
      <c r="Q103" s="385" t="e">
        <f>IF(ChoixExpèceAuPré="",0,SUMIF(ChoixEspèceAuPré,Ovins,NbreMâles_3_AnsEtPlusAuPréEté))</f>
        <v>#REF!</v>
      </c>
      <c r="R103" s="385" t="e">
        <f>IF(ChoixExpèceAuPré="",0,SUMIF(ChoixEspèceAuPré,Caprins,NbreMâles_3_AnsEtPlusAuPréEté))</f>
        <v>#REF!</v>
      </c>
      <c r="S103" s="385" t="e">
        <f>IF(ChoixExpèceAuPré="",0,SUMIF(ChoixEspèceAuPré,Bisons,NbreMâles_3_AnsEtPlusAuPréEté))</f>
        <v>#REF!</v>
      </c>
      <c r="T103" s="385" t="e">
        <f>IF(ChoixExpèceAuPré="",0,SUMIF(ChoixEspèceAuPré,Daims,NbreMâles_3_AnsEtPlusAuPréEté))</f>
        <v>#REF!</v>
      </c>
      <c r="U103" s="385" t="e">
        <f>IF(ChoixExpèceAuPré="",0,SUMIF(ChoixEspèceAuPré,ChevauxSelle,NbreMâles_3_AnsEtPlusAuPréEté))</f>
        <v>#REF!</v>
      </c>
      <c r="V103" s="385" t="e">
        <f>IF(ChoixExpèceAuPré="",0,SUMIF(ChoixEspèceAuPré,ChevauxTrait,NbreMâles_3_AnsEtPlusAuPréEté))</f>
        <v>#REF!</v>
      </c>
      <c r="W103" s="385" t="e">
        <f>IF(ChoixExpèceAuPré="",0,SUMIF(ChoixEspèceAuPré,Poneys,NbreMâles_3_AnsEtPlusAuPréEté))</f>
        <v>#REF!</v>
      </c>
      <c r="BB103" s="387" t="s">
        <v>514</v>
      </c>
      <c r="BC103" s="362" t="s">
        <v>500</v>
      </c>
      <c r="BD103" s="362" t="s">
        <v>888</v>
      </c>
      <c r="BE103" s="388">
        <v>4.8</v>
      </c>
      <c r="BF103" s="388">
        <v>4</v>
      </c>
      <c r="BG103" s="388">
        <v>4</v>
      </c>
      <c r="BH103" s="388">
        <v>4</v>
      </c>
      <c r="BI103" s="388">
        <v>2</v>
      </c>
      <c r="BJ103" s="388">
        <v>1.2</v>
      </c>
      <c r="BK103" s="389">
        <v>0</v>
      </c>
      <c r="BL103" s="312"/>
      <c r="BM103" s="350" t="str">
        <f t="shared" si="22"/>
        <v>Tourteau de colza</v>
      </c>
      <c r="BN103" s="350">
        <f t="array" ref="BN103">IF(Ration_hivernale_complète_bisons[somme]&gt;0,0,IFERROR(IF(OR(AND(INDEX(Règles_bison[Specificite],MATCH(ChoixRationBisons&amp;$BM103,Règles_bison[Ration]&amp;Règles_bison[Aliment],0))="s1",IF($BM103=ChoixSpécificité1Bisons,1)),
INDEX(Règles_bison[Specificite],MATCH(ChoixRationBisons&amp;$BM103,Règles_bison[Ration]&amp;Règles_bison[Aliment],0))="c"),
INDEX(Règles_bison[Valeur 36 et plus],MATCH(ChoixRationBisons&amp;$BM103,Règles_bison[Ration]&amp;Règles_bison[Aliment],0)),0),0)*TotalBisonnes*NbreJoursNourrirBisonsDaims)</f>
        <v>0</v>
      </c>
      <c r="BO103" s="350">
        <f t="array" ref="BO103">IF(Ration_hivernale_complète_bisons[somme]&gt;0,0,IFERROR(IF(OR(AND(INDEX(Règles_bison[Specificite],MATCH(ChoixRationBisons&amp;$BM103,Règles_bison[Ration]&amp;Règles_bison[Aliment],0))="s1",IF($BM103=ChoixSpécificité1Bisons,1)),
INDEX(Règles_bison[Specificite],MATCH(ChoixRationBisons&amp;$BM103,Règles_bison[Ration]&amp;Règles_bison[Aliment],0))="c"),
INDEX(Règles_bison[Valeur 24-36],MATCH(ChoixRationBisons&amp;$BM103,Règles_bison[Ration]&amp;Règles_bison[Aliment],0)),0),0)*TotalBisonsFemelles_24_36_mois*NbreJoursNourrirBisonsDaims)</f>
        <v>0</v>
      </c>
      <c r="BP103" s="350">
        <f t="array" ref="BP103">IF(Ration_hivernale_complète_bisons[somme]&gt;0,0,IFERROR(IF(OR(AND(INDEX(Règles_bison[Specificite],MATCH(ChoixRationBisons&amp;$BM103,Règles_bison[Ration]&amp;Règles_bison[Aliment],0))="s1",IF($BM103=ChoixSpécificité1Bisons,1)),
INDEX(Règles_bison[Specificite],MATCH(ChoixRationBisons&amp;$BM103,Règles_bison[Ration]&amp;Règles_bison[Aliment],0))="c"),
INDEX(Règles_bison[Valeur 18-24],MATCH(ChoixRationBisons&amp;$BM103,Règles_bison[Ration]&amp;Règles_bison[Aliment],0)),0),0)*TotalBisonsFemelles_18_24_mois*NbreJoursNourrirBisonsDaims)</f>
        <v>0</v>
      </c>
      <c r="BQ103" s="350">
        <f t="array" ref="BQ103">IF(Ration_hivernale_complète_bisons[somme]&gt;0,0,IFERROR(IF(OR(AND(INDEX(Règles_bison[Specificite],MATCH(ChoixRationBisons&amp;$BM103,Règles_bison[Ration]&amp;Règles_bison[Aliment],0))="s1",IF($BM103=ChoixSpécificité1Bisons,1)),
INDEX(Règles_bison[Specificite],MATCH(ChoixRationBisons&amp;$BM103,Règles_bison[Ration]&amp;Règles_bison[Aliment],0))="c"),
INDEX(Règles_bison[Valeur 12-18],MATCH(ChoixRationBisons&amp;$BM103,Règles_bison[Ration]&amp;Règles_bison[Aliment],0)),0),0)*TotalBisonsFemelles_12_18_mois*NbreJoursNourrirBisonsDaims)</f>
        <v>0</v>
      </c>
      <c r="BR103" s="350">
        <f t="array" ref="BR103">IF(Ration_hivernale_complète_bisons[somme]&gt;0,0,IFERROR(IF(OR(AND(INDEX(Règles_bison[Specificite],MATCH(ChoixRationBisons&amp;$BM103,Règles_bison[Ration]&amp;Règles_bison[Aliment],0))="s1",IF($BM103=ChoixSpécificité1Bisons,1)),
INDEX(Règles_bison[Specificite],MATCH(ChoixRationBisons&amp;$BM103,Règles_bison[Ration]&amp;Règles_bison[Aliment],0))="c"),
INDEX(Règles_bison[Valeur 6-12],MATCH(ChoixRationBisons&amp;$BM103,Règles_bison[Ration]&amp;Règles_bison[Aliment],0)),0),0)*TotalBisonsFemelles_6_12_mois*NbreJoursNourrirBisonsDaims)</f>
        <v>0</v>
      </c>
      <c r="BS103" s="350">
        <f t="array" ref="BS103">IF(Ration_hivernale_complète_bisons[somme]&gt;0,0,IFERROR(IF(OR(AND(INDEX(Règles_bison[Specificite],MATCH(ChoixRationBisons&amp;$BM103,Règles_bison[Ration]&amp;Règles_bison[Aliment],0))="s1",IF($BM103=ChoixSpécificité1Bisons,1)),
INDEX(Règles_bison[Specificite],MATCH(ChoixRationBisons&amp;$BM103,Règles_bison[Ration]&amp;Règles_bison[Aliment],0))="c"),
INDEX(Règles_bison[Valeur 3-6],MATCH(ChoixRationBisons&amp;$BM103,Règles_bison[Ration]&amp;Règles_bison[Aliment],0)),0),0)*TotalBisonsFemelles_3_6_mois*NbreJoursNourrirBisonsDaims)</f>
        <v>0</v>
      </c>
      <c r="BT103" s="350">
        <f t="array" ref="BT103">IF(Ration_hivernale_complète_bisons[somme]&gt;0,0,IFERROR(IF(OR(AND(INDEX(Règles_bison[Specificite],MATCH(ChoixRationBisons&amp;$BM103,Règles_bison[Ration]&amp;Règles_bison[Aliment],0))="s1",IF($BM103=ChoixSpécificité1Bisons,1)),
INDEX(Règles_bison[Specificite],MATCH(ChoixRationBisons&amp;$BM103,Règles_bison[Ration]&amp;Règles_bison[Aliment],0))="c"),
INDEX(Règles_bison[Valeur 0-3],MATCH(ChoixRationBisons&amp;$BM103,Règles_bison[Ration]&amp;Règles_bison[Aliment],0)),0),0)*TotalBisonsFemelles_0_3_mois*NbreJoursNourrirBisonsDaims)</f>
        <v>0</v>
      </c>
      <c r="BU103" s="350">
        <f t="shared" si="21"/>
        <v>0</v>
      </c>
      <c r="BV103" s="282"/>
      <c r="BW103" s="282"/>
      <c r="CI103" s="277"/>
      <c r="CJ103" s="420" t="str">
        <f t="shared" si="25"/>
        <v>Haricot vert</v>
      </c>
      <c r="CK103" s="384">
        <f t="array" ref="CK10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03" s="384">
        <f t="array" ref="CL10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03" s="384">
        <f t="array" ref="CM10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03" s="384">
        <f t="array" ref="CN10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03" s="384">
        <f t="array" ref="CO10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03" s="426">
        <f>SUM(AlimentsRationPorcinsFemelles[[#This Row],[Valeur 12 et plus]:[Valeur 0-1]])</f>
        <v>0</v>
      </c>
      <c r="CQ103" s="298"/>
      <c r="CS103" s="420" t="str">
        <f t="shared" si="36"/>
        <v>Chanvre</v>
      </c>
      <c r="CT103" s="433">
        <f t="array" ref="CT103">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03" s="433">
        <f t="array" ref="CU103">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03" s="433">
        <f t="array" ref="CV103">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03" s="434">
        <f>SUM(AlimentsRationLapinsFemelles[[#This Row],[Valeur 3 et plus]:[Valeur 0-1]])</f>
        <v>0</v>
      </c>
      <c r="CZ103" s="420" t="str">
        <f t="shared" si="37"/>
        <v>Chanvre</v>
      </c>
      <c r="DA103" s="433">
        <f t="array" ref="DA10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03" s="433">
        <f t="array" ref="DB10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03" s="433">
        <f t="array" ref="DC10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03" s="434">
        <f>SUM(AlimentsRationVolaillesFemelles[[#This Row],[Valeur 6 et plus]:[Valeur 0-1]])</f>
        <v>0</v>
      </c>
      <c r="DF103" s="277"/>
      <c r="DG103" s="384" t="str">
        <f t="shared" si="26"/>
        <v>Féverole</v>
      </c>
      <c r="DH103" s="433">
        <f t="array" ref="DH10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03" s="433">
        <f t="array" ref="DI10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03" s="433">
        <f t="array" ref="DJ10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03" s="437">
        <f>SUM(AlimentsRationPintadesFemelles[[#This Row],[Valeur 6 et plus]:[Valeur 0-1]])</f>
        <v>0</v>
      </c>
      <c r="DN103" s="373" t="s">
        <v>514</v>
      </c>
      <c r="DO103" s="280" t="s">
        <v>907</v>
      </c>
      <c r="DP103" s="280" t="s">
        <v>886</v>
      </c>
      <c r="DQ103" s="310">
        <v>1.2</v>
      </c>
      <c r="DR103" s="310">
        <v>0.8</v>
      </c>
      <c r="DS103" s="310">
        <v>0.6</v>
      </c>
      <c r="DT103" s="439">
        <v>0.4</v>
      </c>
      <c r="DU103" s="298"/>
      <c r="DV103" s="350" t="str">
        <f t="shared" si="23"/>
        <v>Ration complète</v>
      </c>
      <c r="DW103" s="351">
        <f t="array" ref="DW103">SUM((IF(QualitéAlimentsFaonMâle_0_3_mois=BONNE,VLOOKUP("Ration complète",AlimentsRationHivernaleDaims,8,FALSE),0)+(IF(QualitéAlimentsFaonFemelle_0_3_mois=BONNE,VLOOKUP("Ration complète",AlimentsRationHivernaleDaims,8,FALSE),0)+(IF(QualitéAlimentsFaonMâle_3_6_mois=BONNE,VLOOKUP("Ration complète",AlimentsRationHivernaleDaims,7,FALSE),0)+(IF(QualitéAlimentsFaonFemelle_3_6_mois=BONNE,VLOOKUP("Ration complète",AlimentsRationHivernaleDaims,7,FALSE),0)+(IF(QualitéAlimentsFaonMâle_6_12_mois=BONNE,VLOOKUP("Ration complète",AlimentsRationHivernaleDaims,6,FALSE),0)+(IF(QualitéAlimentsFaonFemelle_6_12_mois=BONNE,VLOOKUP("Ration complète",AlimentsRationHivernaleDaims,6,FALSE),0)+(IF(QualitéAlimentsJeuneDaim_12_18_mois=BONNE,VLOOKUP("Ration complète",AlimentsRationHivernaleDaims,5,FALSE),0)+(IF(QualitéAlimentsJeuneDaine_12_18_mois=BONNE,VLOOKUP("Ration complète",AlimentsRationHivernaleDaims,5,FALSE),0)+(IF(QualitéAlimentsJeuneDaim_18_24_mois=BONNE,VLOOKUP("Ration complète",AlimentsRationHivernaleDaims,4,FALSE),0)+(IF(QualitéAlimentsJeuneDaine_18_24_mois=BONNE,VLOOKUP("Ration complète",AlimentsRationHivernaleDaims,4,FALSE),0)+(IF(QualitéAlimentsJeuneDaim_24_36_mois=BONNE,VLOOKUP("Ration complète",AlimentsRationHivernaleDaims,3,FALSE),0)+(IF(QualitéAlimentsJeuneDaine_24_36_mois=BONNE,VLOOKUP("Ration complète",AlimentsRationHivernaleDaims,3,FALSE),0)+(IF(QualitéAlimentsDaim=BONNE,VLOOKUP("Ration complète",AlimentsRationHivernaleDaims,2,FALSE),0)+(IF(QualitéAlimentsDaine=BONNE,VLOOKUP("Ration complète",AlimentsRationHivernaleDaims,2,FALSE),0))))))))))))))))</f>
        <v>0</v>
      </c>
      <c r="DX103" s="351">
        <f t="array" ref="DX103">SUM((IF(QualitéAlimentsFaonMâle_0_3_mois=MOYENNE,VLOOKUP("Ration complète",AlimentsRationHivernaleDaims,8,FALSE),0)+(IF(QualitéAlimentsFaonFemelle_0_3_mois=MOYENNE,VLOOKUP("Ration complète",AlimentsRationHivernaleDaims,8,FALSE),0)+(IF(QualitéAlimentsFaonMâle_3_6_mois=MOYENNE,VLOOKUP("Ration complète",AlimentsRationHivernaleDaims,7,FALSE),0)+(IF(QualitéAlimentsFaonFemelle_3_6_mois=MOYENNE,VLOOKUP("Ration complète",AlimentsRationHivernaleDaims,7,FALSE),0)+(IF(QualitéAlimentsFaonMâle_6_12_mois=MOYENNE,VLOOKUP("Ration complète",AlimentsRationHivernaleDaims,6,FALSE),0)+(IF(QualitéAlimentsFaonFemelle_6_12_mois=MOYENNE,VLOOKUP("Ration complète",AlimentsRationHivernaleDaims,6,FALSE),0)+(IF(QualitéAlimentsJeuneDaim_12_18_mois=MOYENNE,VLOOKUP("Ration complète",AlimentsRationHivernaleDaims,5,FALSE),0)+(IF(QualitéAlimentsJeuneDaine_12_18_mois=MOYENNE,VLOOKUP("Ration complète",AlimentsRationHivernaleDaims,5,FALSE),0)+(IF(QualitéAlimentsJeuneDaim_18_24_mois=MOYENNE,VLOOKUP("Ration complète",AlimentsRationHivernaleDaims,4,FALSE),0)+(IF(QualitéAlimentsJeuneDaine_18_24_mois=MOYENNE,VLOOKUP("Ration complète",AlimentsRationHivernaleDaims,4,FALSE),0)+(IF(QualitéAlimentsJeuneDaim_24_36_mois=MOYENNE,VLOOKUP("Ration complète",AlimentsRationHivernaleDaims,3,FALSE),0)+(IF(QualitéAlimentsJeuneDaine_24_36_mois=MOYENNE,VLOOKUP("Ration complète",AlimentsRationHivernaleDaims,3,FALSE),0)+(IF(QualitéAlimentsDaim=MOYENNE,VLOOKUP("Ration complète",AlimentsRationHivernaleDaims,2,FALSE),0)+(IF(QualitéAlimentsDaine=MOYENNE,VLOOKUP("Ration complète",AlimentsRationHivernaleDaims,2,FALSE),0))))))))))))))))</f>
        <v>0</v>
      </c>
      <c r="DY103" s="351">
        <f t="array" ref="DY103">SUM((IF(QualitéAlimentsFaonMâle_0_3_mois=MAUVAISE,VLOOKUP("Ration complète",AlimentsRationHivernaleDaims,8,FALSE),0)+(IF(QualitéAlimentsFaonFemelle_0_3_mois=MAUVAISE,VLOOKUP("Ration complète",AlimentsRationHivernaleDaims,8,FALSE),0)+(IF(QualitéAlimentsFaonMâle_3_6_mois=MAUVAISE,VLOOKUP("Ration complète",AlimentsRationHivernaleDaims,7,FALSE),0)+(IF(QualitéAlimentsFaonFemelle_3_6_mois=MAUVAISE,VLOOKUP("Ration complète",AlimentsRationHivernaleDaims,7,FALSE),0)+(IF(QualitéAlimentsFaonMâle_6_12_mois=MAUVAISE,VLOOKUP("Ration complète",AlimentsRationHivernaleDaims,6,FALSE),0)+(IF(QualitéAlimentsFaonFemelle_6_12_mois=MAUVAISE,VLOOKUP("Ration complète",AlimentsRationHivernaleDaims,6,FALSE),0)+(IF(QualitéAlimentsJeuneDaim_12_18_mois=MAUVAISE,VLOOKUP("Ration complète",AlimentsRationHivernaleDaims,5,FALSE),0)+(IF(QualitéAlimentsJeuneDaine_12_18_mois=MAUVAISE,VLOOKUP("Ration complète",AlimentsRationHivernaleDaims,5,FALSE),0)+(IF(QualitéAlimentsJeuneDaim_18_24_mois=MAUVAISE,VLOOKUP("Ration complète",AlimentsRationHivernaleDaims,4,FALSE),0)+(IF(QualitéAlimentsJeuneDaine_18_24_mois=MAUVAISE,VLOOKUP("Ration complète",AlimentsRationHivernaleDaims,4,FALSE),0)+(IF(QualitéAlimentsJeuneDaim_24_36_mois=MAUVAISE,VLOOKUP("Ration complète",AlimentsRationHivernaleDaims,3,FALSE),0)+(IF(QualitéAlimentsJeuneDaine_24_36_mois=MAUVAISE,VLOOKUP("Ration complète",AlimentsRationHivernaleDaims,3,FALSE),0)+(IF(QualitéAlimentsDaim=MAUVAISE,VLOOKUP("Ration complète",AlimentsRationHivernaleDaims,2,FALSE),0)+(IF(QualitéAlimentsDaine=MAUVAISE,VLOOKUP("Ration complète",AlimentsRationHivernaleDaims,2,FALSE),0))))))))))))))))</f>
        <v>0</v>
      </c>
      <c r="DZ103" s="298"/>
      <c r="EA103" s="298"/>
      <c r="EB103" s="298"/>
      <c r="EC103" s="298"/>
      <c r="ED103" s="298"/>
      <c r="EG103" s="420" t="str">
        <f t="shared" si="30"/>
        <v>concentré jeunes lapins</v>
      </c>
      <c r="EH103" s="433">
        <f t="array" ref="EH10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03" s="433">
        <f t="array" ref="EI10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03" s="433">
        <f t="array" ref="EJ10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03" s="434">
        <f>SUM(AlimentsRationOiesFemelles[[#This Row],[Valeur 6 et plus]:[Valeur 0-3]])</f>
        <v>0</v>
      </c>
      <c r="EN103" s="443" t="str">
        <f t="shared" si="28"/>
        <v>concentré jeunes porcins</v>
      </c>
      <c r="EO103" s="450">
        <f t="array" ref="EO103">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03" s="450">
        <f t="array" ref="EP103">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03" s="450">
        <f t="array" ref="EQ103">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03" s="451">
        <f>SUM(Ration_canards_Femelles[[#This Row],[Valeur 6 et plus]:[Valeur 0-3]])</f>
        <v>0</v>
      </c>
      <c r="EU103" s="457" t="str">
        <f t="shared" ref="EU103:EU140" si="40">EU61</f>
        <v>Betterave</v>
      </c>
      <c r="EV103" s="458">
        <f t="array" ref="EV103">IF(OR(ChoixRationComplèteEtéChevauxSelle=OUI,ChoixRationComplèteEtéChevauxSelle="",AND(ChoixChevauxSellePréHiver=OUI,ChoixChevauxSellePréEté=OUI)),0,IFERROR(IF(OR(AND(INDEX(Règles_chevaux_selle[Specificite],MATCH(RationEtéChevauxSelle&amp;$EU103,Règles_chevaux_selle[Ration]&amp;Règles_chevaux_selle[Aliment],0))="s1",IF($EU103=Spécificité1ChevauxSelle,1)),
AND(INDEX(Règles_chevaux_selle[Specificite],MATCH(RationEtéChevauxSelle&amp;$EU103,Règles_chevaux_selle[Ration]&amp;Règles_chevaux_selle[Aliment],0))="s2",IF($EU103=Spécificité2ChevauxSelle,1)),
INDEX(Règles_chevaux_selle[Specificite],MATCH(RationEtéChevauxSelle&amp;$EU103,Règles_chevaux_selle[Ration]&amp;Règles_chevaux_selle[Aliment],0))="c"),
INDEX(Règles_chevaux_selle[Valeur 36 et plus],MATCH(RationEtéChevauxSelle&amp;$EU103,Règles_chevaux_selle[Ration]&amp;Règles_chevaux_selle[Aliment],0)),0),0)*TotalJumentSelle*NbreJoursNourrirChevauxSelle)</f>
        <v>0</v>
      </c>
      <c r="EW103" s="458">
        <f t="array" ref="EW103">IF(OR(ChoixRationComplèteEtéChevauxSelle=OUI,ChoixRationComplèteEtéChevauxSelle="",AND(ChoixChevauxSellePréHiver=OUI,ChoixChevauxSellePréEté=OUI)),0,IFERROR(IF(OR(AND(INDEX(Règles_chevaux_selle[Specificite],MATCH(RationEtéChevauxSelle&amp;$EU103,Règles_chevaux_selle[Ration]&amp;Règles_chevaux_selle[Aliment],0))="s1",IF($EU103=Spécificité1ChevauxSelle,1)),
AND(INDEX(Règles_chevaux_selle[Specificite],MATCH(RationEtéChevauxSelle&amp;$EU103,Règles_chevaux_selle[Ration]&amp;Règles_chevaux_selle[Aliment],0))="s2",IF($EU103=Spécificité2ChevauxSelle,1)),
INDEX(Règles_chevaux_selle[Specificite],MATCH(RationEtéChevauxSelle&amp;$EU103,Règles_chevaux_selle[Ration]&amp;Règles_chevaux_selle[Aliment],0))="c"),
INDEX(Règles_chevaux_selle[Valeur 24-36],MATCH(RationEtéChevauxSelle&amp;$EU103,Règles_chevaux_selle[Ration]&amp;Règles_chevaux_selle[Aliment],0)),0),0)*TotalJeuneJumentSelle_24_36_mois*NbreJoursNourrirChevauxSelle)</f>
        <v>0</v>
      </c>
      <c r="EX103" s="458">
        <f t="array" ref="EX103">IF(OR(ChoixRationComplèteEtéChevauxSelle=OUI,ChoixRationComplèteEtéChevauxSelle="",AND(ChoixChevauxSellePréHiver=OUI,ChoixChevauxSellePréEté=OUI)),0,IFERROR(IF(OR(AND(INDEX(Règles_chevaux_selle[Specificite],MATCH(RationEtéChevauxSelle&amp;$EU103,Règles_chevaux_selle[Ration]&amp;Règles_chevaux_selle[Aliment],0))="s1",IF($EU103=Spécificité1ChevauxSelle,1)),
AND(INDEX(Règles_chevaux_selle[Specificite],MATCH(RationEtéChevauxSelle&amp;$EU103,Règles_chevaux_selle[Ration]&amp;Règles_chevaux_selle[Aliment],0))="s2",IF($EU103=Spécificité2ChevauxSelle,1)),
INDEX(Règles_chevaux_selle[Specificite],MATCH(RationEtéChevauxSelle&amp;$EU103,Règles_chevaux_selle[Ration]&amp;Règles_chevaux_selle[Aliment],0))="c"),
INDEX(Règles_chevaux_selle[Valeur 12-24],MATCH(RationEtéChevauxSelle&amp;$EU103,Règles_chevaux_selle[Ration]&amp;Règles_chevaux_selle[Aliment],0)),0),0)*TotalJeuneJumentSelle_12_24_mois_12_24_mois*NbreJoursNourrirChevauxSelle)</f>
        <v>0</v>
      </c>
      <c r="EY103" s="460">
        <f t="array" ref="EY103">IF(OR(ChoixRationComplèteEtéChevauxSelle=OUI,ChoixRationComplèteEtéChevauxSelle="",AND(ChoixChevauxSellePréHiver=OUI,ChoixChevauxSellePréEté=OUI)),0,IFERROR(IF(OR(AND(INDEX(Règles_chevaux_selle[Specificite],MATCH(RationEtéChevauxSelle&amp;$EU103,Règles_chevaux_selle[Ration]&amp;Règles_chevaux_selle[Aliment],0))="s1",IF($EU103=Spécificité1ChevauxSelle,1)),
AND(INDEX(Règles_chevaux_selle[Specificite],MATCH(RationEtéChevauxSelle&amp;$EU103,Règles_chevaux_selle[Ration]&amp;Règles_chevaux_selle[Aliment],0))="s2",IF($EU103=Spécificité2ChevauxSelle,1)),
INDEX(Règles_chevaux_selle[Specificite],MATCH(RationEtéChevauxSelle&amp;$EU103,Règles_chevaux_selle[Ration]&amp;Règles_chevaux_selle[Aliment],0))="c"),
INDEX(Règles_chevaux_selle[Valeur 0-12],MATCH(RationEtéChevauxSelle&amp;$EU103,Règles_chevaux_selle[Ration]&amp;Règles_chevaux_selle[Aliment],0)),0),0)*TotalPoulicheSelle_0_12_mois*NbreJoursNourrirChevauxSelle)</f>
        <v>0</v>
      </c>
      <c r="EZ103" s="460">
        <f t="shared" si="39"/>
        <v>0</v>
      </c>
      <c r="FD103" s="457" t="str">
        <f t="shared" si="33"/>
        <v>concentré jeunes bovins</v>
      </c>
      <c r="FE103" s="458">
        <f t="array" ref="FE103">IF(OR(ChoixRationComplèteEtéChevauxTrait=OUI,ChoixRationComplèteEtéChevauxTrait="",AND(ChoixChevauxTraitPréHiver=OUI,ChoixChevauxTraitPréEté=OUI)),0,IFERROR(IF(OR(AND(INDEX(Règles_chevaux_trait[Specificite],MATCH(RationEtéChevauxTrait&amp;$FD103,Règles_chevaux_trait[Ration]&amp;Règles_chevaux_trait[Aliment],0))="s1",IF($FD103=Spécificité1ChevauxTrait,1)),
AND(INDEX(Règles_chevaux_trait[Specificite],MATCH(RationEtéChevauxTrait&amp;$FD103,Règles_chevaux_trait[Ration]&amp;Règles_chevaux_trait[Aliment],0))="s2",IF($FD103=Spécificité2ChevauxTrait,1)),
INDEX(Règles_chevaux_trait[Specificite],MATCH(RationEtéChevauxTrait&amp;$FD103,Règles_chevaux_trait[Ration]&amp;Règles_chevaux_trait[Aliment],0))="c"),
INDEX(Règles_chevaux_trait[Valeur 36 et plus],MATCH(RationEtéChevauxTrait&amp;$FD103,Règles_chevaux_trait[Ration]&amp;Règles_chevaux_trait[Aliment],0)),0),0)*TotalJumentTrait*NbreJoursNourrirChevauxTrait)</f>
        <v>0</v>
      </c>
      <c r="FF103" s="458">
        <f t="array" ref="FF103">IF(OR(ChoixRationComplèteEtéChevauxTrait=OUI,ChoixRationComplèteEtéChevauxTrait="",AND(ChoixChevauxTraitPréHiver=OUI,ChoixChevauxTraitPréEté=OUI)),0,IFERROR(IF(OR(AND(INDEX(Règles_chevaux_trait[Specificite],MATCH(RationEtéChevauxTrait&amp;$FD103,Règles_chevaux_trait[Ration]&amp;Règles_chevaux_trait[Aliment],0))="s1",IF($FD103=Spécificité1ChevauxTrait,1)),
AND(INDEX(Règles_chevaux_trait[Specificite],MATCH(RationEtéChevauxTrait&amp;$FD103,Règles_chevaux_trait[Ration]&amp;Règles_chevaux_trait[Aliment],0))="s2",IF($FD103=Spécificité2ChevauxTrait,1)),
INDEX(Règles_chevaux_trait[Specificite],MATCH(RationEtéChevauxTrait&amp;$FD103,Règles_chevaux_trait[Ration]&amp;Règles_chevaux_trait[Aliment],0))="c"),
INDEX(Règles_chevaux_trait[Valeur 24-36],MATCH(RationEtéChevauxTrait&amp;$FD103,Règles_chevaux_trait[Ration]&amp;Règles_chevaux_trait[Aliment],0)),0),0)*TotalJeuneJumentTrait_24_36_mois*NbreJoursNourrirChevauxTrait)</f>
        <v>0</v>
      </c>
      <c r="FG103" s="458">
        <f t="array" ref="FG103">IF(OR(ChoixRationComplèteEtéChevauxTrait=OUI,ChoixRationComplèteEtéChevauxTrait="",AND(ChoixChevauxTraitPréHiver=OUI,ChoixChevauxTraitPréEté=OUI)),0,IFERROR(IF(OR(AND(INDEX(Règles_chevaux_trait[Specificite],MATCH(RationEtéChevauxTrait&amp;$FD103,Règles_chevaux_trait[Ration]&amp;Règles_chevaux_trait[Aliment],0))="s1",IF($FD103=Spécificité1ChevauxTrait,1)),
AND(INDEX(Règles_chevaux_trait[Specificite],MATCH(RationEtéChevauxTrait&amp;$FD103,Règles_chevaux_trait[Ration]&amp;Règles_chevaux_trait[Aliment],0))="s2",IF($FD103=Spécificité2ChevauxTrait,1)),
INDEX(Règles_chevaux_trait[Specificite],MATCH(RationEtéChevauxTrait&amp;$FD103,Règles_chevaux_trait[Ration]&amp;Règles_chevaux_trait[Aliment],0))="c"),
INDEX(Règles_chevaux_trait[Valeur 12-24],MATCH(RationEtéChevauxTrait&amp;$FD103,Règles_chevaux_trait[Ration]&amp;Règles_chevaux_trait[Aliment],0)),0),0)*TotalJeuneJumentTrait_12_24_mois*NbreJoursNourrirChevauxTrait)</f>
        <v>0</v>
      </c>
      <c r="FH103" s="460">
        <f t="array" ref="FH103">IF(OR(ChoixRationComplèteEtéChevauxTrait=OUI,ChoixRationComplèteEtéChevauxTrait="",AND(ChoixChevauxTraitPréHiver=OUI,ChoixChevauxTraitPréEté=OUI)),0,IFERROR(IF(OR(AND(INDEX(Règles_chevaux_trait[Specificite],MATCH(RationEtéChevauxTrait&amp;$FD103,Règles_chevaux_trait[Ration]&amp;Règles_chevaux_trait[Aliment],0))="s1",IF($FD103=Spécificité1ChevauxTrait,1)),
AND(INDEX(Règles_chevaux_trait[Specificite],MATCH(RationEtéChevauxTrait&amp;$FD103,Règles_chevaux_trait[Ration]&amp;Règles_chevaux_trait[Aliment],0))="s2",IF($FD103=Spécificité2ChevauxTrait,1)),
INDEX(Règles_chevaux_trait[Specificite],MATCH(RationEtéChevauxTrait&amp;$FD103,Règles_chevaux_trait[Ration]&amp;Règles_chevaux_trait[Aliment],0))="c"),
INDEX(Règles_chevaux_trait[Valeur 0-12],MATCH(RationEtéChevauxTrait&amp;$FD103,Règles_chevaux_trait[Ration]&amp;Règles_chevaux_trait[Aliment],0)),0),0)*TotalPoulicheTrait_0_12_mois*NbreJoursNourrirChevauxTrait)</f>
        <v>0</v>
      </c>
      <c r="FI103" s="460">
        <f t="shared" si="31"/>
        <v>0</v>
      </c>
      <c r="FJ103" s="298"/>
      <c r="FN103" s="457" t="str">
        <f t="shared" si="32"/>
        <v>concentré jeunes lapins</v>
      </c>
      <c r="FO103" s="458">
        <f t="array" ref="FO103">IF(OR(ChoixRationComplèteEtéPoneys=OUI,ChoixRationComplèteEtéPoneys="",AND(ChoixPoneysPréHiver=OUI,ChoixPoneysPréEté=OUI)),0,IFERROR(IF(OR(AND(INDEX(Règles_poneys[Specificite],MATCH(RationHivernaleAuPréPoneys&amp;$FN103,Règles_poneys[Ration]&amp;Règles_poneys[Aliment],0))="s1",IF($FN103=Spécificité1Poneys,1)),
AND(INDEX(Règles_poneys[Specificite],MATCH(RationHivernaleAuPréPoneys&amp;$FN103,Règles_poneys[Ration]&amp;Règles_poneys[Aliment],0))="s2",IF($FN103=Spécificité2Poneys,1)),
INDEX(Règles_poneys[Specificite],MATCH(RationHivernaleAuPréPoneys&amp;$FN103,Règles_poneys[Ration]&amp;Règles_poneys[Aliment],0))="c"),
INDEX(Règles_poneys[Valeur 36 et plus],MATCH(RationHivernaleAuPréPoneys&amp;$FN103,Règles_poneys[Ration]&amp;Règles_poneys[Aliment],0)),0),0)*SUM(TotalPoneysAdultes)*SUM(AG118:AG142))</f>
        <v>0</v>
      </c>
      <c r="FP103" s="458">
        <f t="array" ref="FP103">IF(OR(ChoixRationComplèteEtéPoneys=OUI,ChoixRationComplèteEtéPoneys="",AND(ChoixPoneysPréHiver=OUI,ChoixPoneysPréEté=OUI)),0,IFERROR(IF(OR(AND(INDEX(Règles_poneys[Specificite],MATCH(RationHivernaleAuPréPoneys&amp;$FN103,Règles_poneys[Ration]&amp;Règles_poneys[Aliment],0))="s1",IF($FN103=Spécificité1Poneys,1)),
AND(INDEX(Règles_poneys[Specificite],MATCH(RationHivernaleAuPréPoneys&amp;$FN103,Règles_poneys[Ration]&amp;Règles_poneys[Aliment],0))="s2",IF($FN103=Spécificité2Poneys,1)),
INDEX(Règles_poneys[Specificite],MATCH(RationHivernaleAuPréPoneys&amp;$FN103,Règles_poneys[Ration]&amp;Règles_poneys[Aliment],0))="c"),
INDEX(Règles_poneys[Valeur 24-36],MATCH(RationHivernaleAuPréPoneys&amp;$FN103,Règles_poneys[Ration]&amp;Règles_poneys[Aliment],0)),0),0)*SUM(TotalPoneys_24_36mois)*SUM(AG118:AG142))</f>
        <v>0</v>
      </c>
      <c r="FQ103" s="458">
        <f t="array" ref="FQ103">IF(OR(ChoixRationComplèteEtéPoneys=OUI,ChoixRationComplèteEtéPoneys="",AND(ChoixPoneysPréHiver=OUI,ChoixPoneysPréEté=OUI)),0,IFERROR(IF(OR(AND(INDEX(Règles_poneys[Specificite],MATCH(RationHivernaleAuPréPoneys&amp;$FN103,Règles_poneys[Ration]&amp;Règles_poneys[Aliment],0))="s1",IF($FN103=Spécificité1Poneys,1)),
AND(INDEX(Règles_poneys[Specificite],MATCH(RationHivernaleAuPréPoneys&amp;$FN103,Règles_poneys[Ration]&amp;Règles_poneys[Aliment],0))="s2",IF($FN103=Spécificité2Poneys,1)),
INDEX(Règles_poneys[Specificite],MATCH(RationHivernaleAuPréPoneys&amp;$FN103,Règles_poneys[Ration]&amp;Règles_poneys[Aliment],0))="c"),
INDEX(Règles_poneys[Valeur 12-24],MATCH(RationHivernaleAuPréPoneys&amp;$FN103,Règles_poneys[Ration]&amp;Règles_poneys[Aliment],0)),0),0)*SUM(TotalPoneys_12_24mois)*SUM(AG118:AG142))</f>
        <v>0</v>
      </c>
      <c r="FR103" s="460">
        <f t="array" ref="FR103">IF(OR(ChoixRationComplèteEtéPoneys=OUI,ChoixRationComplèteEtéPoneys="",AND(ChoixPoneysPréHiver=OUI,ChoixPoneysPréEté=OUI)),0,IFERROR(IF(OR(AND(INDEX(Règles_poneys[Specificite],MATCH(RationHivernaleAuPréPoneys&amp;$FN103,Règles_poneys[Ration]&amp;Règles_poneys[Aliment],0))="s1",IF($FN103=Spécificité1Poneys,1)),
AND(INDEX(Règles_poneys[Specificite],MATCH(RationHivernaleAuPréPoneys&amp;$FN103,Règles_poneys[Ration]&amp;Règles_poneys[Aliment],0))="s2",IF($FN103=Spécificité2Poneys,1)),
INDEX(Règles_poneys[Specificite],MATCH(RationHivernaleAuPréPoneys&amp;$FN103,Règles_poneys[Ration]&amp;Règles_poneys[Aliment],0))="c"),
INDEX(Règles_poneys[Valeur 0-12],MATCH(RationHivernaleAuPréPoneys&amp;$FN103,Règles_poneys[Ration]&amp;Règles_poneys[Aliment],0)),0),0)*SUM(TotalPoulainsPoneys)*SUM(AG118:AG142))</f>
        <v>0</v>
      </c>
      <c r="FS103" s="460">
        <f t="shared" si="29"/>
        <v>0</v>
      </c>
      <c r="FT103" s="298"/>
      <c r="FW103" s="443" t="str">
        <f t="shared" si="27"/>
        <v>Féverole</v>
      </c>
      <c r="FX103" s="450">
        <f t="array" ref="FX103">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03" s="450">
        <f t="array" ref="FY103">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03" s="450">
        <f t="array" ref="FZ103">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03" s="450">
        <f t="array" ref="GA103">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03" s="451">
        <f>SUM(AlimentsGavageCanards[[#This Row],[Valeur 6 et plus]:[Valeur 0-1]])</f>
        <v>0</v>
      </c>
      <c r="GG103" s="276" t="s">
        <v>955</v>
      </c>
      <c r="GH103" s="276" t="s">
        <v>955</v>
      </c>
      <c r="GI103" s="276" t="s">
        <v>955</v>
      </c>
      <c r="GJ103" s="276" t="s">
        <v>955</v>
      </c>
      <c r="GK103" s="276" t="s">
        <v>955</v>
      </c>
      <c r="GL103" s="276" t="s">
        <v>955</v>
      </c>
      <c r="GM103" s="276" t="s">
        <v>955</v>
      </c>
      <c r="GN103" s="276" t="s">
        <v>955</v>
      </c>
      <c r="GO103" s="276" t="s">
        <v>955</v>
      </c>
      <c r="GP103" s="276" t="s">
        <v>955</v>
      </c>
      <c r="GQ103" s="276" t="s">
        <v>955</v>
      </c>
      <c r="GR103" s="276" t="s">
        <v>955</v>
      </c>
      <c r="GS103" s="276" t="s">
        <v>955</v>
      </c>
      <c r="GT103" s="276" t="s">
        <v>955</v>
      </c>
      <c r="GU103" s="276" t="s">
        <v>955</v>
      </c>
      <c r="GV103" s="276" t="s">
        <v>955</v>
      </c>
      <c r="GY103" s="444" t="str">
        <f t="shared" si="38"/>
        <v>traitement mirabelliers</v>
      </c>
      <c r="GZ103" s="444"/>
      <c r="HA103" s="342"/>
      <c r="HB103" s="342" t="e">
        <f>IF(COUNTIF(TypeArticleDansEntrepôt,GY103)=0,0,SUMIF(TypeArticleDansEntrepôt,GY103,QtéArticleDansEntrepôt)*VLOOKUP(GY103,#REF!,2,FALSE))</f>
        <v>#REF!</v>
      </c>
      <c r="HN103" s="342" t="s">
        <v>1067</v>
      </c>
      <c r="HO103" s="342" t="e">
        <f>IF(SUM((VLOOKUP(BDD!BB204,BDD!BB194:BJ232,9,FALSE)+VLOOKUP(BDD!BB294,BDD!BB284:BJ323,9,FALSE))/1000/SUM(AA76:AA100)*IF(#REF!=OUI,35,84)-(#REF!))&lt;0,0,SUM((VLOOKUP(BDD!BB204,BDD!BB194:BJ232,9,FALSE)+VLOOKUP(BDD!BB294,BDD!BB284:BJ323,9,FALSE))/1000/SUM(AA76:AA100)*IF(#REF!=OUI,35,84)-(#REF!)))</f>
        <v>#REF!</v>
      </c>
      <c r="HP103" s="342">
        <v>0</v>
      </c>
      <c r="HQ103" s="342">
        <v>0</v>
      </c>
      <c r="HR103" s="342" t="e">
        <f>IF(SUM(VLOOKUP(BDD!BX116,BDD!BX106:CC140,6,FALSE)/1000/SUM(AC76:AC100)*IF(#REF!=OUI,49,84)-(#REF!))&lt;0,0,SUM(VLOOKUP(BDD!BX116,BDD!BX106:CC140,6,FALSE)/1000/SUM(AC76:AC100)*IF(#REF!=OUI,49,84)-(#REF!)))</f>
        <v>#REF!</v>
      </c>
      <c r="HS103" s="342">
        <v>0</v>
      </c>
      <c r="HT103" s="342">
        <v>0</v>
      </c>
      <c r="HU103" s="342">
        <v>0</v>
      </c>
      <c r="HV103" s="342" t="e">
        <f>IF(SUM(VLOOKUP(BDD!DN160,BDD!DN150:DS188,6,FALSE)+VLOOKUP(BDD!DN248,BDD!DN238:DS276,6,FALSE))/1000/SUM(AD76:AD100)*IF(#REF!=OUI,35,84)-(#REF!)&lt;0,0,(SUM(VLOOKUP(BDD!DN160,BDD!DN150:DS188,6,FALSE)+VLOOKUP(BDD!DN248,BDD!DN238:DS276,6,FALSE))/1000/SUM(AD76:AD100)*IF(#REF!=OUI,35,84)-(#REF!)))</f>
        <v>#REF!</v>
      </c>
      <c r="HW103" s="342">
        <v>0</v>
      </c>
      <c r="HX103" s="342">
        <v>0</v>
      </c>
      <c r="HY103" s="342">
        <v>0</v>
      </c>
      <c r="HZ103" s="342">
        <v>0</v>
      </c>
      <c r="IA103" s="342">
        <v>0</v>
      </c>
      <c r="IB103" s="342" t="e">
        <f t="shared" si="35"/>
        <v>#REF!</v>
      </c>
    </row>
    <row r="104" spans="1:236" ht="12.75" customHeight="1" x14ac:dyDescent="0.2">
      <c r="A104" s="373"/>
      <c r="B104" s="380"/>
      <c r="F104" s="280"/>
      <c r="G104" s="280"/>
      <c r="H104" s="323"/>
      <c r="I104" s="280"/>
      <c r="J104" s="280"/>
      <c r="K104" s="323"/>
      <c r="L104" s="280"/>
      <c r="O104" s="385" t="s">
        <v>1008</v>
      </c>
      <c r="P104" s="385" t="e">
        <f>IF(ChoixExpèceAuPré="",0,SUMIF(ChoixEspèceAuPré,Bovins,NbreFemelles_3_AnsEtPlusAuPréEté))</f>
        <v>#REF!</v>
      </c>
      <c r="Q104" s="385" t="e">
        <f>IF(ChoixExpèceAuPré="",0,SUMIF(ChoixEspèceAuPré,Ovins,NbreFemelles_3_AnsEtPlusAuPréEté))</f>
        <v>#REF!</v>
      </c>
      <c r="R104" s="385" t="e">
        <f>IF(ChoixExpèceAuPré="",0,SUMIF(ChoixEspèceAuPré,Caprins,NbreFemelles_3_AnsEtPlusAuPréEté))</f>
        <v>#REF!</v>
      </c>
      <c r="S104" s="385" t="e">
        <f>IF(ChoixExpèceAuPré="",0,SUMIF(ChoixEspèceAuPré,Bisons,NbreFemelles_3_AnsEtPlusAuPréEté))</f>
        <v>#REF!</v>
      </c>
      <c r="T104" s="385" t="e">
        <f>IF(ChoixExpèceAuPré="",0,SUMIF(ChoixEspèceAuPré,Daims,NbreFemelles_3_AnsEtPlusAuPréEté))</f>
        <v>#REF!</v>
      </c>
      <c r="U104" s="385" t="e">
        <f>IF(ChoixExpèceAuPré="",0,SUMIF(ChoixEspèceAuPré,ChevauxSelle,NbreFemelles_3_AnsEtPlusAuPréEté))</f>
        <v>#REF!</v>
      </c>
      <c r="V104" s="385" t="e">
        <f>IF(ChoixExpèceAuPré="",0,SUMIF(ChoixEspèceAuPré,ChevauxTrait,NbreFemelles_3_AnsEtPlusAuPréEté))</f>
        <v>#REF!</v>
      </c>
      <c r="W104" s="385" t="e">
        <f>IF(ChoixExpèceAuPré="",0,SUMIF(ChoixEspèceAuPré,Poneys,NbreFemelles_3_AnsEtPlusAuPréEté))</f>
        <v>#REF!</v>
      </c>
      <c r="BB104" s="387" t="s">
        <v>514</v>
      </c>
      <c r="BC104" s="362" t="s">
        <v>57</v>
      </c>
      <c r="BD104" s="362" t="s">
        <v>888</v>
      </c>
      <c r="BE104" s="388">
        <v>4.8</v>
      </c>
      <c r="BF104" s="388">
        <v>4</v>
      </c>
      <c r="BG104" s="388">
        <v>4</v>
      </c>
      <c r="BH104" s="388">
        <v>4</v>
      </c>
      <c r="BI104" s="388">
        <v>2</v>
      </c>
      <c r="BJ104" s="388">
        <v>1.2</v>
      </c>
      <c r="BK104" s="389">
        <v>0</v>
      </c>
      <c r="BL104" s="312"/>
      <c r="BM104" s="350" t="str">
        <f t="shared" si="22"/>
        <v>Tourteau de tournesol</v>
      </c>
      <c r="BN104" s="350">
        <f t="array" ref="BN104">IF(Ration_hivernale_complète_bisons[somme]&gt;0,0,IFERROR(IF(OR(AND(INDEX(Règles_bison[Specificite],MATCH(ChoixRationBisons&amp;$BM104,Règles_bison[Ration]&amp;Règles_bison[Aliment],0))="s1",IF($BM104=ChoixSpécificité1Bisons,1)),
INDEX(Règles_bison[Specificite],MATCH(ChoixRationBisons&amp;$BM104,Règles_bison[Ration]&amp;Règles_bison[Aliment],0))="c"),
INDEX(Règles_bison[Valeur 36 et plus],MATCH(ChoixRationBisons&amp;$BM104,Règles_bison[Ration]&amp;Règles_bison[Aliment],0)),0),0)*TotalBisonnes*NbreJoursNourrirBisonsDaims)</f>
        <v>0</v>
      </c>
      <c r="BO104" s="350">
        <f t="array" ref="BO104">IF(Ration_hivernale_complète_bisons[somme]&gt;0,0,IFERROR(IF(OR(AND(INDEX(Règles_bison[Specificite],MATCH(ChoixRationBisons&amp;$BM104,Règles_bison[Ration]&amp;Règles_bison[Aliment],0))="s1",IF($BM104=ChoixSpécificité1Bisons,1)),
INDEX(Règles_bison[Specificite],MATCH(ChoixRationBisons&amp;$BM104,Règles_bison[Ration]&amp;Règles_bison[Aliment],0))="c"),
INDEX(Règles_bison[Valeur 24-36],MATCH(ChoixRationBisons&amp;$BM104,Règles_bison[Ration]&amp;Règles_bison[Aliment],0)),0),0)*TotalBisonsFemelles_24_36_mois*NbreJoursNourrirBisonsDaims)</f>
        <v>0</v>
      </c>
      <c r="BP104" s="350">
        <f t="array" ref="BP104">IF(Ration_hivernale_complète_bisons[somme]&gt;0,0,IFERROR(IF(OR(AND(INDEX(Règles_bison[Specificite],MATCH(ChoixRationBisons&amp;$BM104,Règles_bison[Ration]&amp;Règles_bison[Aliment],0))="s1",IF($BM104=ChoixSpécificité1Bisons,1)),
INDEX(Règles_bison[Specificite],MATCH(ChoixRationBisons&amp;$BM104,Règles_bison[Ration]&amp;Règles_bison[Aliment],0))="c"),
INDEX(Règles_bison[Valeur 18-24],MATCH(ChoixRationBisons&amp;$BM104,Règles_bison[Ration]&amp;Règles_bison[Aliment],0)),0),0)*TotalBisonsFemelles_18_24_mois*NbreJoursNourrirBisonsDaims)</f>
        <v>0</v>
      </c>
      <c r="BQ104" s="350">
        <f t="array" ref="BQ104">IF(Ration_hivernale_complète_bisons[somme]&gt;0,0,IFERROR(IF(OR(AND(INDEX(Règles_bison[Specificite],MATCH(ChoixRationBisons&amp;$BM104,Règles_bison[Ration]&amp;Règles_bison[Aliment],0))="s1",IF($BM104=ChoixSpécificité1Bisons,1)),
INDEX(Règles_bison[Specificite],MATCH(ChoixRationBisons&amp;$BM104,Règles_bison[Ration]&amp;Règles_bison[Aliment],0))="c"),
INDEX(Règles_bison[Valeur 12-18],MATCH(ChoixRationBisons&amp;$BM104,Règles_bison[Ration]&amp;Règles_bison[Aliment],0)),0),0)*TotalBisonsFemelles_12_18_mois*NbreJoursNourrirBisonsDaims)</f>
        <v>0</v>
      </c>
      <c r="BR104" s="350">
        <f t="array" ref="BR104">IF(Ration_hivernale_complète_bisons[somme]&gt;0,0,IFERROR(IF(OR(AND(INDEX(Règles_bison[Specificite],MATCH(ChoixRationBisons&amp;$BM104,Règles_bison[Ration]&amp;Règles_bison[Aliment],0))="s1",IF($BM104=ChoixSpécificité1Bisons,1)),
INDEX(Règles_bison[Specificite],MATCH(ChoixRationBisons&amp;$BM104,Règles_bison[Ration]&amp;Règles_bison[Aliment],0))="c"),
INDEX(Règles_bison[Valeur 6-12],MATCH(ChoixRationBisons&amp;$BM104,Règles_bison[Ration]&amp;Règles_bison[Aliment],0)),0),0)*TotalBisonsFemelles_6_12_mois*NbreJoursNourrirBisonsDaims)</f>
        <v>0</v>
      </c>
      <c r="BS104" s="350">
        <f t="array" ref="BS104">IF(Ration_hivernale_complète_bisons[somme]&gt;0,0,IFERROR(IF(OR(AND(INDEX(Règles_bison[Specificite],MATCH(ChoixRationBisons&amp;$BM104,Règles_bison[Ration]&amp;Règles_bison[Aliment],0))="s1",IF($BM104=ChoixSpécificité1Bisons,1)),
INDEX(Règles_bison[Specificite],MATCH(ChoixRationBisons&amp;$BM104,Règles_bison[Ration]&amp;Règles_bison[Aliment],0))="c"),
INDEX(Règles_bison[Valeur 3-6],MATCH(ChoixRationBisons&amp;$BM104,Règles_bison[Ration]&amp;Règles_bison[Aliment],0)),0),0)*TotalBisonsFemelles_3_6_mois*NbreJoursNourrirBisonsDaims)</f>
        <v>0</v>
      </c>
      <c r="BT104" s="350">
        <f t="array" ref="BT104">IF(Ration_hivernale_complète_bisons[somme]&gt;0,0,IFERROR(IF(OR(AND(INDEX(Règles_bison[Specificite],MATCH(ChoixRationBisons&amp;$BM104,Règles_bison[Ration]&amp;Règles_bison[Aliment],0))="s1",IF($BM104=ChoixSpécificité1Bisons,1)),
INDEX(Règles_bison[Specificite],MATCH(ChoixRationBisons&amp;$BM104,Règles_bison[Ration]&amp;Règles_bison[Aliment],0))="c"),
INDEX(Règles_bison[Valeur 0-3],MATCH(ChoixRationBisons&amp;$BM104,Règles_bison[Ration]&amp;Règles_bison[Aliment],0)),0),0)*TotalBisonsFemelles_0_3_mois*NbreJoursNourrirBisonsDaims)</f>
        <v>0</v>
      </c>
      <c r="BU104" s="356">
        <f t="shared" si="21"/>
        <v>0</v>
      </c>
      <c r="BV104" s="282"/>
      <c r="BW104" s="282"/>
      <c r="BX104" s="338" t="s">
        <v>1154</v>
      </c>
      <c r="BY104" s="229" t="str">
        <f>IF(animaux!D51="","",animaux!D51)</f>
        <v>MAUVAISE</v>
      </c>
      <c r="BZ104" s="229" t="str">
        <f>IF(animaux!D49="","",animaux!D49)</f>
        <v>BONNE</v>
      </c>
      <c r="CA104" s="229" t="str">
        <f>IF(animaux!D47="","",animaux!D47)</f>
        <v>BONNE</v>
      </c>
      <c r="CB104" s="337" t="str">
        <f>IF(animaux!D45="","",animaux!D45)</f>
        <v>BONNE</v>
      </c>
      <c r="CC104" s="337"/>
      <c r="CI104" s="277"/>
      <c r="CJ104" s="420" t="str">
        <f t="shared" si="25"/>
        <v>Lentille</v>
      </c>
      <c r="CK104" s="384">
        <f t="array" ref="CK10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04" s="384">
        <f t="array" ref="CL10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04" s="384">
        <f t="array" ref="CM10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04" s="384">
        <f t="array" ref="CN10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04" s="384">
        <f t="array" ref="CO10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04" s="426">
        <f>SUM(AlimentsRationPorcinsFemelles[[#This Row],[Valeur 12 et plus]:[Valeur 0-1]])</f>
        <v>0</v>
      </c>
      <c r="CQ104" s="298"/>
      <c r="CS104" s="420" t="str">
        <f t="shared" si="36"/>
        <v>Canola</v>
      </c>
      <c r="CT104" s="433">
        <f t="array" ref="CT104">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04" s="433">
        <f t="array" ref="CU104">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04" s="433">
        <f t="array" ref="CV104">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04" s="434">
        <f>SUM(AlimentsRationLapinsFemelles[[#This Row],[Valeur 3 et plus]:[Valeur 0-1]])</f>
        <v>0</v>
      </c>
      <c r="CY104" s="277"/>
      <c r="CZ104" s="420" t="str">
        <f t="shared" si="37"/>
        <v>Canola</v>
      </c>
      <c r="DA104" s="433">
        <f t="array" ref="DA10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04" s="433">
        <f t="array" ref="DB10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04" s="433">
        <f t="array" ref="DC10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04" s="434">
        <f>SUM(AlimentsRationVolaillesFemelles[[#This Row],[Valeur 6 et plus]:[Valeur 0-1]])</f>
        <v>0</v>
      </c>
      <c r="DE104" s="277"/>
      <c r="DF104" s="277"/>
      <c r="DG104" s="384" t="str">
        <f t="shared" si="26"/>
        <v>Foin</v>
      </c>
      <c r="DH104" s="433">
        <f t="array" ref="DH10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04" s="433">
        <f t="array" ref="DI10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04" s="433">
        <f t="array" ref="DJ10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04" s="437">
        <f>SUM(AlimentsRationPintadesFemelles[[#This Row],[Valeur 6 et plus]:[Valeur 0-1]])</f>
        <v>0</v>
      </c>
      <c r="DN104" s="373" t="s">
        <v>514</v>
      </c>
      <c r="DO104" s="280" t="s">
        <v>500</v>
      </c>
      <c r="DP104" s="280" t="s">
        <v>886</v>
      </c>
      <c r="DQ104" s="310">
        <v>1.2</v>
      </c>
      <c r="DR104" s="310">
        <v>0.8</v>
      </c>
      <c r="DS104" s="310">
        <v>0.6</v>
      </c>
      <c r="DT104" s="439">
        <v>0.4</v>
      </c>
      <c r="DU104" s="298"/>
      <c r="DV104" s="350" t="str">
        <f t="shared" si="23"/>
        <v>Seigle</v>
      </c>
      <c r="DW104" s="351">
        <f t="array" ref="DW104">SUM((IF(QualitéAlimentsFaonMâle_0_3_mois=BONNE,VLOOKUP("Seigle",AlimentsRationHivernaleDaims,8,FALSE),0)+(IF(QualitéAlimentsFaonFemelle_0_3_mois=BONNE,VLOOKUP("Seigle",AlimentsRationHivernaleDaims,8,FALSE),0)+(IF(QualitéAlimentsFaonMâle_3_6_mois=BONNE,VLOOKUP("Seigle",AlimentsRationHivernaleDaims,7,FALSE),0)+(IF(QualitéAlimentsFaonFemelle_3_6_mois=BONNE,VLOOKUP("Seigle",AlimentsRationHivernaleDaims,7,FALSE),0)+(IF(QualitéAlimentsFaonMâle_6_12_mois=BONNE,VLOOKUP("Seigle",AlimentsRationHivernaleDaims,6,FALSE),0)+(IF(QualitéAlimentsFaonFemelle_6_12_mois=BONNE,VLOOKUP("Seigle",AlimentsRationHivernaleDaims,6,FALSE),0)+(IF(QualitéAlimentsJeuneDaim_12_18_mois=BONNE,VLOOKUP("Seigle",AlimentsRationHivernaleDaims,5,FALSE),0)+(IF(QualitéAlimentsJeuneDaine_12_18_mois=BONNE,VLOOKUP("Seigle",AlimentsRationHivernaleDaims,5,FALSE),0)+(IF(QualitéAlimentsJeuneDaim_18_24_mois=BONNE,VLOOKUP("Seigle",AlimentsRationHivernaleDaims,4,FALSE),0)+(IF(QualitéAlimentsJeuneDaine_18_24_mois=BONNE,VLOOKUP("Seigle",AlimentsRationHivernaleDaims,4,FALSE),0)+(IF(QualitéAlimentsJeuneDaim_24_36_mois=BONNE,VLOOKUP("Seigle",AlimentsRationHivernaleDaims,3,FALSE),0)+(IF(QualitéAlimentsJeuneDaine_24_36_mois=BONNE,VLOOKUP("Seigle",AlimentsRationHivernaleDaims,3,FALSE),0)+(IF(QualitéAlimentsDaim=BONNE,VLOOKUP("Seigle",AlimentsRationHivernaleDaims,2,FALSE),0)+(IF(QualitéAlimentsDaine=BONNE,VLOOKUP("Seigle",AlimentsRationHivernaleDaims,2,FALSE),0))))))))))))))))</f>
        <v>0</v>
      </c>
      <c r="DX104" s="351">
        <f t="array" ref="DX104">SUM((IF(QualitéAlimentsFaonMâle_0_3_mois=MOYENNE,VLOOKUP("Seigle",AlimentsRationHivernaleDaims,8,FALSE),0)+(IF(QualitéAlimentsFaonFemelle_0_3_mois=MOYENNE,VLOOKUP("Seigle",AlimentsRationHivernaleDaims,8,FALSE),0)+(IF(QualitéAlimentsFaonMâle_3_6_mois=MOYENNE,VLOOKUP("Seigle",AlimentsRationHivernaleDaims,7,FALSE),0)+(IF(QualitéAlimentsFaonFemelle_3_6_mois=MOYENNE,VLOOKUP("Seigle",AlimentsRationHivernaleDaims,7,FALSE),0)+(IF(QualitéAlimentsFaonMâle_6_12_mois=MOYENNE,VLOOKUP("Seigle",AlimentsRationHivernaleDaims,6,FALSE),0)+(IF(QualitéAlimentsFaonFemelle_6_12_mois=MOYENNE,VLOOKUP("Seigle",AlimentsRationHivernaleDaims,6,FALSE),0)+(IF(QualitéAlimentsJeuneDaim_12_18_mois=MOYENNE,VLOOKUP("Seigle",AlimentsRationHivernaleDaims,5,FALSE),0)+(IF(QualitéAlimentsJeuneDaine_12_18_mois=MOYENNE,VLOOKUP("Seigle",AlimentsRationHivernaleDaims,5,FALSE),0)+(IF(QualitéAlimentsJeuneDaim_18_24_mois=MOYENNE,VLOOKUP("Seigle",AlimentsRationHivernaleDaims,4,FALSE),0)+(IF(QualitéAlimentsJeuneDaine_18_24_mois=MOYENNE,VLOOKUP("Seigle",AlimentsRationHivernaleDaims,4,FALSE),0)+(IF(QualitéAlimentsJeuneDaim_24_36_mois=MOYENNE,VLOOKUP("Seigle",AlimentsRationHivernaleDaims,3,FALSE),0)+(IF(QualitéAlimentsJeuneDaine_24_36_mois=MOYENNE,VLOOKUP("Seigle",AlimentsRationHivernaleDaims,3,FALSE),0)+(IF(QualitéAlimentsDaim=MOYENNE,VLOOKUP("Seigle",AlimentsRationHivernaleDaims,2,FALSE),0)+(IF(QualitéAlimentsDaine=MOYENNE,VLOOKUP("Seigle",AlimentsRationHivernaleDaims,2,FALSE),0))))))))))))))))</f>
        <v>0</v>
      </c>
      <c r="DY104" s="351">
        <f t="array" ref="DY104">SUM((IF(QualitéAlimentsFaonMâle_0_3_mois=MAUVAISE,VLOOKUP("Seigle",AlimentsRationHivernaleDaims,8,FALSE),0)+(IF(QualitéAlimentsFaonFemelle_0_3_mois=MAUVAISE,VLOOKUP("Seigle",AlimentsRationHivernaleDaims,8,FALSE),0)+(IF(QualitéAlimentsFaonMâle_3_6_mois=MAUVAISE,VLOOKUP("Seigle",AlimentsRationHivernaleDaims,7,FALSE),0)+(IF(QualitéAlimentsFaonFemelle_3_6_mois=MAUVAISE,VLOOKUP("Seigle",AlimentsRationHivernaleDaims,7,FALSE),0)+(IF(QualitéAlimentsFaonMâle_6_12_mois=MAUVAISE,VLOOKUP("Seigle",AlimentsRationHivernaleDaims,6,FALSE),0)+(IF(QualitéAlimentsFaonFemelle_6_12_mois=MAUVAISE,VLOOKUP("Seigle",AlimentsRationHivernaleDaims,6,FALSE),0)+(IF(QualitéAlimentsJeuneDaim_12_18_mois=MAUVAISE,VLOOKUP("Seigle",AlimentsRationHivernaleDaims,5,FALSE),0)+(IF(QualitéAlimentsJeuneDaine_12_18_mois=MAUVAISE,VLOOKUP("Seigle",AlimentsRationHivernaleDaims,5,FALSE),0)+(IF(QualitéAlimentsJeuneDaim_18_24_mois=MAUVAISE,VLOOKUP("Seigle",AlimentsRationHivernaleDaims,4,FALSE),0)+(IF(QualitéAlimentsJeuneDaine_18_24_mois=MAUVAISE,VLOOKUP("Seigle",AlimentsRationHivernaleDaims,4,FALSE),0)+(IF(QualitéAlimentsJeuneDaim_24_36_mois=MAUVAISE,VLOOKUP("Seigle",AlimentsRationHivernaleDaims,3,FALSE),0)+(IF(QualitéAlimentsJeuneDaine_24_36_mois=MAUVAISE,VLOOKUP("Seigle",AlimentsRationHivernaleDaims,3,FALSE),0)+(IF(QualitéAlimentsDaim=MAUVAISE,VLOOKUP("Seigle",AlimentsRationHivernaleDaims,2,FALSE),0)+(IF(QualitéAlimentsDaine=MAUVAISE,VLOOKUP("Seigle",AlimentsRationHivernaleDaims,2,FALSE),0))))))))))))))))</f>
        <v>0</v>
      </c>
      <c r="DZ104" s="298"/>
      <c r="EA104" s="298"/>
      <c r="EB104" s="298"/>
      <c r="EC104" s="298"/>
      <c r="ED104" s="298"/>
      <c r="EG104" s="420" t="str">
        <f t="shared" si="30"/>
        <v>concentré jeunes porcins</v>
      </c>
      <c r="EH104" s="433">
        <f t="array" ref="EH10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04" s="433">
        <f t="array" ref="EI10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04" s="433">
        <f t="array" ref="EJ10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04" s="434">
        <f>SUM(AlimentsRationOiesFemelles[[#This Row],[Valeur 6 et plus]:[Valeur 0-3]])</f>
        <v>0</v>
      </c>
      <c r="EN104" s="443" t="str">
        <f t="shared" si="28"/>
        <v>Ensilage d'herbe</v>
      </c>
      <c r="EO104" s="450">
        <f t="array" ref="EO104">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04" s="450">
        <f t="array" ref="EP104">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04" s="450">
        <f t="array" ref="EQ104">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04" s="451">
        <f>SUM(Ration_canards_Femelles[[#This Row],[Valeur 6 et plus]:[Valeur 0-3]])</f>
        <v>0</v>
      </c>
      <c r="EU104" s="457" t="str">
        <f t="shared" si="40"/>
        <v>Blé</v>
      </c>
      <c r="EV104" s="458">
        <f t="array" ref="EV104">IF(OR(ChoixRationComplèteEtéChevauxSelle=OUI,ChoixRationComplèteEtéChevauxSelle="",AND(ChoixChevauxSellePréHiver=OUI,ChoixChevauxSellePréEté=OUI)),0,IFERROR(IF(OR(AND(INDEX(Règles_chevaux_selle[Specificite],MATCH(RationEtéChevauxSelle&amp;$EU104,Règles_chevaux_selle[Ration]&amp;Règles_chevaux_selle[Aliment],0))="s1",IF($EU104=Spécificité1ChevauxSelle,1)),
AND(INDEX(Règles_chevaux_selle[Specificite],MATCH(RationEtéChevauxSelle&amp;$EU104,Règles_chevaux_selle[Ration]&amp;Règles_chevaux_selle[Aliment],0))="s2",IF($EU104=Spécificité2ChevauxSelle,1)),
INDEX(Règles_chevaux_selle[Specificite],MATCH(RationEtéChevauxSelle&amp;$EU104,Règles_chevaux_selle[Ration]&amp;Règles_chevaux_selle[Aliment],0))="c"),
INDEX(Règles_chevaux_selle[Valeur 36 et plus],MATCH(RationEtéChevauxSelle&amp;$EU104,Règles_chevaux_selle[Ration]&amp;Règles_chevaux_selle[Aliment],0)),0),0)*TotalJumentSelle*NbreJoursNourrirChevauxSelle)</f>
        <v>0</v>
      </c>
      <c r="EW104" s="458">
        <f t="array" ref="EW104">IF(OR(ChoixRationComplèteEtéChevauxSelle=OUI,ChoixRationComplèteEtéChevauxSelle="",AND(ChoixChevauxSellePréHiver=OUI,ChoixChevauxSellePréEté=OUI)),0,IFERROR(IF(OR(AND(INDEX(Règles_chevaux_selle[Specificite],MATCH(RationEtéChevauxSelle&amp;$EU104,Règles_chevaux_selle[Ration]&amp;Règles_chevaux_selle[Aliment],0))="s1",IF($EU104=Spécificité1ChevauxSelle,1)),
AND(INDEX(Règles_chevaux_selle[Specificite],MATCH(RationEtéChevauxSelle&amp;$EU104,Règles_chevaux_selle[Ration]&amp;Règles_chevaux_selle[Aliment],0))="s2",IF($EU104=Spécificité2ChevauxSelle,1)),
INDEX(Règles_chevaux_selle[Specificite],MATCH(RationEtéChevauxSelle&amp;$EU104,Règles_chevaux_selle[Ration]&amp;Règles_chevaux_selle[Aliment],0))="c"),
INDEX(Règles_chevaux_selle[Valeur 24-36],MATCH(RationEtéChevauxSelle&amp;$EU104,Règles_chevaux_selle[Ration]&amp;Règles_chevaux_selle[Aliment],0)),0),0)*TotalJeuneJumentSelle_24_36_mois*NbreJoursNourrirChevauxSelle)</f>
        <v>0</v>
      </c>
      <c r="EX104" s="458">
        <f t="array" ref="EX104">IF(OR(ChoixRationComplèteEtéChevauxSelle=OUI,ChoixRationComplèteEtéChevauxSelle="",AND(ChoixChevauxSellePréHiver=OUI,ChoixChevauxSellePréEté=OUI)),0,IFERROR(IF(OR(AND(INDEX(Règles_chevaux_selle[Specificite],MATCH(RationEtéChevauxSelle&amp;$EU104,Règles_chevaux_selle[Ration]&amp;Règles_chevaux_selle[Aliment],0))="s1",IF($EU104=Spécificité1ChevauxSelle,1)),
AND(INDEX(Règles_chevaux_selle[Specificite],MATCH(RationEtéChevauxSelle&amp;$EU104,Règles_chevaux_selle[Ration]&amp;Règles_chevaux_selle[Aliment],0))="s2",IF($EU104=Spécificité2ChevauxSelle,1)),
INDEX(Règles_chevaux_selle[Specificite],MATCH(RationEtéChevauxSelle&amp;$EU104,Règles_chevaux_selle[Ration]&amp;Règles_chevaux_selle[Aliment],0))="c"),
INDEX(Règles_chevaux_selle[Valeur 12-24],MATCH(RationEtéChevauxSelle&amp;$EU104,Règles_chevaux_selle[Ration]&amp;Règles_chevaux_selle[Aliment],0)),0),0)*TotalJeuneJumentSelle_12_24_mois_12_24_mois*NbreJoursNourrirChevauxSelle)</f>
        <v>0</v>
      </c>
      <c r="EY104" s="460">
        <f t="array" ref="EY104">IF(OR(ChoixRationComplèteEtéChevauxSelle=OUI,ChoixRationComplèteEtéChevauxSelle="",AND(ChoixChevauxSellePréHiver=OUI,ChoixChevauxSellePréEté=OUI)),0,IFERROR(IF(OR(AND(INDEX(Règles_chevaux_selle[Specificite],MATCH(RationEtéChevauxSelle&amp;$EU104,Règles_chevaux_selle[Ration]&amp;Règles_chevaux_selle[Aliment],0))="s1",IF($EU104=Spécificité1ChevauxSelle,1)),
AND(INDEX(Règles_chevaux_selle[Specificite],MATCH(RationEtéChevauxSelle&amp;$EU104,Règles_chevaux_selle[Ration]&amp;Règles_chevaux_selle[Aliment],0))="s2",IF($EU104=Spécificité2ChevauxSelle,1)),
INDEX(Règles_chevaux_selle[Specificite],MATCH(RationEtéChevauxSelle&amp;$EU104,Règles_chevaux_selle[Ration]&amp;Règles_chevaux_selle[Aliment],0))="c"),
INDEX(Règles_chevaux_selle[Valeur 0-12],MATCH(RationEtéChevauxSelle&amp;$EU104,Règles_chevaux_selle[Ration]&amp;Règles_chevaux_selle[Aliment],0)),0),0)*TotalPoulicheSelle_0_12_mois*NbreJoursNourrirChevauxSelle)</f>
        <v>0</v>
      </c>
      <c r="EZ104" s="460">
        <f t="shared" si="39"/>
        <v>0</v>
      </c>
      <c r="FD104" s="457" t="str">
        <f t="shared" si="33"/>
        <v>concentré jeunes lapins</v>
      </c>
      <c r="FE104" s="458">
        <f t="array" ref="FE104">IF(OR(ChoixRationComplèteEtéChevauxTrait=OUI,ChoixRationComplèteEtéChevauxTrait="",AND(ChoixChevauxTraitPréHiver=OUI,ChoixChevauxTraitPréEté=OUI)),0,IFERROR(IF(OR(AND(INDEX(Règles_chevaux_trait[Specificite],MATCH(RationEtéChevauxTrait&amp;$FD104,Règles_chevaux_trait[Ration]&amp;Règles_chevaux_trait[Aliment],0))="s1",IF($FD104=Spécificité1ChevauxTrait,1)),
AND(INDEX(Règles_chevaux_trait[Specificite],MATCH(RationEtéChevauxTrait&amp;$FD104,Règles_chevaux_trait[Ration]&amp;Règles_chevaux_trait[Aliment],0))="s2",IF($FD104=Spécificité2ChevauxTrait,1)),
INDEX(Règles_chevaux_trait[Specificite],MATCH(RationEtéChevauxTrait&amp;$FD104,Règles_chevaux_trait[Ration]&amp;Règles_chevaux_trait[Aliment],0))="c"),
INDEX(Règles_chevaux_trait[Valeur 36 et plus],MATCH(RationEtéChevauxTrait&amp;$FD104,Règles_chevaux_trait[Ration]&amp;Règles_chevaux_trait[Aliment],0)),0),0)*TotalJumentTrait*NbreJoursNourrirChevauxTrait)</f>
        <v>0</v>
      </c>
      <c r="FF104" s="458">
        <f t="array" ref="FF104">IF(OR(ChoixRationComplèteEtéChevauxTrait=OUI,ChoixRationComplèteEtéChevauxTrait="",AND(ChoixChevauxTraitPréHiver=OUI,ChoixChevauxTraitPréEté=OUI)),0,IFERROR(IF(OR(AND(INDEX(Règles_chevaux_trait[Specificite],MATCH(RationEtéChevauxTrait&amp;$FD104,Règles_chevaux_trait[Ration]&amp;Règles_chevaux_trait[Aliment],0))="s1",IF($FD104=Spécificité1ChevauxTrait,1)),
AND(INDEX(Règles_chevaux_trait[Specificite],MATCH(RationEtéChevauxTrait&amp;$FD104,Règles_chevaux_trait[Ration]&amp;Règles_chevaux_trait[Aliment],0))="s2",IF($FD104=Spécificité2ChevauxTrait,1)),
INDEX(Règles_chevaux_trait[Specificite],MATCH(RationEtéChevauxTrait&amp;$FD104,Règles_chevaux_trait[Ration]&amp;Règles_chevaux_trait[Aliment],0))="c"),
INDEX(Règles_chevaux_trait[Valeur 24-36],MATCH(RationEtéChevauxTrait&amp;$FD104,Règles_chevaux_trait[Ration]&amp;Règles_chevaux_trait[Aliment],0)),0),0)*TotalJeuneJumentTrait_24_36_mois*NbreJoursNourrirChevauxTrait)</f>
        <v>0</v>
      </c>
      <c r="FG104" s="458">
        <f t="array" ref="FG104">IF(OR(ChoixRationComplèteEtéChevauxTrait=OUI,ChoixRationComplèteEtéChevauxTrait="",AND(ChoixChevauxTraitPréHiver=OUI,ChoixChevauxTraitPréEté=OUI)),0,IFERROR(IF(OR(AND(INDEX(Règles_chevaux_trait[Specificite],MATCH(RationEtéChevauxTrait&amp;$FD104,Règles_chevaux_trait[Ration]&amp;Règles_chevaux_trait[Aliment],0))="s1",IF($FD104=Spécificité1ChevauxTrait,1)),
AND(INDEX(Règles_chevaux_trait[Specificite],MATCH(RationEtéChevauxTrait&amp;$FD104,Règles_chevaux_trait[Ration]&amp;Règles_chevaux_trait[Aliment],0))="s2",IF($FD104=Spécificité2ChevauxTrait,1)),
INDEX(Règles_chevaux_trait[Specificite],MATCH(RationEtéChevauxTrait&amp;$FD104,Règles_chevaux_trait[Ration]&amp;Règles_chevaux_trait[Aliment],0))="c"),
INDEX(Règles_chevaux_trait[Valeur 12-24],MATCH(RationEtéChevauxTrait&amp;$FD104,Règles_chevaux_trait[Ration]&amp;Règles_chevaux_trait[Aliment],0)),0),0)*TotalJeuneJumentTrait_12_24_mois*NbreJoursNourrirChevauxTrait)</f>
        <v>0</v>
      </c>
      <c r="FH104" s="460">
        <f t="array" ref="FH104">IF(OR(ChoixRationComplèteEtéChevauxTrait=OUI,ChoixRationComplèteEtéChevauxTrait="",AND(ChoixChevauxTraitPréHiver=OUI,ChoixChevauxTraitPréEté=OUI)),0,IFERROR(IF(OR(AND(INDEX(Règles_chevaux_trait[Specificite],MATCH(RationEtéChevauxTrait&amp;$FD104,Règles_chevaux_trait[Ration]&amp;Règles_chevaux_trait[Aliment],0))="s1",IF($FD104=Spécificité1ChevauxTrait,1)),
AND(INDEX(Règles_chevaux_trait[Specificite],MATCH(RationEtéChevauxTrait&amp;$FD104,Règles_chevaux_trait[Ration]&amp;Règles_chevaux_trait[Aliment],0))="s2",IF($FD104=Spécificité2ChevauxTrait,1)),
INDEX(Règles_chevaux_trait[Specificite],MATCH(RationEtéChevauxTrait&amp;$FD104,Règles_chevaux_trait[Ration]&amp;Règles_chevaux_trait[Aliment],0))="c"),
INDEX(Règles_chevaux_trait[Valeur 0-12],MATCH(RationEtéChevauxTrait&amp;$FD104,Règles_chevaux_trait[Ration]&amp;Règles_chevaux_trait[Aliment],0)),0),0)*TotalPoulicheTrait_0_12_mois*NbreJoursNourrirChevauxTrait)</f>
        <v>0</v>
      </c>
      <c r="FI104" s="460">
        <f t="shared" si="31"/>
        <v>0</v>
      </c>
      <c r="FJ104" s="298"/>
      <c r="FN104" s="457" t="str">
        <f t="shared" si="32"/>
        <v>concentré jeunes porcins</v>
      </c>
      <c r="FO104" s="458">
        <f t="array" ref="FO104">IF(OR(ChoixRationComplèteEtéPoneys=OUI,ChoixRationComplèteEtéPoneys="",AND(ChoixPoneysPréHiver=OUI,ChoixPoneysPréEté=OUI)),0,IFERROR(IF(OR(AND(INDEX(Règles_poneys[Specificite],MATCH(RationHivernaleAuPréPoneys&amp;$FN104,Règles_poneys[Ration]&amp;Règles_poneys[Aliment],0))="s1",IF($FN104=Spécificité1Poneys,1)),
AND(INDEX(Règles_poneys[Specificite],MATCH(RationHivernaleAuPréPoneys&amp;$FN104,Règles_poneys[Ration]&amp;Règles_poneys[Aliment],0))="s2",IF($FN104=Spécificité2Poneys,1)),
INDEX(Règles_poneys[Specificite],MATCH(RationHivernaleAuPréPoneys&amp;$FN104,Règles_poneys[Ration]&amp;Règles_poneys[Aliment],0))="c"),
INDEX(Règles_poneys[Valeur 36 et plus],MATCH(RationHivernaleAuPréPoneys&amp;$FN104,Règles_poneys[Ration]&amp;Règles_poneys[Aliment],0)),0),0)*SUM(TotalPoneysAdultes)*SUM(AG118:AG142))</f>
        <v>0</v>
      </c>
      <c r="FP104" s="458">
        <f t="array" ref="FP104">IF(OR(ChoixRationComplèteEtéPoneys=OUI,ChoixRationComplèteEtéPoneys="",AND(ChoixPoneysPréHiver=OUI,ChoixPoneysPréEté=OUI)),0,IFERROR(IF(OR(AND(INDEX(Règles_poneys[Specificite],MATCH(RationHivernaleAuPréPoneys&amp;$FN104,Règles_poneys[Ration]&amp;Règles_poneys[Aliment],0))="s1",IF($FN104=Spécificité1Poneys,1)),
AND(INDEX(Règles_poneys[Specificite],MATCH(RationHivernaleAuPréPoneys&amp;$FN104,Règles_poneys[Ration]&amp;Règles_poneys[Aliment],0))="s2",IF($FN104=Spécificité2Poneys,1)),
INDEX(Règles_poneys[Specificite],MATCH(RationHivernaleAuPréPoneys&amp;$FN104,Règles_poneys[Ration]&amp;Règles_poneys[Aliment],0))="c"),
INDEX(Règles_poneys[Valeur 24-36],MATCH(RationHivernaleAuPréPoneys&amp;$FN104,Règles_poneys[Ration]&amp;Règles_poneys[Aliment],0)),0),0)*SUM(TotalPoneys_24_36mois)*SUM(AG118:AG142))</f>
        <v>0</v>
      </c>
      <c r="FQ104" s="458">
        <f t="array" ref="FQ104">IF(OR(ChoixRationComplèteEtéPoneys=OUI,ChoixRationComplèteEtéPoneys="",AND(ChoixPoneysPréHiver=OUI,ChoixPoneysPréEté=OUI)),0,IFERROR(IF(OR(AND(INDEX(Règles_poneys[Specificite],MATCH(RationHivernaleAuPréPoneys&amp;$FN104,Règles_poneys[Ration]&amp;Règles_poneys[Aliment],0))="s1",IF($FN104=Spécificité1Poneys,1)),
AND(INDEX(Règles_poneys[Specificite],MATCH(RationHivernaleAuPréPoneys&amp;$FN104,Règles_poneys[Ration]&amp;Règles_poneys[Aliment],0))="s2",IF($FN104=Spécificité2Poneys,1)),
INDEX(Règles_poneys[Specificite],MATCH(RationHivernaleAuPréPoneys&amp;$FN104,Règles_poneys[Ration]&amp;Règles_poneys[Aliment],0))="c"),
INDEX(Règles_poneys[Valeur 12-24],MATCH(RationHivernaleAuPréPoneys&amp;$FN104,Règles_poneys[Ration]&amp;Règles_poneys[Aliment],0)),0),0)*SUM(TotalPoneys_12_24mois)*SUM(AG118:AG142))</f>
        <v>0</v>
      </c>
      <c r="FR104" s="460">
        <f t="array" ref="FR104">IF(OR(ChoixRationComplèteEtéPoneys=OUI,ChoixRationComplèteEtéPoneys="",AND(ChoixPoneysPréHiver=OUI,ChoixPoneysPréEté=OUI)),0,IFERROR(IF(OR(AND(INDEX(Règles_poneys[Specificite],MATCH(RationHivernaleAuPréPoneys&amp;$FN104,Règles_poneys[Ration]&amp;Règles_poneys[Aliment],0))="s1",IF($FN104=Spécificité1Poneys,1)),
AND(INDEX(Règles_poneys[Specificite],MATCH(RationHivernaleAuPréPoneys&amp;$FN104,Règles_poneys[Ration]&amp;Règles_poneys[Aliment],0))="s2",IF($FN104=Spécificité2Poneys,1)),
INDEX(Règles_poneys[Specificite],MATCH(RationHivernaleAuPréPoneys&amp;$FN104,Règles_poneys[Ration]&amp;Règles_poneys[Aliment],0))="c"),
INDEX(Règles_poneys[Valeur 0-12],MATCH(RationHivernaleAuPréPoneys&amp;$FN104,Règles_poneys[Ration]&amp;Règles_poneys[Aliment],0)),0),0)*SUM(TotalPoulainsPoneys)*SUM(AG118:AG142))</f>
        <v>0</v>
      </c>
      <c r="FS104" s="460">
        <f t="shared" si="29"/>
        <v>0</v>
      </c>
      <c r="FT104" s="298"/>
      <c r="FW104" s="443" t="str">
        <f t="shared" si="27"/>
        <v>Foin</v>
      </c>
      <c r="FX104" s="450">
        <f t="array" ref="FX104">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04" s="450">
        <f t="array" ref="FY104">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04" s="450">
        <f t="array" ref="FZ104">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04" s="450">
        <f t="array" ref="GA104">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04" s="451">
        <f>SUM(AlimentsGavageCanards[[#This Row],[Valeur 6 et plus]:[Valeur 0-1]])</f>
        <v>0</v>
      </c>
      <c r="GG104" s="276" t="s">
        <v>955</v>
      </c>
      <c r="GH104" s="276" t="s">
        <v>955</v>
      </c>
      <c r="GI104" s="276" t="s">
        <v>955</v>
      </c>
      <c r="GJ104" s="276" t="s">
        <v>955</v>
      </c>
      <c r="GK104" s="276" t="s">
        <v>955</v>
      </c>
      <c r="GL104" s="276" t="s">
        <v>955</v>
      </c>
      <c r="GM104" s="276" t="s">
        <v>955</v>
      </c>
      <c r="GN104" s="276" t="s">
        <v>955</v>
      </c>
      <c r="GO104" s="276" t="s">
        <v>955</v>
      </c>
      <c r="GP104" s="276" t="s">
        <v>955</v>
      </c>
      <c r="GQ104" s="276" t="s">
        <v>955</v>
      </c>
      <c r="GR104" s="276" t="s">
        <v>955</v>
      </c>
      <c r="GS104" s="276" t="s">
        <v>955</v>
      </c>
      <c r="GT104" s="276" t="s">
        <v>955</v>
      </c>
      <c r="GU104" s="276" t="s">
        <v>955</v>
      </c>
      <c r="GV104" s="276" t="s">
        <v>955</v>
      </c>
      <c r="GY104" s="444" t="s">
        <v>1103</v>
      </c>
      <c r="GZ104" s="444"/>
      <c r="HA104" s="444"/>
      <c r="HB104" s="462" t="e">
        <f>SUM(HB96:HB103)</f>
        <v>#REF!</v>
      </c>
      <c r="HN104" s="342" t="s">
        <v>1070</v>
      </c>
      <c r="HO104" s="342" t="e">
        <f>IF(SUM((VLOOKUP(BDD!BB211,BDD!BB194:BJ232,9,FALSE)+VLOOKUP(BDD!BB301,BDD!BB284:BJ323,9,FALSE))/1000/SUM(AA76:AA100)*IF(#REF!=OUI,35,84)-(#REF!))&lt;0,0,SUM((VLOOKUP(BDD!BB211,BDD!BB194:BJ232,9,FALSE)+VLOOKUP(BDD!BB301,BDD!BB284:BJ323,9,FALSE))/1000/SUM(AA76:AA100)*IF(#REF!=OUI,35,84)-(#REF!)))</f>
        <v>#REF!</v>
      </c>
      <c r="HP104" s="342">
        <v>0</v>
      </c>
      <c r="HQ104" s="342">
        <v>0</v>
      </c>
      <c r="HR104" s="342" t="e">
        <f>IF(SUM(VLOOKUP(BDD!BX123,BDD!BX106:CC140,6,FALSE)/1000/SUM(AC76:AC100)*IF(#REF!=OUI,49,84)-(#REF!))&lt;0,0,SUM(VLOOKUP(BDD!BX123,BDD!BX106:CC140,6,FALSE)/1000/SUM(AC76:AC100)*IF(#REF!=OUI,49,84)-(#REF!)))</f>
        <v>#REF!</v>
      </c>
      <c r="HS104" s="342">
        <v>0</v>
      </c>
      <c r="HT104" s="342">
        <v>0</v>
      </c>
      <c r="HU104" s="342">
        <v>0</v>
      </c>
      <c r="HV104" s="342" t="e">
        <f>IF(SUM(VLOOKUP(BDD!DN167,BDD!DN150:DS188,6,FALSE)+VLOOKUP(BDD!DN255,BDD!DN238:DS276,6,FALSE))/1000/SUM(AD76:AD100)*IF(#REF!=OUI,35,84)-(#REF!)&lt;0,0,(SUM(VLOOKUP(BDD!DN167,BDD!DN150:DS188,6,FALSE)+VLOOKUP(BDD!DN255,BDD!DN238:DS276,6,FALSE))/1000/SUM(AD76:AD100)*IF(#REF!=OUI,35,84)-(#REF!)))</f>
        <v>#REF!</v>
      </c>
      <c r="HW104" s="342">
        <v>0</v>
      </c>
      <c r="HX104" s="342">
        <v>0</v>
      </c>
      <c r="HY104" s="342">
        <v>0</v>
      </c>
      <c r="HZ104" s="342">
        <v>0</v>
      </c>
      <c r="IA104" s="342">
        <v>0</v>
      </c>
      <c r="IB104" s="342" t="e">
        <f t="shared" si="35"/>
        <v>#REF!</v>
      </c>
    </row>
    <row r="105" spans="1:236" ht="12.75" customHeight="1" x14ac:dyDescent="0.2">
      <c r="A105" s="373"/>
      <c r="B105" s="380"/>
      <c r="F105" s="280"/>
      <c r="G105" s="321"/>
      <c r="H105" s="321"/>
      <c r="I105" s="321"/>
      <c r="J105" s="321"/>
      <c r="K105" s="321"/>
      <c r="L105" s="321"/>
      <c r="BB105" s="387" t="s">
        <v>514</v>
      </c>
      <c r="BC105" s="362" t="s">
        <v>905</v>
      </c>
      <c r="BD105" s="362" t="s">
        <v>886</v>
      </c>
      <c r="BE105" s="388">
        <v>1</v>
      </c>
      <c r="BF105" s="388">
        <v>0.8</v>
      </c>
      <c r="BG105" s="388">
        <v>0.6</v>
      </c>
      <c r="BH105" s="388">
        <v>0.4</v>
      </c>
      <c r="BI105" s="388">
        <v>0.4</v>
      </c>
      <c r="BJ105" s="388">
        <v>0.4</v>
      </c>
      <c r="BK105" s="389">
        <v>0</v>
      </c>
      <c r="BL105" s="312"/>
      <c r="BM105" s="350" t="str">
        <f t="shared" si="22"/>
        <v>Triticale</v>
      </c>
      <c r="BN105" s="350">
        <f t="array" ref="BN105">IF(Ration_hivernale_complète_bisons[somme]&gt;0,0,IFERROR(IF(OR(AND(INDEX(Règles_bison[Specificite],MATCH(ChoixRationBisons&amp;$BM105,Règles_bison[Ration]&amp;Règles_bison[Aliment],0))="s1",IF($BM105=ChoixSpécificité1Bisons,1)),
INDEX(Règles_bison[Specificite],MATCH(ChoixRationBisons&amp;$BM105,Règles_bison[Ration]&amp;Règles_bison[Aliment],0))="c"),
INDEX(Règles_bison[Valeur 36 et plus],MATCH(ChoixRationBisons&amp;$BM105,Règles_bison[Ration]&amp;Règles_bison[Aliment],0)),0),0)*TotalBisonnes*NbreJoursNourrirBisonsDaims)</f>
        <v>0</v>
      </c>
      <c r="BO105" s="350">
        <f t="array" ref="BO105">IF(Ration_hivernale_complète_bisons[somme]&gt;0,0,IFERROR(IF(OR(AND(INDEX(Règles_bison[Specificite],MATCH(ChoixRationBisons&amp;$BM105,Règles_bison[Ration]&amp;Règles_bison[Aliment],0))="s1",IF($BM105=ChoixSpécificité1Bisons,1)),
INDEX(Règles_bison[Specificite],MATCH(ChoixRationBisons&amp;$BM105,Règles_bison[Ration]&amp;Règles_bison[Aliment],0))="c"),
INDEX(Règles_bison[Valeur 24-36],MATCH(ChoixRationBisons&amp;$BM105,Règles_bison[Ration]&amp;Règles_bison[Aliment],0)),0),0)*TotalBisonsFemelles_24_36_mois*NbreJoursNourrirBisonsDaims)</f>
        <v>0</v>
      </c>
      <c r="BP105" s="350">
        <f t="array" ref="BP105">IF(Ration_hivernale_complète_bisons[somme]&gt;0,0,IFERROR(IF(OR(AND(INDEX(Règles_bison[Specificite],MATCH(ChoixRationBisons&amp;$BM105,Règles_bison[Ration]&amp;Règles_bison[Aliment],0))="s1",IF($BM105=ChoixSpécificité1Bisons,1)),
INDEX(Règles_bison[Specificite],MATCH(ChoixRationBisons&amp;$BM105,Règles_bison[Ration]&amp;Règles_bison[Aliment],0))="c"),
INDEX(Règles_bison[Valeur 18-24],MATCH(ChoixRationBisons&amp;$BM105,Règles_bison[Ration]&amp;Règles_bison[Aliment],0)),0),0)*TotalBisonsFemelles_18_24_mois*NbreJoursNourrirBisonsDaims)</f>
        <v>0</v>
      </c>
      <c r="BQ105" s="350">
        <f t="array" ref="BQ105">IF(Ration_hivernale_complète_bisons[somme]&gt;0,0,IFERROR(IF(OR(AND(INDEX(Règles_bison[Specificite],MATCH(ChoixRationBisons&amp;$BM105,Règles_bison[Ration]&amp;Règles_bison[Aliment],0))="s1",IF($BM105=ChoixSpécificité1Bisons,1)),
INDEX(Règles_bison[Specificite],MATCH(ChoixRationBisons&amp;$BM105,Règles_bison[Ration]&amp;Règles_bison[Aliment],0))="c"),
INDEX(Règles_bison[Valeur 12-18],MATCH(ChoixRationBisons&amp;$BM105,Règles_bison[Ration]&amp;Règles_bison[Aliment],0)),0),0)*TotalBisonsFemelles_12_18_mois*NbreJoursNourrirBisonsDaims)</f>
        <v>0</v>
      </c>
      <c r="BR105" s="350">
        <f t="array" ref="BR105">IF(Ration_hivernale_complète_bisons[somme]&gt;0,0,IFERROR(IF(OR(AND(INDEX(Règles_bison[Specificite],MATCH(ChoixRationBisons&amp;$BM105,Règles_bison[Ration]&amp;Règles_bison[Aliment],0))="s1",IF($BM105=ChoixSpécificité1Bisons,1)),
INDEX(Règles_bison[Specificite],MATCH(ChoixRationBisons&amp;$BM105,Règles_bison[Ration]&amp;Règles_bison[Aliment],0))="c"),
INDEX(Règles_bison[Valeur 6-12],MATCH(ChoixRationBisons&amp;$BM105,Règles_bison[Ration]&amp;Règles_bison[Aliment],0)),0),0)*TotalBisonsFemelles_6_12_mois*NbreJoursNourrirBisonsDaims)</f>
        <v>0</v>
      </c>
      <c r="BS105" s="350">
        <f t="array" ref="BS105">IF(Ration_hivernale_complète_bisons[somme]&gt;0,0,IFERROR(IF(OR(AND(INDEX(Règles_bison[Specificite],MATCH(ChoixRationBisons&amp;$BM105,Règles_bison[Ration]&amp;Règles_bison[Aliment],0))="s1",IF($BM105=ChoixSpécificité1Bisons,1)),
INDEX(Règles_bison[Specificite],MATCH(ChoixRationBisons&amp;$BM105,Règles_bison[Ration]&amp;Règles_bison[Aliment],0))="c"),
INDEX(Règles_bison[Valeur 3-6],MATCH(ChoixRationBisons&amp;$BM105,Règles_bison[Ration]&amp;Règles_bison[Aliment],0)),0),0)*TotalBisonsFemelles_3_6_mois*NbreJoursNourrirBisonsDaims)</f>
        <v>0</v>
      </c>
      <c r="BT105" s="350">
        <f t="array" ref="BT105">IF(Ration_hivernale_complète_bisons[somme]&gt;0,0,IFERROR(IF(OR(AND(INDEX(Règles_bison[Specificite],MATCH(ChoixRationBisons&amp;$BM105,Règles_bison[Ration]&amp;Règles_bison[Aliment],0))="s1",IF($BM105=ChoixSpécificité1Bisons,1)),
INDEX(Règles_bison[Specificite],MATCH(ChoixRationBisons&amp;$BM105,Règles_bison[Ration]&amp;Règles_bison[Aliment],0))="c"),
INDEX(Règles_bison[Valeur 0-3],MATCH(ChoixRationBisons&amp;$BM105,Règles_bison[Ration]&amp;Règles_bison[Aliment],0)),0),0)*TotalBisonsFemelles_0_3_mois*NbreJoursNourrirBisonsDaims)</f>
        <v>0</v>
      </c>
      <c r="BU105" s="356">
        <f t="shared" si="21"/>
        <v>0</v>
      </c>
      <c r="BV105" s="282"/>
      <c r="BW105" s="282"/>
      <c r="BX105" s="354" t="s">
        <v>910</v>
      </c>
      <c r="BY105" s="349" t="s">
        <v>914</v>
      </c>
      <c r="BZ105" s="349" t="s">
        <v>891</v>
      </c>
      <c r="CA105" s="349" t="s">
        <v>890</v>
      </c>
      <c r="CB105" s="349" t="s">
        <v>889</v>
      </c>
      <c r="CC105" s="349" t="s">
        <v>903</v>
      </c>
      <c r="CH105" s="277"/>
      <c r="CI105" s="277"/>
      <c r="CJ105" s="420" t="str">
        <f t="shared" si="25"/>
        <v>Maïs ensilé</v>
      </c>
      <c r="CK105" s="384">
        <f t="array" ref="CK10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05" s="384">
        <f t="array" ref="CL10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05" s="384">
        <f t="array" ref="CM10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05" s="384">
        <f t="array" ref="CN10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05" s="384">
        <f t="array" ref="CO10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05" s="426">
        <f>SUM(AlimentsRationPorcinsFemelles[[#This Row],[Valeur 12 et plus]:[Valeur 0-1]])</f>
        <v>0</v>
      </c>
      <c r="CQ105" s="298"/>
      <c r="CS105" s="420" t="str">
        <f t="shared" si="36"/>
        <v>Colza</v>
      </c>
      <c r="CT105" s="433">
        <f t="array" ref="CT105">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05" s="433">
        <f t="array" ref="CU105">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05" s="433">
        <f t="array" ref="CV105">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05" s="434">
        <f>SUM(AlimentsRationLapinsFemelles[[#This Row],[Valeur 3 et plus]:[Valeur 0-1]])</f>
        <v>0</v>
      </c>
      <c r="CY105" s="277"/>
      <c r="CZ105" s="420" t="str">
        <f t="shared" si="37"/>
        <v>Colza</v>
      </c>
      <c r="DA105" s="433">
        <f t="array" ref="DA10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05" s="433">
        <f t="array" ref="DB10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05" s="433">
        <f t="array" ref="DC10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05" s="434">
        <f>SUM(AlimentsRationVolaillesFemelles[[#This Row],[Valeur 6 et plus]:[Valeur 0-1]])</f>
        <v>0</v>
      </c>
      <c r="DE105" s="277"/>
      <c r="DG105" s="384" t="str">
        <f t="shared" si="26"/>
        <v>Haricot vert</v>
      </c>
      <c r="DH105" s="433">
        <f t="array" ref="DH10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05" s="433">
        <f t="array" ref="DI10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05" s="433">
        <f t="array" ref="DJ10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05" s="437">
        <f>SUM(AlimentsRationPintadesFemelles[[#This Row],[Valeur 6 et plus]:[Valeur 0-1]])</f>
        <v>0</v>
      </c>
      <c r="DN105" s="373" t="s">
        <v>514</v>
      </c>
      <c r="DO105" s="280" t="s">
        <v>905</v>
      </c>
      <c r="DP105" s="280" t="s">
        <v>886</v>
      </c>
      <c r="DQ105" s="310">
        <v>0.14000000000000001</v>
      </c>
      <c r="DR105" s="310">
        <v>0.08</v>
      </c>
      <c r="DS105" s="310">
        <v>0.04</v>
      </c>
      <c r="DT105" s="439">
        <v>0.04</v>
      </c>
      <c r="DU105" s="298"/>
      <c r="DV105" s="350" t="str">
        <f t="shared" si="23"/>
        <v>Soja</v>
      </c>
      <c r="DW105" s="351">
        <f t="array" ref="DW105">SUM((IF(QualitéAlimentsFaonMâle_0_3_mois=BONNE,VLOOKUP("Soja",AlimentsRationHivernaleDaims,8,FALSE),0)+(IF(QualitéAlimentsFaonFemelle_0_3_mois=BONNE,VLOOKUP("Soja",AlimentsRationHivernaleDaims,8,FALSE),0)+(IF(QualitéAlimentsFaonMâle_3_6_mois=BONNE,VLOOKUP("Soja",AlimentsRationHivernaleDaims,7,FALSE),0)+(IF(QualitéAlimentsFaonFemelle_3_6_mois=BONNE,VLOOKUP("Soja",AlimentsRationHivernaleDaims,7,FALSE),0)+(IF(QualitéAlimentsFaonMâle_6_12_mois=BONNE,VLOOKUP("Soja",AlimentsRationHivernaleDaims,6,FALSE),0)+(IF(QualitéAlimentsFaonFemelle_6_12_mois=BONNE,VLOOKUP("Soja",AlimentsRationHivernaleDaims,6,FALSE),0)+(IF(QualitéAlimentsJeuneDaim_12_18_mois=BONNE,VLOOKUP("Soja",AlimentsRationHivernaleDaims,5,FALSE),0)+(IF(QualitéAlimentsJeuneDaine_12_18_mois=BONNE,VLOOKUP("Soja",AlimentsRationHivernaleDaims,5,FALSE),0)+(IF(QualitéAlimentsJeuneDaim_18_24_mois=BONNE,VLOOKUP("Soja",AlimentsRationHivernaleDaims,4,FALSE),0)+(IF(QualitéAlimentsJeuneDaine_18_24_mois=BONNE,VLOOKUP("Soja",AlimentsRationHivernaleDaims,4,FALSE),0)+(IF(QualitéAlimentsJeuneDaim_24_36_mois=BONNE,VLOOKUP("Soja",AlimentsRationHivernaleDaims,3,FALSE),0)+(IF(QualitéAlimentsJeuneDaine_24_36_mois=BONNE,VLOOKUP("Soja",AlimentsRationHivernaleDaims,3,FALSE),0)+(IF(QualitéAlimentsDaim=BONNE,VLOOKUP("Soja",AlimentsRationHivernaleDaims,2,FALSE),0)+(IF(QualitéAlimentsDaine=BONNE,VLOOKUP("Soja",AlimentsRationHivernaleDaims,2,FALSE),0))))))))))))))))</f>
        <v>0</v>
      </c>
      <c r="DX105" s="351">
        <f t="array" ref="DX105">SUM((IF(QualitéAlimentsFaonMâle_0_3_mois=MOYENNE,VLOOKUP("Soja",AlimentsRationHivernaleDaims,8,FALSE),0)+(IF(QualitéAlimentsFaonFemelle_0_3_mois=MOYENNE,VLOOKUP("Soja",AlimentsRationHivernaleDaims,8,FALSE),0)+(IF(QualitéAlimentsFaonMâle_3_6_mois=MOYENNE,VLOOKUP("Soja",AlimentsRationHivernaleDaims,7,FALSE),0)+(IF(QualitéAlimentsFaonFemelle_3_6_mois=MOYENNE,VLOOKUP("Soja",AlimentsRationHivernaleDaims,7,FALSE),0)+(IF(QualitéAlimentsFaonMâle_6_12_mois=MOYENNE,VLOOKUP("Soja",AlimentsRationHivernaleDaims,6,FALSE),0)+(IF(QualitéAlimentsFaonFemelle_6_12_mois=MOYENNE,VLOOKUP("Soja",AlimentsRationHivernaleDaims,6,FALSE),0)+(IF(QualitéAlimentsJeuneDaim_12_18_mois=MOYENNE,VLOOKUP("Soja",AlimentsRationHivernaleDaims,5,FALSE),0)+(IF(QualitéAlimentsJeuneDaine_12_18_mois=MOYENNE,VLOOKUP("Soja",AlimentsRationHivernaleDaims,5,FALSE),0)+(IF(QualitéAlimentsJeuneDaim_18_24_mois=MOYENNE,VLOOKUP("Soja",AlimentsRationHivernaleDaims,4,FALSE),0)+(IF(QualitéAlimentsJeuneDaine_18_24_mois=MOYENNE,VLOOKUP("Soja",AlimentsRationHivernaleDaims,4,FALSE),0)+(IF(QualitéAlimentsJeuneDaim_24_36_mois=MOYENNE,VLOOKUP("Soja",AlimentsRationHivernaleDaims,3,FALSE),0)+(IF(QualitéAlimentsJeuneDaine_24_36_mois=MOYENNE,VLOOKUP("Soja",AlimentsRationHivernaleDaims,3,FALSE),0)+(IF(QualitéAlimentsDaim=MOYENNE,VLOOKUP("Soja",AlimentsRationHivernaleDaims,2,FALSE),0)+(IF(QualitéAlimentsDaine=MOYENNE,VLOOKUP("Soja",AlimentsRationHivernaleDaims,2,FALSE),0))))))))))))))))</f>
        <v>0</v>
      </c>
      <c r="DY105" s="351">
        <f t="array" ref="DY105">SUM((IF(QualitéAlimentsFaonMâle_0_3_mois=MAUVAISE,VLOOKUP("Soja",AlimentsRationHivernaleDaims,8,FALSE),0)+(IF(QualitéAlimentsFaonFemelle_0_3_mois=MAUVAISE,VLOOKUP("Soja",AlimentsRationHivernaleDaims,8,FALSE),0)+(IF(QualitéAlimentsFaonMâle_3_6_mois=MAUVAISE,VLOOKUP("Soja",AlimentsRationHivernaleDaims,7,FALSE),0)+(IF(QualitéAlimentsFaonFemelle_3_6_mois=MAUVAISE,VLOOKUP("Soja",AlimentsRationHivernaleDaims,7,FALSE),0)+(IF(QualitéAlimentsFaonMâle_6_12_mois=MAUVAISE,VLOOKUP("Soja",AlimentsRationHivernaleDaims,6,FALSE),0)+(IF(QualitéAlimentsFaonFemelle_6_12_mois=MAUVAISE,VLOOKUP("Soja",AlimentsRationHivernaleDaims,6,FALSE),0)+(IF(QualitéAlimentsJeuneDaim_12_18_mois=MAUVAISE,VLOOKUP("Soja",AlimentsRationHivernaleDaims,5,FALSE),0)+(IF(QualitéAlimentsJeuneDaine_12_18_mois=MAUVAISE,VLOOKUP("Soja",AlimentsRationHivernaleDaims,5,FALSE),0)+(IF(QualitéAlimentsJeuneDaim_18_24_mois=MAUVAISE,VLOOKUP("Soja",AlimentsRationHivernaleDaims,4,FALSE),0)+(IF(QualitéAlimentsJeuneDaine_18_24_mois=MAUVAISE,VLOOKUP("Soja",AlimentsRationHivernaleDaims,4,FALSE),0)+(IF(QualitéAlimentsJeuneDaim_24_36_mois=MAUVAISE,VLOOKUP("Soja",AlimentsRationHivernaleDaims,3,FALSE),0)+(IF(QualitéAlimentsJeuneDaine_24_36_mois=MAUVAISE,VLOOKUP("Soja",AlimentsRationHivernaleDaims,3,FALSE),0)+(IF(QualitéAlimentsDaim=MAUVAISE,VLOOKUP("Soja",AlimentsRationHivernaleDaims,2,FALSE),0)+(IF(QualitéAlimentsDaine=MAUVAISE,VLOOKUP("Soja",AlimentsRationHivernaleDaims,2,FALSE),0))))))))))))))))</f>
        <v>0</v>
      </c>
      <c r="DZ105" s="298"/>
      <c r="EA105" s="298"/>
      <c r="EB105" s="298"/>
      <c r="EC105" s="298"/>
      <c r="ED105" s="298"/>
      <c r="EG105" s="420" t="str">
        <f t="shared" si="30"/>
        <v>Ensilage d'herbe</v>
      </c>
      <c r="EH105" s="433">
        <f t="array" ref="EH10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05" s="433">
        <f t="array" ref="EI10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05" s="433">
        <f t="array" ref="EJ10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05" s="434">
        <f>SUM(AlimentsRationOiesFemelles[[#This Row],[Valeur 6 et plus]:[Valeur 0-3]])</f>
        <v>0</v>
      </c>
      <c r="EN105" s="443" t="str">
        <f t="shared" si="28"/>
        <v>Eau</v>
      </c>
      <c r="EO105" s="450">
        <f t="array" ref="EO105">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05" s="450">
        <f t="array" ref="EP105">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05" s="450">
        <f t="array" ref="EQ105">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05" s="451">
        <f>SUM(Ration_canards_Femelles[[#This Row],[Valeur 6 et plus]:[Valeur 0-3]])</f>
        <v>0</v>
      </c>
      <c r="EU105" s="457" t="str">
        <f t="shared" si="40"/>
        <v>Bouchons luzerne</v>
      </c>
      <c r="EV105" s="458">
        <f t="array" ref="EV105">IF(OR(ChoixRationComplèteEtéChevauxSelle=OUI,ChoixRationComplèteEtéChevauxSelle="",AND(ChoixChevauxSellePréHiver=OUI,ChoixChevauxSellePréEté=OUI)),0,IFERROR(IF(OR(AND(INDEX(Règles_chevaux_selle[Specificite],MATCH(RationEtéChevauxSelle&amp;$EU105,Règles_chevaux_selle[Ration]&amp;Règles_chevaux_selle[Aliment],0))="s1",IF($EU105=Spécificité1ChevauxSelle,1)),
AND(INDEX(Règles_chevaux_selle[Specificite],MATCH(RationEtéChevauxSelle&amp;$EU105,Règles_chevaux_selle[Ration]&amp;Règles_chevaux_selle[Aliment],0))="s2",IF($EU105=Spécificité2ChevauxSelle,1)),
INDEX(Règles_chevaux_selle[Specificite],MATCH(RationEtéChevauxSelle&amp;$EU105,Règles_chevaux_selle[Ration]&amp;Règles_chevaux_selle[Aliment],0))="c"),
INDEX(Règles_chevaux_selle[Valeur 36 et plus],MATCH(RationEtéChevauxSelle&amp;$EU105,Règles_chevaux_selle[Ration]&amp;Règles_chevaux_selle[Aliment],0)),0),0)*TotalJumentSelle*NbreJoursNourrirChevauxSelle)</f>
        <v>0</v>
      </c>
      <c r="EW105" s="458">
        <f t="array" ref="EW105">IF(OR(ChoixRationComplèteEtéChevauxSelle=OUI,ChoixRationComplèteEtéChevauxSelle="",AND(ChoixChevauxSellePréHiver=OUI,ChoixChevauxSellePréEté=OUI)),0,IFERROR(IF(OR(AND(INDEX(Règles_chevaux_selle[Specificite],MATCH(RationEtéChevauxSelle&amp;$EU105,Règles_chevaux_selle[Ration]&amp;Règles_chevaux_selle[Aliment],0))="s1",IF($EU105=Spécificité1ChevauxSelle,1)),
AND(INDEX(Règles_chevaux_selle[Specificite],MATCH(RationEtéChevauxSelle&amp;$EU105,Règles_chevaux_selle[Ration]&amp;Règles_chevaux_selle[Aliment],0))="s2",IF($EU105=Spécificité2ChevauxSelle,1)),
INDEX(Règles_chevaux_selle[Specificite],MATCH(RationEtéChevauxSelle&amp;$EU105,Règles_chevaux_selle[Ration]&amp;Règles_chevaux_selle[Aliment],0))="c"),
INDEX(Règles_chevaux_selle[Valeur 24-36],MATCH(RationEtéChevauxSelle&amp;$EU105,Règles_chevaux_selle[Ration]&amp;Règles_chevaux_selle[Aliment],0)),0),0)*TotalJeuneJumentSelle_24_36_mois*NbreJoursNourrirChevauxSelle)</f>
        <v>0</v>
      </c>
      <c r="EX105" s="458">
        <f t="array" ref="EX105">IF(OR(ChoixRationComplèteEtéChevauxSelle=OUI,ChoixRationComplèteEtéChevauxSelle="",AND(ChoixChevauxSellePréHiver=OUI,ChoixChevauxSellePréEté=OUI)),0,IFERROR(IF(OR(AND(INDEX(Règles_chevaux_selle[Specificite],MATCH(RationEtéChevauxSelle&amp;$EU105,Règles_chevaux_selle[Ration]&amp;Règles_chevaux_selle[Aliment],0))="s1",IF($EU105=Spécificité1ChevauxSelle,1)),
AND(INDEX(Règles_chevaux_selle[Specificite],MATCH(RationEtéChevauxSelle&amp;$EU105,Règles_chevaux_selle[Ration]&amp;Règles_chevaux_selle[Aliment],0))="s2",IF($EU105=Spécificité2ChevauxSelle,1)),
INDEX(Règles_chevaux_selle[Specificite],MATCH(RationEtéChevauxSelle&amp;$EU105,Règles_chevaux_selle[Ration]&amp;Règles_chevaux_selle[Aliment],0))="c"),
INDEX(Règles_chevaux_selle[Valeur 12-24],MATCH(RationEtéChevauxSelle&amp;$EU105,Règles_chevaux_selle[Ration]&amp;Règles_chevaux_selle[Aliment],0)),0),0)*TotalJeuneJumentSelle_12_24_mois_12_24_mois*NbreJoursNourrirChevauxSelle)</f>
        <v>0</v>
      </c>
      <c r="EY105" s="460">
        <f t="array" ref="EY105">IF(OR(ChoixRationComplèteEtéChevauxSelle=OUI,ChoixRationComplèteEtéChevauxSelle="",AND(ChoixChevauxSellePréHiver=OUI,ChoixChevauxSellePréEté=OUI)),0,IFERROR(IF(OR(AND(INDEX(Règles_chevaux_selle[Specificite],MATCH(RationEtéChevauxSelle&amp;$EU105,Règles_chevaux_selle[Ration]&amp;Règles_chevaux_selle[Aliment],0))="s1",IF($EU105=Spécificité1ChevauxSelle,1)),
AND(INDEX(Règles_chevaux_selle[Specificite],MATCH(RationEtéChevauxSelle&amp;$EU105,Règles_chevaux_selle[Ration]&amp;Règles_chevaux_selle[Aliment],0))="s2",IF($EU105=Spécificité2ChevauxSelle,1)),
INDEX(Règles_chevaux_selle[Specificite],MATCH(RationEtéChevauxSelle&amp;$EU105,Règles_chevaux_selle[Ration]&amp;Règles_chevaux_selle[Aliment],0))="c"),
INDEX(Règles_chevaux_selle[Valeur 0-12],MATCH(RationEtéChevauxSelle&amp;$EU105,Règles_chevaux_selle[Ration]&amp;Règles_chevaux_selle[Aliment],0)),0),0)*TotalPoulicheSelle_0_12_mois*NbreJoursNourrirChevauxSelle)</f>
        <v>0</v>
      </c>
      <c r="EZ105" s="460">
        <f t="shared" si="39"/>
        <v>0</v>
      </c>
      <c r="FD105" s="457" t="str">
        <f t="shared" si="33"/>
        <v>concentré jeunes porcins</v>
      </c>
      <c r="FE105" s="458">
        <f t="array" ref="FE105">IF(OR(ChoixRationComplèteEtéChevauxTrait=OUI,ChoixRationComplèteEtéChevauxTrait="",AND(ChoixChevauxTraitPréHiver=OUI,ChoixChevauxTraitPréEté=OUI)),0,IFERROR(IF(OR(AND(INDEX(Règles_chevaux_trait[Specificite],MATCH(RationEtéChevauxTrait&amp;$FD105,Règles_chevaux_trait[Ration]&amp;Règles_chevaux_trait[Aliment],0))="s1",IF($FD105=Spécificité1ChevauxTrait,1)),
AND(INDEX(Règles_chevaux_trait[Specificite],MATCH(RationEtéChevauxTrait&amp;$FD105,Règles_chevaux_trait[Ration]&amp;Règles_chevaux_trait[Aliment],0))="s2",IF($FD105=Spécificité2ChevauxTrait,1)),
INDEX(Règles_chevaux_trait[Specificite],MATCH(RationEtéChevauxTrait&amp;$FD105,Règles_chevaux_trait[Ration]&amp;Règles_chevaux_trait[Aliment],0))="c"),
INDEX(Règles_chevaux_trait[Valeur 36 et plus],MATCH(RationEtéChevauxTrait&amp;$FD105,Règles_chevaux_trait[Ration]&amp;Règles_chevaux_trait[Aliment],0)),0),0)*TotalJumentTrait*NbreJoursNourrirChevauxTrait)</f>
        <v>0</v>
      </c>
      <c r="FF105" s="458">
        <f t="array" ref="FF105">IF(OR(ChoixRationComplèteEtéChevauxTrait=OUI,ChoixRationComplèteEtéChevauxTrait="",AND(ChoixChevauxTraitPréHiver=OUI,ChoixChevauxTraitPréEté=OUI)),0,IFERROR(IF(OR(AND(INDEX(Règles_chevaux_trait[Specificite],MATCH(RationEtéChevauxTrait&amp;$FD105,Règles_chevaux_trait[Ration]&amp;Règles_chevaux_trait[Aliment],0))="s1",IF($FD105=Spécificité1ChevauxTrait,1)),
AND(INDEX(Règles_chevaux_trait[Specificite],MATCH(RationEtéChevauxTrait&amp;$FD105,Règles_chevaux_trait[Ration]&amp;Règles_chevaux_trait[Aliment],0))="s2",IF($FD105=Spécificité2ChevauxTrait,1)),
INDEX(Règles_chevaux_trait[Specificite],MATCH(RationEtéChevauxTrait&amp;$FD105,Règles_chevaux_trait[Ration]&amp;Règles_chevaux_trait[Aliment],0))="c"),
INDEX(Règles_chevaux_trait[Valeur 24-36],MATCH(RationEtéChevauxTrait&amp;$FD105,Règles_chevaux_trait[Ration]&amp;Règles_chevaux_trait[Aliment],0)),0),0)*TotalJeuneJumentTrait_24_36_mois*NbreJoursNourrirChevauxTrait)</f>
        <v>0</v>
      </c>
      <c r="FG105" s="458">
        <f t="array" ref="FG105">IF(OR(ChoixRationComplèteEtéChevauxTrait=OUI,ChoixRationComplèteEtéChevauxTrait="",AND(ChoixChevauxTraitPréHiver=OUI,ChoixChevauxTraitPréEté=OUI)),0,IFERROR(IF(OR(AND(INDEX(Règles_chevaux_trait[Specificite],MATCH(RationEtéChevauxTrait&amp;$FD105,Règles_chevaux_trait[Ration]&amp;Règles_chevaux_trait[Aliment],0))="s1",IF($FD105=Spécificité1ChevauxTrait,1)),
AND(INDEX(Règles_chevaux_trait[Specificite],MATCH(RationEtéChevauxTrait&amp;$FD105,Règles_chevaux_trait[Ration]&amp;Règles_chevaux_trait[Aliment],0))="s2",IF($FD105=Spécificité2ChevauxTrait,1)),
INDEX(Règles_chevaux_trait[Specificite],MATCH(RationEtéChevauxTrait&amp;$FD105,Règles_chevaux_trait[Ration]&amp;Règles_chevaux_trait[Aliment],0))="c"),
INDEX(Règles_chevaux_trait[Valeur 12-24],MATCH(RationEtéChevauxTrait&amp;$FD105,Règles_chevaux_trait[Ration]&amp;Règles_chevaux_trait[Aliment],0)),0),0)*TotalJeuneJumentTrait_12_24_mois*NbreJoursNourrirChevauxTrait)</f>
        <v>0</v>
      </c>
      <c r="FH105" s="460">
        <f t="array" ref="FH105">IF(OR(ChoixRationComplèteEtéChevauxTrait=OUI,ChoixRationComplèteEtéChevauxTrait="",AND(ChoixChevauxTraitPréHiver=OUI,ChoixChevauxTraitPréEté=OUI)),0,IFERROR(IF(OR(AND(INDEX(Règles_chevaux_trait[Specificite],MATCH(RationEtéChevauxTrait&amp;$FD105,Règles_chevaux_trait[Ration]&amp;Règles_chevaux_trait[Aliment],0))="s1",IF($FD105=Spécificité1ChevauxTrait,1)),
AND(INDEX(Règles_chevaux_trait[Specificite],MATCH(RationEtéChevauxTrait&amp;$FD105,Règles_chevaux_trait[Ration]&amp;Règles_chevaux_trait[Aliment],0))="s2",IF($FD105=Spécificité2ChevauxTrait,1)),
INDEX(Règles_chevaux_trait[Specificite],MATCH(RationEtéChevauxTrait&amp;$FD105,Règles_chevaux_trait[Ration]&amp;Règles_chevaux_trait[Aliment],0))="c"),
INDEX(Règles_chevaux_trait[Valeur 0-12],MATCH(RationEtéChevauxTrait&amp;$FD105,Règles_chevaux_trait[Ration]&amp;Règles_chevaux_trait[Aliment],0)),0),0)*TotalPoulicheTrait_0_12_mois*NbreJoursNourrirChevauxTrait)</f>
        <v>0</v>
      </c>
      <c r="FI105" s="460">
        <f t="shared" si="31"/>
        <v>0</v>
      </c>
      <c r="FJ105" s="298"/>
      <c r="FN105" s="457" t="str">
        <f t="shared" si="32"/>
        <v>Ensilage d'herbe</v>
      </c>
      <c r="FO105" s="458">
        <f t="array" ref="FO105">IF(OR(ChoixRationComplèteEtéPoneys=OUI,ChoixRationComplèteEtéPoneys="",AND(ChoixPoneysPréHiver=OUI,ChoixPoneysPréEté=OUI)),0,IFERROR(IF(OR(AND(INDEX(Règles_poneys[Specificite],MATCH(RationHivernaleAuPréPoneys&amp;$FN105,Règles_poneys[Ration]&amp;Règles_poneys[Aliment],0))="s1",IF($FN105=Spécificité1Poneys,1)),
AND(INDEX(Règles_poneys[Specificite],MATCH(RationHivernaleAuPréPoneys&amp;$FN105,Règles_poneys[Ration]&amp;Règles_poneys[Aliment],0))="s2",IF($FN105=Spécificité2Poneys,1)),
INDEX(Règles_poneys[Specificite],MATCH(RationHivernaleAuPréPoneys&amp;$FN105,Règles_poneys[Ration]&amp;Règles_poneys[Aliment],0))="c"),
INDEX(Règles_poneys[Valeur 36 et plus],MATCH(RationHivernaleAuPréPoneys&amp;$FN105,Règles_poneys[Ration]&amp;Règles_poneys[Aliment],0)),0),0)*SUM(TotalPoneysAdultes)*SUM(AG118:AG142))</f>
        <v>0</v>
      </c>
      <c r="FP105" s="458">
        <f t="array" ref="FP105">IF(OR(ChoixRationComplèteEtéPoneys=OUI,ChoixRationComplèteEtéPoneys="",AND(ChoixPoneysPréHiver=OUI,ChoixPoneysPréEté=OUI)),0,IFERROR(IF(OR(AND(INDEX(Règles_poneys[Specificite],MATCH(RationHivernaleAuPréPoneys&amp;$FN105,Règles_poneys[Ration]&amp;Règles_poneys[Aliment],0))="s1",IF($FN105=Spécificité1Poneys,1)),
AND(INDEX(Règles_poneys[Specificite],MATCH(RationHivernaleAuPréPoneys&amp;$FN105,Règles_poneys[Ration]&amp;Règles_poneys[Aliment],0))="s2",IF($FN105=Spécificité2Poneys,1)),
INDEX(Règles_poneys[Specificite],MATCH(RationHivernaleAuPréPoneys&amp;$FN105,Règles_poneys[Ration]&amp;Règles_poneys[Aliment],0))="c"),
INDEX(Règles_poneys[Valeur 24-36],MATCH(RationHivernaleAuPréPoneys&amp;$FN105,Règles_poneys[Ration]&amp;Règles_poneys[Aliment],0)),0),0)*SUM(TotalPoneys_24_36mois)*SUM(AG118:AG142))</f>
        <v>0</v>
      </c>
      <c r="FQ105" s="458">
        <f t="array" ref="FQ105">IF(OR(ChoixRationComplèteEtéPoneys=OUI,ChoixRationComplèteEtéPoneys="",AND(ChoixPoneysPréHiver=OUI,ChoixPoneysPréEté=OUI)),0,IFERROR(IF(OR(AND(INDEX(Règles_poneys[Specificite],MATCH(RationHivernaleAuPréPoneys&amp;$FN105,Règles_poneys[Ration]&amp;Règles_poneys[Aliment],0))="s1",IF($FN105=Spécificité1Poneys,1)),
AND(INDEX(Règles_poneys[Specificite],MATCH(RationHivernaleAuPréPoneys&amp;$FN105,Règles_poneys[Ration]&amp;Règles_poneys[Aliment],0))="s2",IF($FN105=Spécificité2Poneys,1)),
INDEX(Règles_poneys[Specificite],MATCH(RationHivernaleAuPréPoneys&amp;$FN105,Règles_poneys[Ration]&amp;Règles_poneys[Aliment],0))="c"),
INDEX(Règles_poneys[Valeur 12-24],MATCH(RationHivernaleAuPréPoneys&amp;$FN105,Règles_poneys[Ration]&amp;Règles_poneys[Aliment],0)),0),0)*SUM(TotalPoneys_12_24mois)*SUM(AG118:AG142))</f>
        <v>0</v>
      </c>
      <c r="FR105" s="460">
        <f t="array" ref="FR105">IF(OR(ChoixRationComplèteEtéPoneys=OUI,ChoixRationComplèteEtéPoneys="",AND(ChoixPoneysPréHiver=OUI,ChoixPoneysPréEté=OUI)),0,IFERROR(IF(OR(AND(INDEX(Règles_poneys[Specificite],MATCH(RationHivernaleAuPréPoneys&amp;$FN105,Règles_poneys[Ration]&amp;Règles_poneys[Aliment],0))="s1",IF($FN105=Spécificité1Poneys,1)),
AND(INDEX(Règles_poneys[Specificite],MATCH(RationHivernaleAuPréPoneys&amp;$FN105,Règles_poneys[Ration]&amp;Règles_poneys[Aliment],0))="s2",IF($FN105=Spécificité2Poneys,1)),
INDEX(Règles_poneys[Specificite],MATCH(RationHivernaleAuPréPoneys&amp;$FN105,Règles_poneys[Ration]&amp;Règles_poneys[Aliment],0))="c"),
INDEX(Règles_poneys[Valeur 0-12],MATCH(RationHivernaleAuPréPoneys&amp;$FN105,Règles_poneys[Ration]&amp;Règles_poneys[Aliment],0)),0),0)*SUM(TotalPoulainsPoneys)*SUM(AG118:AG142))</f>
        <v>0</v>
      </c>
      <c r="FS105" s="460">
        <f t="shared" si="29"/>
        <v>0</v>
      </c>
      <c r="FT105" s="298"/>
      <c r="FW105" s="443" t="str">
        <f t="shared" si="27"/>
        <v>Haricot vert</v>
      </c>
      <c r="FX105" s="450">
        <f t="array" ref="FX105">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05" s="450">
        <f t="array" ref="FY105">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05" s="450">
        <f t="array" ref="FZ105">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05" s="450">
        <f t="array" ref="GA105">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05" s="451">
        <f>SUM(AlimentsGavageCanards[[#This Row],[Valeur 6 et plus]:[Valeur 0-1]])</f>
        <v>0</v>
      </c>
      <c r="GG105" s="276" t="s">
        <v>955</v>
      </c>
      <c r="GH105" s="276" t="s">
        <v>955</v>
      </c>
      <c r="GI105" s="276" t="s">
        <v>955</v>
      </c>
      <c r="GJ105" s="276" t="s">
        <v>955</v>
      </c>
      <c r="GK105" s="276" t="s">
        <v>955</v>
      </c>
      <c r="GL105" s="276" t="s">
        <v>955</v>
      </c>
      <c r="GM105" s="276" t="s">
        <v>955</v>
      </c>
      <c r="GN105" s="276" t="s">
        <v>955</v>
      </c>
      <c r="GO105" s="276" t="s">
        <v>955</v>
      </c>
      <c r="GP105" s="276" t="s">
        <v>955</v>
      </c>
      <c r="GQ105" s="276" t="s">
        <v>955</v>
      </c>
      <c r="GR105" s="276" t="s">
        <v>955</v>
      </c>
      <c r="GS105" s="276" t="s">
        <v>955</v>
      </c>
      <c r="GT105" s="276" t="s">
        <v>955</v>
      </c>
      <c r="GU105" s="276" t="s">
        <v>955</v>
      </c>
      <c r="GV105" s="276" t="s">
        <v>955</v>
      </c>
      <c r="HN105" s="342" t="s">
        <v>1071</v>
      </c>
      <c r="HO105" s="512">
        <v>0</v>
      </c>
      <c r="HP105" s="512" t="e">
        <f>IF(SUM(VLOOKUP(BDD!BM36,BDD!BM36:BU69,9,FALSE)/1000*42-(#REF!))&lt;0,0,SUM(VLOOKUP(BDD!BM36,BDD!BM36:BU69,9,FALSE)/1000*42-(#REF!)))</f>
        <v>#REF!</v>
      </c>
      <c r="HQ105" s="512" t="e">
        <f>IF(SUM(VLOOKUP(BDD!CJ50,BDD!CJ50:CP84,7,FALSE)/1000/SUM(Z76:Z100)*84-(#REF!))&lt;0,0,SUM(VLOOKUP(BDD!CJ50,BDD!CJ50:CP84,7,FALSE)/1000/SUM(Z76:Z100)*84-(#REF!)))</f>
        <v>#REF!</v>
      </c>
      <c r="HR105" s="512">
        <v>0</v>
      </c>
      <c r="HS105" s="512" t="e">
        <f>IF(SUM(VLOOKUP(BDD!CZ57,AlimentsRationVolaillesMâles[],5,FALSE)/1000/SUM(Z76:Z100)*84-(#REF!)&lt;0),0,SUM(VLOOKUP(BDD!CZ57,AlimentsRationVolaillesMâles[],5,FALSE)/1000/SUM(Z76:Z100)*84-(#REF!)))</f>
        <v>#REF!</v>
      </c>
      <c r="HT105" s="512" t="e">
        <f>IF(SUM(VLOOKUP(BDD!DG48,AlimentsRationPintadesMâles[],5,FALSE)/1000/SUM(Z76:Z100)*84-(#REF!)&lt;0),0,SUM(VLOOKUP(BDD!DG48,AlimentsRationPintadesMâles[],5,FALSE)/1000/SUM(Z76:Z100)*84-(#REF!)))</f>
        <v>#REF!</v>
      </c>
      <c r="HU105" s="512" t="e">
        <f>IF(SUM(VLOOKUP(BDD!CS57,BDD!CS57:CW95,5,FALSE)/1000/SUM(Z76:Z100)*84-(#REF!))&lt;0,0,SUM(VLOOKUP(BDD!CS57,BDD!CS57:CW95,5,FALSE)/1000/SUM(Z76:Z100)*84-(#REF!)))</f>
        <v>#REF!</v>
      </c>
      <c r="HV105" s="512">
        <v>0</v>
      </c>
      <c r="HW105" s="512" t="e">
        <f>IF(SUM(VLOOKUP(BDD!EG53,AlimentsRationOiesMâles[],5,FALSE)/1000/SUM(Z76:Z100)*84+VLOOKUP(BDD!FW43,AlimentsGavageOies[],6,FALSE))-(#REF!)&lt;0,0,SUM(VLOOKUP(BDD!EG53,AlimentsRationOiesMâles[],5,FALSE)/1000/SUM(Z76:Z100)*84+VLOOKUP(BDD!FW43,AlimentsGavageOies[],6,FALSE))-(#REF!))</f>
        <v>#REF!</v>
      </c>
      <c r="HX105" s="512">
        <v>0</v>
      </c>
      <c r="HY105" s="512" t="e">
        <f>IF(SUM(VLOOKUP(BDD!EU60,BDD!EU60:EZ98,6,FALSE)+VLOOKUP(BDD!EU148,BDD!EU148:EZ186,6,FALSE))/1000/SUM(AE76:AE100)*IF(#REF!=OUI,21,84)-(#REF!)&lt;0,0,SUM(VLOOKUP(BDD!EU60,BDD!EU60:EZ98,6,FALSE)+VLOOKUP(BDD!EU148,BDD!EU148:EZ186,6,FALSE))/1000/SUM(AE76:AE100)*IF(#REF!=OUI,21,84)-(#REF!))</f>
        <v>#REF!</v>
      </c>
      <c r="HZ105" s="512" t="e">
        <f>IF(SUM(VLOOKUP(BDD!FD54,BDD!FD54:FI92,6,FALSE)+VLOOKUP(BDD!FD142,BDD!FD142:FI180,6,FALSE))/1000/SUM(AF76:AF100)*IF(#REF!=OUI,21,84)-(#REF!)&lt;0,0,SUM(VLOOKUP(BDD!FD54,BDD!FD54:FI92,6,FALSE)+VLOOKUP(BDD!FD142,BDD!FD142:FI180,6,FALSE))/1000/SUM(AF76:AF100)*IF(#REF!=OUI,21,84)-(#REF!))</f>
        <v>#REF!</v>
      </c>
      <c r="IA105" s="512" t="e">
        <f>IF(SUM(VLOOKUP(BDD!FN53,BDD!FN53:FS91,6,FALSE)+VLOOKUP(BDD!FN141,BDD!FN141:FS179,6,FALSE))/1000/SUM(AE76:AE100)*IF(#REF!=OUI,21,84)-(#REF!)&lt;0,0,SUM(VLOOKUP(BDD!FN53,BDD!FN53:FS91,6,FALSE)+VLOOKUP(BDD!FN141,BDD!FN141:FS179,6,FALSE))/1000/SUM(AE76:AE100)*IF(#REF!=OUI,21,84)-(#REF!))</f>
        <v>#REF!</v>
      </c>
      <c r="IB105" s="512" t="e">
        <f>SUM(HO105:IA106)</f>
        <v>#REF!</v>
      </c>
    </row>
    <row r="106" spans="1:236" ht="12.75" customHeight="1" x14ac:dyDescent="0.2">
      <c r="A106" s="373"/>
      <c r="B106" s="380"/>
      <c r="F106" s="280"/>
      <c r="G106" s="321"/>
      <c r="H106" s="321"/>
      <c r="I106" s="321"/>
      <c r="J106" s="321"/>
      <c r="K106" s="280"/>
      <c r="L106" s="280"/>
      <c r="BB106" s="387" t="s">
        <v>514</v>
      </c>
      <c r="BC106" s="362" t="s">
        <v>1166</v>
      </c>
      <c r="BD106" s="362" t="s">
        <v>886</v>
      </c>
      <c r="BE106" s="388">
        <v>0</v>
      </c>
      <c r="BF106" s="388">
        <v>0</v>
      </c>
      <c r="BG106" s="388">
        <v>0</v>
      </c>
      <c r="BH106" s="388">
        <v>0</v>
      </c>
      <c r="BI106" s="388">
        <v>0</v>
      </c>
      <c r="BJ106" s="388">
        <v>0</v>
      </c>
      <c r="BK106" s="389">
        <v>8</v>
      </c>
      <c r="BL106" s="312"/>
      <c r="BM106" s="350">
        <f t="shared" si="22"/>
        <v>0</v>
      </c>
      <c r="BN106" s="350">
        <f t="array" ref="BN106">IF(Ration_hivernale_complète_bisons[somme]&gt;0,0,IFERROR(IF(OR(AND(INDEX(Règles_bison[Specificite],MATCH(ChoixRationBisons&amp;$BM106,Règles_bison[Ration]&amp;Règles_bison[Aliment],0))="s1",IF($BM106=ChoixSpécificité1Bisons,1)),
INDEX(Règles_bison[Specificite],MATCH(ChoixRationBisons&amp;$BM106,Règles_bison[Ration]&amp;Règles_bison[Aliment],0))="c"),
INDEX(Règles_bison[Valeur 36 et plus],MATCH(ChoixRationBisons&amp;$BM106,Règles_bison[Ration]&amp;Règles_bison[Aliment],0)),0),0)*TotalBisonnes*NbreJoursNourrirBisonsDaims)</f>
        <v>0</v>
      </c>
      <c r="BO106" s="350">
        <f t="array" ref="BO106">IF(Ration_hivernale_complète_bisons[somme]&gt;0,0,IFERROR(IF(OR(AND(INDEX(Règles_bison[Specificite],MATCH(ChoixRationBisons&amp;$BM106,Règles_bison[Ration]&amp;Règles_bison[Aliment],0))="s1",IF($BM106=ChoixSpécificité1Bisons,1)),
INDEX(Règles_bison[Specificite],MATCH(ChoixRationBisons&amp;$BM106,Règles_bison[Ration]&amp;Règles_bison[Aliment],0))="c"),
INDEX(Règles_bison[Valeur 24-36],MATCH(ChoixRationBisons&amp;$BM106,Règles_bison[Ration]&amp;Règles_bison[Aliment],0)),0),0)*TotalBisonsFemelles_24_36_mois*NbreJoursNourrirBisonsDaims)</f>
        <v>0</v>
      </c>
      <c r="BP106" s="350">
        <f t="array" ref="BP106">IF(Ration_hivernale_complète_bisons[somme]&gt;0,0,IFERROR(IF(OR(AND(INDEX(Règles_bison[Specificite],MATCH(ChoixRationBisons&amp;$BM106,Règles_bison[Ration]&amp;Règles_bison[Aliment],0))="s1",IF($BM106=ChoixSpécificité1Bisons,1)),
INDEX(Règles_bison[Specificite],MATCH(ChoixRationBisons&amp;$BM106,Règles_bison[Ration]&amp;Règles_bison[Aliment],0))="c"),
INDEX(Règles_bison[Valeur 18-24],MATCH(ChoixRationBisons&amp;$BM106,Règles_bison[Ration]&amp;Règles_bison[Aliment],0)),0),0)*TotalBisonsFemelles_18_24_mois*NbreJoursNourrirBisonsDaims)</f>
        <v>0</v>
      </c>
      <c r="BQ106" s="350">
        <f t="array" ref="BQ106">IF(Ration_hivernale_complète_bisons[somme]&gt;0,0,IFERROR(IF(OR(AND(INDEX(Règles_bison[Specificite],MATCH(ChoixRationBisons&amp;$BM106,Règles_bison[Ration]&amp;Règles_bison[Aliment],0))="s1",IF($BM106=ChoixSpécificité1Bisons,1)),
INDEX(Règles_bison[Specificite],MATCH(ChoixRationBisons&amp;$BM106,Règles_bison[Ration]&amp;Règles_bison[Aliment],0))="c"),
INDEX(Règles_bison[Valeur 12-18],MATCH(ChoixRationBisons&amp;$BM106,Règles_bison[Ration]&amp;Règles_bison[Aliment],0)),0),0)*TotalBisonsFemelles_12_18_mois*NbreJoursNourrirBisonsDaims)</f>
        <v>0</v>
      </c>
      <c r="BR106" s="350">
        <f t="array" ref="BR106">IF(Ration_hivernale_complète_bisons[somme]&gt;0,0,IFERROR(IF(OR(AND(INDEX(Règles_bison[Specificite],MATCH(ChoixRationBisons&amp;$BM106,Règles_bison[Ration]&amp;Règles_bison[Aliment],0))="s1",IF($BM106=ChoixSpécificité1Bisons,1)),
INDEX(Règles_bison[Specificite],MATCH(ChoixRationBisons&amp;$BM106,Règles_bison[Ration]&amp;Règles_bison[Aliment],0))="c"),
INDEX(Règles_bison[Valeur 6-12],MATCH(ChoixRationBisons&amp;$BM106,Règles_bison[Ration]&amp;Règles_bison[Aliment],0)),0),0)*TotalBisonsFemelles_6_12_mois*NbreJoursNourrirBisonsDaims)</f>
        <v>0</v>
      </c>
      <c r="BS106" s="350">
        <f t="array" ref="BS106">IF(Ration_hivernale_complète_bisons[somme]&gt;0,0,IFERROR(IF(OR(AND(INDEX(Règles_bison[Specificite],MATCH(ChoixRationBisons&amp;$BM106,Règles_bison[Ration]&amp;Règles_bison[Aliment],0))="s1",IF($BM106=ChoixSpécificité1Bisons,1)),
INDEX(Règles_bison[Specificite],MATCH(ChoixRationBisons&amp;$BM106,Règles_bison[Ration]&amp;Règles_bison[Aliment],0))="c"),
INDEX(Règles_bison[Valeur 3-6],MATCH(ChoixRationBisons&amp;$BM106,Règles_bison[Ration]&amp;Règles_bison[Aliment],0)),0),0)*TotalBisonsFemelles_3_6_mois*NbreJoursNourrirBisonsDaims)</f>
        <v>0</v>
      </c>
      <c r="BT106" s="350">
        <f t="array" ref="BT106">IF(Ration_hivernale_complète_bisons[somme]&gt;0,0,IFERROR(IF(OR(AND(INDEX(Règles_bison[Specificite],MATCH(ChoixRationBisons&amp;$BM106,Règles_bison[Ration]&amp;Règles_bison[Aliment],0))="s1",IF($BM106=ChoixSpécificité1Bisons,1)),
INDEX(Règles_bison[Specificite],MATCH(ChoixRationBisons&amp;$BM106,Règles_bison[Ration]&amp;Règles_bison[Aliment],0))="c"),
INDEX(Règles_bison[Valeur 0-3],MATCH(ChoixRationBisons&amp;$BM106,Règles_bison[Ration]&amp;Règles_bison[Aliment],0)),0),0)*TotalBisonsFemelles_0_3_mois*NbreJoursNourrirBisonsDaims)</f>
        <v>0</v>
      </c>
      <c r="BU106" s="356">
        <f t="shared" si="21"/>
        <v>0</v>
      </c>
      <c r="BV106" s="282"/>
      <c r="BW106" s="282"/>
      <c r="BX106" s="350" t="s">
        <v>490</v>
      </c>
      <c r="BY106" s="350">
        <f t="array" ref="BY106">IF(ChoixRationComplèteCaprins=OUI,0,IFERROR(IF(OR(AND(INDEX(Règles_caprins[Specificite],MATCH(ChoixRationCaprins&amp;$BX106,Règles_caprins[Ration]&amp;Règles_caprins[Aliment],0))="s1",IF($BX106=Spécificité1Caprins,1)),
INDEX(Règles_caprins[Specificite],MATCH(ChoixRationCaprins&amp;$BX106,Règles_caprins[Ration]&amp;Règles_caprins[Aliment],0))="c"),
INDEX(Règles_caprins[Valeur 12 et plus],MATCH(ChoixRationCaprins&amp;$BX106,Règles_caprins[Ration]&amp;Règles_caprins[Aliment],0)),0),0)*TotalBoucs*NbreJoursNourrirCaprins)</f>
        <v>0</v>
      </c>
      <c r="BZ106" s="350">
        <f t="array" ref="BZ106">IF(ChoixRationComplèteCaprins=OUI,0,IFERROR(IF(OR(AND(INDEX(Règles_caprins[Specificite],MATCH(ChoixRationCaprins&amp;$BX106,Règles_caprins[Ration]&amp;Règles_caprins[Aliment],0))="s1",IF($BX106=Spécificité1Caprins,1)),
INDEX(Règles_caprins[Specificite],MATCH(ChoixRationCaprins&amp;$BX106,Règles_caprins[Ration]&amp;Règles_caprins[Aliment],0))="c"),
INDEX(Règles_caprins[Valeur 6-12],MATCH(ChoixRationCaprins&amp;$BX106,Règles_caprins[Ration]&amp;Règles_caprins[Aliment],0)),0),0)*jeune_bouc_6_12_mois*NbreJoursNourrirCaprins)</f>
        <v>0</v>
      </c>
      <c r="CA106" s="350">
        <f t="array" ref="CA106">IF(ChoixRationComplèteCaprins=OUI,0,IFERROR(IF(OR(AND(INDEX(Règles_caprins[Specificite],MATCH(ChoixRationCaprins&amp;$BX106,Règles_caprins[Ration]&amp;Règles_caprins[Aliment],0))="s1",IF($BX106=Spécificité1Caprins,1)),
INDEX(Règles_caprins[Specificite],MATCH(ChoixRationCaprins&amp;$BX106,Règles_caprins[Ration]&amp;Règles_caprins[Aliment],0))="c"),
INDEX(Règles_caprins[Valeur 3-6],MATCH(ChoixRationCaprins&amp;$BX106,Règles_caprins[Ration]&amp;Règles_caprins[Aliment],0)),0),0)*chevreau_3_6_mois*NbreJoursNourrirCaprins)</f>
        <v>0</v>
      </c>
      <c r="CB106" s="350">
        <f t="array" ref="CB106">IF(ChoixRationComplèteCaprins=OUI,0,IFERROR(IF(OR(AND(INDEX(Règles_caprins[Specificite],MATCH(ChoixRationCaprins&amp;$BX106,Règles_caprins[Ration]&amp;Règles_caprins[Aliment],0))="s1",IF($BX106=Spécificité1Caprins,1)),
INDEX(Règles_caprins[Specificite],MATCH(ChoixRationCaprins&amp;$BX106,Règles_caprins[Ration]&amp;Règles_caprins[Aliment],0))="c"),
INDEX(Règles_caprins[Valeur 0-3],MATCH(ChoixRationCaprins&amp;$BX106,Règles_caprins[Ration]&amp;Règles_caprins[Aliment],0)),0),0)*chevreau_0_3_mois*NbreJoursNourrirCaprins)</f>
        <v>0</v>
      </c>
      <c r="CC106" s="350">
        <f t="shared" ref="CC106:CC140" si="41">SUM($BY106:$CB106)</f>
        <v>0</v>
      </c>
      <c r="CH106" s="276"/>
      <c r="CI106" s="277"/>
      <c r="CJ106" s="420" t="str">
        <f t="shared" si="25"/>
        <v>Maïs grain</v>
      </c>
      <c r="CK106" s="384">
        <f t="array" ref="CK10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06" s="384">
        <f t="array" ref="CL10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06" s="384">
        <f t="array" ref="CM10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06" s="384">
        <f t="array" ref="CN10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06" s="384">
        <f t="array" ref="CO10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06" s="426">
        <f>SUM(AlimentsRationPorcinsFemelles[[#This Row],[Valeur 12 et plus]:[Valeur 0-1]])</f>
        <v>0</v>
      </c>
      <c r="CQ106" s="298"/>
      <c r="CS106" s="420" t="str">
        <f t="shared" si="36"/>
        <v>concentré jeunes bovins</v>
      </c>
      <c r="CT106" s="433">
        <f t="array" ref="CT106">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06" s="433">
        <f t="array" ref="CU106">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06" s="433">
        <f t="array" ref="CV106">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06" s="434">
        <f>SUM(AlimentsRationLapinsFemelles[[#This Row],[Valeur 3 et plus]:[Valeur 0-1]])</f>
        <v>0</v>
      </c>
      <c r="CY106" s="277"/>
      <c r="CZ106" s="420" t="str">
        <f t="shared" si="37"/>
        <v>concentré jeunes bovins</v>
      </c>
      <c r="DA106" s="433">
        <f t="array" ref="DA10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06" s="433">
        <f t="array" ref="DB10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06" s="433">
        <f t="array" ref="DC10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06" s="434">
        <f>SUM(AlimentsRationVolaillesFemelles[[#This Row],[Valeur 6 et plus]:[Valeur 0-1]])</f>
        <v>0</v>
      </c>
      <c r="DE106" s="277"/>
      <c r="DG106" s="384" t="str">
        <f t="shared" si="26"/>
        <v>Lentille</v>
      </c>
      <c r="DH106" s="433">
        <f t="array" ref="DH10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06" s="433">
        <f t="array" ref="DI10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06" s="433">
        <f t="array" ref="DJ10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06" s="437">
        <f>SUM(AlimentsRationPintadesFemelles[[#This Row],[Valeur 6 et plus]:[Valeur 0-1]])</f>
        <v>0</v>
      </c>
      <c r="DN106" s="373" t="s">
        <v>514</v>
      </c>
      <c r="DO106" s="280" t="s">
        <v>518</v>
      </c>
      <c r="DP106" s="280" t="s">
        <v>886</v>
      </c>
      <c r="DQ106" s="310">
        <v>20</v>
      </c>
      <c r="DR106" s="310">
        <v>12</v>
      </c>
      <c r="DS106" s="310">
        <v>8</v>
      </c>
      <c r="DT106" s="439">
        <v>4</v>
      </c>
      <c r="DU106" s="298"/>
      <c r="DV106" s="350" t="str">
        <f t="shared" si="23"/>
        <v>Sorgho ensilé</v>
      </c>
      <c r="DW106" s="351">
        <f t="array" ref="DW106">SUM((IF(QualitéAlimentsFaonMâle_0_3_mois=BONNE,VLOOKUP("Sorgho ensilé",AlimentsRationHivernaleDaims,8,FALSE),0)+(IF(QualitéAlimentsFaonFemelle_0_3_mois=BONNE,VLOOKUP("Sorgho ensilé",AlimentsRationHivernaleDaims,8,FALSE),0)+(IF(QualitéAlimentsFaonMâle_3_6_mois=BONNE,VLOOKUP("Sorgho ensilé",AlimentsRationHivernaleDaims,7,FALSE),0)+(IF(QualitéAlimentsFaonFemelle_3_6_mois=BONNE,VLOOKUP("Sorgho ensilé",AlimentsRationHivernaleDaims,7,FALSE),0)+(IF(QualitéAlimentsFaonMâle_6_12_mois=BONNE,VLOOKUP("Sorgho ensilé",AlimentsRationHivernaleDaims,6,FALSE),0)+(IF(QualitéAlimentsFaonFemelle_6_12_mois=BONNE,VLOOKUP("Sorgho ensilé",AlimentsRationHivernaleDaims,6,FALSE),0)+(IF(QualitéAlimentsJeuneDaim_12_18_mois=BONNE,VLOOKUP("Sorgho ensilé",AlimentsRationHivernaleDaims,5,FALSE),0)+(IF(QualitéAlimentsJeuneDaine_12_18_mois=BONNE,VLOOKUP("Sorgho ensilé",AlimentsRationHivernaleDaims,5,FALSE),0)+(IF(QualitéAlimentsJeuneDaim_18_24_mois=BONNE,VLOOKUP("Sorgho ensilé",AlimentsRationHivernaleDaims,4,FALSE),0)+(IF(QualitéAlimentsJeuneDaine_18_24_mois=BONNE,VLOOKUP("Sorgho ensilé",AlimentsRationHivernaleDaims,4,FALSE),0)+(IF(QualitéAlimentsJeuneDaim_24_36_mois=BONNE,VLOOKUP("Sorgho ensilé",AlimentsRationHivernaleDaims,3,FALSE),0)+(IF(QualitéAlimentsJeuneDaine_24_36_mois=BONNE,VLOOKUP("Sorgho ensilé",AlimentsRationHivernaleDaims,3,FALSE),0)+(IF(QualitéAlimentsDaim=BONNE,VLOOKUP("Sorgho ensilé",AlimentsRationHivernaleDaims,2,FALSE),0)+(IF(QualitéAlimentsDaine=BONNE,VLOOKUP("Sorgho ensilé",AlimentsRationHivernaleDaims,2,FALSE),0))))))))))))))))</f>
        <v>0</v>
      </c>
      <c r="DX106" s="351">
        <f t="array" ref="DX106">SUM((IF(QualitéAlimentsFaonMâle_0_3_mois=MOYENNE,VLOOKUP("Sorgho ensilé",AlimentsRationHivernaleDaims,8,FALSE),0)+(IF(QualitéAlimentsFaonFemelle_0_3_mois=MOYENNE,VLOOKUP("Sorgho ensilé",AlimentsRationHivernaleDaims,8,FALSE),0)+(IF(QualitéAlimentsFaonMâle_3_6_mois=MOYENNE,VLOOKUP("Sorgho ensilé",AlimentsRationHivernaleDaims,7,FALSE),0)+(IF(QualitéAlimentsFaonFemelle_3_6_mois=MOYENNE,VLOOKUP("Sorgho ensilé",AlimentsRationHivernaleDaims,7,FALSE),0)+(IF(QualitéAlimentsFaonMâle_6_12_mois=MOYENNE,VLOOKUP("Sorgho ensilé",AlimentsRationHivernaleDaims,6,FALSE),0)+(IF(QualitéAlimentsFaonFemelle_6_12_mois=MOYENNE,VLOOKUP("Sorgho ensilé",AlimentsRationHivernaleDaims,6,FALSE),0)+(IF(QualitéAlimentsJeuneDaim_12_18_mois=MOYENNE,VLOOKUP("Sorgho ensilé",AlimentsRationHivernaleDaims,5,FALSE),0)+(IF(QualitéAlimentsJeuneDaine_12_18_mois=MOYENNE,VLOOKUP("Sorgho ensilé",AlimentsRationHivernaleDaims,5,FALSE),0)+(IF(QualitéAlimentsJeuneDaim_18_24_mois=MOYENNE,VLOOKUP("Sorgho ensilé",AlimentsRationHivernaleDaims,4,FALSE),0)+(IF(QualitéAlimentsJeuneDaine_18_24_mois=MOYENNE,VLOOKUP("Sorgho ensilé",AlimentsRationHivernaleDaims,4,FALSE),0)+(IF(QualitéAlimentsJeuneDaim_24_36_mois=MOYENNE,VLOOKUP("Sorgho ensilé",AlimentsRationHivernaleDaims,3,FALSE),0)+(IF(QualitéAlimentsJeuneDaine_24_36_mois=MOYENNE,VLOOKUP("Sorgho ensilé",AlimentsRationHivernaleDaims,3,FALSE),0)+(IF(QualitéAlimentsDaim=MOYENNE,VLOOKUP("Sorgho ensilé",AlimentsRationHivernaleDaims,2,FALSE),0)+(IF(QualitéAlimentsDaine=MOYENNE,VLOOKUP("Sorgho ensilé",AlimentsRationHivernaleDaims,2,FALSE),0))))))))))))))))</f>
        <v>0</v>
      </c>
      <c r="DY106" s="351">
        <f t="array" ref="DY106">SUM((IF(QualitéAlimentsFaonMâle_0_3_mois=MAUVAISE,VLOOKUP("Sorgho ensilé",AlimentsRationHivernaleDaims,8,FALSE),0)+(IF(QualitéAlimentsFaonFemelle_0_3_mois=MAUVAISE,VLOOKUP("Sorgho ensilé",AlimentsRationHivernaleDaims,8,FALSE),0)+(IF(QualitéAlimentsFaonMâle_3_6_mois=MAUVAISE,VLOOKUP("Sorgho ensilé",AlimentsRationHivernaleDaims,7,FALSE),0)+(IF(QualitéAlimentsFaonFemelle_3_6_mois=MAUVAISE,VLOOKUP("Sorgho ensilé",AlimentsRationHivernaleDaims,7,FALSE),0)+(IF(QualitéAlimentsFaonMâle_6_12_mois=MAUVAISE,VLOOKUP("Sorgho ensilé",AlimentsRationHivernaleDaims,6,FALSE),0)+(IF(QualitéAlimentsFaonFemelle_6_12_mois=MAUVAISE,VLOOKUP("Sorgho ensilé",AlimentsRationHivernaleDaims,6,FALSE),0)+(IF(QualitéAlimentsJeuneDaim_12_18_mois=MAUVAISE,VLOOKUP("Sorgho ensilé",AlimentsRationHivernaleDaims,5,FALSE),0)+(IF(QualitéAlimentsJeuneDaine_12_18_mois=MAUVAISE,VLOOKUP("Sorgho ensilé",AlimentsRationHivernaleDaims,5,FALSE),0)+(IF(QualitéAlimentsJeuneDaim_18_24_mois=MAUVAISE,VLOOKUP("Sorgho ensilé",AlimentsRationHivernaleDaims,4,FALSE),0)+(IF(QualitéAlimentsJeuneDaine_18_24_mois=MAUVAISE,VLOOKUP("Sorgho ensilé",AlimentsRationHivernaleDaims,4,FALSE),0)+(IF(QualitéAlimentsJeuneDaim_24_36_mois=MAUVAISE,VLOOKUP("Sorgho ensilé",AlimentsRationHivernaleDaims,3,FALSE),0)+(IF(QualitéAlimentsJeuneDaine_24_36_mois=MAUVAISE,VLOOKUP("Sorgho ensilé",AlimentsRationHivernaleDaims,3,FALSE),0)+(IF(QualitéAlimentsDaim=MAUVAISE,VLOOKUP("Sorgho ensilé",AlimentsRationHivernaleDaims,2,FALSE),0)+(IF(QualitéAlimentsDaine=MAUVAISE,VLOOKUP("Sorgho ensilé",AlimentsRationHivernaleDaims,2,FALSE),0))))))))))))))))</f>
        <v>0</v>
      </c>
      <c r="DZ106" s="298"/>
      <c r="EA106" s="298"/>
      <c r="EB106" s="298"/>
      <c r="EC106" s="298"/>
      <c r="ED106" s="298"/>
      <c r="EG106" s="420" t="str">
        <f t="shared" si="30"/>
        <v>Eau</v>
      </c>
      <c r="EH106" s="433">
        <f t="array" ref="EH10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06" s="433">
        <f t="array" ref="EI10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06" s="433">
        <f t="array" ref="EJ10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06" s="434">
        <f>SUM(AlimentsRationOiesFemelles[[#This Row],[Valeur 6 et plus]:[Valeur 0-3]])</f>
        <v>0</v>
      </c>
      <c r="EN106" s="443" t="str">
        <f t="shared" si="28"/>
        <v>Epinard</v>
      </c>
      <c r="EO106" s="450">
        <f t="array" ref="EO106">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06" s="450">
        <f t="array" ref="EP106">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06" s="450">
        <f t="array" ref="EQ106">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06" s="451">
        <f>SUM(Ration_canards_Femelles[[#This Row],[Valeur 6 et plus]:[Valeur 0-3]])</f>
        <v>0</v>
      </c>
      <c r="EU106" s="457" t="str">
        <f t="shared" si="40"/>
        <v>Chanvre</v>
      </c>
      <c r="EV106" s="458">
        <f t="array" ref="EV106">IF(OR(ChoixRationComplèteEtéChevauxSelle=OUI,ChoixRationComplèteEtéChevauxSelle="",AND(ChoixChevauxSellePréHiver=OUI,ChoixChevauxSellePréEté=OUI)),0,IFERROR(IF(OR(AND(INDEX(Règles_chevaux_selle[Specificite],MATCH(RationEtéChevauxSelle&amp;$EU106,Règles_chevaux_selle[Ration]&amp;Règles_chevaux_selle[Aliment],0))="s1",IF($EU106=Spécificité1ChevauxSelle,1)),
AND(INDEX(Règles_chevaux_selle[Specificite],MATCH(RationEtéChevauxSelle&amp;$EU106,Règles_chevaux_selle[Ration]&amp;Règles_chevaux_selle[Aliment],0))="s2",IF($EU106=Spécificité2ChevauxSelle,1)),
INDEX(Règles_chevaux_selle[Specificite],MATCH(RationEtéChevauxSelle&amp;$EU106,Règles_chevaux_selle[Ration]&amp;Règles_chevaux_selle[Aliment],0))="c"),
INDEX(Règles_chevaux_selle[Valeur 36 et plus],MATCH(RationEtéChevauxSelle&amp;$EU106,Règles_chevaux_selle[Ration]&amp;Règles_chevaux_selle[Aliment],0)),0),0)*TotalJumentSelle*NbreJoursNourrirChevauxSelle)</f>
        <v>0</v>
      </c>
      <c r="EW106" s="458">
        <f t="array" ref="EW106">IF(OR(ChoixRationComplèteEtéChevauxSelle=OUI,ChoixRationComplèteEtéChevauxSelle="",AND(ChoixChevauxSellePréHiver=OUI,ChoixChevauxSellePréEté=OUI)),0,IFERROR(IF(OR(AND(INDEX(Règles_chevaux_selle[Specificite],MATCH(RationEtéChevauxSelle&amp;$EU106,Règles_chevaux_selle[Ration]&amp;Règles_chevaux_selle[Aliment],0))="s1",IF($EU106=Spécificité1ChevauxSelle,1)),
AND(INDEX(Règles_chevaux_selle[Specificite],MATCH(RationEtéChevauxSelle&amp;$EU106,Règles_chevaux_selle[Ration]&amp;Règles_chevaux_selle[Aliment],0))="s2",IF($EU106=Spécificité2ChevauxSelle,1)),
INDEX(Règles_chevaux_selle[Specificite],MATCH(RationEtéChevauxSelle&amp;$EU106,Règles_chevaux_selle[Ration]&amp;Règles_chevaux_selle[Aliment],0))="c"),
INDEX(Règles_chevaux_selle[Valeur 24-36],MATCH(RationEtéChevauxSelle&amp;$EU106,Règles_chevaux_selle[Ration]&amp;Règles_chevaux_selle[Aliment],0)),0),0)*TotalJeuneJumentSelle_24_36_mois*NbreJoursNourrirChevauxSelle)</f>
        <v>0</v>
      </c>
      <c r="EX106" s="458">
        <f t="array" ref="EX106">IF(OR(ChoixRationComplèteEtéChevauxSelle=OUI,ChoixRationComplèteEtéChevauxSelle="",AND(ChoixChevauxSellePréHiver=OUI,ChoixChevauxSellePréEté=OUI)),0,IFERROR(IF(OR(AND(INDEX(Règles_chevaux_selle[Specificite],MATCH(RationEtéChevauxSelle&amp;$EU106,Règles_chevaux_selle[Ration]&amp;Règles_chevaux_selle[Aliment],0))="s1",IF($EU106=Spécificité1ChevauxSelle,1)),
AND(INDEX(Règles_chevaux_selle[Specificite],MATCH(RationEtéChevauxSelle&amp;$EU106,Règles_chevaux_selle[Ration]&amp;Règles_chevaux_selle[Aliment],0))="s2",IF($EU106=Spécificité2ChevauxSelle,1)),
INDEX(Règles_chevaux_selle[Specificite],MATCH(RationEtéChevauxSelle&amp;$EU106,Règles_chevaux_selle[Ration]&amp;Règles_chevaux_selle[Aliment],0))="c"),
INDEX(Règles_chevaux_selle[Valeur 12-24],MATCH(RationEtéChevauxSelle&amp;$EU106,Règles_chevaux_selle[Ration]&amp;Règles_chevaux_selle[Aliment],0)),0),0)*TotalJeuneJumentSelle_12_24_mois_12_24_mois*NbreJoursNourrirChevauxSelle)</f>
        <v>0</v>
      </c>
      <c r="EY106" s="460">
        <f t="array" ref="EY106">IF(OR(ChoixRationComplèteEtéChevauxSelle=OUI,ChoixRationComplèteEtéChevauxSelle="",AND(ChoixChevauxSellePréHiver=OUI,ChoixChevauxSellePréEté=OUI)),0,IFERROR(IF(OR(AND(INDEX(Règles_chevaux_selle[Specificite],MATCH(RationEtéChevauxSelle&amp;$EU106,Règles_chevaux_selle[Ration]&amp;Règles_chevaux_selle[Aliment],0))="s1",IF($EU106=Spécificité1ChevauxSelle,1)),
AND(INDEX(Règles_chevaux_selle[Specificite],MATCH(RationEtéChevauxSelle&amp;$EU106,Règles_chevaux_selle[Ration]&amp;Règles_chevaux_selle[Aliment],0))="s2",IF($EU106=Spécificité2ChevauxSelle,1)),
INDEX(Règles_chevaux_selle[Specificite],MATCH(RationEtéChevauxSelle&amp;$EU106,Règles_chevaux_selle[Ration]&amp;Règles_chevaux_selle[Aliment],0))="c"),
INDEX(Règles_chevaux_selle[Valeur 0-12],MATCH(RationEtéChevauxSelle&amp;$EU106,Règles_chevaux_selle[Ration]&amp;Règles_chevaux_selle[Aliment],0)),0),0)*TotalPoulicheSelle_0_12_mois*NbreJoursNourrirChevauxSelle)</f>
        <v>0</v>
      </c>
      <c r="EZ106" s="460">
        <f t="shared" si="39"/>
        <v>0</v>
      </c>
      <c r="FD106" s="457" t="str">
        <f t="shared" si="33"/>
        <v>Ensilage d'herbe</v>
      </c>
      <c r="FE106" s="458">
        <f t="array" ref="FE106">IF(OR(ChoixRationComplèteEtéChevauxTrait=OUI,ChoixRationComplèteEtéChevauxTrait="",AND(ChoixChevauxTraitPréHiver=OUI,ChoixChevauxTraitPréEté=OUI)),0,IFERROR(IF(OR(AND(INDEX(Règles_chevaux_trait[Specificite],MATCH(RationEtéChevauxTrait&amp;$FD106,Règles_chevaux_trait[Ration]&amp;Règles_chevaux_trait[Aliment],0))="s1",IF($FD106=Spécificité1ChevauxTrait,1)),
AND(INDEX(Règles_chevaux_trait[Specificite],MATCH(RationEtéChevauxTrait&amp;$FD106,Règles_chevaux_trait[Ration]&amp;Règles_chevaux_trait[Aliment],0))="s2",IF($FD106=Spécificité2ChevauxTrait,1)),
INDEX(Règles_chevaux_trait[Specificite],MATCH(RationEtéChevauxTrait&amp;$FD106,Règles_chevaux_trait[Ration]&amp;Règles_chevaux_trait[Aliment],0))="c"),
INDEX(Règles_chevaux_trait[Valeur 36 et plus],MATCH(RationEtéChevauxTrait&amp;$FD106,Règles_chevaux_trait[Ration]&amp;Règles_chevaux_trait[Aliment],0)),0),0)*TotalJumentTrait*NbreJoursNourrirChevauxTrait)</f>
        <v>0</v>
      </c>
      <c r="FF106" s="458">
        <f t="array" ref="FF106">IF(OR(ChoixRationComplèteEtéChevauxTrait=OUI,ChoixRationComplèteEtéChevauxTrait="",AND(ChoixChevauxTraitPréHiver=OUI,ChoixChevauxTraitPréEté=OUI)),0,IFERROR(IF(OR(AND(INDEX(Règles_chevaux_trait[Specificite],MATCH(RationEtéChevauxTrait&amp;$FD106,Règles_chevaux_trait[Ration]&amp;Règles_chevaux_trait[Aliment],0))="s1",IF($FD106=Spécificité1ChevauxTrait,1)),
AND(INDEX(Règles_chevaux_trait[Specificite],MATCH(RationEtéChevauxTrait&amp;$FD106,Règles_chevaux_trait[Ration]&amp;Règles_chevaux_trait[Aliment],0))="s2",IF($FD106=Spécificité2ChevauxTrait,1)),
INDEX(Règles_chevaux_trait[Specificite],MATCH(RationEtéChevauxTrait&amp;$FD106,Règles_chevaux_trait[Ration]&amp;Règles_chevaux_trait[Aliment],0))="c"),
INDEX(Règles_chevaux_trait[Valeur 24-36],MATCH(RationEtéChevauxTrait&amp;$FD106,Règles_chevaux_trait[Ration]&amp;Règles_chevaux_trait[Aliment],0)),0),0)*TotalJeuneJumentTrait_24_36_mois*NbreJoursNourrirChevauxTrait)</f>
        <v>0</v>
      </c>
      <c r="FG106" s="458">
        <f t="array" ref="FG106">IF(OR(ChoixRationComplèteEtéChevauxTrait=OUI,ChoixRationComplèteEtéChevauxTrait="",AND(ChoixChevauxTraitPréHiver=OUI,ChoixChevauxTraitPréEté=OUI)),0,IFERROR(IF(OR(AND(INDEX(Règles_chevaux_trait[Specificite],MATCH(RationEtéChevauxTrait&amp;$FD106,Règles_chevaux_trait[Ration]&amp;Règles_chevaux_trait[Aliment],0))="s1",IF($FD106=Spécificité1ChevauxTrait,1)),
AND(INDEX(Règles_chevaux_trait[Specificite],MATCH(RationEtéChevauxTrait&amp;$FD106,Règles_chevaux_trait[Ration]&amp;Règles_chevaux_trait[Aliment],0))="s2",IF($FD106=Spécificité2ChevauxTrait,1)),
INDEX(Règles_chevaux_trait[Specificite],MATCH(RationEtéChevauxTrait&amp;$FD106,Règles_chevaux_trait[Ration]&amp;Règles_chevaux_trait[Aliment],0))="c"),
INDEX(Règles_chevaux_trait[Valeur 12-24],MATCH(RationEtéChevauxTrait&amp;$FD106,Règles_chevaux_trait[Ration]&amp;Règles_chevaux_trait[Aliment],0)),0),0)*TotalJeuneJumentTrait_12_24_mois*NbreJoursNourrirChevauxTrait)</f>
        <v>0</v>
      </c>
      <c r="FH106" s="460">
        <f t="array" ref="FH106">IF(OR(ChoixRationComplèteEtéChevauxTrait=OUI,ChoixRationComplèteEtéChevauxTrait="",AND(ChoixChevauxTraitPréHiver=OUI,ChoixChevauxTraitPréEté=OUI)),0,IFERROR(IF(OR(AND(INDEX(Règles_chevaux_trait[Specificite],MATCH(RationEtéChevauxTrait&amp;$FD106,Règles_chevaux_trait[Ration]&amp;Règles_chevaux_trait[Aliment],0))="s1",IF($FD106=Spécificité1ChevauxTrait,1)),
AND(INDEX(Règles_chevaux_trait[Specificite],MATCH(RationEtéChevauxTrait&amp;$FD106,Règles_chevaux_trait[Ration]&amp;Règles_chevaux_trait[Aliment],0))="s2",IF($FD106=Spécificité2ChevauxTrait,1)),
INDEX(Règles_chevaux_trait[Specificite],MATCH(RationEtéChevauxTrait&amp;$FD106,Règles_chevaux_trait[Ration]&amp;Règles_chevaux_trait[Aliment],0))="c"),
INDEX(Règles_chevaux_trait[Valeur 0-12],MATCH(RationEtéChevauxTrait&amp;$FD106,Règles_chevaux_trait[Ration]&amp;Règles_chevaux_trait[Aliment],0)),0),0)*TotalPoulicheTrait_0_12_mois*NbreJoursNourrirChevauxTrait)</f>
        <v>0</v>
      </c>
      <c r="FI106" s="460">
        <f t="shared" si="31"/>
        <v>0</v>
      </c>
      <c r="FJ106" s="298"/>
      <c r="FN106" s="457" t="str">
        <f t="shared" si="32"/>
        <v>Eau</v>
      </c>
      <c r="FO106" s="458">
        <f t="array" ref="FO106">IF(OR(ChoixRationComplèteEtéPoneys=OUI,ChoixRationComplèteEtéPoneys="",AND(ChoixPoneysPréHiver=OUI,ChoixPoneysPréEté=OUI)),0,IFERROR(IF(OR(AND(INDEX(Règles_poneys[Specificite],MATCH(RationHivernaleAuPréPoneys&amp;$FN106,Règles_poneys[Ration]&amp;Règles_poneys[Aliment],0))="s1",IF($FN106=Spécificité1Poneys,1)),
AND(INDEX(Règles_poneys[Specificite],MATCH(RationHivernaleAuPréPoneys&amp;$FN106,Règles_poneys[Ration]&amp;Règles_poneys[Aliment],0))="s2",IF($FN106=Spécificité2Poneys,1)),
INDEX(Règles_poneys[Specificite],MATCH(RationHivernaleAuPréPoneys&amp;$FN106,Règles_poneys[Ration]&amp;Règles_poneys[Aliment],0))="c"),
INDEX(Règles_poneys[Valeur 36 et plus],MATCH(RationHivernaleAuPréPoneys&amp;$FN106,Règles_poneys[Ration]&amp;Règles_poneys[Aliment],0)),0),0)*SUM(TotalPoneysAdultes)*SUM(AG118:AG142))</f>
        <v>0</v>
      </c>
      <c r="FP106" s="458">
        <f t="array" ref="FP106">IF(OR(ChoixRationComplèteEtéPoneys=OUI,ChoixRationComplèteEtéPoneys="",AND(ChoixPoneysPréHiver=OUI,ChoixPoneysPréEté=OUI)),0,IFERROR(IF(OR(AND(INDEX(Règles_poneys[Specificite],MATCH(RationHivernaleAuPréPoneys&amp;$FN106,Règles_poneys[Ration]&amp;Règles_poneys[Aliment],0))="s1",IF($FN106=Spécificité1Poneys,1)),
AND(INDEX(Règles_poneys[Specificite],MATCH(RationHivernaleAuPréPoneys&amp;$FN106,Règles_poneys[Ration]&amp;Règles_poneys[Aliment],0))="s2",IF($FN106=Spécificité2Poneys,1)),
INDEX(Règles_poneys[Specificite],MATCH(RationHivernaleAuPréPoneys&amp;$FN106,Règles_poneys[Ration]&amp;Règles_poneys[Aliment],0))="c"),
INDEX(Règles_poneys[Valeur 24-36],MATCH(RationHivernaleAuPréPoneys&amp;$FN106,Règles_poneys[Ration]&amp;Règles_poneys[Aliment],0)),0),0)*SUM(TotalPoneys_24_36mois)*SUM(AG118:AG142))</f>
        <v>0</v>
      </c>
      <c r="FQ106" s="458">
        <f t="array" ref="FQ106">IF(OR(ChoixRationComplèteEtéPoneys=OUI,ChoixRationComplèteEtéPoneys="",AND(ChoixPoneysPréHiver=OUI,ChoixPoneysPréEté=OUI)),0,IFERROR(IF(OR(AND(INDEX(Règles_poneys[Specificite],MATCH(RationHivernaleAuPréPoneys&amp;$FN106,Règles_poneys[Ration]&amp;Règles_poneys[Aliment],0))="s1",IF($FN106=Spécificité1Poneys,1)),
AND(INDEX(Règles_poneys[Specificite],MATCH(RationHivernaleAuPréPoneys&amp;$FN106,Règles_poneys[Ration]&amp;Règles_poneys[Aliment],0))="s2",IF($FN106=Spécificité2Poneys,1)),
INDEX(Règles_poneys[Specificite],MATCH(RationHivernaleAuPréPoneys&amp;$FN106,Règles_poneys[Ration]&amp;Règles_poneys[Aliment],0))="c"),
INDEX(Règles_poneys[Valeur 12-24],MATCH(RationHivernaleAuPréPoneys&amp;$FN106,Règles_poneys[Ration]&amp;Règles_poneys[Aliment],0)),0),0)*SUM(TotalPoneys_12_24mois)*SUM(AG118:AG142))</f>
        <v>0</v>
      </c>
      <c r="FR106" s="460">
        <f t="array" ref="FR106">IF(OR(ChoixRationComplèteEtéPoneys=OUI,ChoixRationComplèteEtéPoneys="",AND(ChoixPoneysPréHiver=OUI,ChoixPoneysPréEté=OUI)),0,IFERROR(IF(OR(AND(INDEX(Règles_poneys[Specificite],MATCH(RationHivernaleAuPréPoneys&amp;$FN106,Règles_poneys[Ration]&amp;Règles_poneys[Aliment],0))="s1",IF($FN106=Spécificité1Poneys,1)),
AND(INDEX(Règles_poneys[Specificite],MATCH(RationHivernaleAuPréPoneys&amp;$FN106,Règles_poneys[Ration]&amp;Règles_poneys[Aliment],0))="s2",IF($FN106=Spécificité2Poneys,1)),
INDEX(Règles_poneys[Specificite],MATCH(RationHivernaleAuPréPoneys&amp;$FN106,Règles_poneys[Ration]&amp;Règles_poneys[Aliment],0))="c"),
INDEX(Règles_poneys[Valeur 0-12],MATCH(RationHivernaleAuPréPoneys&amp;$FN106,Règles_poneys[Ration]&amp;Règles_poneys[Aliment],0)),0),0)*SUM(TotalPoulainsPoneys)*SUM(AG118:AG142))</f>
        <v>0</v>
      </c>
      <c r="FS106" s="460">
        <f t="shared" si="29"/>
        <v>0</v>
      </c>
      <c r="FT106" s="298"/>
      <c r="FW106" s="443" t="str">
        <f t="shared" si="27"/>
        <v>Lentille</v>
      </c>
      <c r="FX106" s="450">
        <f t="array" ref="FX106">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06" s="450">
        <f t="array" ref="FY106">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06" s="450">
        <f t="array" ref="FZ106">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06" s="450">
        <f t="array" ref="GA106">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06" s="451">
        <f>SUM(AlimentsGavageCanards[[#This Row],[Valeur 6 et plus]:[Valeur 0-1]])</f>
        <v>0</v>
      </c>
      <c r="GG106" s="276" t="s">
        <v>955</v>
      </c>
      <c r="GH106" s="276" t="s">
        <v>955</v>
      </c>
      <c r="GI106" s="276" t="s">
        <v>955</v>
      </c>
      <c r="GJ106" s="276" t="s">
        <v>955</v>
      </c>
      <c r="GK106" s="276" t="s">
        <v>955</v>
      </c>
      <c r="GL106" s="276" t="s">
        <v>955</v>
      </c>
      <c r="GM106" s="276" t="s">
        <v>955</v>
      </c>
      <c r="GN106" s="276" t="s">
        <v>955</v>
      </c>
      <c r="GO106" s="276" t="s">
        <v>955</v>
      </c>
      <c r="GP106" s="276" t="s">
        <v>955</v>
      </c>
      <c r="GQ106" s="276" t="s">
        <v>955</v>
      </c>
      <c r="GR106" s="276" t="s">
        <v>955</v>
      </c>
      <c r="GS106" s="276" t="s">
        <v>955</v>
      </c>
      <c r="GT106" s="276" t="s">
        <v>955</v>
      </c>
      <c r="GU106" s="276" t="s">
        <v>955</v>
      </c>
      <c r="GV106" s="276" t="s">
        <v>955</v>
      </c>
      <c r="HN106" s="342" t="s">
        <v>1072</v>
      </c>
      <c r="HO106" s="513"/>
      <c r="HP106" s="513"/>
      <c r="HQ106" s="513"/>
      <c r="HR106" s="513"/>
      <c r="HS106" s="513"/>
      <c r="HT106" s="513"/>
      <c r="HU106" s="513"/>
      <c r="HV106" s="513"/>
      <c r="HW106" s="513"/>
      <c r="HX106" s="513"/>
      <c r="HY106" s="513"/>
      <c r="HZ106" s="513"/>
      <c r="IA106" s="513"/>
      <c r="IB106" s="513"/>
    </row>
    <row r="107" spans="1:236" ht="12.75" customHeight="1" x14ac:dyDescent="0.2">
      <c r="A107" s="373"/>
      <c r="B107" s="380"/>
      <c r="F107" s="280"/>
      <c r="G107" s="280"/>
      <c r="H107" s="280"/>
      <c r="I107" s="321"/>
      <c r="J107" s="321"/>
      <c r="K107" s="321"/>
      <c r="L107" s="321"/>
      <c r="BB107" s="387" t="s">
        <v>514</v>
      </c>
      <c r="BC107" s="362" t="s">
        <v>518</v>
      </c>
      <c r="BD107" s="362" t="s">
        <v>886</v>
      </c>
      <c r="BE107" s="388">
        <v>200</v>
      </c>
      <c r="BF107" s="388">
        <v>100</v>
      </c>
      <c r="BG107" s="388">
        <v>80</v>
      </c>
      <c r="BH107" s="388">
        <v>60</v>
      </c>
      <c r="BI107" s="388">
        <v>40</v>
      </c>
      <c r="BJ107" s="388">
        <v>28</v>
      </c>
      <c r="BK107" s="389">
        <v>12</v>
      </c>
      <c r="BL107" s="312"/>
      <c r="BM107" s="313"/>
      <c r="BQ107" s="277"/>
      <c r="BU107" s="317"/>
      <c r="BV107" s="282"/>
      <c r="BX107" s="350" t="s">
        <v>392</v>
      </c>
      <c r="BY107" s="350">
        <f t="array" ref="BY107">IF(ChoixRationComplèteCaprins=OUI,0,IFERROR(IF(OR(AND(INDEX(Règles_caprins[Specificite],MATCH(ChoixRationCaprins&amp;$BX107,Règles_caprins[Ration]&amp;Règles_caprins[Aliment],0))="s1",IF($BX107=Spécificité1Caprins,1)),
INDEX(Règles_caprins[Specificite],MATCH(ChoixRationCaprins&amp;$BX107,Règles_caprins[Ration]&amp;Règles_caprins[Aliment],0))="c"),
INDEX(Règles_caprins[Valeur 12 et plus],MATCH(ChoixRationCaprins&amp;$BX107,Règles_caprins[Ration]&amp;Règles_caprins[Aliment],0)),0),0)*TotalBoucs*NbreJoursNourrirCaprins)</f>
        <v>0</v>
      </c>
      <c r="BZ107" s="350">
        <f t="array" ref="BZ107">IF(ChoixRationComplèteCaprins=OUI,0,IFERROR(IF(OR(AND(INDEX(Règles_caprins[Specificite],MATCH(ChoixRationCaprins&amp;$BX107,Règles_caprins[Ration]&amp;Règles_caprins[Aliment],0))="s1",IF($BX107=Spécificité1Caprins,1)),
INDEX(Règles_caprins[Specificite],MATCH(ChoixRationCaprins&amp;$BX107,Règles_caprins[Ration]&amp;Règles_caprins[Aliment],0))="c"),
INDEX(Règles_caprins[Valeur 6-12],MATCH(ChoixRationCaprins&amp;$BX107,Règles_caprins[Ration]&amp;Règles_caprins[Aliment],0)),0),0)*jeune_bouc_6_12_mois*NbreJoursNourrirCaprins)</f>
        <v>0</v>
      </c>
      <c r="CA107" s="350">
        <f t="array" ref="CA107">IF(ChoixRationComplèteCaprins=OUI,0,IFERROR(IF(OR(AND(INDEX(Règles_caprins[Specificite],MATCH(ChoixRationCaprins&amp;$BX107,Règles_caprins[Ration]&amp;Règles_caprins[Aliment],0))="s1",IF($BX107=Spécificité1Caprins,1)),
INDEX(Règles_caprins[Specificite],MATCH(ChoixRationCaprins&amp;$BX107,Règles_caprins[Ration]&amp;Règles_caprins[Aliment],0))="c"),
INDEX(Règles_caprins[Valeur 3-6],MATCH(ChoixRationCaprins&amp;$BX107,Règles_caprins[Ration]&amp;Règles_caprins[Aliment],0)),0),0)*chevreau_3_6_mois*NbreJoursNourrirCaprins)</f>
        <v>0</v>
      </c>
      <c r="CB107" s="350">
        <f t="array" ref="CB107">IF(ChoixRationComplèteCaprins=OUI,0,IFERROR(IF(OR(AND(INDEX(Règles_caprins[Specificite],MATCH(ChoixRationCaprins&amp;$BX107,Règles_caprins[Ration]&amp;Règles_caprins[Aliment],0))="s1",IF($BX107=Spécificité1Caprins,1)),
INDEX(Règles_caprins[Specificite],MATCH(ChoixRationCaprins&amp;$BX107,Règles_caprins[Ration]&amp;Règles_caprins[Aliment],0))="c"),
INDEX(Règles_caprins[Valeur 0-3],MATCH(ChoixRationCaprins&amp;$BX107,Règles_caprins[Ration]&amp;Règles_caprins[Aliment],0)),0),0)*chevreau_0_3_mois*NbreJoursNourrirCaprins)</f>
        <v>0</v>
      </c>
      <c r="CC107" s="350">
        <f t="shared" si="41"/>
        <v>0</v>
      </c>
      <c r="CH107" s="276"/>
      <c r="CI107" s="277"/>
      <c r="CJ107" s="420" t="str">
        <f t="shared" si="25"/>
        <v>Minéraux + vitamines</v>
      </c>
      <c r="CK107" s="384">
        <f t="array" ref="CK10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07" s="384">
        <f t="array" ref="CL10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07" s="384">
        <f t="array" ref="CM10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07" s="384">
        <f t="array" ref="CN10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07" s="384">
        <f t="array" ref="CO10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07" s="426">
        <f>SUM(AlimentsRationPorcinsFemelles[[#This Row],[Valeur 12 et plus]:[Valeur 0-1]])</f>
        <v>0</v>
      </c>
      <c r="CQ107" s="298"/>
      <c r="CS107" s="420" t="str">
        <f t="shared" si="36"/>
        <v>concentré jeunes lapins</v>
      </c>
      <c r="CT107" s="433">
        <f t="array" ref="CT107">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07" s="433">
        <f t="array" ref="CU107">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07" s="433">
        <f t="array" ref="CV107">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07" s="434">
        <f>SUM(AlimentsRationLapinsFemelles[[#This Row],[Valeur 3 et plus]:[Valeur 0-1]])</f>
        <v>0</v>
      </c>
      <c r="CY107" s="277"/>
      <c r="CZ107" s="420" t="str">
        <f t="shared" si="37"/>
        <v>concentré jeunes lapins</v>
      </c>
      <c r="DA107" s="433">
        <f t="array" ref="DA10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07" s="433">
        <f t="array" ref="DB10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07" s="433">
        <f t="array" ref="DC10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07" s="434">
        <f>SUM(AlimentsRationVolaillesFemelles[[#This Row],[Valeur 6 et plus]:[Valeur 0-1]])</f>
        <v>0</v>
      </c>
      <c r="DE107" s="298"/>
      <c r="DG107" s="384" t="str">
        <f t="shared" si="26"/>
        <v>Maïs ensilé</v>
      </c>
      <c r="DH107" s="433">
        <f t="array" ref="DH10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07" s="433">
        <f t="array" ref="DI10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07" s="433">
        <f t="array" ref="DJ10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07" s="437">
        <f>SUM(AlimentsRationPintadesFemelles[[#This Row],[Valeur 6 et plus]:[Valeur 0-1]])</f>
        <v>0</v>
      </c>
      <c r="DN107" s="373" t="s">
        <v>950</v>
      </c>
      <c r="DO107" s="280" t="s">
        <v>508</v>
      </c>
      <c r="DP107" s="280" t="s">
        <v>886</v>
      </c>
      <c r="DQ107" s="310"/>
      <c r="DR107" s="310"/>
      <c r="DS107" s="310"/>
      <c r="DT107" s="439"/>
      <c r="DU107" s="298"/>
      <c r="DV107" s="350" t="str">
        <f t="shared" si="23"/>
        <v>Tournesol</v>
      </c>
      <c r="DW107" s="351">
        <f t="array" ref="DW107">SUM((IF(QualitéAlimentsFaonMâle_0_3_mois=BONNE,VLOOKUP("Tournesol",AlimentsRationHivernaleDaims,8,FALSE),0)+(IF(QualitéAlimentsFaonFemelle_0_3_mois=BONNE,VLOOKUP("Tournesol",AlimentsRationHivernaleDaims,8,FALSE),0)+(IF(QualitéAlimentsFaonMâle_3_6_mois=BONNE,VLOOKUP("Tournesol",AlimentsRationHivernaleDaims,7,FALSE),0)+(IF(QualitéAlimentsFaonFemelle_3_6_mois=BONNE,VLOOKUP("Tournesol",AlimentsRationHivernaleDaims,7,FALSE),0)+(IF(QualitéAlimentsFaonMâle_6_12_mois=BONNE,VLOOKUP("Tournesol",AlimentsRationHivernaleDaims,6,FALSE),0)+(IF(QualitéAlimentsFaonFemelle_6_12_mois=BONNE,VLOOKUP("Tournesol",AlimentsRationHivernaleDaims,6,FALSE),0)+(IF(QualitéAlimentsJeuneDaim_12_18_mois=BONNE,VLOOKUP("Tournesol",AlimentsRationHivernaleDaims,5,FALSE),0)+(IF(QualitéAlimentsJeuneDaine_12_18_mois=BONNE,VLOOKUP("Tournesol",AlimentsRationHivernaleDaims,5,FALSE),0)+(IF(QualitéAlimentsJeuneDaim_18_24_mois=BONNE,VLOOKUP("Tournesol",AlimentsRationHivernaleDaims,4,FALSE),0)+(IF(QualitéAlimentsJeuneDaine_18_24_mois=BONNE,VLOOKUP("Tournesol",AlimentsRationHivernaleDaims,4,FALSE),0)+(IF(QualitéAlimentsJeuneDaim_24_36_mois=BONNE,VLOOKUP("Tournesol",AlimentsRationHivernaleDaims,3,FALSE),0)+(IF(QualitéAlimentsJeuneDaine_24_36_mois=BONNE,VLOOKUP("Tournesol",AlimentsRationHivernaleDaims,3,FALSE),0)+(IF(QualitéAlimentsDaim=BONNE,VLOOKUP("Tournesol",AlimentsRationHivernaleDaims,2,FALSE),0)+(IF(QualitéAlimentsDaine=BONNE,VLOOKUP("Tournesol",AlimentsRationHivernaleDaims,2,FALSE),0))))))))))))))))</f>
        <v>0</v>
      </c>
      <c r="DX107" s="351">
        <f t="array" ref="DX107">SUM((IF(QualitéAlimentsFaonMâle_0_3_mois=MOYENNE,VLOOKUP("Tournesol",AlimentsRationHivernaleDaims,8,FALSE),0)+(IF(QualitéAlimentsFaonFemelle_0_3_mois=MOYENNE,VLOOKUP("Tournesol",AlimentsRationHivernaleDaims,8,FALSE),0)+(IF(QualitéAlimentsFaonMâle_3_6_mois=MOYENNE,VLOOKUP("Tournesol",AlimentsRationHivernaleDaims,7,FALSE),0)+(IF(QualitéAlimentsFaonFemelle_3_6_mois=MOYENNE,VLOOKUP("Tournesol",AlimentsRationHivernaleDaims,7,FALSE),0)+(IF(QualitéAlimentsFaonMâle_6_12_mois=MOYENNE,VLOOKUP("Tournesol",AlimentsRationHivernaleDaims,6,FALSE),0)+(IF(QualitéAlimentsFaonFemelle_6_12_mois=MOYENNE,VLOOKUP("Tournesol",AlimentsRationHivernaleDaims,6,FALSE),0)+(IF(QualitéAlimentsJeuneDaim_12_18_mois=MOYENNE,VLOOKUP("Tournesol",AlimentsRationHivernaleDaims,5,FALSE),0)+(IF(QualitéAlimentsJeuneDaine_12_18_mois=MOYENNE,VLOOKUP("Tournesol",AlimentsRationHivernaleDaims,5,FALSE),0)+(IF(QualitéAlimentsJeuneDaim_18_24_mois=MOYENNE,VLOOKUP("Tournesol",AlimentsRationHivernaleDaims,4,FALSE),0)+(IF(QualitéAlimentsJeuneDaine_18_24_mois=MOYENNE,VLOOKUP("Tournesol",AlimentsRationHivernaleDaims,4,FALSE),0)+(IF(QualitéAlimentsJeuneDaim_24_36_mois=MOYENNE,VLOOKUP("Tournesol",AlimentsRationHivernaleDaims,3,FALSE),0)+(IF(QualitéAlimentsJeuneDaine_24_36_mois=MOYENNE,VLOOKUP("Tournesol",AlimentsRationHivernaleDaims,3,FALSE),0)+(IF(QualitéAlimentsDaim=MOYENNE,VLOOKUP("Tournesol",AlimentsRationHivernaleDaims,2,FALSE),0)+(IF(QualitéAlimentsDaine=MOYENNE,VLOOKUP("Tournesol",AlimentsRationHivernaleDaims,2,FALSE),0))))))))))))))))</f>
        <v>0</v>
      </c>
      <c r="DY107" s="351">
        <f t="array" ref="DY107">SUM((IF(QualitéAlimentsFaonMâle_0_3_mois=MAUVAISE,VLOOKUP("Tournesol",AlimentsRationHivernaleDaims,8,FALSE),0)+(IF(QualitéAlimentsFaonFemelle_0_3_mois=MAUVAISE,VLOOKUP("Tournesol",AlimentsRationHivernaleDaims,8,FALSE),0)+(IF(QualitéAlimentsFaonMâle_3_6_mois=MAUVAISE,VLOOKUP("Tournesol",AlimentsRationHivernaleDaims,7,FALSE),0)+(IF(QualitéAlimentsFaonFemelle_3_6_mois=MAUVAISE,VLOOKUP("Tournesol",AlimentsRationHivernaleDaims,7,FALSE),0)+(IF(QualitéAlimentsFaonMâle_6_12_mois=MAUVAISE,VLOOKUP("Tournesol",AlimentsRationHivernaleDaims,6,FALSE),0)+(IF(QualitéAlimentsFaonFemelle_6_12_mois=MAUVAISE,VLOOKUP("Tournesol",AlimentsRationHivernaleDaims,6,FALSE),0)+(IF(QualitéAlimentsJeuneDaim_12_18_mois=MAUVAISE,VLOOKUP("Tournesol",AlimentsRationHivernaleDaims,5,FALSE),0)+(IF(QualitéAlimentsJeuneDaine_12_18_mois=MAUVAISE,VLOOKUP("Tournesol",AlimentsRationHivernaleDaims,5,FALSE),0)+(IF(QualitéAlimentsJeuneDaim_18_24_mois=MAUVAISE,VLOOKUP("Tournesol",AlimentsRationHivernaleDaims,4,FALSE),0)+(IF(QualitéAlimentsJeuneDaine_18_24_mois=MAUVAISE,VLOOKUP("Tournesol",AlimentsRationHivernaleDaims,4,FALSE),0)+(IF(QualitéAlimentsJeuneDaim_24_36_mois=MAUVAISE,VLOOKUP("Tournesol",AlimentsRationHivernaleDaims,3,FALSE),0)+(IF(QualitéAlimentsJeuneDaine_24_36_mois=MAUVAISE,VLOOKUP("Tournesol",AlimentsRationHivernaleDaims,3,FALSE),0)+(IF(QualitéAlimentsDaim=MAUVAISE,VLOOKUP("Tournesol",AlimentsRationHivernaleDaims,2,FALSE),0)+(IF(QualitéAlimentsDaine=MAUVAISE,VLOOKUP("Tournesol",AlimentsRationHivernaleDaims,2,FALSE),0))))))))))))))))</f>
        <v>0</v>
      </c>
      <c r="DZ107" s="298"/>
      <c r="EA107" s="298"/>
      <c r="EB107" s="298"/>
      <c r="EC107" s="298"/>
      <c r="ED107" s="298"/>
      <c r="EG107" s="420" t="str">
        <f t="shared" si="30"/>
        <v>Epinard</v>
      </c>
      <c r="EH107" s="433">
        <f t="array" ref="EH10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07" s="433">
        <f t="array" ref="EI10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07" s="433">
        <f t="array" ref="EJ10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07" s="434">
        <f>SUM(AlimentsRationOiesFemelles[[#This Row],[Valeur 6 et plus]:[Valeur 0-3]])</f>
        <v>0</v>
      </c>
      <c r="EN107" s="443" t="str">
        <f t="shared" si="28"/>
        <v>Féverole</v>
      </c>
      <c r="EO107" s="450">
        <f t="array" ref="EO107">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07" s="450">
        <f t="array" ref="EP107">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07" s="450">
        <f t="array" ref="EQ107">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07" s="451">
        <f>SUM(Ration_canards_Femelles[[#This Row],[Valeur 6 et plus]:[Valeur 0-3]])</f>
        <v>0</v>
      </c>
      <c r="EU107" s="457" t="str">
        <f t="shared" si="40"/>
        <v>Canola</v>
      </c>
      <c r="EV107" s="458">
        <f t="array" ref="EV107">IF(OR(ChoixRationComplèteEtéChevauxSelle=OUI,ChoixRationComplèteEtéChevauxSelle="",AND(ChoixChevauxSellePréHiver=OUI,ChoixChevauxSellePréEté=OUI)),0,IFERROR(IF(OR(AND(INDEX(Règles_chevaux_selle[Specificite],MATCH(RationEtéChevauxSelle&amp;$EU107,Règles_chevaux_selle[Ration]&amp;Règles_chevaux_selle[Aliment],0))="s1",IF($EU107=Spécificité1ChevauxSelle,1)),
AND(INDEX(Règles_chevaux_selle[Specificite],MATCH(RationEtéChevauxSelle&amp;$EU107,Règles_chevaux_selle[Ration]&amp;Règles_chevaux_selle[Aliment],0))="s2",IF($EU107=Spécificité2ChevauxSelle,1)),
INDEX(Règles_chevaux_selle[Specificite],MATCH(RationEtéChevauxSelle&amp;$EU107,Règles_chevaux_selle[Ration]&amp;Règles_chevaux_selle[Aliment],0))="c"),
INDEX(Règles_chevaux_selle[Valeur 36 et plus],MATCH(RationEtéChevauxSelle&amp;$EU107,Règles_chevaux_selle[Ration]&amp;Règles_chevaux_selle[Aliment],0)),0),0)*TotalJumentSelle*NbreJoursNourrirChevauxSelle)</f>
        <v>0</v>
      </c>
      <c r="EW107" s="458">
        <f t="array" ref="EW107">IF(OR(ChoixRationComplèteEtéChevauxSelle=OUI,ChoixRationComplèteEtéChevauxSelle="",AND(ChoixChevauxSellePréHiver=OUI,ChoixChevauxSellePréEté=OUI)),0,IFERROR(IF(OR(AND(INDEX(Règles_chevaux_selle[Specificite],MATCH(RationEtéChevauxSelle&amp;$EU107,Règles_chevaux_selle[Ration]&amp;Règles_chevaux_selle[Aliment],0))="s1",IF($EU107=Spécificité1ChevauxSelle,1)),
AND(INDEX(Règles_chevaux_selle[Specificite],MATCH(RationEtéChevauxSelle&amp;$EU107,Règles_chevaux_selle[Ration]&amp;Règles_chevaux_selle[Aliment],0))="s2",IF($EU107=Spécificité2ChevauxSelle,1)),
INDEX(Règles_chevaux_selle[Specificite],MATCH(RationEtéChevauxSelle&amp;$EU107,Règles_chevaux_selle[Ration]&amp;Règles_chevaux_selle[Aliment],0))="c"),
INDEX(Règles_chevaux_selle[Valeur 24-36],MATCH(RationEtéChevauxSelle&amp;$EU107,Règles_chevaux_selle[Ration]&amp;Règles_chevaux_selle[Aliment],0)),0),0)*TotalJeuneJumentSelle_24_36_mois*NbreJoursNourrirChevauxSelle)</f>
        <v>0</v>
      </c>
      <c r="EX107" s="458">
        <f t="array" ref="EX107">IF(OR(ChoixRationComplèteEtéChevauxSelle=OUI,ChoixRationComplèteEtéChevauxSelle="",AND(ChoixChevauxSellePréHiver=OUI,ChoixChevauxSellePréEté=OUI)),0,IFERROR(IF(OR(AND(INDEX(Règles_chevaux_selle[Specificite],MATCH(RationEtéChevauxSelle&amp;$EU107,Règles_chevaux_selle[Ration]&amp;Règles_chevaux_selle[Aliment],0))="s1",IF($EU107=Spécificité1ChevauxSelle,1)),
AND(INDEX(Règles_chevaux_selle[Specificite],MATCH(RationEtéChevauxSelle&amp;$EU107,Règles_chevaux_selle[Ration]&amp;Règles_chevaux_selle[Aliment],0))="s2",IF($EU107=Spécificité2ChevauxSelle,1)),
INDEX(Règles_chevaux_selle[Specificite],MATCH(RationEtéChevauxSelle&amp;$EU107,Règles_chevaux_selle[Ration]&amp;Règles_chevaux_selle[Aliment],0))="c"),
INDEX(Règles_chevaux_selle[Valeur 12-24],MATCH(RationEtéChevauxSelle&amp;$EU107,Règles_chevaux_selle[Ration]&amp;Règles_chevaux_selle[Aliment],0)),0),0)*TotalJeuneJumentSelle_12_24_mois_12_24_mois*NbreJoursNourrirChevauxSelle)</f>
        <v>0</v>
      </c>
      <c r="EY107" s="460">
        <f t="array" ref="EY107">IF(OR(ChoixRationComplèteEtéChevauxSelle=OUI,ChoixRationComplèteEtéChevauxSelle="",AND(ChoixChevauxSellePréHiver=OUI,ChoixChevauxSellePréEté=OUI)),0,IFERROR(IF(OR(AND(INDEX(Règles_chevaux_selle[Specificite],MATCH(RationEtéChevauxSelle&amp;$EU107,Règles_chevaux_selle[Ration]&amp;Règles_chevaux_selle[Aliment],0))="s1",IF($EU107=Spécificité1ChevauxSelle,1)),
AND(INDEX(Règles_chevaux_selle[Specificite],MATCH(RationEtéChevauxSelle&amp;$EU107,Règles_chevaux_selle[Ration]&amp;Règles_chevaux_selle[Aliment],0))="s2",IF($EU107=Spécificité2ChevauxSelle,1)),
INDEX(Règles_chevaux_selle[Specificite],MATCH(RationEtéChevauxSelle&amp;$EU107,Règles_chevaux_selle[Ration]&amp;Règles_chevaux_selle[Aliment],0))="c"),
INDEX(Règles_chevaux_selle[Valeur 0-12],MATCH(RationEtéChevauxSelle&amp;$EU107,Règles_chevaux_selle[Ration]&amp;Règles_chevaux_selle[Aliment],0)),0),0)*TotalPoulicheSelle_0_12_mois*NbreJoursNourrirChevauxSelle)</f>
        <v>0</v>
      </c>
      <c r="EZ107" s="460">
        <f t="shared" si="39"/>
        <v>0</v>
      </c>
      <c r="FD107" s="457" t="str">
        <f t="shared" si="33"/>
        <v>Eau</v>
      </c>
      <c r="FE107" s="458">
        <f t="array" ref="FE107">IF(OR(ChoixRationComplèteEtéChevauxTrait=OUI,ChoixRationComplèteEtéChevauxTrait="",AND(ChoixChevauxTraitPréHiver=OUI,ChoixChevauxTraitPréEté=OUI)),0,IFERROR(IF(OR(AND(INDEX(Règles_chevaux_trait[Specificite],MATCH(RationEtéChevauxTrait&amp;$FD107,Règles_chevaux_trait[Ration]&amp;Règles_chevaux_trait[Aliment],0))="s1",IF($FD107=Spécificité1ChevauxTrait,1)),
AND(INDEX(Règles_chevaux_trait[Specificite],MATCH(RationEtéChevauxTrait&amp;$FD107,Règles_chevaux_trait[Ration]&amp;Règles_chevaux_trait[Aliment],0))="s2",IF($FD107=Spécificité2ChevauxTrait,1)),
INDEX(Règles_chevaux_trait[Specificite],MATCH(RationEtéChevauxTrait&amp;$FD107,Règles_chevaux_trait[Ration]&amp;Règles_chevaux_trait[Aliment],0))="c"),
INDEX(Règles_chevaux_trait[Valeur 36 et plus],MATCH(RationEtéChevauxTrait&amp;$FD107,Règles_chevaux_trait[Ration]&amp;Règles_chevaux_trait[Aliment],0)),0),0)*TotalJumentTrait*NbreJoursNourrirChevauxTrait)</f>
        <v>0</v>
      </c>
      <c r="FF107" s="458">
        <f t="array" ref="FF107">IF(OR(ChoixRationComplèteEtéChevauxTrait=OUI,ChoixRationComplèteEtéChevauxTrait="",AND(ChoixChevauxTraitPréHiver=OUI,ChoixChevauxTraitPréEté=OUI)),0,IFERROR(IF(OR(AND(INDEX(Règles_chevaux_trait[Specificite],MATCH(RationEtéChevauxTrait&amp;$FD107,Règles_chevaux_trait[Ration]&amp;Règles_chevaux_trait[Aliment],0))="s1",IF($FD107=Spécificité1ChevauxTrait,1)),
AND(INDEX(Règles_chevaux_trait[Specificite],MATCH(RationEtéChevauxTrait&amp;$FD107,Règles_chevaux_trait[Ration]&amp;Règles_chevaux_trait[Aliment],0))="s2",IF($FD107=Spécificité2ChevauxTrait,1)),
INDEX(Règles_chevaux_trait[Specificite],MATCH(RationEtéChevauxTrait&amp;$FD107,Règles_chevaux_trait[Ration]&amp;Règles_chevaux_trait[Aliment],0))="c"),
INDEX(Règles_chevaux_trait[Valeur 24-36],MATCH(RationEtéChevauxTrait&amp;$FD107,Règles_chevaux_trait[Ration]&amp;Règles_chevaux_trait[Aliment],0)),0),0)*TotalJeuneJumentTrait_24_36_mois*NbreJoursNourrirChevauxTrait)</f>
        <v>0</v>
      </c>
      <c r="FG107" s="458">
        <f t="array" ref="FG107">IF(OR(ChoixRationComplèteEtéChevauxTrait=OUI,ChoixRationComplèteEtéChevauxTrait="",AND(ChoixChevauxTraitPréHiver=OUI,ChoixChevauxTraitPréEté=OUI)),0,IFERROR(IF(OR(AND(INDEX(Règles_chevaux_trait[Specificite],MATCH(RationEtéChevauxTrait&amp;$FD107,Règles_chevaux_trait[Ration]&amp;Règles_chevaux_trait[Aliment],0))="s1",IF($FD107=Spécificité1ChevauxTrait,1)),
AND(INDEX(Règles_chevaux_trait[Specificite],MATCH(RationEtéChevauxTrait&amp;$FD107,Règles_chevaux_trait[Ration]&amp;Règles_chevaux_trait[Aliment],0))="s2",IF($FD107=Spécificité2ChevauxTrait,1)),
INDEX(Règles_chevaux_trait[Specificite],MATCH(RationEtéChevauxTrait&amp;$FD107,Règles_chevaux_trait[Ration]&amp;Règles_chevaux_trait[Aliment],0))="c"),
INDEX(Règles_chevaux_trait[Valeur 12-24],MATCH(RationEtéChevauxTrait&amp;$FD107,Règles_chevaux_trait[Ration]&amp;Règles_chevaux_trait[Aliment],0)),0),0)*TotalJeuneJumentTrait_12_24_mois*NbreJoursNourrirChevauxTrait)</f>
        <v>0</v>
      </c>
      <c r="FH107" s="460">
        <f t="array" ref="FH107">IF(OR(ChoixRationComplèteEtéChevauxTrait=OUI,ChoixRationComplèteEtéChevauxTrait="",AND(ChoixChevauxTraitPréHiver=OUI,ChoixChevauxTraitPréEté=OUI)),0,IFERROR(IF(OR(AND(INDEX(Règles_chevaux_trait[Specificite],MATCH(RationEtéChevauxTrait&amp;$FD107,Règles_chevaux_trait[Ration]&amp;Règles_chevaux_trait[Aliment],0))="s1",IF($FD107=Spécificité1ChevauxTrait,1)),
AND(INDEX(Règles_chevaux_trait[Specificite],MATCH(RationEtéChevauxTrait&amp;$FD107,Règles_chevaux_trait[Ration]&amp;Règles_chevaux_trait[Aliment],0))="s2",IF($FD107=Spécificité2ChevauxTrait,1)),
INDEX(Règles_chevaux_trait[Specificite],MATCH(RationEtéChevauxTrait&amp;$FD107,Règles_chevaux_trait[Ration]&amp;Règles_chevaux_trait[Aliment],0))="c"),
INDEX(Règles_chevaux_trait[Valeur 0-12],MATCH(RationEtéChevauxTrait&amp;$FD107,Règles_chevaux_trait[Ration]&amp;Règles_chevaux_trait[Aliment],0)),0),0)*TotalPoulicheTrait_0_12_mois*NbreJoursNourrirChevauxTrait)</f>
        <v>0</v>
      </c>
      <c r="FI107" s="460">
        <f t="shared" si="31"/>
        <v>0</v>
      </c>
      <c r="FJ107" s="298"/>
      <c r="FN107" s="457" t="str">
        <f t="shared" si="32"/>
        <v>Epinard</v>
      </c>
      <c r="FO107" s="458">
        <f t="array" ref="FO107">IF(OR(ChoixRationComplèteEtéPoneys=OUI,ChoixRationComplèteEtéPoneys="",AND(ChoixPoneysPréHiver=OUI,ChoixPoneysPréEté=OUI)),0,IFERROR(IF(OR(AND(INDEX(Règles_poneys[Specificite],MATCH(RationHivernaleAuPréPoneys&amp;$FN107,Règles_poneys[Ration]&amp;Règles_poneys[Aliment],0))="s1",IF($FN107=Spécificité1Poneys,1)),
AND(INDEX(Règles_poneys[Specificite],MATCH(RationHivernaleAuPréPoneys&amp;$FN107,Règles_poneys[Ration]&amp;Règles_poneys[Aliment],0))="s2",IF($FN107=Spécificité2Poneys,1)),
INDEX(Règles_poneys[Specificite],MATCH(RationHivernaleAuPréPoneys&amp;$FN107,Règles_poneys[Ration]&amp;Règles_poneys[Aliment],0))="c"),
INDEX(Règles_poneys[Valeur 36 et plus],MATCH(RationHivernaleAuPréPoneys&amp;$FN107,Règles_poneys[Ration]&amp;Règles_poneys[Aliment],0)),0),0)*SUM(TotalPoneysAdultes)*SUM(AG118:AG142))</f>
        <v>0</v>
      </c>
      <c r="FP107" s="458">
        <f t="array" ref="FP107">IF(OR(ChoixRationComplèteEtéPoneys=OUI,ChoixRationComplèteEtéPoneys="",AND(ChoixPoneysPréHiver=OUI,ChoixPoneysPréEté=OUI)),0,IFERROR(IF(OR(AND(INDEX(Règles_poneys[Specificite],MATCH(RationHivernaleAuPréPoneys&amp;$FN107,Règles_poneys[Ration]&amp;Règles_poneys[Aliment],0))="s1",IF($FN107=Spécificité1Poneys,1)),
AND(INDEX(Règles_poneys[Specificite],MATCH(RationHivernaleAuPréPoneys&amp;$FN107,Règles_poneys[Ration]&amp;Règles_poneys[Aliment],0))="s2",IF($FN107=Spécificité2Poneys,1)),
INDEX(Règles_poneys[Specificite],MATCH(RationHivernaleAuPréPoneys&amp;$FN107,Règles_poneys[Ration]&amp;Règles_poneys[Aliment],0))="c"),
INDEX(Règles_poneys[Valeur 24-36],MATCH(RationHivernaleAuPréPoneys&amp;$FN107,Règles_poneys[Ration]&amp;Règles_poneys[Aliment],0)),0),0)*SUM(TotalPoneys_24_36mois)*SUM(AG118:AG142))</f>
        <v>0</v>
      </c>
      <c r="FQ107" s="458">
        <f t="array" ref="FQ107">IF(OR(ChoixRationComplèteEtéPoneys=OUI,ChoixRationComplèteEtéPoneys="",AND(ChoixPoneysPréHiver=OUI,ChoixPoneysPréEté=OUI)),0,IFERROR(IF(OR(AND(INDEX(Règles_poneys[Specificite],MATCH(RationHivernaleAuPréPoneys&amp;$FN107,Règles_poneys[Ration]&amp;Règles_poneys[Aliment],0))="s1",IF($FN107=Spécificité1Poneys,1)),
AND(INDEX(Règles_poneys[Specificite],MATCH(RationHivernaleAuPréPoneys&amp;$FN107,Règles_poneys[Ration]&amp;Règles_poneys[Aliment],0))="s2",IF($FN107=Spécificité2Poneys,1)),
INDEX(Règles_poneys[Specificite],MATCH(RationHivernaleAuPréPoneys&amp;$FN107,Règles_poneys[Ration]&amp;Règles_poneys[Aliment],0))="c"),
INDEX(Règles_poneys[Valeur 12-24],MATCH(RationHivernaleAuPréPoneys&amp;$FN107,Règles_poneys[Ration]&amp;Règles_poneys[Aliment],0)),0),0)*SUM(TotalPoneys_12_24mois)*SUM(AG118:AG142))</f>
        <v>0</v>
      </c>
      <c r="FR107" s="460">
        <f t="array" ref="FR107">IF(OR(ChoixRationComplèteEtéPoneys=OUI,ChoixRationComplèteEtéPoneys="",AND(ChoixPoneysPréHiver=OUI,ChoixPoneysPréEté=OUI)),0,IFERROR(IF(OR(AND(INDEX(Règles_poneys[Specificite],MATCH(RationHivernaleAuPréPoneys&amp;$FN107,Règles_poneys[Ration]&amp;Règles_poneys[Aliment],0))="s1",IF($FN107=Spécificité1Poneys,1)),
AND(INDEX(Règles_poneys[Specificite],MATCH(RationHivernaleAuPréPoneys&amp;$FN107,Règles_poneys[Ration]&amp;Règles_poneys[Aliment],0))="s2",IF($FN107=Spécificité2Poneys,1)),
INDEX(Règles_poneys[Specificite],MATCH(RationHivernaleAuPréPoneys&amp;$FN107,Règles_poneys[Ration]&amp;Règles_poneys[Aliment],0))="c"),
INDEX(Règles_poneys[Valeur 0-12],MATCH(RationHivernaleAuPréPoneys&amp;$FN107,Règles_poneys[Ration]&amp;Règles_poneys[Aliment],0)),0),0)*SUM(TotalPoulainsPoneys)*SUM(AG118:AG142))</f>
        <v>0</v>
      </c>
      <c r="FS107" s="460">
        <f t="shared" si="29"/>
        <v>0</v>
      </c>
      <c r="FT107" s="298"/>
      <c r="FW107" s="443" t="str">
        <f t="shared" si="27"/>
        <v>Maïs ensilé</v>
      </c>
      <c r="FX107" s="450">
        <f t="array" ref="FX107">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07" s="450">
        <f t="array" ref="FY107">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07" s="450">
        <f t="array" ref="FZ107">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07" s="450">
        <f t="array" ref="GA107">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07" s="451">
        <f>SUM(AlimentsGavageCanards[[#This Row],[Valeur 6 et plus]:[Valeur 0-1]])</f>
        <v>0</v>
      </c>
      <c r="HN107" s="342" t="s">
        <v>1073</v>
      </c>
      <c r="HO107" s="342">
        <v>0</v>
      </c>
      <c r="HP107" s="342">
        <v>0</v>
      </c>
      <c r="HQ107" s="342">
        <v>0</v>
      </c>
      <c r="HR107" s="342">
        <v>0</v>
      </c>
      <c r="HS107" s="342">
        <v>0</v>
      </c>
      <c r="HT107" s="342">
        <v>0</v>
      </c>
      <c r="HU107" s="342" t="e">
        <f>IF(SUM(VLOOKUP(BDD!CS79,BDD!CS57:CW95,5,FALSE)/1000/SUM(Z76:Z100)*84-(#REF!))&lt;0,0,SUM(VLOOKUP(BDD!CS79,BDD!CS57:CW95,5,FALSE)/1000/SUM(Z76:Z100)*84-(#REF!)))</f>
        <v>#REF!</v>
      </c>
      <c r="HV107" s="342">
        <v>0</v>
      </c>
      <c r="HW107" s="342">
        <v>0</v>
      </c>
      <c r="HX107" s="342">
        <v>0</v>
      </c>
      <c r="HY107" s="342">
        <v>0</v>
      </c>
      <c r="HZ107" s="342">
        <v>0</v>
      </c>
      <c r="IA107" s="342">
        <v>0</v>
      </c>
      <c r="IB107" s="342" t="e">
        <f t="shared" ref="IB107:IB114" si="42">SUM(HO107:IA107)</f>
        <v>#REF!</v>
      </c>
    </row>
    <row r="108" spans="1:236" ht="12.75" customHeight="1" x14ac:dyDescent="0.2">
      <c r="A108" s="373"/>
      <c r="B108" s="380"/>
      <c r="F108" s="280"/>
      <c r="G108" s="280"/>
      <c r="H108" s="280"/>
      <c r="I108" s="280"/>
      <c r="J108" s="321"/>
      <c r="K108" s="321"/>
      <c r="L108" s="321"/>
      <c r="BB108" s="387" t="s">
        <v>948</v>
      </c>
      <c r="BC108" s="362" t="s">
        <v>508</v>
      </c>
      <c r="BD108" s="362" t="s">
        <v>911</v>
      </c>
      <c r="BE108" s="388">
        <v>83</v>
      </c>
      <c r="BF108" s="388">
        <v>71</v>
      </c>
      <c r="BG108" s="388">
        <v>64</v>
      </c>
      <c r="BH108" s="388">
        <v>55</v>
      </c>
      <c r="BI108" s="388">
        <v>45</v>
      </c>
      <c r="BJ108" s="388">
        <v>37</v>
      </c>
      <c r="BK108" s="389">
        <v>0</v>
      </c>
      <c r="BL108" s="312"/>
      <c r="BM108" s="338" t="s">
        <v>913</v>
      </c>
      <c r="BN108" s="229"/>
      <c r="BO108" s="229"/>
      <c r="BP108" s="229"/>
      <c r="BQ108" s="339"/>
      <c r="BR108" s="229"/>
      <c r="BS108" s="229"/>
      <c r="BT108" s="229"/>
      <c r="BU108" s="345"/>
      <c r="BX108" s="350" t="s">
        <v>220</v>
      </c>
      <c r="BY108" s="350">
        <f t="array" ref="BY108">IF(ChoixRationComplèteCaprins=OUI,0,IFERROR(IF(OR(AND(INDEX(Règles_caprins[Specificite],MATCH(ChoixRationCaprins&amp;$BX108,Règles_caprins[Ration]&amp;Règles_caprins[Aliment],0))="s1",IF($BX108=Spécificité1Caprins,1)),
INDEX(Règles_caprins[Specificite],MATCH(ChoixRationCaprins&amp;$BX108,Règles_caprins[Ration]&amp;Règles_caprins[Aliment],0))="c"),
INDEX(Règles_caprins[Valeur 12 et plus],MATCH(ChoixRationCaprins&amp;$BX108,Règles_caprins[Ration]&amp;Règles_caprins[Aliment],0)),0),0)*TotalBoucs*NbreJoursNourrirCaprins)</f>
        <v>0</v>
      </c>
      <c r="BZ108" s="350">
        <f t="array" ref="BZ108">IF(ChoixRationComplèteCaprins=OUI,0,IFERROR(IF(OR(AND(INDEX(Règles_caprins[Specificite],MATCH(ChoixRationCaprins&amp;$BX108,Règles_caprins[Ration]&amp;Règles_caprins[Aliment],0))="s1",IF($BX108=Spécificité1Caprins,1)),
INDEX(Règles_caprins[Specificite],MATCH(ChoixRationCaprins&amp;$BX108,Règles_caprins[Ration]&amp;Règles_caprins[Aliment],0))="c"),
INDEX(Règles_caprins[Valeur 6-12],MATCH(ChoixRationCaprins&amp;$BX108,Règles_caprins[Ration]&amp;Règles_caprins[Aliment],0)),0),0)*jeune_bouc_6_12_mois*NbreJoursNourrirCaprins)</f>
        <v>0</v>
      </c>
      <c r="CA108" s="350">
        <f t="array" ref="CA108">IF(ChoixRationComplèteCaprins=OUI,0,IFERROR(IF(OR(AND(INDEX(Règles_caprins[Specificite],MATCH(ChoixRationCaprins&amp;$BX108,Règles_caprins[Ration]&amp;Règles_caprins[Aliment],0))="s1",IF($BX108=Spécificité1Caprins,1)),
INDEX(Règles_caprins[Specificite],MATCH(ChoixRationCaprins&amp;$BX108,Règles_caprins[Ration]&amp;Règles_caprins[Aliment],0))="c"),
INDEX(Règles_caprins[Valeur 3-6],MATCH(ChoixRationCaprins&amp;$BX108,Règles_caprins[Ration]&amp;Règles_caprins[Aliment],0)),0),0)*chevreau_3_6_mois*NbreJoursNourrirCaprins)</f>
        <v>0</v>
      </c>
      <c r="CB108" s="350">
        <f t="array" ref="CB108">IF(ChoixRationComplèteCaprins=OUI,0,IFERROR(IF(OR(AND(INDEX(Règles_caprins[Specificite],MATCH(ChoixRationCaprins&amp;$BX108,Règles_caprins[Ration]&amp;Règles_caprins[Aliment],0))="s1",IF($BX108=Spécificité1Caprins,1)),
INDEX(Règles_caprins[Specificite],MATCH(ChoixRationCaprins&amp;$BX108,Règles_caprins[Ration]&amp;Règles_caprins[Aliment],0))="c"),
INDEX(Règles_caprins[Valeur 0-3],MATCH(ChoixRationCaprins&amp;$BX108,Règles_caprins[Ration]&amp;Règles_caprins[Aliment],0)),0),0)*chevreau_0_3_mois*NbreJoursNourrirCaprins)</f>
        <v>0</v>
      </c>
      <c r="CC108" s="350">
        <f t="shared" si="41"/>
        <v>0</v>
      </c>
      <c r="CH108" s="276"/>
      <c r="CI108" s="277"/>
      <c r="CJ108" s="420" t="str">
        <f t="shared" si="25"/>
        <v>Orge</v>
      </c>
      <c r="CK108" s="384">
        <f t="array" ref="CK10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08" s="384">
        <f t="array" ref="CL10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08" s="384">
        <f t="array" ref="CM10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08" s="384">
        <f t="array" ref="CN10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08" s="384">
        <f t="array" ref="CO10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08" s="426">
        <f>SUM(AlimentsRationPorcinsFemelles[[#This Row],[Valeur 12 et plus]:[Valeur 0-1]])</f>
        <v>0</v>
      </c>
      <c r="CQ108" s="298"/>
      <c r="CS108" s="420" t="str">
        <f t="shared" si="36"/>
        <v>concentré jeunes porcins</v>
      </c>
      <c r="CT108" s="433">
        <f t="array" ref="CT108">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08" s="433">
        <f t="array" ref="CU108">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08" s="433">
        <f t="array" ref="CV108">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08" s="434">
        <f>SUM(AlimentsRationLapinsFemelles[[#This Row],[Valeur 3 et plus]:[Valeur 0-1]])</f>
        <v>0</v>
      </c>
      <c r="CY108" s="277"/>
      <c r="CZ108" s="420" t="str">
        <f t="shared" si="37"/>
        <v>concentré jeunes porcins</v>
      </c>
      <c r="DA108" s="433">
        <f t="array" ref="DA10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08" s="433">
        <f t="array" ref="DB10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08" s="433">
        <f t="array" ref="DC10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08" s="434">
        <f>SUM(AlimentsRationVolaillesFemelles[[#This Row],[Valeur 6 et plus]:[Valeur 0-1]])</f>
        <v>0</v>
      </c>
      <c r="DE108" s="298"/>
      <c r="DG108" s="384" t="str">
        <f t="shared" si="26"/>
        <v>Maïs grain</v>
      </c>
      <c r="DH108" s="433">
        <f t="array" ref="DH10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08" s="433">
        <f t="array" ref="DI10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08" s="433">
        <f t="array" ref="DJ10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08" s="437">
        <f>SUM(AlimentsRationPintadesFemelles[[#This Row],[Valeur 6 et plus]:[Valeur 0-1]])</f>
        <v>0</v>
      </c>
      <c r="DN108" s="373" t="s">
        <v>950</v>
      </c>
      <c r="DO108" s="280" t="s">
        <v>168</v>
      </c>
      <c r="DP108" s="280" t="s">
        <v>886</v>
      </c>
      <c r="DQ108" s="310">
        <v>8</v>
      </c>
      <c r="DR108" s="310">
        <v>6</v>
      </c>
      <c r="DS108" s="310">
        <v>4</v>
      </c>
      <c r="DT108" s="439">
        <v>0</v>
      </c>
      <c r="DU108" s="298"/>
      <c r="DV108" s="350" t="str">
        <f t="shared" si="23"/>
        <v>Tourteau de colza</v>
      </c>
      <c r="DW108" s="351">
        <f t="array" ref="DW108">SUM((IF(QualitéAlimentsFaonMâle_0_3_mois=BONNE,VLOOKUP("Tourteau de colza",AlimentsRationHivernaleDaims,8,FALSE),0)+(IF(QualitéAlimentsFaonFemelle_0_3_mois=BONNE,VLOOKUP("Tourteau de colza",AlimentsRationHivernaleDaims,8,FALSE),0)+(IF(QualitéAlimentsFaonMâle_3_6_mois=BONNE,VLOOKUP("Tourteau de colza",AlimentsRationHivernaleDaims,7,FALSE),0)+(IF(QualitéAlimentsFaonFemelle_3_6_mois=BONNE,VLOOKUP("Tourteau de colza",AlimentsRationHivernaleDaims,7,FALSE),0)+(IF(QualitéAlimentsFaonMâle_6_12_mois=BONNE,VLOOKUP("Tourteau de colza",AlimentsRationHivernaleDaims,6,FALSE),0)+(IF(QualitéAlimentsFaonFemelle_6_12_mois=BONNE,VLOOKUP("Tourteau de colza",AlimentsRationHivernaleDaims,6,FALSE),0)+(IF(QualitéAlimentsJeuneDaim_12_18_mois=BONNE,VLOOKUP("Tourteau de colza",AlimentsRationHivernaleDaims,5,FALSE),0)+(IF(QualitéAlimentsJeuneDaine_12_18_mois=BONNE,VLOOKUP("Tourteau de colza",AlimentsRationHivernaleDaims,5,FALSE),0)+(IF(QualitéAlimentsJeuneDaim_18_24_mois=BONNE,VLOOKUP("Tourteau de colza",AlimentsRationHivernaleDaims,4,FALSE),0)+(IF(QualitéAlimentsJeuneDaine_18_24_mois=BONNE,VLOOKUP("Tourteau de colza",AlimentsRationHivernaleDaims,4,FALSE),0)+(IF(QualitéAlimentsJeuneDaim_24_36_mois=BONNE,VLOOKUP("Tourteau de colza",AlimentsRationHivernaleDaims,3,FALSE),0)+(IF(QualitéAlimentsJeuneDaine_24_36_mois=BONNE,VLOOKUP("Tourteau de colza",AlimentsRationHivernaleDaims,3,FALSE),0)+(IF(QualitéAlimentsDaim=BONNE,VLOOKUP("Tourteau de colza",AlimentsRationHivernaleDaims,2,FALSE),0)+(IF(QualitéAlimentsDaine=BONNE,VLOOKUP("Tourteau de colza",AlimentsRationHivernaleDaims,2,FALSE),0))))))))))))))))</f>
        <v>0</v>
      </c>
      <c r="DX108" s="351">
        <f t="array" ref="DX108">SUM((IF(QualitéAlimentsFaonMâle_0_3_mois=MOYENNE,VLOOKUP("Tourteau de colza",AlimentsRationHivernaleDaims,8,FALSE),0)+(IF(QualitéAlimentsFaonFemelle_0_3_mois=MOYENNE,VLOOKUP("Tourteau de colza",AlimentsRationHivernaleDaims,8,FALSE),0)+(IF(QualitéAlimentsFaonMâle_3_6_mois=MOYENNE,VLOOKUP("Tourteau de colza",AlimentsRationHivernaleDaims,7,FALSE),0)+(IF(QualitéAlimentsFaonFemelle_3_6_mois=MOYENNE,VLOOKUP("Tourteau de colza",AlimentsRationHivernaleDaims,7,FALSE),0)+(IF(QualitéAlimentsFaonMâle_6_12_mois=MOYENNE,VLOOKUP("Tourteau de colza",AlimentsRationHivernaleDaims,6,FALSE),0)+(IF(QualitéAlimentsFaonFemelle_6_12_mois=MOYENNE,VLOOKUP("Tourteau de colza",AlimentsRationHivernaleDaims,6,FALSE),0)+(IF(QualitéAlimentsJeuneDaim_12_18_mois=MOYENNE,VLOOKUP("Tourteau de colza",AlimentsRationHivernaleDaims,5,FALSE),0)+(IF(QualitéAlimentsJeuneDaine_12_18_mois=MOYENNE,VLOOKUP("Tourteau de colza",AlimentsRationHivernaleDaims,5,FALSE),0)+(IF(QualitéAlimentsJeuneDaim_18_24_mois=MOYENNE,VLOOKUP("Tourteau de colza",AlimentsRationHivernaleDaims,4,FALSE),0)+(IF(QualitéAlimentsJeuneDaine_18_24_mois=MOYENNE,VLOOKUP("Tourteau de colza",AlimentsRationHivernaleDaims,4,FALSE),0)+(IF(QualitéAlimentsJeuneDaim_24_36_mois=MOYENNE,VLOOKUP("Tourteau de colza",AlimentsRationHivernaleDaims,3,FALSE),0)+(IF(QualitéAlimentsJeuneDaine_24_36_mois=MOYENNE,VLOOKUP("Tourteau de colza",AlimentsRationHivernaleDaims,3,FALSE),0)+(IF(QualitéAlimentsDaim=MOYENNE,VLOOKUP("Tourteau de colza",AlimentsRationHivernaleDaims,2,FALSE),0)+(IF(QualitéAlimentsDaine=MOYENNE,VLOOKUP("Tourteau de colza",AlimentsRationHivernaleDaims,2,FALSE),0))))))))))))))))</f>
        <v>0</v>
      </c>
      <c r="DY108" s="351">
        <f t="array" ref="DY108">SUM((IF(QualitéAlimentsFaonMâle_0_3_mois=MAUVAISE,VLOOKUP("Tourteau de colza",AlimentsRationHivernaleDaims,8,FALSE),0)+(IF(QualitéAlimentsFaonFemelle_0_3_mois=MAUVAISE,VLOOKUP("Tourteau de colza",AlimentsRationHivernaleDaims,8,FALSE),0)+(IF(QualitéAlimentsFaonMâle_3_6_mois=MAUVAISE,VLOOKUP("Tourteau de colza",AlimentsRationHivernaleDaims,7,FALSE),0)+(IF(QualitéAlimentsFaonFemelle_3_6_mois=MAUVAISE,VLOOKUP("Tourteau de colza",AlimentsRationHivernaleDaims,7,FALSE),0)+(IF(QualitéAlimentsFaonMâle_6_12_mois=MAUVAISE,VLOOKUP("Tourteau de colza",AlimentsRationHivernaleDaims,6,FALSE),0)+(IF(QualitéAlimentsFaonFemelle_6_12_mois=MAUVAISE,VLOOKUP("Tourteau de colza",AlimentsRationHivernaleDaims,6,FALSE),0)+(IF(QualitéAlimentsJeuneDaim_12_18_mois=MAUVAISE,VLOOKUP("Tourteau de colza",AlimentsRationHivernaleDaims,5,FALSE),0)+(IF(QualitéAlimentsJeuneDaine_12_18_mois=MAUVAISE,VLOOKUP("Tourteau de colza",AlimentsRationHivernaleDaims,5,FALSE),0)+(IF(QualitéAlimentsJeuneDaim_18_24_mois=MAUVAISE,VLOOKUP("Tourteau de colza",AlimentsRationHivernaleDaims,4,FALSE),0)+(IF(QualitéAlimentsJeuneDaine_18_24_mois=MAUVAISE,VLOOKUP("Tourteau de colza",AlimentsRationHivernaleDaims,4,FALSE),0)+(IF(QualitéAlimentsJeuneDaim_24_36_mois=MAUVAISE,VLOOKUP("Tourteau de colza",AlimentsRationHivernaleDaims,3,FALSE),0)+(IF(QualitéAlimentsJeuneDaine_24_36_mois=MAUVAISE,VLOOKUP("Tourteau de colza",AlimentsRationHivernaleDaims,3,FALSE),0)+(IF(QualitéAlimentsDaim=MAUVAISE,VLOOKUP("Tourteau de colza",AlimentsRationHivernaleDaims,2,FALSE),0)+(IF(QualitéAlimentsDaine=MAUVAISE,VLOOKUP("Tourteau de colza",AlimentsRationHivernaleDaims,2,FALSE),0))))))))))))))))</f>
        <v>0</v>
      </c>
      <c r="DZ108" s="298"/>
      <c r="EA108" s="298"/>
      <c r="EB108" s="298"/>
      <c r="EC108" s="298"/>
      <c r="ED108" s="298"/>
      <c r="EG108" s="420" t="str">
        <f t="shared" si="30"/>
        <v>Féverole</v>
      </c>
      <c r="EH108" s="433">
        <f t="array" ref="EH10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08" s="433">
        <f t="array" ref="EI10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08" s="433">
        <f t="array" ref="EJ10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08" s="434">
        <f>SUM(AlimentsRationOiesFemelles[[#This Row],[Valeur 6 et plus]:[Valeur 0-3]])</f>
        <v>0</v>
      </c>
      <c r="EN108" s="443" t="str">
        <f t="shared" si="28"/>
        <v>Foin</v>
      </c>
      <c r="EO108" s="450">
        <f t="array" ref="EO108">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08" s="450">
        <f t="array" ref="EP108">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08" s="450">
        <f t="array" ref="EQ108">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08" s="451">
        <f>SUM(Ration_canards_Femelles[[#This Row],[Valeur 6 et plus]:[Valeur 0-3]])</f>
        <v>0</v>
      </c>
      <c r="EU108" s="457" t="str">
        <f t="shared" si="40"/>
        <v>Colza</v>
      </c>
      <c r="EV108" s="458">
        <f t="array" ref="EV108">IF(OR(ChoixRationComplèteEtéChevauxSelle=OUI,ChoixRationComplèteEtéChevauxSelle="",AND(ChoixChevauxSellePréHiver=OUI,ChoixChevauxSellePréEté=OUI)),0,IFERROR(IF(OR(AND(INDEX(Règles_chevaux_selle[Specificite],MATCH(RationEtéChevauxSelle&amp;$EU108,Règles_chevaux_selle[Ration]&amp;Règles_chevaux_selle[Aliment],0))="s1",IF($EU108=Spécificité1ChevauxSelle,1)),
AND(INDEX(Règles_chevaux_selle[Specificite],MATCH(RationEtéChevauxSelle&amp;$EU108,Règles_chevaux_selle[Ration]&amp;Règles_chevaux_selle[Aliment],0))="s2",IF($EU108=Spécificité2ChevauxSelle,1)),
INDEX(Règles_chevaux_selle[Specificite],MATCH(RationEtéChevauxSelle&amp;$EU108,Règles_chevaux_selle[Ration]&amp;Règles_chevaux_selle[Aliment],0))="c"),
INDEX(Règles_chevaux_selle[Valeur 36 et plus],MATCH(RationEtéChevauxSelle&amp;$EU108,Règles_chevaux_selle[Ration]&amp;Règles_chevaux_selle[Aliment],0)),0),0)*TotalJumentSelle*NbreJoursNourrirChevauxSelle)</f>
        <v>0</v>
      </c>
      <c r="EW108" s="458">
        <f t="array" ref="EW108">IF(OR(ChoixRationComplèteEtéChevauxSelle=OUI,ChoixRationComplèteEtéChevauxSelle="",AND(ChoixChevauxSellePréHiver=OUI,ChoixChevauxSellePréEté=OUI)),0,IFERROR(IF(OR(AND(INDEX(Règles_chevaux_selle[Specificite],MATCH(RationEtéChevauxSelle&amp;$EU108,Règles_chevaux_selle[Ration]&amp;Règles_chevaux_selle[Aliment],0))="s1",IF($EU108=Spécificité1ChevauxSelle,1)),
AND(INDEX(Règles_chevaux_selle[Specificite],MATCH(RationEtéChevauxSelle&amp;$EU108,Règles_chevaux_selle[Ration]&amp;Règles_chevaux_selle[Aliment],0))="s2",IF($EU108=Spécificité2ChevauxSelle,1)),
INDEX(Règles_chevaux_selle[Specificite],MATCH(RationEtéChevauxSelle&amp;$EU108,Règles_chevaux_selle[Ration]&amp;Règles_chevaux_selle[Aliment],0))="c"),
INDEX(Règles_chevaux_selle[Valeur 24-36],MATCH(RationEtéChevauxSelle&amp;$EU108,Règles_chevaux_selle[Ration]&amp;Règles_chevaux_selle[Aliment],0)),0),0)*TotalJeuneJumentSelle_24_36_mois*NbreJoursNourrirChevauxSelle)</f>
        <v>0</v>
      </c>
      <c r="EX108" s="458">
        <f t="array" ref="EX108">IF(OR(ChoixRationComplèteEtéChevauxSelle=OUI,ChoixRationComplèteEtéChevauxSelle="",AND(ChoixChevauxSellePréHiver=OUI,ChoixChevauxSellePréEté=OUI)),0,IFERROR(IF(OR(AND(INDEX(Règles_chevaux_selle[Specificite],MATCH(RationEtéChevauxSelle&amp;$EU108,Règles_chevaux_selle[Ration]&amp;Règles_chevaux_selle[Aliment],0))="s1",IF($EU108=Spécificité1ChevauxSelle,1)),
AND(INDEX(Règles_chevaux_selle[Specificite],MATCH(RationEtéChevauxSelle&amp;$EU108,Règles_chevaux_selle[Ration]&amp;Règles_chevaux_selle[Aliment],0))="s2",IF($EU108=Spécificité2ChevauxSelle,1)),
INDEX(Règles_chevaux_selle[Specificite],MATCH(RationEtéChevauxSelle&amp;$EU108,Règles_chevaux_selle[Ration]&amp;Règles_chevaux_selle[Aliment],0))="c"),
INDEX(Règles_chevaux_selle[Valeur 12-24],MATCH(RationEtéChevauxSelle&amp;$EU108,Règles_chevaux_selle[Ration]&amp;Règles_chevaux_selle[Aliment],0)),0),0)*TotalJeuneJumentSelle_12_24_mois_12_24_mois*NbreJoursNourrirChevauxSelle)</f>
        <v>0</v>
      </c>
      <c r="EY108" s="460">
        <f t="array" ref="EY108">IF(OR(ChoixRationComplèteEtéChevauxSelle=OUI,ChoixRationComplèteEtéChevauxSelle="",AND(ChoixChevauxSellePréHiver=OUI,ChoixChevauxSellePréEté=OUI)),0,IFERROR(IF(OR(AND(INDEX(Règles_chevaux_selle[Specificite],MATCH(RationEtéChevauxSelle&amp;$EU108,Règles_chevaux_selle[Ration]&amp;Règles_chevaux_selle[Aliment],0))="s1",IF($EU108=Spécificité1ChevauxSelle,1)),
AND(INDEX(Règles_chevaux_selle[Specificite],MATCH(RationEtéChevauxSelle&amp;$EU108,Règles_chevaux_selle[Ration]&amp;Règles_chevaux_selle[Aliment],0))="s2",IF($EU108=Spécificité2ChevauxSelle,1)),
INDEX(Règles_chevaux_selle[Specificite],MATCH(RationEtéChevauxSelle&amp;$EU108,Règles_chevaux_selle[Ration]&amp;Règles_chevaux_selle[Aliment],0))="c"),
INDEX(Règles_chevaux_selle[Valeur 0-12],MATCH(RationEtéChevauxSelle&amp;$EU108,Règles_chevaux_selle[Ration]&amp;Règles_chevaux_selle[Aliment],0)),0),0)*TotalPoulicheSelle_0_12_mois*NbreJoursNourrirChevauxSelle)</f>
        <v>0</v>
      </c>
      <c r="EZ108" s="460">
        <f t="shared" si="39"/>
        <v>0</v>
      </c>
      <c r="FD108" s="457" t="str">
        <f t="shared" si="33"/>
        <v>Epinard</v>
      </c>
      <c r="FE108" s="458">
        <f t="array" ref="FE108">IF(OR(ChoixRationComplèteEtéChevauxTrait=OUI,ChoixRationComplèteEtéChevauxTrait="",AND(ChoixChevauxTraitPréHiver=OUI,ChoixChevauxTraitPréEté=OUI)),0,IFERROR(IF(OR(AND(INDEX(Règles_chevaux_trait[Specificite],MATCH(RationEtéChevauxTrait&amp;$FD108,Règles_chevaux_trait[Ration]&amp;Règles_chevaux_trait[Aliment],0))="s1",IF($FD108=Spécificité1ChevauxTrait,1)),
AND(INDEX(Règles_chevaux_trait[Specificite],MATCH(RationEtéChevauxTrait&amp;$FD108,Règles_chevaux_trait[Ration]&amp;Règles_chevaux_trait[Aliment],0))="s2",IF($FD108=Spécificité2ChevauxTrait,1)),
INDEX(Règles_chevaux_trait[Specificite],MATCH(RationEtéChevauxTrait&amp;$FD108,Règles_chevaux_trait[Ration]&amp;Règles_chevaux_trait[Aliment],0))="c"),
INDEX(Règles_chevaux_trait[Valeur 36 et plus],MATCH(RationEtéChevauxTrait&amp;$FD108,Règles_chevaux_trait[Ration]&amp;Règles_chevaux_trait[Aliment],0)),0),0)*TotalJumentTrait*NbreJoursNourrirChevauxTrait)</f>
        <v>0</v>
      </c>
      <c r="FF108" s="458">
        <f t="array" ref="FF108">IF(OR(ChoixRationComplèteEtéChevauxTrait=OUI,ChoixRationComplèteEtéChevauxTrait="",AND(ChoixChevauxTraitPréHiver=OUI,ChoixChevauxTraitPréEté=OUI)),0,IFERROR(IF(OR(AND(INDEX(Règles_chevaux_trait[Specificite],MATCH(RationEtéChevauxTrait&amp;$FD108,Règles_chevaux_trait[Ration]&amp;Règles_chevaux_trait[Aliment],0))="s1",IF($FD108=Spécificité1ChevauxTrait,1)),
AND(INDEX(Règles_chevaux_trait[Specificite],MATCH(RationEtéChevauxTrait&amp;$FD108,Règles_chevaux_trait[Ration]&amp;Règles_chevaux_trait[Aliment],0))="s2",IF($FD108=Spécificité2ChevauxTrait,1)),
INDEX(Règles_chevaux_trait[Specificite],MATCH(RationEtéChevauxTrait&amp;$FD108,Règles_chevaux_trait[Ration]&amp;Règles_chevaux_trait[Aliment],0))="c"),
INDEX(Règles_chevaux_trait[Valeur 24-36],MATCH(RationEtéChevauxTrait&amp;$FD108,Règles_chevaux_trait[Ration]&amp;Règles_chevaux_trait[Aliment],0)),0),0)*TotalJeuneJumentTrait_24_36_mois*NbreJoursNourrirChevauxTrait)</f>
        <v>0</v>
      </c>
      <c r="FG108" s="458">
        <f t="array" ref="FG108">IF(OR(ChoixRationComplèteEtéChevauxTrait=OUI,ChoixRationComplèteEtéChevauxTrait="",AND(ChoixChevauxTraitPréHiver=OUI,ChoixChevauxTraitPréEté=OUI)),0,IFERROR(IF(OR(AND(INDEX(Règles_chevaux_trait[Specificite],MATCH(RationEtéChevauxTrait&amp;$FD108,Règles_chevaux_trait[Ration]&amp;Règles_chevaux_trait[Aliment],0))="s1",IF($FD108=Spécificité1ChevauxTrait,1)),
AND(INDEX(Règles_chevaux_trait[Specificite],MATCH(RationEtéChevauxTrait&amp;$FD108,Règles_chevaux_trait[Ration]&amp;Règles_chevaux_trait[Aliment],0))="s2",IF($FD108=Spécificité2ChevauxTrait,1)),
INDEX(Règles_chevaux_trait[Specificite],MATCH(RationEtéChevauxTrait&amp;$FD108,Règles_chevaux_trait[Ration]&amp;Règles_chevaux_trait[Aliment],0))="c"),
INDEX(Règles_chevaux_trait[Valeur 12-24],MATCH(RationEtéChevauxTrait&amp;$FD108,Règles_chevaux_trait[Ration]&amp;Règles_chevaux_trait[Aliment],0)),0),0)*TotalJeuneJumentTrait_12_24_mois*NbreJoursNourrirChevauxTrait)</f>
        <v>0</v>
      </c>
      <c r="FH108" s="460">
        <f t="array" ref="FH108">IF(OR(ChoixRationComplèteEtéChevauxTrait=OUI,ChoixRationComplèteEtéChevauxTrait="",AND(ChoixChevauxTraitPréHiver=OUI,ChoixChevauxTraitPréEté=OUI)),0,IFERROR(IF(OR(AND(INDEX(Règles_chevaux_trait[Specificite],MATCH(RationEtéChevauxTrait&amp;$FD108,Règles_chevaux_trait[Ration]&amp;Règles_chevaux_trait[Aliment],0))="s1",IF($FD108=Spécificité1ChevauxTrait,1)),
AND(INDEX(Règles_chevaux_trait[Specificite],MATCH(RationEtéChevauxTrait&amp;$FD108,Règles_chevaux_trait[Ration]&amp;Règles_chevaux_trait[Aliment],0))="s2",IF($FD108=Spécificité2ChevauxTrait,1)),
INDEX(Règles_chevaux_trait[Specificite],MATCH(RationEtéChevauxTrait&amp;$FD108,Règles_chevaux_trait[Ration]&amp;Règles_chevaux_trait[Aliment],0))="c"),
INDEX(Règles_chevaux_trait[Valeur 0-12],MATCH(RationEtéChevauxTrait&amp;$FD108,Règles_chevaux_trait[Ration]&amp;Règles_chevaux_trait[Aliment],0)),0),0)*TotalPoulicheTrait_0_12_mois*NbreJoursNourrirChevauxTrait)</f>
        <v>0</v>
      </c>
      <c r="FI108" s="460">
        <f t="shared" si="31"/>
        <v>0</v>
      </c>
      <c r="FJ108" s="298"/>
      <c r="FN108" s="457" t="str">
        <f t="shared" si="32"/>
        <v>Féverole</v>
      </c>
      <c r="FO108" s="458">
        <f t="array" ref="FO108">IF(OR(ChoixRationComplèteEtéPoneys=OUI,ChoixRationComplèteEtéPoneys="",AND(ChoixPoneysPréHiver=OUI,ChoixPoneysPréEté=OUI)),0,IFERROR(IF(OR(AND(INDEX(Règles_poneys[Specificite],MATCH(RationHivernaleAuPréPoneys&amp;$FN108,Règles_poneys[Ration]&amp;Règles_poneys[Aliment],0))="s1",IF($FN108=Spécificité1Poneys,1)),
AND(INDEX(Règles_poneys[Specificite],MATCH(RationHivernaleAuPréPoneys&amp;$FN108,Règles_poneys[Ration]&amp;Règles_poneys[Aliment],0))="s2",IF($FN108=Spécificité2Poneys,1)),
INDEX(Règles_poneys[Specificite],MATCH(RationHivernaleAuPréPoneys&amp;$FN108,Règles_poneys[Ration]&amp;Règles_poneys[Aliment],0))="c"),
INDEX(Règles_poneys[Valeur 36 et plus],MATCH(RationHivernaleAuPréPoneys&amp;$FN108,Règles_poneys[Ration]&amp;Règles_poneys[Aliment],0)),0),0)*SUM(TotalPoneysAdultes)*SUM(AG118:AG142))</f>
        <v>0</v>
      </c>
      <c r="FP108" s="458">
        <f t="array" ref="FP108">IF(OR(ChoixRationComplèteEtéPoneys=OUI,ChoixRationComplèteEtéPoneys="",AND(ChoixPoneysPréHiver=OUI,ChoixPoneysPréEté=OUI)),0,IFERROR(IF(OR(AND(INDEX(Règles_poneys[Specificite],MATCH(RationHivernaleAuPréPoneys&amp;$FN108,Règles_poneys[Ration]&amp;Règles_poneys[Aliment],0))="s1",IF($FN108=Spécificité1Poneys,1)),
AND(INDEX(Règles_poneys[Specificite],MATCH(RationHivernaleAuPréPoneys&amp;$FN108,Règles_poneys[Ration]&amp;Règles_poneys[Aliment],0))="s2",IF($FN108=Spécificité2Poneys,1)),
INDEX(Règles_poneys[Specificite],MATCH(RationHivernaleAuPréPoneys&amp;$FN108,Règles_poneys[Ration]&amp;Règles_poneys[Aliment],0))="c"),
INDEX(Règles_poneys[Valeur 24-36],MATCH(RationHivernaleAuPréPoneys&amp;$FN108,Règles_poneys[Ration]&amp;Règles_poneys[Aliment],0)),0),0)*SUM(TotalPoneys_24_36mois)*SUM(AG118:AG142))</f>
        <v>0</v>
      </c>
      <c r="FQ108" s="458">
        <f t="array" ref="FQ108">IF(OR(ChoixRationComplèteEtéPoneys=OUI,ChoixRationComplèteEtéPoneys="",AND(ChoixPoneysPréHiver=OUI,ChoixPoneysPréEté=OUI)),0,IFERROR(IF(OR(AND(INDEX(Règles_poneys[Specificite],MATCH(RationHivernaleAuPréPoneys&amp;$FN108,Règles_poneys[Ration]&amp;Règles_poneys[Aliment],0))="s1",IF($FN108=Spécificité1Poneys,1)),
AND(INDEX(Règles_poneys[Specificite],MATCH(RationHivernaleAuPréPoneys&amp;$FN108,Règles_poneys[Ration]&amp;Règles_poneys[Aliment],0))="s2",IF($FN108=Spécificité2Poneys,1)),
INDEX(Règles_poneys[Specificite],MATCH(RationHivernaleAuPréPoneys&amp;$FN108,Règles_poneys[Ration]&amp;Règles_poneys[Aliment],0))="c"),
INDEX(Règles_poneys[Valeur 12-24],MATCH(RationHivernaleAuPréPoneys&amp;$FN108,Règles_poneys[Ration]&amp;Règles_poneys[Aliment],0)),0),0)*SUM(TotalPoneys_12_24mois)*SUM(AG118:AG142))</f>
        <v>0</v>
      </c>
      <c r="FR108" s="460">
        <f t="array" ref="FR108">IF(OR(ChoixRationComplèteEtéPoneys=OUI,ChoixRationComplèteEtéPoneys="",AND(ChoixPoneysPréHiver=OUI,ChoixPoneysPréEté=OUI)),0,IFERROR(IF(OR(AND(INDEX(Règles_poneys[Specificite],MATCH(RationHivernaleAuPréPoneys&amp;$FN108,Règles_poneys[Ration]&amp;Règles_poneys[Aliment],0))="s1",IF($FN108=Spécificité1Poneys,1)),
AND(INDEX(Règles_poneys[Specificite],MATCH(RationHivernaleAuPréPoneys&amp;$FN108,Règles_poneys[Ration]&amp;Règles_poneys[Aliment],0))="s2",IF($FN108=Spécificité2Poneys,1)),
INDEX(Règles_poneys[Specificite],MATCH(RationHivernaleAuPréPoneys&amp;$FN108,Règles_poneys[Ration]&amp;Règles_poneys[Aliment],0))="c"),
INDEX(Règles_poneys[Valeur 0-12],MATCH(RationHivernaleAuPréPoneys&amp;$FN108,Règles_poneys[Ration]&amp;Règles_poneys[Aliment],0)),0),0)*SUM(TotalPoulainsPoneys)*SUM(AG118:AG142))</f>
        <v>0</v>
      </c>
      <c r="FS108" s="460">
        <f t="shared" si="29"/>
        <v>0</v>
      </c>
      <c r="FT108" s="298"/>
      <c r="FW108" s="443" t="str">
        <f t="shared" si="27"/>
        <v>Maïs grain</v>
      </c>
      <c r="FX108" s="450">
        <f t="array" ref="FX108">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08" s="450">
        <f t="array" ref="FY108">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08" s="450">
        <f t="array" ref="FZ108">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08" s="450">
        <f t="array" ref="GA108">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08" s="451">
        <f>SUM(AlimentsGavageCanards[[#This Row],[Valeur 6 et plus]:[Valeur 0-1]])</f>
        <v>0</v>
      </c>
      <c r="GG108" s="276" t="s">
        <v>955</v>
      </c>
      <c r="GH108" s="276" t="s">
        <v>955</v>
      </c>
      <c r="GI108" s="276" t="s">
        <v>955</v>
      </c>
      <c r="GJ108" s="276" t="s">
        <v>955</v>
      </c>
      <c r="GK108" s="276" t="s">
        <v>955</v>
      </c>
      <c r="GL108" s="276" t="s">
        <v>955</v>
      </c>
      <c r="GM108" s="276" t="s">
        <v>955</v>
      </c>
      <c r="GN108" s="276" t="s">
        <v>955</v>
      </c>
      <c r="GO108" s="276" t="s">
        <v>955</v>
      </c>
      <c r="GP108" s="276" t="s">
        <v>955</v>
      </c>
      <c r="GQ108" s="276" t="s">
        <v>955</v>
      </c>
      <c r="GR108" s="276" t="s">
        <v>955</v>
      </c>
      <c r="GS108" s="276" t="s">
        <v>955</v>
      </c>
      <c r="GT108" s="276" t="s">
        <v>955</v>
      </c>
      <c r="GU108" s="276" t="s">
        <v>955</v>
      </c>
      <c r="GV108" s="276" t="s">
        <v>955</v>
      </c>
      <c r="HN108" s="342" t="s">
        <v>1074</v>
      </c>
      <c r="HO108" s="342" t="e">
        <f>IF(SUM((VLOOKUP(BDD!BB195,BDD!BB194:BJ232,9,FALSE)+VLOOKUP(BDD!BB285,BDD!BB284:BJ323,9,FALSE))/1000/SUM(AA76:AA100)*IF(#REF!=OUI,35,84)-(#REF!))&lt;0,0,SUM((VLOOKUP(BDD!BB195,BDD!BB194:BJ232,9,FALSE)+VLOOKUP(BDD!BB285,BDD!BB284:BJ323,9,FALSE))/1000/SUM(AA76:AA100)*IF(#REF!=OUI,35,84)-(#REF!)))</f>
        <v>#REF!</v>
      </c>
      <c r="HP108" s="342">
        <v>0</v>
      </c>
      <c r="HQ108" s="342">
        <v>0</v>
      </c>
      <c r="HR108" s="342" t="e">
        <f>IF(SUM(VLOOKUP(BDD!BX107,BDD!BX106:CC140,6,FALSE)/1000/SUM(AC76:AC100)*IF(#REF!=OUI,49,84)-(#REF!))&lt;0,0,SUM(VLOOKUP(BDD!BX107,BDD!BX106:CC140,6,FALSE)/1000/SUM(AC76:AC100)*IF(#REF!=OUI,49,84)-(#REF!)))</f>
        <v>#REF!</v>
      </c>
      <c r="HS108" s="342">
        <v>0</v>
      </c>
      <c r="HT108" s="342">
        <v>0</v>
      </c>
      <c r="HU108" s="342" t="e">
        <f>IF(SUM(VLOOKUP(BDD!CS58,BDD!CS57:CW95,5,FALSE)/1000/SUM(Z76:Z100)*84-(#REF!))&lt;0,0,SUM(VLOOKUP(BDD!CS58,BDD!CS57:CW95,5,FALSE)/1000/SUM(Z76:Z100)*84-(#REF!)))</f>
        <v>#REF!</v>
      </c>
      <c r="HV108" s="342" t="e">
        <f>IF(SUM(VLOOKUP(BDD!DN151,BDD!DN150:DS188,6,FALSE)+VLOOKUP(BDD!DN239,BDD!DN238:DS276,6,FALSE))/1000/SUM(AD76:AD100)*IF(#REF!=OUI,35,84)-(#REF!)&lt;0,0,(SUM(VLOOKUP(BDD!DN151,BDD!DN150:DS188,6,FALSE)+VLOOKUP(BDD!DN239,BDD!DN238:DS276,6,FALSE))/1000/SUM(AD76:AD100)*IF(#REF!=OUI,35,84)-(#REF!)))</f>
        <v>#REF!</v>
      </c>
      <c r="HW108" s="342">
        <v>0</v>
      </c>
      <c r="HX108" s="342">
        <v>0</v>
      </c>
      <c r="HY108" s="342">
        <v>0</v>
      </c>
      <c r="HZ108" s="342">
        <v>0</v>
      </c>
      <c r="IA108" s="342">
        <v>0</v>
      </c>
      <c r="IB108" s="342" t="e">
        <f t="shared" si="42"/>
        <v>#REF!</v>
      </c>
    </row>
    <row r="109" spans="1:236" ht="12.75" customHeight="1" x14ac:dyDescent="0.2">
      <c r="A109" s="373"/>
      <c r="B109" s="380"/>
      <c r="F109" s="280"/>
      <c r="G109" s="280"/>
      <c r="H109" s="280"/>
      <c r="I109" s="280"/>
      <c r="J109" s="323"/>
      <c r="K109" s="323"/>
      <c r="L109" s="323"/>
      <c r="BB109" s="387" t="s">
        <v>948</v>
      </c>
      <c r="BC109" s="362" t="s">
        <v>269</v>
      </c>
      <c r="BD109" s="362" t="s">
        <v>886</v>
      </c>
      <c r="BE109" s="388">
        <v>60</v>
      </c>
      <c r="BF109" s="388">
        <v>54</v>
      </c>
      <c r="BG109" s="388">
        <v>48</v>
      </c>
      <c r="BH109" s="388">
        <v>42</v>
      </c>
      <c r="BI109" s="388">
        <v>36</v>
      </c>
      <c r="BJ109" s="388">
        <v>30</v>
      </c>
      <c r="BK109" s="389">
        <v>0</v>
      </c>
      <c r="BL109" s="312"/>
      <c r="BM109" s="394" t="s">
        <v>910</v>
      </c>
      <c r="BN109" s="395" t="s">
        <v>902</v>
      </c>
      <c r="BO109" s="395" t="s">
        <v>901</v>
      </c>
      <c r="BP109" s="395" t="s">
        <v>900</v>
      </c>
      <c r="BQ109" s="395" t="s">
        <v>899</v>
      </c>
      <c r="BR109" s="395" t="s">
        <v>898</v>
      </c>
      <c r="BS109" s="395" t="s">
        <v>897</v>
      </c>
      <c r="BT109" s="395" t="s">
        <v>896</v>
      </c>
      <c r="BU109" s="396" t="s">
        <v>903</v>
      </c>
      <c r="BX109" s="350" t="s">
        <v>515</v>
      </c>
      <c r="BY109" s="350">
        <f t="array" ref="BY109">IF(ChoixRationComplèteCaprins=OUI,0,IFERROR(IF(OR(AND(INDEX(Règles_caprins[Specificite],MATCH(ChoixRationCaprins&amp;$BX109,Règles_caprins[Ration]&amp;Règles_caprins[Aliment],0))="s1",IF($BX109=Spécificité1Caprins,1)),
INDEX(Règles_caprins[Specificite],MATCH(ChoixRationCaprins&amp;$BX109,Règles_caprins[Ration]&amp;Règles_caprins[Aliment],0))="c"),
INDEX(Règles_caprins[Valeur 12 et plus],MATCH(ChoixRationCaprins&amp;$BX109,Règles_caprins[Ration]&amp;Règles_caprins[Aliment],0)),0),0)*TotalBoucs*NbreJoursNourrirCaprins)</f>
        <v>0</v>
      </c>
      <c r="BZ109" s="350">
        <f t="array" ref="BZ109">IF(ChoixRationComplèteCaprins=OUI,0,IFERROR(IF(OR(AND(INDEX(Règles_caprins[Specificite],MATCH(ChoixRationCaprins&amp;$BX109,Règles_caprins[Ration]&amp;Règles_caprins[Aliment],0))="s1",IF($BX109=Spécificité1Caprins,1)),
INDEX(Règles_caprins[Specificite],MATCH(ChoixRationCaprins&amp;$BX109,Règles_caprins[Ration]&amp;Règles_caprins[Aliment],0))="c"),
INDEX(Règles_caprins[Valeur 6-12],MATCH(ChoixRationCaprins&amp;$BX109,Règles_caprins[Ration]&amp;Règles_caprins[Aliment],0)),0),0)*jeune_bouc_6_12_mois*NbreJoursNourrirCaprins)</f>
        <v>0</v>
      </c>
      <c r="CA109" s="350">
        <f t="array" ref="CA109">IF(ChoixRationComplèteCaprins=OUI,0,IFERROR(IF(OR(AND(INDEX(Règles_caprins[Specificite],MATCH(ChoixRationCaprins&amp;$BX109,Règles_caprins[Ration]&amp;Règles_caprins[Aliment],0))="s1",IF($BX109=Spécificité1Caprins,1)),
INDEX(Règles_caprins[Specificite],MATCH(ChoixRationCaprins&amp;$BX109,Règles_caprins[Ration]&amp;Règles_caprins[Aliment],0))="c"),
INDEX(Règles_caprins[Valeur 3-6],MATCH(ChoixRationCaprins&amp;$BX109,Règles_caprins[Ration]&amp;Règles_caprins[Aliment],0)),0),0)*chevreau_3_6_mois*NbreJoursNourrirCaprins)</f>
        <v>0</v>
      </c>
      <c r="CB109" s="350">
        <f t="array" ref="CB109">IF(ChoixRationComplèteCaprins=OUI,0,IFERROR(IF(OR(AND(INDEX(Règles_caprins[Specificite],MATCH(ChoixRationCaprins&amp;$BX109,Règles_caprins[Ration]&amp;Règles_caprins[Aliment],0))="s1",IF($BX109=Spécificité1Caprins,1)),
INDEX(Règles_caprins[Specificite],MATCH(ChoixRationCaprins&amp;$BX109,Règles_caprins[Ration]&amp;Règles_caprins[Aliment],0))="c"),
INDEX(Règles_caprins[Valeur 0-3],MATCH(ChoixRationCaprins&amp;$BX109,Règles_caprins[Ration]&amp;Règles_caprins[Aliment],0)),0),0)*chevreau_0_3_mois*NbreJoursNourrirCaprins)</f>
        <v>0</v>
      </c>
      <c r="CC109" s="350">
        <f t="shared" si="41"/>
        <v>0</v>
      </c>
      <c r="CH109" s="276"/>
      <c r="CI109" s="277"/>
      <c r="CJ109" s="420" t="str">
        <f t="shared" si="25"/>
        <v>Paille</v>
      </c>
      <c r="CK109" s="384">
        <f t="array" ref="CK10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09" s="384">
        <f t="array" ref="CL10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09" s="384">
        <f t="array" ref="CM10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09" s="384">
        <f t="array" ref="CN10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09" s="384">
        <f t="array" ref="CO10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09" s="426">
        <f>SUM(AlimentsRationPorcinsFemelles[[#This Row],[Valeur 12 et plus]:[Valeur 0-1]])</f>
        <v>0</v>
      </c>
      <c r="CQ109" s="298"/>
      <c r="CS109" s="420" t="str">
        <f t="shared" si="36"/>
        <v>Ensilage d'herbe</v>
      </c>
      <c r="CT109" s="433">
        <f t="array" ref="CT109">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09" s="433">
        <f t="array" ref="CU109">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09" s="433">
        <f t="array" ref="CV109">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09" s="434">
        <f>SUM(AlimentsRationLapinsFemelles[[#This Row],[Valeur 3 et plus]:[Valeur 0-1]])</f>
        <v>0</v>
      </c>
      <c r="CY109" s="277"/>
      <c r="CZ109" s="420" t="str">
        <f t="shared" si="37"/>
        <v>Ensilage d'herbe</v>
      </c>
      <c r="DA109" s="433">
        <f t="array" ref="DA10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09" s="433">
        <f t="array" ref="DB10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09" s="433">
        <f t="array" ref="DC10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09" s="434">
        <f>SUM(AlimentsRationVolaillesFemelles[[#This Row],[Valeur 6 et plus]:[Valeur 0-1]])</f>
        <v>0</v>
      </c>
      <c r="DE109" s="298"/>
      <c r="DG109" s="384" t="str">
        <f t="shared" si="26"/>
        <v>Minéraux + vitamines</v>
      </c>
      <c r="DH109" s="433">
        <f t="array" ref="DH10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09" s="433">
        <f t="array" ref="DI10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09" s="433">
        <f t="array" ref="DJ10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09" s="437">
        <f>SUM(AlimentsRationPintadesFemelles[[#This Row],[Valeur 6 et plus]:[Valeur 0-1]])</f>
        <v>0</v>
      </c>
      <c r="DN109" s="373" t="s">
        <v>950</v>
      </c>
      <c r="DO109" s="280" t="s">
        <v>515</v>
      </c>
      <c r="DP109" s="280" t="s">
        <v>886</v>
      </c>
      <c r="DQ109" s="310">
        <v>2</v>
      </c>
      <c r="DR109" s="310">
        <v>1.5</v>
      </c>
      <c r="DS109" s="310">
        <v>1</v>
      </c>
      <c r="DT109" s="439">
        <v>0</v>
      </c>
      <c r="DU109" s="298"/>
      <c r="DV109" s="350" t="str">
        <f t="shared" si="23"/>
        <v>Tourteau de tournesol</v>
      </c>
      <c r="DW109" s="351">
        <f t="array" ref="DW109">SUM((IF(QualitéAlimentsFaonMâle_0_3_mois=BONNE,VLOOKUP("Tourteau de tournesol",AlimentsRationHivernaleDaims,8,FALSE),0)+(IF(QualitéAlimentsFaonFemelle_0_3_mois=BONNE,VLOOKUP("Tourteau de tournesol",AlimentsRationHivernaleDaims,8,FALSE),0)+(IF(QualitéAlimentsFaonMâle_3_6_mois=BONNE,VLOOKUP("Tourteau de tournesol",AlimentsRationHivernaleDaims,7,FALSE),0)+(IF(QualitéAlimentsFaonFemelle_3_6_mois=BONNE,VLOOKUP("Tourteau de tournesol",AlimentsRationHivernaleDaims,7,FALSE),0)+(IF(QualitéAlimentsFaonMâle_6_12_mois=BONNE,VLOOKUP("Tourteau de tournesol",AlimentsRationHivernaleDaims,6,FALSE),0)+(IF(QualitéAlimentsFaonFemelle_6_12_mois=BONNE,VLOOKUP("Tourteau de tournesol",AlimentsRationHivernaleDaims,6,FALSE),0)+(IF(QualitéAlimentsJeuneDaim_12_18_mois=BONNE,VLOOKUP("Tourteau de tournesol",AlimentsRationHivernaleDaims,5,FALSE),0)+(IF(QualitéAlimentsJeuneDaine_12_18_mois=BONNE,VLOOKUP("Tourteau de tournesol",AlimentsRationHivernaleDaims,5,FALSE),0)+(IF(QualitéAlimentsJeuneDaim_18_24_mois=BONNE,VLOOKUP("Tourteau de tournesol",AlimentsRationHivernaleDaims,4,FALSE),0)+(IF(QualitéAlimentsJeuneDaine_18_24_mois=BONNE,VLOOKUP("Tourteau de tournesol",AlimentsRationHivernaleDaims,4,FALSE),0)+(IF(QualitéAlimentsJeuneDaim_24_36_mois=BONNE,VLOOKUP("Tourteau de tournesol",AlimentsRationHivernaleDaims,3,FALSE),0)+(IF(QualitéAlimentsJeuneDaine_24_36_mois=BONNE,VLOOKUP("Tourteau de tournesol",AlimentsRationHivernaleDaims,3,FALSE),0)+(IF(QualitéAlimentsDaim=BONNE,VLOOKUP("Tourteau de tournesol",AlimentsRationHivernaleDaims,2,FALSE),0)+(IF(QualitéAlimentsDaine=BONNE,VLOOKUP("Tourteau de tournesol",AlimentsRationHivernaleDaims,2,FALSE),0))))))))))))))))</f>
        <v>0</v>
      </c>
      <c r="DX109" s="351">
        <f t="array" ref="DX109">SUM((IF(QualitéAlimentsFaonMâle_0_3_mois=MOYENNE,VLOOKUP("Tourteau de tournesol",AlimentsRationHivernaleDaims,8,FALSE),0)+(IF(QualitéAlimentsFaonFemelle_0_3_mois=MOYENNE,VLOOKUP("Tourteau de tournesol",AlimentsRationHivernaleDaims,8,FALSE),0)+(IF(QualitéAlimentsFaonMâle_3_6_mois=MOYENNE,VLOOKUP("Tourteau de tournesol",AlimentsRationHivernaleDaims,7,FALSE),0)+(IF(QualitéAlimentsFaonFemelle_3_6_mois=MOYENNE,VLOOKUP("Tourteau de tournesol",AlimentsRationHivernaleDaims,7,FALSE),0)+(IF(QualitéAlimentsFaonMâle_6_12_mois=MOYENNE,VLOOKUP("Tourteau de tournesol",AlimentsRationHivernaleDaims,6,FALSE),0)+(IF(QualitéAlimentsFaonFemelle_6_12_mois=MOYENNE,VLOOKUP("Tourteau de tournesol",AlimentsRationHivernaleDaims,6,FALSE),0)+(IF(QualitéAlimentsJeuneDaim_12_18_mois=MOYENNE,VLOOKUP("Tourteau de tournesol",AlimentsRationHivernaleDaims,5,FALSE),0)+(IF(QualitéAlimentsJeuneDaine_12_18_mois=MOYENNE,VLOOKUP("Tourteau de tournesol",AlimentsRationHivernaleDaims,5,FALSE),0)+(IF(QualitéAlimentsJeuneDaim_18_24_mois=MOYENNE,VLOOKUP("Tourteau de tournesol",AlimentsRationHivernaleDaims,4,FALSE),0)+(IF(QualitéAlimentsJeuneDaine_18_24_mois=MOYENNE,VLOOKUP("Tourteau de tournesol",AlimentsRationHivernaleDaims,4,FALSE),0)+(IF(QualitéAlimentsJeuneDaim_24_36_mois=MOYENNE,VLOOKUP("Tourteau de tournesol",AlimentsRationHivernaleDaims,3,FALSE),0)+(IF(QualitéAlimentsJeuneDaine_24_36_mois=MOYENNE,VLOOKUP("Tourteau de tournesol",AlimentsRationHivernaleDaims,3,FALSE),0)+(IF(QualitéAlimentsDaim=MOYENNE,VLOOKUP("Tourteau de tournesol",AlimentsRationHivernaleDaims,2,FALSE),0)+(IF(QualitéAlimentsDaine=MOYENNE,VLOOKUP("Tourteau de tournesol",AlimentsRationHivernaleDaims,2,FALSE),0))))))))))))))))</f>
        <v>0</v>
      </c>
      <c r="DY109" s="351">
        <f t="array" ref="DY109">SUM((IF(QualitéAlimentsFaonMâle_0_3_mois=MAUVAISE,VLOOKUP("Tourteau de tournesol",AlimentsRationHivernaleDaims,8,FALSE),0)+(IF(QualitéAlimentsFaonFemelle_0_3_mois=MAUVAISE,VLOOKUP("Tourteau de tournesol",AlimentsRationHivernaleDaims,8,FALSE),0)+(IF(QualitéAlimentsFaonMâle_3_6_mois=MAUVAISE,VLOOKUP("Tourteau de tournesol",AlimentsRationHivernaleDaims,7,FALSE),0)+(IF(QualitéAlimentsFaonFemelle_3_6_mois=MAUVAISE,VLOOKUP("Tourteau de tournesol",AlimentsRationHivernaleDaims,7,FALSE),0)+(IF(QualitéAlimentsFaonMâle_6_12_mois=MAUVAISE,VLOOKUP("Tourteau de tournesol",AlimentsRationHivernaleDaims,6,FALSE),0)+(IF(QualitéAlimentsFaonFemelle_6_12_mois=MAUVAISE,VLOOKUP("Tourteau de tournesol",AlimentsRationHivernaleDaims,6,FALSE),0)+(IF(QualitéAlimentsJeuneDaim_12_18_mois=MAUVAISE,VLOOKUP("Tourteau de tournesol",AlimentsRationHivernaleDaims,5,FALSE),0)+(IF(QualitéAlimentsJeuneDaine_12_18_mois=MAUVAISE,VLOOKUP("Tourteau de tournesol",AlimentsRationHivernaleDaims,5,FALSE),0)+(IF(QualitéAlimentsJeuneDaim_18_24_mois=MAUVAISE,VLOOKUP("Tourteau de tournesol",AlimentsRationHivernaleDaims,4,FALSE),0)+(IF(QualitéAlimentsJeuneDaine_18_24_mois=MAUVAISE,VLOOKUP("Tourteau de tournesol",AlimentsRationHivernaleDaims,4,FALSE),0)+(IF(QualitéAlimentsJeuneDaim_24_36_mois=MAUVAISE,VLOOKUP("Tourteau de tournesol",AlimentsRationHivernaleDaims,3,FALSE),0)+(IF(QualitéAlimentsJeuneDaine_24_36_mois=MAUVAISE,VLOOKUP("Tourteau de tournesol",AlimentsRationHivernaleDaims,3,FALSE),0)+(IF(QualitéAlimentsDaim=MAUVAISE,VLOOKUP("Tourteau de tournesol",AlimentsRationHivernaleDaims,2,FALSE),0)+(IF(QualitéAlimentsDaine=MAUVAISE,VLOOKUP("Tourteau de tournesol",AlimentsRationHivernaleDaims,2,FALSE),0))))))))))))))))</f>
        <v>0</v>
      </c>
      <c r="DZ109" s="298"/>
      <c r="EA109" s="298"/>
      <c r="EB109" s="298"/>
      <c r="EC109" s="298"/>
      <c r="ED109" s="298"/>
      <c r="EG109" s="420" t="str">
        <f t="shared" si="30"/>
        <v>Foin</v>
      </c>
      <c r="EH109" s="433">
        <f t="array" ref="EH10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09" s="433">
        <f t="array" ref="EI10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09" s="433">
        <f t="array" ref="EJ10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09" s="434">
        <f>SUM(AlimentsRationOiesFemelles[[#This Row],[Valeur 6 et plus]:[Valeur 0-3]])</f>
        <v>0</v>
      </c>
      <c r="EN109" s="443" t="str">
        <f t="shared" si="28"/>
        <v>Haricot vert</v>
      </c>
      <c r="EO109" s="450">
        <f t="array" ref="EO109">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09" s="450">
        <f t="array" ref="EP109">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09" s="450">
        <f t="array" ref="EQ109">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09" s="451">
        <f>SUM(Ration_canards_Femelles[[#This Row],[Valeur 6 et plus]:[Valeur 0-3]])</f>
        <v>0</v>
      </c>
      <c r="EU109" s="457" t="str">
        <f t="shared" si="40"/>
        <v>concentré jeunes bovins</v>
      </c>
      <c r="EV109" s="458">
        <f t="array" ref="EV109">IF(OR(ChoixRationComplèteEtéChevauxSelle=OUI,ChoixRationComplèteEtéChevauxSelle="",AND(ChoixChevauxSellePréHiver=OUI,ChoixChevauxSellePréEté=OUI)),0,IFERROR(IF(OR(AND(INDEX(Règles_chevaux_selle[Specificite],MATCH(RationEtéChevauxSelle&amp;$EU109,Règles_chevaux_selle[Ration]&amp;Règles_chevaux_selle[Aliment],0))="s1",IF($EU109=Spécificité1ChevauxSelle,1)),
AND(INDEX(Règles_chevaux_selle[Specificite],MATCH(RationEtéChevauxSelle&amp;$EU109,Règles_chevaux_selle[Ration]&amp;Règles_chevaux_selle[Aliment],0))="s2",IF($EU109=Spécificité2ChevauxSelle,1)),
INDEX(Règles_chevaux_selle[Specificite],MATCH(RationEtéChevauxSelle&amp;$EU109,Règles_chevaux_selle[Ration]&amp;Règles_chevaux_selle[Aliment],0))="c"),
INDEX(Règles_chevaux_selle[Valeur 36 et plus],MATCH(RationEtéChevauxSelle&amp;$EU109,Règles_chevaux_selle[Ration]&amp;Règles_chevaux_selle[Aliment],0)),0),0)*TotalJumentSelle*NbreJoursNourrirChevauxSelle)</f>
        <v>0</v>
      </c>
      <c r="EW109" s="458">
        <f t="array" ref="EW109">IF(OR(ChoixRationComplèteEtéChevauxSelle=OUI,ChoixRationComplèteEtéChevauxSelle="",AND(ChoixChevauxSellePréHiver=OUI,ChoixChevauxSellePréEté=OUI)),0,IFERROR(IF(OR(AND(INDEX(Règles_chevaux_selle[Specificite],MATCH(RationEtéChevauxSelle&amp;$EU109,Règles_chevaux_selle[Ration]&amp;Règles_chevaux_selle[Aliment],0))="s1",IF($EU109=Spécificité1ChevauxSelle,1)),
AND(INDEX(Règles_chevaux_selle[Specificite],MATCH(RationEtéChevauxSelle&amp;$EU109,Règles_chevaux_selle[Ration]&amp;Règles_chevaux_selle[Aliment],0))="s2",IF($EU109=Spécificité2ChevauxSelle,1)),
INDEX(Règles_chevaux_selle[Specificite],MATCH(RationEtéChevauxSelle&amp;$EU109,Règles_chevaux_selle[Ration]&amp;Règles_chevaux_selle[Aliment],0))="c"),
INDEX(Règles_chevaux_selle[Valeur 24-36],MATCH(RationEtéChevauxSelle&amp;$EU109,Règles_chevaux_selle[Ration]&amp;Règles_chevaux_selle[Aliment],0)),0),0)*TotalJeuneJumentSelle_24_36_mois*NbreJoursNourrirChevauxSelle)</f>
        <v>0</v>
      </c>
      <c r="EX109" s="458">
        <f t="array" ref="EX109">IF(OR(ChoixRationComplèteEtéChevauxSelle=OUI,ChoixRationComplèteEtéChevauxSelle="",AND(ChoixChevauxSellePréHiver=OUI,ChoixChevauxSellePréEté=OUI)),0,IFERROR(IF(OR(AND(INDEX(Règles_chevaux_selle[Specificite],MATCH(RationEtéChevauxSelle&amp;$EU109,Règles_chevaux_selle[Ration]&amp;Règles_chevaux_selle[Aliment],0))="s1",IF($EU109=Spécificité1ChevauxSelle,1)),
AND(INDEX(Règles_chevaux_selle[Specificite],MATCH(RationEtéChevauxSelle&amp;$EU109,Règles_chevaux_selle[Ration]&amp;Règles_chevaux_selle[Aliment],0))="s2",IF($EU109=Spécificité2ChevauxSelle,1)),
INDEX(Règles_chevaux_selle[Specificite],MATCH(RationEtéChevauxSelle&amp;$EU109,Règles_chevaux_selle[Ration]&amp;Règles_chevaux_selle[Aliment],0))="c"),
INDEX(Règles_chevaux_selle[Valeur 12-24],MATCH(RationEtéChevauxSelle&amp;$EU109,Règles_chevaux_selle[Ration]&amp;Règles_chevaux_selle[Aliment],0)),0),0)*TotalJeuneJumentSelle_12_24_mois_12_24_mois*NbreJoursNourrirChevauxSelle)</f>
        <v>0</v>
      </c>
      <c r="EY109" s="460">
        <f t="array" ref="EY109">IF(OR(ChoixRationComplèteEtéChevauxSelle=OUI,ChoixRationComplèteEtéChevauxSelle="",AND(ChoixChevauxSellePréHiver=OUI,ChoixChevauxSellePréEté=OUI)),0,IFERROR(IF(OR(AND(INDEX(Règles_chevaux_selle[Specificite],MATCH(RationEtéChevauxSelle&amp;$EU109,Règles_chevaux_selle[Ration]&amp;Règles_chevaux_selle[Aliment],0))="s1",IF($EU109=Spécificité1ChevauxSelle,1)),
AND(INDEX(Règles_chevaux_selle[Specificite],MATCH(RationEtéChevauxSelle&amp;$EU109,Règles_chevaux_selle[Ration]&amp;Règles_chevaux_selle[Aliment],0))="s2",IF($EU109=Spécificité2ChevauxSelle,1)),
INDEX(Règles_chevaux_selle[Specificite],MATCH(RationEtéChevauxSelle&amp;$EU109,Règles_chevaux_selle[Ration]&amp;Règles_chevaux_selle[Aliment],0))="c"),
INDEX(Règles_chevaux_selle[Valeur 0-12],MATCH(RationEtéChevauxSelle&amp;$EU109,Règles_chevaux_selle[Ration]&amp;Règles_chevaux_selle[Aliment],0)),0),0)*TotalPoulicheSelle_0_12_mois*NbreJoursNourrirChevauxSelle)</f>
        <v>0</v>
      </c>
      <c r="EZ109" s="460">
        <f t="shared" si="39"/>
        <v>0</v>
      </c>
      <c r="FD109" s="457" t="str">
        <f t="shared" si="33"/>
        <v>Féverole</v>
      </c>
      <c r="FE109" s="458">
        <f t="array" ref="FE109">IF(OR(ChoixRationComplèteEtéChevauxTrait=OUI,ChoixRationComplèteEtéChevauxTrait="",AND(ChoixChevauxTraitPréHiver=OUI,ChoixChevauxTraitPréEté=OUI)),0,IFERROR(IF(OR(AND(INDEX(Règles_chevaux_trait[Specificite],MATCH(RationEtéChevauxTrait&amp;$FD109,Règles_chevaux_trait[Ration]&amp;Règles_chevaux_trait[Aliment],0))="s1",IF($FD109=Spécificité1ChevauxTrait,1)),
AND(INDEX(Règles_chevaux_trait[Specificite],MATCH(RationEtéChevauxTrait&amp;$FD109,Règles_chevaux_trait[Ration]&amp;Règles_chevaux_trait[Aliment],0))="s2",IF($FD109=Spécificité2ChevauxTrait,1)),
INDEX(Règles_chevaux_trait[Specificite],MATCH(RationEtéChevauxTrait&amp;$FD109,Règles_chevaux_trait[Ration]&amp;Règles_chevaux_trait[Aliment],0))="c"),
INDEX(Règles_chevaux_trait[Valeur 36 et plus],MATCH(RationEtéChevauxTrait&amp;$FD109,Règles_chevaux_trait[Ration]&amp;Règles_chevaux_trait[Aliment],0)),0),0)*TotalJumentTrait*NbreJoursNourrirChevauxTrait)</f>
        <v>0</v>
      </c>
      <c r="FF109" s="458">
        <f t="array" ref="FF109">IF(OR(ChoixRationComplèteEtéChevauxTrait=OUI,ChoixRationComplèteEtéChevauxTrait="",AND(ChoixChevauxTraitPréHiver=OUI,ChoixChevauxTraitPréEté=OUI)),0,IFERROR(IF(OR(AND(INDEX(Règles_chevaux_trait[Specificite],MATCH(RationEtéChevauxTrait&amp;$FD109,Règles_chevaux_trait[Ration]&amp;Règles_chevaux_trait[Aliment],0))="s1",IF($FD109=Spécificité1ChevauxTrait,1)),
AND(INDEX(Règles_chevaux_trait[Specificite],MATCH(RationEtéChevauxTrait&amp;$FD109,Règles_chevaux_trait[Ration]&amp;Règles_chevaux_trait[Aliment],0))="s2",IF($FD109=Spécificité2ChevauxTrait,1)),
INDEX(Règles_chevaux_trait[Specificite],MATCH(RationEtéChevauxTrait&amp;$FD109,Règles_chevaux_trait[Ration]&amp;Règles_chevaux_trait[Aliment],0))="c"),
INDEX(Règles_chevaux_trait[Valeur 24-36],MATCH(RationEtéChevauxTrait&amp;$FD109,Règles_chevaux_trait[Ration]&amp;Règles_chevaux_trait[Aliment],0)),0),0)*TotalJeuneJumentTrait_24_36_mois*NbreJoursNourrirChevauxTrait)</f>
        <v>0</v>
      </c>
      <c r="FG109" s="458">
        <f t="array" ref="FG109">IF(OR(ChoixRationComplèteEtéChevauxTrait=OUI,ChoixRationComplèteEtéChevauxTrait="",AND(ChoixChevauxTraitPréHiver=OUI,ChoixChevauxTraitPréEté=OUI)),0,IFERROR(IF(OR(AND(INDEX(Règles_chevaux_trait[Specificite],MATCH(RationEtéChevauxTrait&amp;$FD109,Règles_chevaux_trait[Ration]&amp;Règles_chevaux_trait[Aliment],0))="s1",IF($FD109=Spécificité1ChevauxTrait,1)),
AND(INDEX(Règles_chevaux_trait[Specificite],MATCH(RationEtéChevauxTrait&amp;$FD109,Règles_chevaux_trait[Ration]&amp;Règles_chevaux_trait[Aliment],0))="s2",IF($FD109=Spécificité2ChevauxTrait,1)),
INDEX(Règles_chevaux_trait[Specificite],MATCH(RationEtéChevauxTrait&amp;$FD109,Règles_chevaux_trait[Ration]&amp;Règles_chevaux_trait[Aliment],0))="c"),
INDEX(Règles_chevaux_trait[Valeur 12-24],MATCH(RationEtéChevauxTrait&amp;$FD109,Règles_chevaux_trait[Ration]&amp;Règles_chevaux_trait[Aliment],0)),0),0)*TotalJeuneJumentTrait_12_24_mois*NbreJoursNourrirChevauxTrait)</f>
        <v>0</v>
      </c>
      <c r="FH109" s="460">
        <f t="array" ref="FH109">IF(OR(ChoixRationComplèteEtéChevauxTrait=OUI,ChoixRationComplèteEtéChevauxTrait="",AND(ChoixChevauxTraitPréHiver=OUI,ChoixChevauxTraitPréEté=OUI)),0,IFERROR(IF(OR(AND(INDEX(Règles_chevaux_trait[Specificite],MATCH(RationEtéChevauxTrait&amp;$FD109,Règles_chevaux_trait[Ration]&amp;Règles_chevaux_trait[Aliment],0))="s1",IF($FD109=Spécificité1ChevauxTrait,1)),
AND(INDEX(Règles_chevaux_trait[Specificite],MATCH(RationEtéChevauxTrait&amp;$FD109,Règles_chevaux_trait[Ration]&amp;Règles_chevaux_trait[Aliment],0))="s2",IF($FD109=Spécificité2ChevauxTrait,1)),
INDEX(Règles_chevaux_trait[Specificite],MATCH(RationEtéChevauxTrait&amp;$FD109,Règles_chevaux_trait[Ration]&amp;Règles_chevaux_trait[Aliment],0))="c"),
INDEX(Règles_chevaux_trait[Valeur 0-12],MATCH(RationEtéChevauxTrait&amp;$FD109,Règles_chevaux_trait[Ration]&amp;Règles_chevaux_trait[Aliment],0)),0),0)*TotalPoulicheTrait_0_12_mois*NbreJoursNourrirChevauxTrait)</f>
        <v>0</v>
      </c>
      <c r="FI109" s="460">
        <f t="shared" si="31"/>
        <v>0</v>
      </c>
      <c r="FJ109" s="298"/>
      <c r="FN109" s="457" t="str">
        <f t="shared" si="32"/>
        <v>Foin</v>
      </c>
      <c r="FO109" s="458">
        <f t="array" ref="FO109">IF(OR(ChoixRationComplèteEtéPoneys=OUI,ChoixRationComplèteEtéPoneys="",AND(ChoixPoneysPréHiver=OUI,ChoixPoneysPréEté=OUI)),0,IFERROR(IF(OR(AND(INDEX(Règles_poneys[Specificite],MATCH(RationHivernaleAuPréPoneys&amp;$FN109,Règles_poneys[Ration]&amp;Règles_poneys[Aliment],0))="s1",IF($FN109=Spécificité1Poneys,1)),
AND(INDEX(Règles_poneys[Specificite],MATCH(RationHivernaleAuPréPoneys&amp;$FN109,Règles_poneys[Ration]&amp;Règles_poneys[Aliment],0))="s2",IF($FN109=Spécificité2Poneys,1)),
INDEX(Règles_poneys[Specificite],MATCH(RationHivernaleAuPréPoneys&amp;$FN109,Règles_poneys[Ration]&amp;Règles_poneys[Aliment],0))="c"),
INDEX(Règles_poneys[Valeur 36 et plus],MATCH(RationHivernaleAuPréPoneys&amp;$FN109,Règles_poneys[Ration]&amp;Règles_poneys[Aliment],0)),0),0)*SUM(TotalPoneysAdultes)*SUM(AG118:AG142))</f>
        <v>0</v>
      </c>
      <c r="FP109" s="458">
        <f t="array" ref="FP109">IF(OR(ChoixRationComplèteEtéPoneys=OUI,ChoixRationComplèteEtéPoneys="",AND(ChoixPoneysPréHiver=OUI,ChoixPoneysPréEté=OUI)),0,IFERROR(IF(OR(AND(INDEX(Règles_poneys[Specificite],MATCH(RationHivernaleAuPréPoneys&amp;$FN109,Règles_poneys[Ration]&amp;Règles_poneys[Aliment],0))="s1",IF($FN109=Spécificité1Poneys,1)),
AND(INDEX(Règles_poneys[Specificite],MATCH(RationHivernaleAuPréPoneys&amp;$FN109,Règles_poneys[Ration]&amp;Règles_poneys[Aliment],0))="s2",IF($FN109=Spécificité2Poneys,1)),
INDEX(Règles_poneys[Specificite],MATCH(RationHivernaleAuPréPoneys&amp;$FN109,Règles_poneys[Ration]&amp;Règles_poneys[Aliment],0))="c"),
INDEX(Règles_poneys[Valeur 24-36],MATCH(RationHivernaleAuPréPoneys&amp;$FN109,Règles_poneys[Ration]&amp;Règles_poneys[Aliment],0)),0),0)*SUM(TotalPoneys_24_36mois)*SUM(AG118:AG142))</f>
        <v>0</v>
      </c>
      <c r="FQ109" s="458">
        <f t="array" ref="FQ109">IF(OR(ChoixRationComplèteEtéPoneys=OUI,ChoixRationComplèteEtéPoneys="",AND(ChoixPoneysPréHiver=OUI,ChoixPoneysPréEté=OUI)),0,IFERROR(IF(OR(AND(INDEX(Règles_poneys[Specificite],MATCH(RationHivernaleAuPréPoneys&amp;$FN109,Règles_poneys[Ration]&amp;Règles_poneys[Aliment],0))="s1",IF($FN109=Spécificité1Poneys,1)),
AND(INDEX(Règles_poneys[Specificite],MATCH(RationHivernaleAuPréPoneys&amp;$FN109,Règles_poneys[Ration]&amp;Règles_poneys[Aliment],0))="s2",IF($FN109=Spécificité2Poneys,1)),
INDEX(Règles_poneys[Specificite],MATCH(RationHivernaleAuPréPoneys&amp;$FN109,Règles_poneys[Ration]&amp;Règles_poneys[Aliment],0))="c"),
INDEX(Règles_poneys[Valeur 12-24],MATCH(RationHivernaleAuPréPoneys&amp;$FN109,Règles_poneys[Ration]&amp;Règles_poneys[Aliment],0)),0),0)*SUM(TotalPoneys_12_24mois)*SUM(AG118:AG142))</f>
        <v>0</v>
      </c>
      <c r="FR109" s="460">
        <f t="array" ref="FR109">IF(OR(ChoixRationComplèteEtéPoneys=OUI,ChoixRationComplèteEtéPoneys="",AND(ChoixPoneysPréHiver=OUI,ChoixPoneysPréEté=OUI)),0,IFERROR(IF(OR(AND(INDEX(Règles_poneys[Specificite],MATCH(RationHivernaleAuPréPoneys&amp;$FN109,Règles_poneys[Ration]&amp;Règles_poneys[Aliment],0))="s1",IF($FN109=Spécificité1Poneys,1)),
AND(INDEX(Règles_poneys[Specificite],MATCH(RationHivernaleAuPréPoneys&amp;$FN109,Règles_poneys[Ration]&amp;Règles_poneys[Aliment],0))="s2",IF($FN109=Spécificité2Poneys,1)),
INDEX(Règles_poneys[Specificite],MATCH(RationHivernaleAuPréPoneys&amp;$FN109,Règles_poneys[Ration]&amp;Règles_poneys[Aliment],0))="c"),
INDEX(Règles_poneys[Valeur 0-12],MATCH(RationHivernaleAuPréPoneys&amp;$FN109,Règles_poneys[Ration]&amp;Règles_poneys[Aliment],0)),0),0)*SUM(TotalPoulainsPoneys)*SUM(AG118:AG142))</f>
        <v>0</v>
      </c>
      <c r="FS109" s="460">
        <f t="shared" si="29"/>
        <v>0</v>
      </c>
      <c r="FT109" s="298"/>
      <c r="FW109" s="443" t="str">
        <f t="shared" si="27"/>
        <v>Minéraux + vitamines</v>
      </c>
      <c r="FX109" s="450">
        <f t="array" ref="FX109">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09" s="450">
        <f t="array" ref="FY109">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09" s="450">
        <f t="array" ref="FZ109">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09" s="450">
        <f t="array" ref="GA109">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09" s="451">
        <f>SUM(AlimentsGavageCanards[[#This Row],[Valeur 6 et plus]:[Valeur 0-1]])</f>
        <v>0</v>
      </c>
      <c r="GG109" s="276" t="s">
        <v>955</v>
      </c>
      <c r="GH109" s="276" t="s">
        <v>955</v>
      </c>
      <c r="GI109" s="276" t="s">
        <v>955</v>
      </c>
      <c r="GJ109" s="276" t="s">
        <v>955</v>
      </c>
      <c r="GK109" s="276" t="s">
        <v>955</v>
      </c>
      <c r="GL109" s="276" t="s">
        <v>955</v>
      </c>
      <c r="GM109" s="276" t="s">
        <v>955</v>
      </c>
      <c r="GN109" s="276" t="s">
        <v>955</v>
      </c>
      <c r="GO109" s="276" t="s">
        <v>955</v>
      </c>
      <c r="GP109" s="276" t="s">
        <v>955</v>
      </c>
      <c r="GQ109" s="276" t="s">
        <v>955</v>
      </c>
      <c r="GR109" s="276" t="s">
        <v>955</v>
      </c>
      <c r="GS109" s="276" t="s">
        <v>955</v>
      </c>
      <c r="GT109" s="276" t="s">
        <v>955</v>
      </c>
      <c r="GU109" s="276" t="s">
        <v>955</v>
      </c>
      <c r="GV109" s="276" t="s">
        <v>955</v>
      </c>
      <c r="HN109" s="342" t="s">
        <v>413</v>
      </c>
      <c r="HO109" s="342" t="e">
        <f>IF(SUM((VLOOKUP(BDD!BB215,BDD!BB194:BJ232,9,FALSE)+VLOOKUP(BDD!BB305,BDD!BB284:BJ323,9,FALSE)+SUM(LitièreBovins[[#Totals],[Litière tout bovins]:[litière races laitières]]))/1000/SUM(AA76:AA100)*IF(#REF!=OUI,35,84)-(SUM(StockPailleDansEntrepôt)))&lt;0,0,SUM((VLOOKUP(BDD!BB215,BDD!BB194:BJ232,9,FALSE)+VLOOKUP(BDD!BB305,BDD!BB284:BJ323,9,FALSE)+SUM(LitièreBovins[[#Totals],[Litière tout bovins]:[litière races laitières]]))/1000/SUM(AA76:AA100)*IF(#REF!=OUI,35,84)-(SUM(StockPailleDansEntrepôt))))</f>
        <v>#REF!</v>
      </c>
      <c r="HP109" s="342">
        <v>0</v>
      </c>
      <c r="HQ109" s="342" t="e">
        <f>IF(SUM(VLOOKUP(BDD!CJ71,BDD!CJ50:CP84,7,FALSE)+LitièrePorcins[[#Totals],[litière]])/1000/SUM(Z76:Z100)*84-(SUM(StockPailleDansEntrepôt))&lt;0,0,SUM(VLOOKUP(BDD!CJ70,BDD!CJ50:CP84,7,FALSE)/1000/SUM(Z76:Z100)*84-(SUM(StockPailleDansEntrepôt))))</f>
        <v>#REF!</v>
      </c>
      <c r="HR109" s="342" t="e">
        <f>IF(SUM(VLOOKUP(BDD!BX127,BDD!BX106:CC140,6,FALSE)+LitièreCaprins[[#Totals],[Litière]])/1000/SUM(AC76:AC100)*IF(#REF!=OUI,49,84)-(SUM(StockPailleDansEntrepôt))&lt;0,0,SUM(VLOOKUP(BDD!BX127,BDD!BX106:CC140,6,FALSE)+LitièreCaprins[[#Totals],[Litière]])/1000/SUM(AC76:AC100)*IF(#REF!=OUI,49,84)-(SUM(StockPailleDansEntrepôt)))</f>
        <v>#REF!</v>
      </c>
      <c r="HS109" s="342" t="e">
        <f>IF(SUM((VLOOKUP(BDD!CZ78,AlimentsRationVolaillesMâles[],5,FALSE)+LitièreVolailles[[#Totals],[litière]])/1000/SUM(Z76:Z100)*84-(SUM(StockPailleDansEntrepôt))&lt;0),0,SUM(VLOOKUP(BDD!CZ78,AlimentsRationVolaillesMâles[],5,FALSE)+LitièreVolailles[[#Totals],[litière]])/1000/SUM(Z76:Z100)*84-(SUM(StockPailleDansEntrepôt)))</f>
        <v>#REF!</v>
      </c>
      <c r="HT109" s="342" t="e">
        <f>IF(SUM((VLOOKUP(BDD!DG69,AlimentsRationPintadesMâles[],5,FALSE)+LitièrePintades[[#Totals],[litière]])/1000/SUM(Z76:Z100)*84-(SUM(StockPailleDansEntrepôt))&lt;0),0,SUM((VLOOKUP(BDD!DG69,AlimentsRationPintadesMâles[],5,FALSE)+LitièrePintades[[#Totals],[litière]])/1000/SUM(Z76:Z100)*84-(SUM(StockPailleDansEntrepôt))))</f>
        <v>#REF!</v>
      </c>
      <c r="HU109" s="342" t="e">
        <f>IF(SUM((VLOOKUP(BDD!CS78,BDD!CS57:CW95,5,FALSE)+LitièreLapins[[#Totals],[litière]])/1000/SUM(Z76:Z100)*84-(SUM(StockPailleDansEntrepôt)))&lt;0,0,SUM((VLOOKUP(BDD!CS78,BDD!CS57:CW95,5,FALSE)+LitièreLapins[[#Totals],[litière]])/1000/SUM(Z76:Z100)*84-(SUM(StockPailleDansEntrepôt))))</f>
        <v>#REF!</v>
      </c>
      <c r="HV109" s="342" t="e">
        <f>IF(SUM(VLOOKUP(BDD!DN171,BDD!DN150:DS188,6,FALSE)+VLOOKUP(BDD!DN259,BDD!DN238:DS276,6,FALSE)+SUM(LitièreOvins[[#Totals],[litière tout ovins]:[litière ovins races laitières]]))/1000/SUM(AD76:AD100)*IF(#REF!=OUI,35,84)-(SUM(StockPailleDansEntrepôt))&lt;0,0,(SUM(VLOOKUP(BDD!DN171,BDD!DN150:DS188,6,FALSE)+VLOOKUP(BDD!DN259,BDD!DN238:DS276,6,FALSE)+SUM(LitièreOvins[[#Totals],[litière tout ovins]:[litière ovins races laitières]]))/1000/SUM(AD76:AD100)*IF(#REF!=OUI,35,84)-(SUM(StockPailleDansEntrepôt))))</f>
        <v>#REF!</v>
      </c>
      <c r="HW109" s="342" t="e">
        <f>IF(SUM(VLOOKUP(BDD!EG74,AlimentsRationOiesMâles[],5,FALSE)+LitièreOies[[#Totals],[litière]])/1000/SUM(Z76:Z100)*84-(SUM(StockPailleDansEntrepôt))&lt;0,0,SUM(VLOOKUP(BDD!EG74,AlimentsRationOiesMâles[],5,FALSE)+LitièreOies[[#Totals],[litière]])/1000/SUM(Z76:Z100)*84-(SUM(StockPailleDansEntrepôt)))</f>
        <v>#REF!</v>
      </c>
      <c r="HX109" s="342" t="e">
        <f>IF(SUM(VLOOKUP(BDD!EN73,Ration_canards_Mâles[],5,FALSE)+LitièreCanards[[#Totals],[litière]])/1000/SUM(Z76:Z100)*84-(SUM(StockPailleDansEntrepôt))&lt;0,0,SUM(VLOOKUP(BDD!EN73,Ration_canards_Mâles[],5,FALSE)+LitièreCanards[[#Totals],[litière]])/1000/SUM(Z76:Z100)*84-(SUM(StockPailleDansEntrepôt)))</f>
        <v>#REF!</v>
      </c>
      <c r="HY109" s="342" t="e">
        <f>IF(SUM(VLOOKUP(BDD!EU81,BDD!EU60:EZ98,6,FALSE)+VLOOKUP(BDD!EU169,BDD!EU148:EZ186,6,FALSE)+SUM(LitièreChevauxSelles[[#Totals],[hiver dedans]:[hiver dehors]]))/1000/SUM(AE76:AE100)*IF(#REF!=OUI,21,84)-(SUM(StockPailleDansEntrepôt)),0,SUM(VLOOKUP(BDD!EU81,BDD!EU60:EZ98,6,FALSE)+VLOOKUP(BDD!EU169,BDD!EU148:EZ186,6,FALSE)+SUM(LitièreChevauxSelles[[#Totals],[hiver dedans]:[hiver dehors]]))/1000/SUM(AE76:AE100)*IF(#REF!=OUI,21,84)-(SUM(StockPailleDansEntrepôt)))</f>
        <v>#REF!</v>
      </c>
      <c r="HZ109" s="342" t="e">
        <f>IF(SUM(VLOOKUP(BDD!FD75,AlimentsRationEcurieChevauxMâlesTrait,6,FALSE)+VLOOKUP(BDD!FD163,BDD!FD142:FI180,6,FALSE)+SUM(LitièreChevauxTrait[[#Totals],[hiver dedans]:[hiver dehors]]))/1000/SUM(AE76:AE100)*IF(#REF!=OUI,21,84)-(SUM(StockPailleDansEntrepôt)),0,SUM(VLOOKUP(BDD!FD75,AlimentsRationEcurieChevauxMâlesTrait,6,FALSE)+VLOOKUP(BDD!FD163,BDD!FD142:FI180,6,FALSE)+SUM(LitièreChevauxTrait[[#Totals],[hiver dedans]:[hiver dehors]]))/1000/SUM(AE76:AE100)*IF(#REF!=OUI,21,84)-(SUM(StockPailleDansEntrepôt)))</f>
        <v>#REF!</v>
      </c>
      <c r="IA109" s="342" t="e">
        <f>IF(SUM(VLOOKUP(BDD!FN74,AlimentsRationEcuriePoneysMâles,6,FALSE)+VLOOKUP(BDD!FN162,BDD!FN141:FS179,6,FALSE)+SUM(LitièrePoneys[[#Totals],[hiver dedans]:[hiver dehors]]))/1000/SUM(AE76:AE100)*IF(#REF!=OUI,21,84)-(SUM(StockPailleDansEntrepôt)),0,SUM(VLOOKUP(BDD!FN74,AlimentsRationEcuriePoneysMâles,6,FALSE)+VLOOKUP(BDD!FN162,BDD!FN141:FS179,6,FALSE)+SUM(LitièrePoneys[[#Totals],[hiver dedans]:[hiver dehors]]))/1000/SUM(AE76:AE100)*IF(#REF!=OUI,21,84)-(SUM(StockPailleDansEntrepôt)))</f>
        <v>#REF!</v>
      </c>
      <c r="IB109" s="342" t="e">
        <f t="shared" si="42"/>
        <v>#REF!</v>
      </c>
    </row>
    <row r="110" spans="1:236" ht="12.75" customHeight="1" x14ac:dyDescent="0.2">
      <c r="A110" s="373"/>
      <c r="B110" s="380"/>
      <c r="F110" s="280"/>
      <c r="G110" s="321"/>
      <c r="H110" s="321"/>
      <c r="I110" s="321"/>
      <c r="J110" s="280"/>
      <c r="K110" s="280"/>
      <c r="L110" s="280"/>
      <c r="O110" s="384" t="s">
        <v>1013</v>
      </c>
      <c r="BB110" s="387" t="s">
        <v>948</v>
      </c>
      <c r="BC110" s="362" t="s">
        <v>515</v>
      </c>
      <c r="BD110" s="362" t="s">
        <v>886</v>
      </c>
      <c r="BE110" s="388">
        <v>10</v>
      </c>
      <c r="BF110" s="388">
        <v>9</v>
      </c>
      <c r="BG110" s="388">
        <v>8</v>
      </c>
      <c r="BH110" s="388">
        <v>7</v>
      </c>
      <c r="BI110" s="388">
        <v>6</v>
      </c>
      <c r="BJ110" s="388">
        <v>5</v>
      </c>
      <c r="BK110" s="389">
        <v>0</v>
      </c>
      <c r="BL110" s="312"/>
      <c r="BM110" s="397" t="s">
        <v>508</v>
      </c>
      <c r="BN110" s="398">
        <f t="array" ref="BN110">IF(ChoixRationComplèteBisons=OUI,IFERROR(IF(OR(AND(INDEX(Règles_bison[Specificite],MATCH(ChoixRationBisons&amp;Ration_hivernale_complète_bisons[aliment],Règles_bison[Ration]&amp;Règles_bison[Aliment],0))="s1",IF(Ration_hivernale_complète_bisons[aliment]=ChoixSpécificité1Bisons,1)),
AND(INDEX(Règles_bison[Specificite],MATCH(ChoixRationBisons&amp;Ration_hivernale_complète_bisons[aliment],Règles_bison[Ration]&amp;Règles_bison[Aliment],0))="s2",IF(Ration_hivernale_complète_bisons[aliment]=ChoixSpécificité2Bisons,1)),
INDEX(Règles_bison[Specificite],MATCH(ChoixRationBisons&amp;Ration_hivernale_complète_bisons[aliment],Règles_bison[Ration]&amp;Règles_bison[Aliment],0))="c",INDEX(Règles_bison[Specificite],MATCH(ChoixRationBisons&amp;Ration_hivernale_complète_bisons[aliment],Règles_bison[Ration]&amp;Règles_bison[Aliment],0))="complet"),
INDEX(Règles_bison[Valeur 36 et plus],MATCH(ChoixRationBisons&amp;Ration_hivernale_complète_bisons[aliment],Règles_bison[Ration]&amp;Règles_bison[Aliment],0)),0),0)*SUM(TotalBisonsAdultes)*SUM(AB76:AB100),0)</f>
        <v>0</v>
      </c>
      <c r="BO110" s="398">
        <f t="array" ref="BO110">IF(ChoixRationComplèteBisons=OUI,IFERROR(IF(OR(AND(INDEX(Règles_bison[Specificite],MATCH(ChoixRationBisons&amp;Ration_hivernale_complète_bisons[aliment],Règles_bison[Ration]&amp;Règles_bison[Aliment],0))="s1",IF(Ration_hivernale_complète_bisons[aliment]=ChoixSpécificité1Bisons,1)),
AND(INDEX(Règles_bison[Specificite],MATCH(ChoixRationBisons&amp;Ration_hivernale_complète_bisons[aliment],Règles_bison[Ration]&amp;Règles_bison[Aliment],0))="s2",IF(Ration_hivernale_complète_bisons[aliment]=ChoixSpécificité2Bisons,1)),
INDEX(Règles_bison[Specificite],MATCH(ChoixRationBisons&amp;Ration_hivernale_complète_bisons[aliment],Règles_bison[Ration]&amp;Règles_bison[Aliment],0))="c",INDEX(Règles_bison[Specificite],MATCH(ChoixRationBisons&amp;Ration_hivernale_complète_bisons[aliment],Règles_bison[Ration]&amp;Règles_bison[Aliment],0))="complet"),
INDEX(Règles_bison[Valeur 24-36],MATCH(ChoixRationBisons&amp;Ration_hivernale_complète_bisons[aliment],Règles_bison[Ration]&amp;Règles_bison[Aliment],0)),0),0)*SUM(TotalBisons24_36)*SUM(AB76:AB100),0)</f>
        <v>0</v>
      </c>
      <c r="BP110" s="398">
        <f t="array" ref="BP110">IF(ChoixRationComplèteBisons=OUI,IFERROR(IF(OR(AND(INDEX(Règles_bison[Specificite],MATCH(ChoixRationBisons&amp;Ration_hivernale_complète_bisons[aliment],Règles_bison[Ration]&amp;Règles_bison[Aliment],0))="s1",IF(Ration_hivernale_complète_bisons[aliment]=ChoixSpécificité1Bisons,1)),
AND(INDEX(Règles_bison[Specificite],MATCH(ChoixRationBisons&amp;Ration_hivernale_complète_bisons[aliment],Règles_bison[Ration]&amp;Règles_bison[Aliment],0))="s2",IF(Ration_hivernale_complète_bisons[aliment]=ChoixSpécificité2Bisons,1)),
INDEX(Règles_bison[Specificite],MATCH(ChoixRationBisons&amp;Ration_hivernale_complète_bisons[aliment],Règles_bison[Ration]&amp;Règles_bison[Aliment],0))="c",INDEX(Règles_bison[Specificite],MATCH(ChoixRationBisons&amp;Ration_hivernale_complète_bisons[aliment],Règles_bison[Ration]&amp;Règles_bison[Aliment],0))="complet"),
INDEX(Règles_bison[Valeur 18-24],MATCH(ChoixRationBisons&amp;Ration_hivernale_complète_bisons[aliment],Règles_bison[Ration]&amp;Règles_bison[Aliment],0)),0),0)*SUM(TotalBisons18_24)*SUM(AB76:AB100),0)</f>
        <v>0</v>
      </c>
      <c r="BQ110" s="398">
        <f t="array" ref="BQ110">IF(ChoixRationComplèteBisons=OUI,IFERROR(IF(OR(AND(INDEX(Règles_bison[Specificite],MATCH(ChoixRationBisons&amp;Ration_hivernale_complète_bisons[aliment],Règles_bison[Ration]&amp;Règles_bison[Aliment],0))="s1",IF(Ration_hivernale_complète_bisons[aliment]=ChoixSpécificité1Bisons,1)),
AND(INDEX(Règles_bison[Specificite],MATCH(ChoixRationBisons&amp;Ration_hivernale_complète_bisons[aliment],Règles_bison[Ration]&amp;Règles_bison[Aliment],0))="s2",IF(Ration_hivernale_complète_bisons[aliment]=ChoixSpécificité2Bisons,1)),
INDEX(Règles_bison[Specificite],MATCH(ChoixRationBisons&amp;Ration_hivernale_complète_bisons[aliment],Règles_bison[Ration]&amp;Règles_bison[Aliment],0))="c",INDEX(Règles_bison[Specificite],MATCH(ChoixRationBisons&amp;Ration_hivernale_complète_bisons[aliment],Règles_bison[Ration]&amp;Règles_bison[Aliment],0))="complet"),
INDEX(Règles_bison[Valeur 12-18],MATCH(ChoixRationBisons&amp;Ration_hivernale_complète_bisons[aliment],Règles_bison[Ration]&amp;Règles_bison[Aliment],0)),0),0)*SUM(TotalBisons12_18)*SUM(AB76:AB100),0)</f>
        <v>0</v>
      </c>
      <c r="BR110" s="398">
        <f t="array" ref="BR110">IF(ChoixRationComplèteBisons=OUI,IFERROR(IF(OR(AND(INDEX(Règles_bison[Specificite],MATCH(ChoixRationBisons&amp;Ration_hivernale_complète_bisons[aliment],Règles_bison[Ration]&amp;Règles_bison[Aliment],0))="s1",IF(Ration_hivernale_complète_bisons[aliment]=ChoixSpécificité1Bisons,1)),
AND(INDEX(Règles_bison[Specificite],MATCH(ChoixRationBisons&amp;Ration_hivernale_complète_bisons[aliment],Règles_bison[Ration]&amp;Règles_bison[Aliment],0))="s2",IF(Ration_hivernale_complète_bisons[aliment]=ChoixSpécificité2Bisons,1)),
INDEX(Règles_bison[Specificite],MATCH(ChoixRationBisons&amp;Ration_hivernale_complète_bisons[aliment],Règles_bison[Ration]&amp;Règles_bison[Aliment],0))="c",INDEX(Règles_bison[Specificite],MATCH(ChoixRationBisons&amp;Ration_hivernale_complète_bisons[aliment],Règles_bison[Ration]&amp;Règles_bison[Aliment],0))="complet"),
INDEX(Règles_bison[Valeur 6-12],MATCH(ChoixRationBisons&amp;Ration_hivernale_complète_bisons[aliment],Règles_bison[Ration]&amp;Règles_bison[Aliment],0)),0),0)*SUM(TotalBisons6_12)*SUM(AB76:AB100),0)</f>
        <v>0</v>
      </c>
      <c r="BS110" s="398">
        <f t="array" ref="BS110">IF(ChoixRationComplèteBisons=OUI,IFERROR(IF(OR(AND(INDEX(Règles_bison[Specificite],MATCH(ChoixRationBisons&amp;Ration_hivernale_complète_bisons[aliment],Règles_bison[Ration]&amp;Règles_bison[Aliment],0))="s1",IF(Ration_hivernale_complète_bisons[aliment]=ChoixSpécificité1Bisons,1)),
AND(INDEX(Règles_bison[Specificite],MATCH(ChoixRationBisons&amp;Ration_hivernale_complète_bisons[aliment],Règles_bison[Ration]&amp;Règles_bison[Aliment],0))="s2",IF(Ration_hivernale_complète_bisons[aliment]=ChoixSpécificité2Bisons,1)),
INDEX(Règles_bison[Specificite],MATCH(ChoixRationBisons&amp;Ration_hivernale_complète_bisons[aliment],Règles_bison[Ration]&amp;Règles_bison[Aliment],0))="c",INDEX(Règles_bison[Specificite],MATCH(ChoixRationBisons&amp;Ration_hivernale_complète_bisons[aliment],Règles_bison[Ration]&amp;Règles_bison[Aliment],0))="complet"),
INDEX(Règles_bison[Valeur 3-6],MATCH(ChoixRationBisons&amp;Ration_hivernale_complète_bisons[aliment],Règles_bison[Ration]&amp;Règles_bison[Aliment],0)),0),0)*SUM(TotalBisons3_6)*SUM(AB76:AB100),0)</f>
        <v>0</v>
      </c>
      <c r="BT110" s="398">
        <f t="array" ref="BT110">IF(ChoixRationComplèteBisons=OUI,IFERROR(IF(OR(AND(INDEX(Règles_bison[Specificite],MATCH(ChoixRationBisons&amp;Ration_hivernale_complète_bisons[aliment],Règles_bison[Ration]&amp;Règles_bison[Aliment],0))="s1",IF(Ration_hivernale_complète_bisons[aliment]=ChoixSpécificité1Bisons,1)),
AND(INDEX(Règles_bison[Specificite],MATCH(ChoixRationBisons&amp;Ration_hivernale_complète_bisons[aliment],Règles_bison[Ration]&amp;Règles_bison[Aliment],0))="s2",IF(Ration_hivernale_complète_bisons[aliment]=ChoixSpécificité2Bisons,1)),
INDEX(Règles_bison[Specificite],MATCH(ChoixRationBisons&amp;Ration_hivernale_complète_bisons[aliment],Règles_bison[Ration]&amp;Règles_bison[Aliment],0))="c",INDEX(Règles_bison[Specificite],MATCH(ChoixRationBisons&amp;Ration_hivernale_complète_bisons[aliment],Règles_bison[Ration]&amp;Règles_bison[Aliment],0))="complet"),
INDEX(Règles_bison[Valeur 0-3],MATCH(ChoixRationBisons&amp;Ration_hivernale_complète_bisons[aliment],Règles_bison[Ration]&amp;Règles_bison[Aliment],0)),0),0)*SUM(TotalBisons0_3)*SUM(AB76:AB100),0)</f>
        <v>0</v>
      </c>
      <c r="BU110" s="399">
        <f>SUM(Ration_hivernale_complète_bisons[[Val 36 et plus]:[Val 0-3]])</f>
        <v>0</v>
      </c>
      <c r="BX110" s="350" t="s">
        <v>904</v>
      </c>
      <c r="BY110" s="350">
        <f t="array" ref="BY110">IF(ChoixRationComplèteCaprins=OUI,0,IFERROR(IF(OR(AND(INDEX(Règles_caprins[Specificite],MATCH(ChoixRationCaprins&amp;$BX110,Règles_caprins[Ration]&amp;Règles_caprins[Aliment],0))="s1",IF($BX110=Spécificité1Caprins,1)),
INDEX(Règles_caprins[Specificite],MATCH(ChoixRationCaprins&amp;$BX110,Règles_caprins[Ration]&amp;Règles_caprins[Aliment],0))="c"),
INDEX(Règles_caprins[Valeur 12 et plus],MATCH(ChoixRationCaprins&amp;$BX110,Règles_caprins[Ration]&amp;Règles_caprins[Aliment],0)),0),0)*TotalBoucs*NbreJoursNourrirCaprins)</f>
        <v>0</v>
      </c>
      <c r="BZ110" s="350">
        <f t="array" ref="BZ110">IF(ChoixRationComplèteCaprins=OUI,0,IFERROR(IF(OR(AND(INDEX(Règles_caprins[Specificite],MATCH(ChoixRationCaprins&amp;$BX110,Règles_caprins[Ration]&amp;Règles_caprins[Aliment],0))="s1",IF($BX110=Spécificité1Caprins,1)),
INDEX(Règles_caprins[Specificite],MATCH(ChoixRationCaprins&amp;$BX110,Règles_caprins[Ration]&amp;Règles_caprins[Aliment],0))="c"),
INDEX(Règles_caprins[Valeur 6-12],MATCH(ChoixRationCaprins&amp;$BX110,Règles_caprins[Ration]&amp;Règles_caprins[Aliment],0)),0),0)*jeune_bouc_6_12_mois*NbreJoursNourrirCaprins)</f>
        <v>0</v>
      </c>
      <c r="CA110" s="350">
        <f t="array" ref="CA110">IF(ChoixRationComplèteCaprins=OUI,0,IFERROR(IF(OR(AND(INDEX(Règles_caprins[Specificite],MATCH(ChoixRationCaprins&amp;$BX110,Règles_caprins[Ration]&amp;Règles_caprins[Aliment],0))="s1",IF($BX110=Spécificité1Caprins,1)),
INDEX(Règles_caprins[Specificite],MATCH(ChoixRationCaprins&amp;$BX110,Règles_caprins[Ration]&amp;Règles_caprins[Aliment],0))="c"),
INDEX(Règles_caprins[Valeur 3-6],MATCH(ChoixRationCaprins&amp;$BX110,Règles_caprins[Ration]&amp;Règles_caprins[Aliment],0)),0),0)*chevreau_3_6_mois*NbreJoursNourrirCaprins)</f>
        <v>0</v>
      </c>
      <c r="CB110" s="350">
        <f t="array" ref="CB110">IF(ChoixRationComplèteCaprins=OUI,0,IFERROR(IF(OR(AND(INDEX(Règles_caprins[Specificite],MATCH(ChoixRationCaprins&amp;$BX110,Règles_caprins[Ration]&amp;Règles_caprins[Aliment],0))="s1",IF($BX110=Spécificité1Caprins,1)),
INDEX(Règles_caprins[Specificite],MATCH(ChoixRationCaprins&amp;$BX110,Règles_caprins[Ration]&amp;Règles_caprins[Aliment],0))="c"),
INDEX(Règles_caprins[Valeur 0-3],MATCH(ChoixRationCaprins&amp;$BX110,Règles_caprins[Ration]&amp;Règles_caprins[Aliment],0)),0),0)*chevreau_0_3_mois*NbreJoursNourrirCaprins)</f>
        <v>0</v>
      </c>
      <c r="CC110" s="350">
        <f t="shared" si="41"/>
        <v>0</v>
      </c>
      <c r="CH110" s="276"/>
      <c r="CI110" s="277"/>
      <c r="CJ110" s="420" t="str">
        <f t="shared" si="25"/>
        <v>Pois</v>
      </c>
      <c r="CK110" s="384">
        <f t="array" ref="CK11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10" s="384">
        <f t="array" ref="CL11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10" s="384">
        <f t="array" ref="CM11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10" s="384">
        <f t="array" ref="CN11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10" s="384">
        <f t="array" ref="CO11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10" s="426">
        <f>SUM(AlimentsRationPorcinsFemelles[[#This Row],[Valeur 12 et plus]:[Valeur 0-1]])</f>
        <v>0</v>
      </c>
      <c r="CS110" s="420" t="str">
        <f t="shared" si="36"/>
        <v>Eau</v>
      </c>
      <c r="CT110" s="433">
        <f t="array" ref="CT110">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10" s="433">
        <f t="array" ref="CU110">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10" s="433">
        <f t="array" ref="CV110">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10" s="434">
        <f>SUM(AlimentsRationLapinsFemelles[[#This Row],[Valeur 3 et plus]:[Valeur 0-1]])</f>
        <v>0</v>
      </c>
      <c r="CY110" s="277"/>
      <c r="CZ110" s="420" t="str">
        <f t="shared" si="37"/>
        <v>Eau</v>
      </c>
      <c r="DA110" s="433">
        <f t="array" ref="DA11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10" s="433">
        <f t="array" ref="DB11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10" s="433">
        <f t="array" ref="DC11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10" s="434">
        <f>SUM(AlimentsRationVolaillesFemelles[[#This Row],[Valeur 6 et plus]:[Valeur 0-1]])</f>
        <v>0</v>
      </c>
      <c r="DE110" s="298"/>
      <c r="DG110" s="384" t="str">
        <f t="shared" si="26"/>
        <v>Orge</v>
      </c>
      <c r="DH110" s="433">
        <f t="array" ref="DH11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10" s="433">
        <f t="array" ref="DI11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10" s="433">
        <f t="array" ref="DJ11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10" s="437">
        <f>SUM(AlimentsRationPintadesFemelles[[#This Row],[Valeur 6 et plus]:[Valeur 0-1]])</f>
        <v>0</v>
      </c>
      <c r="DN110" s="373" t="s">
        <v>950</v>
      </c>
      <c r="DO110" s="280" t="s">
        <v>489</v>
      </c>
      <c r="DP110" s="280" t="s">
        <v>887</v>
      </c>
      <c r="DQ110" s="310">
        <v>1.6</v>
      </c>
      <c r="DR110" s="310">
        <v>1.4</v>
      </c>
      <c r="DS110" s="310">
        <v>1.2</v>
      </c>
      <c r="DT110" s="439">
        <v>1</v>
      </c>
      <c r="DU110" s="298"/>
      <c r="DV110" s="350" t="str">
        <f t="shared" si="23"/>
        <v>Triticale</v>
      </c>
      <c r="DW110" s="351">
        <f t="array" ref="DW110">SUM((IF(QualitéAlimentsFaonMâle_0_3_mois=BONNE,VLOOKUP("Triticale",AlimentsRationHivernaleDaims,8,FALSE),0)+(IF(QualitéAlimentsFaonFemelle_0_3_mois=BONNE,VLOOKUP("Triticale",AlimentsRationHivernaleDaims,8,FALSE),0)+(IF(QualitéAlimentsFaonMâle_3_6_mois=BONNE,VLOOKUP("Triticale",AlimentsRationHivernaleDaims,7,FALSE),0)+(IF(QualitéAlimentsFaonFemelle_3_6_mois=BONNE,VLOOKUP("Triticale",AlimentsRationHivernaleDaims,7,FALSE),0)+(IF(QualitéAlimentsFaonMâle_6_12_mois=BONNE,VLOOKUP("Triticale",AlimentsRationHivernaleDaims,6,FALSE),0)+(IF(QualitéAlimentsFaonFemelle_6_12_mois=BONNE,VLOOKUP("Triticale",AlimentsRationHivernaleDaims,6,FALSE),0)+(IF(QualitéAlimentsJeuneDaim_12_18_mois=BONNE,VLOOKUP("Triticale",AlimentsRationHivernaleDaims,5,FALSE),0)+(IF(QualitéAlimentsJeuneDaine_12_18_mois=BONNE,VLOOKUP("Triticale",AlimentsRationHivernaleDaims,5,FALSE),0)+(IF(QualitéAlimentsJeuneDaim_18_24_mois=BONNE,VLOOKUP("Triticale",AlimentsRationHivernaleDaims,4,FALSE),0)+(IF(QualitéAlimentsJeuneDaine_18_24_mois=BONNE,VLOOKUP("Triticale",AlimentsRationHivernaleDaims,4,FALSE),0)+(IF(QualitéAlimentsJeuneDaim_24_36_mois=BONNE,VLOOKUP("Triticale",AlimentsRationHivernaleDaims,3,FALSE),0)+(IF(QualitéAlimentsJeuneDaine_24_36_mois=BONNE,VLOOKUP("Triticale",AlimentsRationHivernaleDaims,3,FALSE),0)+(IF(QualitéAlimentsDaim=BONNE,VLOOKUP("Triticale",AlimentsRationHivernaleDaims,2,FALSE),0)+(IF(QualitéAlimentsDaine=BONNE,VLOOKUP("Triticale",AlimentsRationHivernaleDaims,2,FALSE),0))))))))))))))))</f>
        <v>0</v>
      </c>
      <c r="DX110" s="351">
        <f t="array" ref="DX110">SUM((IF(QualitéAlimentsFaonMâle_0_3_mois=MOYENNE,VLOOKUP("Triticale",AlimentsRationHivernaleDaims,8,FALSE),0)+(IF(QualitéAlimentsFaonFemelle_0_3_mois=MOYENNE,VLOOKUP("Triticale",AlimentsRationHivernaleDaims,8,FALSE),0)+(IF(QualitéAlimentsFaonMâle_3_6_mois=MOYENNE,VLOOKUP("Triticale",AlimentsRationHivernaleDaims,7,FALSE),0)+(IF(QualitéAlimentsFaonFemelle_3_6_mois=MOYENNE,VLOOKUP("Triticale",AlimentsRationHivernaleDaims,7,FALSE),0)+(IF(QualitéAlimentsFaonMâle_6_12_mois=MOYENNE,VLOOKUP("Triticale",AlimentsRationHivernaleDaims,6,FALSE),0)+(IF(QualitéAlimentsFaonFemelle_6_12_mois=MOYENNE,VLOOKUP("Triticale",AlimentsRationHivernaleDaims,6,FALSE),0)+(IF(QualitéAlimentsJeuneDaim_12_18_mois=MOYENNE,VLOOKUP("Triticale",AlimentsRationHivernaleDaims,5,FALSE),0)+(IF(QualitéAlimentsJeuneDaine_12_18_mois=MOYENNE,VLOOKUP("Triticale",AlimentsRationHivernaleDaims,5,FALSE),0)+(IF(QualitéAlimentsJeuneDaim_18_24_mois=MOYENNE,VLOOKUP("Triticale",AlimentsRationHivernaleDaims,4,FALSE),0)+(IF(QualitéAlimentsJeuneDaine_18_24_mois=MOYENNE,VLOOKUP("Triticale",AlimentsRationHivernaleDaims,4,FALSE),0)+(IF(QualitéAlimentsJeuneDaim_24_36_mois=MOYENNE,VLOOKUP("Triticale",AlimentsRationHivernaleDaims,3,FALSE),0)+(IF(QualitéAlimentsJeuneDaine_24_36_mois=MOYENNE,VLOOKUP("Triticale",AlimentsRationHivernaleDaims,3,FALSE),0)+(IF(QualitéAlimentsDaim=MOYENNE,VLOOKUP("Triticale",AlimentsRationHivernaleDaims,2,FALSE),0)+(IF(QualitéAlimentsDaine=MOYENNE,VLOOKUP("Triticale",AlimentsRationHivernaleDaims,2,FALSE),0))))))))))))))))</f>
        <v>0</v>
      </c>
      <c r="DY110" s="351">
        <f t="array" ref="DY110">SUM((IF(QualitéAlimentsFaonMâle_0_3_mois=MAUVAISE,VLOOKUP("Triticale",AlimentsRationHivernaleDaims,8,FALSE),0)+(IF(QualitéAlimentsFaonFemelle_0_3_mois=MAUVAISE,VLOOKUP("Triticale",AlimentsRationHivernaleDaims,8,FALSE),0)+(IF(QualitéAlimentsFaonMâle_3_6_mois=MAUVAISE,VLOOKUP("Triticale",AlimentsRationHivernaleDaims,7,FALSE),0)+(IF(QualitéAlimentsFaonFemelle_3_6_mois=MAUVAISE,VLOOKUP("Triticale",AlimentsRationHivernaleDaims,7,FALSE),0)+(IF(QualitéAlimentsFaonMâle_6_12_mois=MAUVAISE,VLOOKUP("Triticale",AlimentsRationHivernaleDaims,6,FALSE),0)+(IF(QualitéAlimentsFaonFemelle_6_12_mois=MAUVAISE,VLOOKUP("Triticale",AlimentsRationHivernaleDaims,6,FALSE),0)+(IF(QualitéAlimentsJeuneDaim_12_18_mois=MAUVAISE,VLOOKUP("Triticale",AlimentsRationHivernaleDaims,5,FALSE),0)+(IF(QualitéAlimentsJeuneDaine_12_18_mois=MAUVAISE,VLOOKUP("Triticale",AlimentsRationHivernaleDaims,5,FALSE),0)+(IF(QualitéAlimentsJeuneDaim_18_24_mois=MAUVAISE,VLOOKUP("Triticale",AlimentsRationHivernaleDaims,4,FALSE),0)+(IF(QualitéAlimentsJeuneDaine_18_24_mois=MAUVAISE,VLOOKUP("Triticale",AlimentsRationHivernaleDaims,4,FALSE),0)+(IF(QualitéAlimentsJeuneDaim_24_36_mois=MAUVAISE,VLOOKUP("Triticale",AlimentsRationHivernaleDaims,3,FALSE),0)+(IF(QualitéAlimentsJeuneDaine_24_36_mois=MAUVAISE,VLOOKUP("Triticale",AlimentsRationHivernaleDaims,3,FALSE),0)+(IF(QualitéAlimentsDaim=MAUVAISE,VLOOKUP("Triticale",AlimentsRationHivernaleDaims,2,FALSE),0)+(IF(QualitéAlimentsDaine=MAUVAISE,VLOOKUP("Triticale",AlimentsRationHivernaleDaims,2,FALSE),0))))))))))))))))</f>
        <v>0</v>
      </c>
      <c r="DZ110" s="298"/>
      <c r="EA110" s="298"/>
      <c r="EB110" s="298"/>
      <c r="EC110" s="298"/>
      <c r="ED110" s="298"/>
      <c r="EG110" s="420" t="str">
        <f t="shared" si="30"/>
        <v>Haricot vert</v>
      </c>
      <c r="EH110" s="433">
        <f t="array" ref="EH11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10" s="433">
        <f t="array" ref="EI11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10" s="433">
        <f t="array" ref="EJ11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10" s="434">
        <f>SUM(AlimentsRationOiesFemelles[[#This Row],[Valeur 6 et plus]:[Valeur 0-3]])</f>
        <v>0</v>
      </c>
      <c r="EN110" s="443" t="str">
        <f t="shared" si="28"/>
        <v>Lentille</v>
      </c>
      <c r="EO110" s="450">
        <f t="array" ref="EO110">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10" s="450">
        <f t="array" ref="EP110">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10" s="450">
        <f t="array" ref="EQ110">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10" s="451">
        <f>SUM(Ration_canards_Femelles[[#This Row],[Valeur 6 et plus]:[Valeur 0-3]])</f>
        <v>0</v>
      </c>
      <c r="EU110" s="457" t="str">
        <f t="shared" si="40"/>
        <v>concentré jeunes lapins</v>
      </c>
      <c r="EV110" s="458">
        <f t="array" ref="EV110">IF(OR(ChoixRationComplèteEtéChevauxSelle=OUI,ChoixRationComplèteEtéChevauxSelle="",AND(ChoixChevauxSellePréHiver=OUI,ChoixChevauxSellePréEté=OUI)),0,IFERROR(IF(OR(AND(INDEX(Règles_chevaux_selle[Specificite],MATCH(RationEtéChevauxSelle&amp;$EU110,Règles_chevaux_selle[Ration]&amp;Règles_chevaux_selle[Aliment],0))="s1",IF($EU110=Spécificité1ChevauxSelle,1)),
AND(INDEX(Règles_chevaux_selle[Specificite],MATCH(RationEtéChevauxSelle&amp;$EU110,Règles_chevaux_selle[Ration]&amp;Règles_chevaux_selle[Aliment],0))="s2",IF($EU110=Spécificité2ChevauxSelle,1)),
INDEX(Règles_chevaux_selle[Specificite],MATCH(RationEtéChevauxSelle&amp;$EU110,Règles_chevaux_selle[Ration]&amp;Règles_chevaux_selle[Aliment],0))="c"),
INDEX(Règles_chevaux_selle[Valeur 36 et plus],MATCH(RationEtéChevauxSelle&amp;$EU110,Règles_chevaux_selle[Ration]&amp;Règles_chevaux_selle[Aliment],0)),0),0)*TotalJumentSelle*NbreJoursNourrirChevauxSelle)</f>
        <v>0</v>
      </c>
      <c r="EW110" s="458">
        <f t="array" ref="EW110">IF(OR(ChoixRationComplèteEtéChevauxSelle=OUI,ChoixRationComplèteEtéChevauxSelle="",AND(ChoixChevauxSellePréHiver=OUI,ChoixChevauxSellePréEté=OUI)),0,IFERROR(IF(OR(AND(INDEX(Règles_chevaux_selle[Specificite],MATCH(RationEtéChevauxSelle&amp;$EU110,Règles_chevaux_selle[Ration]&amp;Règles_chevaux_selle[Aliment],0))="s1",IF($EU110=Spécificité1ChevauxSelle,1)),
AND(INDEX(Règles_chevaux_selle[Specificite],MATCH(RationEtéChevauxSelle&amp;$EU110,Règles_chevaux_selle[Ration]&amp;Règles_chevaux_selle[Aliment],0))="s2",IF($EU110=Spécificité2ChevauxSelle,1)),
INDEX(Règles_chevaux_selle[Specificite],MATCH(RationEtéChevauxSelle&amp;$EU110,Règles_chevaux_selle[Ration]&amp;Règles_chevaux_selle[Aliment],0))="c"),
INDEX(Règles_chevaux_selle[Valeur 24-36],MATCH(RationEtéChevauxSelle&amp;$EU110,Règles_chevaux_selle[Ration]&amp;Règles_chevaux_selle[Aliment],0)),0),0)*TotalJeuneJumentSelle_24_36_mois*NbreJoursNourrirChevauxSelle)</f>
        <v>0</v>
      </c>
      <c r="EX110" s="458">
        <f t="array" ref="EX110">IF(OR(ChoixRationComplèteEtéChevauxSelle=OUI,ChoixRationComplèteEtéChevauxSelle="",AND(ChoixChevauxSellePréHiver=OUI,ChoixChevauxSellePréEté=OUI)),0,IFERROR(IF(OR(AND(INDEX(Règles_chevaux_selle[Specificite],MATCH(RationEtéChevauxSelle&amp;$EU110,Règles_chevaux_selle[Ration]&amp;Règles_chevaux_selle[Aliment],0))="s1",IF($EU110=Spécificité1ChevauxSelle,1)),
AND(INDEX(Règles_chevaux_selle[Specificite],MATCH(RationEtéChevauxSelle&amp;$EU110,Règles_chevaux_selle[Ration]&amp;Règles_chevaux_selle[Aliment],0))="s2",IF($EU110=Spécificité2ChevauxSelle,1)),
INDEX(Règles_chevaux_selle[Specificite],MATCH(RationEtéChevauxSelle&amp;$EU110,Règles_chevaux_selle[Ration]&amp;Règles_chevaux_selle[Aliment],0))="c"),
INDEX(Règles_chevaux_selle[Valeur 12-24],MATCH(RationEtéChevauxSelle&amp;$EU110,Règles_chevaux_selle[Ration]&amp;Règles_chevaux_selle[Aliment],0)),0),0)*TotalJeuneJumentSelle_12_24_mois_12_24_mois*NbreJoursNourrirChevauxSelle)</f>
        <v>0</v>
      </c>
      <c r="EY110" s="460">
        <f t="array" ref="EY110">IF(OR(ChoixRationComplèteEtéChevauxSelle=OUI,ChoixRationComplèteEtéChevauxSelle="",AND(ChoixChevauxSellePréHiver=OUI,ChoixChevauxSellePréEté=OUI)),0,IFERROR(IF(OR(AND(INDEX(Règles_chevaux_selle[Specificite],MATCH(RationEtéChevauxSelle&amp;$EU110,Règles_chevaux_selle[Ration]&amp;Règles_chevaux_selle[Aliment],0))="s1",IF($EU110=Spécificité1ChevauxSelle,1)),
AND(INDEX(Règles_chevaux_selle[Specificite],MATCH(RationEtéChevauxSelle&amp;$EU110,Règles_chevaux_selle[Ration]&amp;Règles_chevaux_selle[Aliment],0))="s2",IF($EU110=Spécificité2ChevauxSelle,1)),
INDEX(Règles_chevaux_selle[Specificite],MATCH(RationEtéChevauxSelle&amp;$EU110,Règles_chevaux_selle[Ration]&amp;Règles_chevaux_selle[Aliment],0))="c"),
INDEX(Règles_chevaux_selle[Valeur 0-12],MATCH(RationEtéChevauxSelle&amp;$EU110,Règles_chevaux_selle[Ration]&amp;Règles_chevaux_selle[Aliment],0)),0),0)*TotalPoulicheSelle_0_12_mois*NbreJoursNourrirChevauxSelle)</f>
        <v>0</v>
      </c>
      <c r="EZ110" s="460">
        <f t="shared" si="39"/>
        <v>0</v>
      </c>
      <c r="FD110" s="457" t="str">
        <f t="shared" si="33"/>
        <v>Foin</v>
      </c>
      <c r="FE110" s="458">
        <f t="array" ref="FE110">IF(OR(ChoixRationComplèteEtéChevauxTrait=OUI,ChoixRationComplèteEtéChevauxTrait="",AND(ChoixChevauxTraitPréHiver=OUI,ChoixChevauxTraitPréEté=OUI)),0,IFERROR(IF(OR(AND(INDEX(Règles_chevaux_trait[Specificite],MATCH(RationEtéChevauxTrait&amp;$FD110,Règles_chevaux_trait[Ration]&amp;Règles_chevaux_trait[Aliment],0))="s1",IF($FD110=Spécificité1ChevauxTrait,1)),
AND(INDEX(Règles_chevaux_trait[Specificite],MATCH(RationEtéChevauxTrait&amp;$FD110,Règles_chevaux_trait[Ration]&amp;Règles_chevaux_trait[Aliment],0))="s2",IF($FD110=Spécificité2ChevauxTrait,1)),
INDEX(Règles_chevaux_trait[Specificite],MATCH(RationEtéChevauxTrait&amp;$FD110,Règles_chevaux_trait[Ration]&amp;Règles_chevaux_trait[Aliment],0))="c"),
INDEX(Règles_chevaux_trait[Valeur 36 et plus],MATCH(RationEtéChevauxTrait&amp;$FD110,Règles_chevaux_trait[Ration]&amp;Règles_chevaux_trait[Aliment],0)),0),0)*TotalJumentTrait*NbreJoursNourrirChevauxTrait)</f>
        <v>0</v>
      </c>
      <c r="FF110" s="458">
        <f t="array" ref="FF110">IF(OR(ChoixRationComplèteEtéChevauxTrait=OUI,ChoixRationComplèteEtéChevauxTrait="",AND(ChoixChevauxTraitPréHiver=OUI,ChoixChevauxTraitPréEté=OUI)),0,IFERROR(IF(OR(AND(INDEX(Règles_chevaux_trait[Specificite],MATCH(RationEtéChevauxTrait&amp;$FD110,Règles_chevaux_trait[Ration]&amp;Règles_chevaux_trait[Aliment],0))="s1",IF($FD110=Spécificité1ChevauxTrait,1)),
AND(INDEX(Règles_chevaux_trait[Specificite],MATCH(RationEtéChevauxTrait&amp;$FD110,Règles_chevaux_trait[Ration]&amp;Règles_chevaux_trait[Aliment],0))="s2",IF($FD110=Spécificité2ChevauxTrait,1)),
INDEX(Règles_chevaux_trait[Specificite],MATCH(RationEtéChevauxTrait&amp;$FD110,Règles_chevaux_trait[Ration]&amp;Règles_chevaux_trait[Aliment],0))="c"),
INDEX(Règles_chevaux_trait[Valeur 24-36],MATCH(RationEtéChevauxTrait&amp;$FD110,Règles_chevaux_trait[Ration]&amp;Règles_chevaux_trait[Aliment],0)),0),0)*TotalJeuneJumentTrait_24_36_mois*NbreJoursNourrirChevauxTrait)</f>
        <v>0</v>
      </c>
      <c r="FG110" s="458">
        <f t="array" ref="FG110">IF(OR(ChoixRationComplèteEtéChevauxTrait=OUI,ChoixRationComplèteEtéChevauxTrait="",AND(ChoixChevauxTraitPréHiver=OUI,ChoixChevauxTraitPréEté=OUI)),0,IFERROR(IF(OR(AND(INDEX(Règles_chevaux_trait[Specificite],MATCH(RationEtéChevauxTrait&amp;$FD110,Règles_chevaux_trait[Ration]&amp;Règles_chevaux_trait[Aliment],0))="s1",IF($FD110=Spécificité1ChevauxTrait,1)),
AND(INDEX(Règles_chevaux_trait[Specificite],MATCH(RationEtéChevauxTrait&amp;$FD110,Règles_chevaux_trait[Ration]&amp;Règles_chevaux_trait[Aliment],0))="s2",IF($FD110=Spécificité2ChevauxTrait,1)),
INDEX(Règles_chevaux_trait[Specificite],MATCH(RationEtéChevauxTrait&amp;$FD110,Règles_chevaux_trait[Ration]&amp;Règles_chevaux_trait[Aliment],0))="c"),
INDEX(Règles_chevaux_trait[Valeur 12-24],MATCH(RationEtéChevauxTrait&amp;$FD110,Règles_chevaux_trait[Ration]&amp;Règles_chevaux_trait[Aliment],0)),0),0)*TotalJeuneJumentTrait_12_24_mois*NbreJoursNourrirChevauxTrait)</f>
        <v>0</v>
      </c>
      <c r="FH110" s="460">
        <f t="array" ref="FH110">IF(OR(ChoixRationComplèteEtéChevauxTrait=OUI,ChoixRationComplèteEtéChevauxTrait="",AND(ChoixChevauxTraitPréHiver=OUI,ChoixChevauxTraitPréEté=OUI)),0,IFERROR(IF(OR(AND(INDEX(Règles_chevaux_trait[Specificite],MATCH(RationEtéChevauxTrait&amp;$FD110,Règles_chevaux_trait[Ration]&amp;Règles_chevaux_trait[Aliment],0))="s1",IF($FD110=Spécificité1ChevauxTrait,1)),
AND(INDEX(Règles_chevaux_trait[Specificite],MATCH(RationEtéChevauxTrait&amp;$FD110,Règles_chevaux_trait[Ration]&amp;Règles_chevaux_trait[Aliment],0))="s2",IF($FD110=Spécificité2ChevauxTrait,1)),
INDEX(Règles_chevaux_trait[Specificite],MATCH(RationEtéChevauxTrait&amp;$FD110,Règles_chevaux_trait[Ration]&amp;Règles_chevaux_trait[Aliment],0))="c"),
INDEX(Règles_chevaux_trait[Valeur 0-12],MATCH(RationEtéChevauxTrait&amp;$FD110,Règles_chevaux_trait[Ration]&amp;Règles_chevaux_trait[Aliment],0)),0),0)*TotalPoulicheTrait_0_12_mois*NbreJoursNourrirChevauxTrait)</f>
        <v>0</v>
      </c>
      <c r="FI110" s="460">
        <f t="shared" si="31"/>
        <v>0</v>
      </c>
      <c r="FJ110" s="298"/>
      <c r="FN110" s="457" t="str">
        <f t="shared" si="32"/>
        <v>Haricot vert</v>
      </c>
      <c r="FO110" s="458">
        <f t="array" ref="FO110">IF(OR(ChoixRationComplèteEtéPoneys=OUI,ChoixRationComplèteEtéPoneys="",AND(ChoixPoneysPréHiver=OUI,ChoixPoneysPréEté=OUI)),0,IFERROR(IF(OR(AND(INDEX(Règles_poneys[Specificite],MATCH(RationHivernaleAuPréPoneys&amp;$FN110,Règles_poneys[Ration]&amp;Règles_poneys[Aliment],0))="s1",IF($FN110=Spécificité1Poneys,1)),
AND(INDEX(Règles_poneys[Specificite],MATCH(RationHivernaleAuPréPoneys&amp;$FN110,Règles_poneys[Ration]&amp;Règles_poneys[Aliment],0))="s2",IF($FN110=Spécificité2Poneys,1)),
INDEX(Règles_poneys[Specificite],MATCH(RationHivernaleAuPréPoneys&amp;$FN110,Règles_poneys[Ration]&amp;Règles_poneys[Aliment],0))="c"),
INDEX(Règles_poneys[Valeur 36 et plus],MATCH(RationHivernaleAuPréPoneys&amp;$FN110,Règles_poneys[Ration]&amp;Règles_poneys[Aliment],0)),0),0)*SUM(TotalPoneysAdultes)*SUM(AG118:AG142))</f>
        <v>0</v>
      </c>
      <c r="FP110" s="458">
        <f t="array" ref="FP110">IF(OR(ChoixRationComplèteEtéPoneys=OUI,ChoixRationComplèteEtéPoneys="",AND(ChoixPoneysPréHiver=OUI,ChoixPoneysPréEté=OUI)),0,IFERROR(IF(OR(AND(INDEX(Règles_poneys[Specificite],MATCH(RationHivernaleAuPréPoneys&amp;$FN110,Règles_poneys[Ration]&amp;Règles_poneys[Aliment],0))="s1",IF($FN110=Spécificité1Poneys,1)),
AND(INDEX(Règles_poneys[Specificite],MATCH(RationHivernaleAuPréPoneys&amp;$FN110,Règles_poneys[Ration]&amp;Règles_poneys[Aliment],0))="s2",IF($FN110=Spécificité2Poneys,1)),
INDEX(Règles_poneys[Specificite],MATCH(RationHivernaleAuPréPoneys&amp;$FN110,Règles_poneys[Ration]&amp;Règles_poneys[Aliment],0))="c"),
INDEX(Règles_poneys[Valeur 24-36],MATCH(RationHivernaleAuPréPoneys&amp;$FN110,Règles_poneys[Ration]&amp;Règles_poneys[Aliment],0)),0),0)*SUM(TotalPoneys_24_36mois)*SUM(AG118:AG142))</f>
        <v>0</v>
      </c>
      <c r="FQ110" s="458">
        <f t="array" ref="FQ110">IF(OR(ChoixRationComplèteEtéPoneys=OUI,ChoixRationComplèteEtéPoneys="",AND(ChoixPoneysPréHiver=OUI,ChoixPoneysPréEté=OUI)),0,IFERROR(IF(OR(AND(INDEX(Règles_poneys[Specificite],MATCH(RationHivernaleAuPréPoneys&amp;$FN110,Règles_poneys[Ration]&amp;Règles_poneys[Aliment],0))="s1",IF($FN110=Spécificité1Poneys,1)),
AND(INDEX(Règles_poneys[Specificite],MATCH(RationHivernaleAuPréPoneys&amp;$FN110,Règles_poneys[Ration]&amp;Règles_poneys[Aliment],0))="s2",IF($FN110=Spécificité2Poneys,1)),
INDEX(Règles_poneys[Specificite],MATCH(RationHivernaleAuPréPoneys&amp;$FN110,Règles_poneys[Ration]&amp;Règles_poneys[Aliment],0))="c"),
INDEX(Règles_poneys[Valeur 12-24],MATCH(RationHivernaleAuPréPoneys&amp;$FN110,Règles_poneys[Ration]&amp;Règles_poneys[Aliment],0)),0),0)*SUM(TotalPoneys_12_24mois)*SUM(AG118:AG142))</f>
        <v>0</v>
      </c>
      <c r="FR110" s="460">
        <f t="array" ref="FR110">IF(OR(ChoixRationComplèteEtéPoneys=OUI,ChoixRationComplèteEtéPoneys="",AND(ChoixPoneysPréHiver=OUI,ChoixPoneysPréEté=OUI)),0,IFERROR(IF(OR(AND(INDEX(Règles_poneys[Specificite],MATCH(RationHivernaleAuPréPoneys&amp;$FN110,Règles_poneys[Ration]&amp;Règles_poneys[Aliment],0))="s1",IF($FN110=Spécificité1Poneys,1)),
AND(INDEX(Règles_poneys[Specificite],MATCH(RationHivernaleAuPréPoneys&amp;$FN110,Règles_poneys[Ration]&amp;Règles_poneys[Aliment],0))="s2",IF($FN110=Spécificité2Poneys,1)),
INDEX(Règles_poneys[Specificite],MATCH(RationHivernaleAuPréPoneys&amp;$FN110,Règles_poneys[Ration]&amp;Règles_poneys[Aliment],0))="c"),
INDEX(Règles_poneys[Valeur 0-12],MATCH(RationHivernaleAuPréPoneys&amp;$FN110,Règles_poneys[Ration]&amp;Règles_poneys[Aliment],0)),0),0)*SUM(TotalPoulainsPoneys)*SUM(AG118:AG142))</f>
        <v>0</v>
      </c>
      <c r="FS110" s="460">
        <f t="shared" si="29"/>
        <v>0</v>
      </c>
      <c r="FT110" s="298"/>
      <c r="FW110" s="443" t="str">
        <f t="shared" si="27"/>
        <v>Orge</v>
      </c>
      <c r="FX110" s="450">
        <f t="array" ref="FX110">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10" s="450">
        <f t="array" ref="FY110">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10" s="450">
        <f t="array" ref="FZ110">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10" s="450">
        <f t="array" ref="GA110">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10" s="451">
        <f>SUM(AlimentsGavageCanards[[#This Row],[Valeur 6 et plus]:[Valeur 0-1]])</f>
        <v>0</v>
      </c>
      <c r="GG110" s="276" t="s">
        <v>955</v>
      </c>
      <c r="GH110" s="276" t="s">
        <v>955</v>
      </c>
      <c r="GI110" s="276" t="s">
        <v>955</v>
      </c>
      <c r="GJ110" s="276" t="s">
        <v>955</v>
      </c>
      <c r="GK110" s="276" t="s">
        <v>955</v>
      </c>
      <c r="GL110" s="276" t="s">
        <v>955</v>
      </c>
      <c r="GM110" s="276" t="s">
        <v>955</v>
      </c>
      <c r="GN110" s="276" t="s">
        <v>955</v>
      </c>
      <c r="GO110" s="276" t="s">
        <v>955</v>
      </c>
      <c r="GP110" s="276" t="s">
        <v>955</v>
      </c>
      <c r="GQ110" s="276" t="s">
        <v>955</v>
      </c>
      <c r="GR110" s="276" t="s">
        <v>955</v>
      </c>
      <c r="GS110" s="276" t="s">
        <v>955</v>
      </c>
      <c r="GT110" s="276" t="s">
        <v>955</v>
      </c>
      <c r="GU110" s="276" t="s">
        <v>955</v>
      </c>
      <c r="GV110" s="276" t="s">
        <v>955</v>
      </c>
      <c r="HN110" s="342" t="s">
        <v>1075</v>
      </c>
      <c r="HO110" s="342">
        <v>0</v>
      </c>
      <c r="HP110" s="342">
        <v>0</v>
      </c>
      <c r="HQ110" s="342" t="e">
        <f>IF(SUM(VLOOKUP(BDD!CJ68,BDD!CJ50:CP84,7,FALSE)/1000/SUM(Z76:Z100)*84-(#REF!))&lt;0,0,SUM(VLOOKUP(BDD!CJ68,BDD!CJ50:CP84,7,FALSE)/1000/SUM(Z76:Z100)*84-(#REF!)))</f>
        <v>#REF!</v>
      </c>
      <c r="HR110" s="342">
        <v>0</v>
      </c>
      <c r="HS110" s="342" t="e">
        <f>IF(SUM(VLOOKUP(BDD!CZ75,AlimentsRationVolaillesMâles[],5,FALSE)/1000/SUM(Z76:Z100)*84-(#REF!)&lt;0),0,SUM(VLOOKUP(BDD!CZ75,AlimentsRationVolaillesMâles[],5,FALSE)/1000/SUM(Z76:Z100)*84-(#REF!)))</f>
        <v>#REF!</v>
      </c>
      <c r="HT110" s="342" t="e">
        <f>IF(SUM(VLOOKUP(BDD!DG66,AlimentsRationPintadesMâles[],5,FALSE)/1000/SUM(Z76:Z100)*84-(#REF!)&lt;0),0,SUM(VLOOKUP(BDD!DG66,AlimentsRationPintadesMâles[],5,FALSE)/1000/SUM(Z76:Z100)*84-(#REF!)))</f>
        <v>#REF!</v>
      </c>
      <c r="HU110" s="342">
        <v>0</v>
      </c>
      <c r="HV110" s="342">
        <v>0</v>
      </c>
      <c r="HW110" s="342" t="e">
        <f>IF(SUM(VLOOKUP(BDD!EG71,AlimentsRationOiesMâles[],5,FALSE)/1000/SUM(Z76:Z100)*84+VLOOKUP(BDD!FW61,AlimentsGavageOies[],6,FALSE))-(#REF!)&lt;0,0,SUM(VLOOKUP(BDD!EG71,AlimentsRationOiesMâles[],5,FALSE)/1000/SUM(Z76:Z100)*84+VLOOKUP(BDD!FW61,AlimentsGavageOies[],6,FALSE))-(#REF!))</f>
        <v>#REF!</v>
      </c>
      <c r="HX110" s="342" t="e">
        <f>IF(SUM(VLOOKUP(BDD!EN70,Ration_canards_Mâles[],5,FALSE)/1000/SUM(Z76:Z100)*84+VLOOKUP(BDD!FW108,AlimentsGavageCanards[],6,FALSE))-(#REF!)&lt;0,0,SUM(VLOOKUP(BDD!EN70,Ration_canards_Mâles[],5,FALSE)/1000/SUM(Z76:Z100)*84+VLOOKUP(BDD!FW108,AlimentsGavageCanards[],6,FALSE))-(#REF!))</f>
        <v>#REF!</v>
      </c>
      <c r="HY110" s="342" t="e">
        <f>IF(SUM(VLOOKUP(BDD!EU78,BDD!EU60:EZ98,6,FALSE)+VLOOKUP(BDD!EU166,BDD!EU148:EZ186,6,FALSE))/1000/SUM(AE76:AE100)*IF(#REF!=OUI,21,84)-(#REF!)&lt;0,0,SUM(VLOOKUP(BDD!EU78,BDD!EU60:EZ98,6,FALSE)+VLOOKUP(BDD!EU166,BDD!EU148:EZ186,6,FALSE))/1000/SUM(AE76:AE100)*IF(#REF!=OUI,21,84)-(#REF!))</f>
        <v>#REF!</v>
      </c>
      <c r="HZ110" s="342" t="e">
        <f>IF(SUM(VLOOKUP(BDD!FD72,AlimentsRationEcurieChevauxMâlesTrait,6,FALSE)+VLOOKUP(BDD!FD160,BDD!FD142:FI180,6,FALSE))/1000/SUM(AE76:AE100)*IF(#REF!=OUI,21,84)-(#REF!)&lt;0,0,SUM(VLOOKUP(BDD!FD72,AlimentsRationEcurieChevauxMâlesTrait,6,FALSE)+VLOOKUP(BDD!FD160,BDD!FD142:FI180,6,FALSE))/1000/SUM(AE76:AE100)*IF(#REF!=OUI,21,84)-(#REF!))</f>
        <v>#REF!</v>
      </c>
      <c r="IA110" s="342" t="e">
        <f>IF(SUM(VLOOKUP(BDD!FN71,AlimentsRationEcuriePoneysMâles,6,FALSE)+VLOOKUP(BDD!FN159,BDD!FN141:FS179,6,FALSE))/1000/SUM(AE76:AE100)*IF(#REF!=OUI,21,84)-(#REF!)&lt;0,0,SUM(VLOOKUP(BDD!FN71,AlimentsRationEcuriePoneysMâles,6,FALSE)+VLOOKUP(BDD!FN159,BDD!FN141:FS179,6,FALSE))/1000/SUM(AE76:AE100)*IF(#REF!=OUI,21,84)-(#REF!))</f>
        <v>#REF!</v>
      </c>
      <c r="IB110" s="342" t="e">
        <f t="shared" si="42"/>
        <v>#REF!</v>
      </c>
    </row>
    <row r="111" spans="1:236" ht="12.75" customHeight="1" x14ac:dyDescent="0.2">
      <c r="A111" s="373"/>
      <c r="B111" s="380"/>
      <c r="F111" s="280"/>
      <c r="G111" s="321"/>
      <c r="H111" s="321"/>
      <c r="I111" s="321"/>
      <c r="J111" s="321"/>
      <c r="K111" s="321"/>
      <c r="L111" s="321"/>
      <c r="O111" s="384">
        <v>0</v>
      </c>
      <c r="BB111" s="387" t="s">
        <v>948</v>
      </c>
      <c r="BC111" s="362" t="s">
        <v>489</v>
      </c>
      <c r="BD111" s="362" t="s">
        <v>887</v>
      </c>
      <c r="BE111" s="388">
        <v>7.2</v>
      </c>
      <c r="BF111" s="388">
        <v>6</v>
      </c>
      <c r="BG111" s="388">
        <v>4</v>
      </c>
      <c r="BH111" s="388">
        <v>2</v>
      </c>
      <c r="BI111" s="388">
        <v>1.2</v>
      </c>
      <c r="BJ111" s="388">
        <v>0.6</v>
      </c>
      <c r="BK111" s="389">
        <v>0</v>
      </c>
      <c r="BL111" s="312"/>
      <c r="BM111" s="313"/>
      <c r="BQ111" s="277"/>
      <c r="BU111" s="317"/>
      <c r="BX111" s="350" t="s">
        <v>500</v>
      </c>
      <c r="BY111" s="350">
        <f t="array" ref="BY111">IF(ChoixRationComplèteCaprins=OUI,0,IFERROR(IF(OR(AND(INDEX(Règles_caprins[Specificite],MATCH(ChoixRationCaprins&amp;$BX111,Règles_caprins[Ration]&amp;Règles_caprins[Aliment],0))="s1",IF($BX111=Spécificité1Caprins,1)),
INDEX(Règles_caprins[Specificite],MATCH(ChoixRationCaprins&amp;$BX111,Règles_caprins[Ration]&amp;Règles_caprins[Aliment],0))="c"),
INDEX(Règles_caprins[Valeur 12 et plus],MATCH(ChoixRationCaprins&amp;$BX111,Règles_caprins[Ration]&amp;Règles_caprins[Aliment],0)),0),0)*TotalBoucs*NbreJoursNourrirCaprins)</f>
        <v>0</v>
      </c>
      <c r="BZ111" s="350">
        <f t="array" ref="BZ111">IF(ChoixRationComplèteCaprins=OUI,0,IFERROR(IF(OR(AND(INDEX(Règles_caprins[Specificite],MATCH(ChoixRationCaprins&amp;$BX111,Règles_caprins[Ration]&amp;Règles_caprins[Aliment],0))="s1",IF($BX111=Spécificité1Caprins,1)),
INDEX(Règles_caprins[Specificite],MATCH(ChoixRationCaprins&amp;$BX111,Règles_caprins[Ration]&amp;Règles_caprins[Aliment],0))="c"),
INDEX(Règles_caprins[Valeur 6-12],MATCH(ChoixRationCaprins&amp;$BX111,Règles_caprins[Ration]&amp;Règles_caprins[Aliment],0)),0),0)*jeune_bouc_6_12_mois*NbreJoursNourrirCaprins)</f>
        <v>0</v>
      </c>
      <c r="CA111" s="350">
        <f t="array" ref="CA111">IF(ChoixRationComplèteCaprins=OUI,0,IFERROR(IF(OR(AND(INDEX(Règles_caprins[Specificite],MATCH(ChoixRationCaprins&amp;$BX111,Règles_caprins[Ration]&amp;Règles_caprins[Aliment],0))="s1",IF($BX111=Spécificité1Caprins,1)),
INDEX(Règles_caprins[Specificite],MATCH(ChoixRationCaprins&amp;$BX111,Règles_caprins[Ration]&amp;Règles_caprins[Aliment],0))="c"),
INDEX(Règles_caprins[Valeur 3-6],MATCH(ChoixRationCaprins&amp;$BX111,Règles_caprins[Ration]&amp;Règles_caprins[Aliment],0)),0),0)*chevreau_3_6_mois*NbreJoursNourrirCaprins)</f>
        <v>0</v>
      </c>
      <c r="CB111" s="350">
        <f t="array" ref="CB111">IF(ChoixRationComplèteCaprins=OUI,0,IFERROR(IF(OR(AND(INDEX(Règles_caprins[Specificite],MATCH(ChoixRationCaprins&amp;$BX111,Règles_caprins[Ration]&amp;Règles_caprins[Aliment],0))="s1",IF($BX111=Spécificité1Caprins,1)),
INDEX(Règles_caprins[Specificite],MATCH(ChoixRationCaprins&amp;$BX111,Règles_caprins[Ration]&amp;Règles_caprins[Aliment],0))="c"),
INDEX(Règles_caprins[Valeur 0-3],MATCH(ChoixRationCaprins&amp;$BX111,Règles_caprins[Ration]&amp;Règles_caprins[Aliment],0)),0),0)*chevreau_0_3_mois*NbreJoursNourrirCaprins)</f>
        <v>0</v>
      </c>
      <c r="CC111" s="350">
        <f t="shared" si="41"/>
        <v>0</v>
      </c>
      <c r="CH111" s="276"/>
      <c r="CI111" s="277"/>
      <c r="CJ111" s="420" t="str">
        <f t="shared" si="25"/>
        <v>Pomme de terre</v>
      </c>
      <c r="CK111" s="384">
        <f t="array" ref="CK11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11" s="384">
        <f t="array" ref="CL11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11" s="384">
        <f t="array" ref="CM11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11" s="384">
        <f t="array" ref="CN11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11" s="384">
        <f t="array" ref="CO11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11" s="426">
        <f>SUM(AlimentsRationPorcinsFemelles[[#This Row],[Valeur 12 et plus]:[Valeur 0-1]])</f>
        <v>0</v>
      </c>
      <c r="CQ111" s="277"/>
      <c r="CS111" s="420" t="str">
        <f t="shared" si="36"/>
        <v>Epinard</v>
      </c>
      <c r="CT111" s="433">
        <f t="array" ref="CT111">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11" s="433">
        <f t="array" ref="CU111">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11" s="433">
        <f t="array" ref="CV111">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11" s="434">
        <f>SUM(AlimentsRationLapinsFemelles[[#This Row],[Valeur 3 et plus]:[Valeur 0-1]])</f>
        <v>0</v>
      </c>
      <c r="CY111" s="277"/>
      <c r="CZ111" s="420" t="str">
        <f t="shared" si="37"/>
        <v>Epinard</v>
      </c>
      <c r="DA111" s="433">
        <f t="array" ref="DA11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11" s="433">
        <f t="array" ref="DB11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11" s="433">
        <f t="array" ref="DC11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11" s="434">
        <f>SUM(AlimentsRationVolaillesFemelles[[#This Row],[Valeur 6 et plus]:[Valeur 0-1]])</f>
        <v>0</v>
      </c>
      <c r="DE111" s="298"/>
      <c r="DG111" s="384" t="str">
        <f t="shared" si="26"/>
        <v>Paille</v>
      </c>
      <c r="DH111" s="433">
        <f t="array" ref="DH11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11" s="433">
        <f t="array" ref="DI11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11" s="433">
        <f t="array" ref="DJ11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11" s="437">
        <f>SUM(AlimentsRationPintadesFemelles[[#This Row],[Valeur 6 et plus]:[Valeur 0-1]])</f>
        <v>0</v>
      </c>
      <c r="DN111" s="373" t="s">
        <v>950</v>
      </c>
      <c r="DO111" s="280" t="s">
        <v>220</v>
      </c>
      <c r="DP111" s="280" t="s">
        <v>887</v>
      </c>
      <c r="DQ111" s="310">
        <v>1.6</v>
      </c>
      <c r="DR111" s="310">
        <v>1.4</v>
      </c>
      <c r="DS111" s="310">
        <v>1.2</v>
      </c>
      <c r="DT111" s="439">
        <v>1</v>
      </c>
      <c r="DU111" s="298"/>
      <c r="DV111" s="350">
        <f t="shared" si="23"/>
        <v>0</v>
      </c>
      <c r="DW111" s="351"/>
      <c r="DX111" s="351"/>
      <c r="DY111" s="351"/>
      <c r="DZ111" s="298"/>
      <c r="EA111" s="298"/>
      <c r="EB111" s="298"/>
      <c r="EC111" s="298"/>
      <c r="ED111" s="298"/>
      <c r="EG111" s="420" t="str">
        <f t="shared" si="30"/>
        <v>Lentille</v>
      </c>
      <c r="EH111" s="433">
        <f t="array" ref="EH11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11" s="433">
        <f t="array" ref="EI11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11" s="433">
        <f t="array" ref="EJ11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11" s="434">
        <f>SUM(AlimentsRationOiesFemelles[[#This Row],[Valeur 6 et plus]:[Valeur 0-3]])</f>
        <v>0</v>
      </c>
      <c r="EN111" s="443" t="str">
        <f t="shared" si="28"/>
        <v>Maïs ensilé</v>
      </c>
      <c r="EO111" s="450">
        <f t="array" ref="EO111">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11" s="450">
        <f t="array" ref="EP111">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11" s="450">
        <f t="array" ref="EQ111">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11" s="451">
        <f>SUM(Ration_canards_Femelles[[#This Row],[Valeur 6 et plus]:[Valeur 0-3]])</f>
        <v>0</v>
      </c>
      <c r="EU111" s="457" t="str">
        <f t="shared" si="40"/>
        <v>concentré jeunes porcins</v>
      </c>
      <c r="EV111" s="458">
        <f t="array" ref="EV111">IF(OR(ChoixRationComplèteEtéChevauxSelle=OUI,ChoixRationComplèteEtéChevauxSelle="",AND(ChoixChevauxSellePréHiver=OUI,ChoixChevauxSellePréEté=OUI)),0,IFERROR(IF(OR(AND(INDEX(Règles_chevaux_selle[Specificite],MATCH(RationEtéChevauxSelle&amp;$EU111,Règles_chevaux_selle[Ration]&amp;Règles_chevaux_selle[Aliment],0))="s1",IF($EU111=Spécificité1ChevauxSelle,1)),
AND(INDEX(Règles_chevaux_selle[Specificite],MATCH(RationEtéChevauxSelle&amp;$EU111,Règles_chevaux_selle[Ration]&amp;Règles_chevaux_selle[Aliment],0))="s2",IF($EU111=Spécificité2ChevauxSelle,1)),
INDEX(Règles_chevaux_selle[Specificite],MATCH(RationEtéChevauxSelle&amp;$EU111,Règles_chevaux_selle[Ration]&amp;Règles_chevaux_selle[Aliment],0))="c"),
INDEX(Règles_chevaux_selle[Valeur 36 et plus],MATCH(RationEtéChevauxSelle&amp;$EU111,Règles_chevaux_selle[Ration]&amp;Règles_chevaux_selle[Aliment],0)),0),0)*TotalJumentSelle*NbreJoursNourrirChevauxSelle)</f>
        <v>0</v>
      </c>
      <c r="EW111" s="458">
        <f t="array" ref="EW111">IF(OR(ChoixRationComplèteEtéChevauxSelle=OUI,ChoixRationComplèteEtéChevauxSelle="",AND(ChoixChevauxSellePréHiver=OUI,ChoixChevauxSellePréEté=OUI)),0,IFERROR(IF(OR(AND(INDEX(Règles_chevaux_selle[Specificite],MATCH(RationEtéChevauxSelle&amp;$EU111,Règles_chevaux_selle[Ration]&amp;Règles_chevaux_selle[Aliment],0))="s1",IF($EU111=Spécificité1ChevauxSelle,1)),
AND(INDEX(Règles_chevaux_selle[Specificite],MATCH(RationEtéChevauxSelle&amp;$EU111,Règles_chevaux_selle[Ration]&amp;Règles_chevaux_selle[Aliment],0))="s2",IF($EU111=Spécificité2ChevauxSelle,1)),
INDEX(Règles_chevaux_selle[Specificite],MATCH(RationEtéChevauxSelle&amp;$EU111,Règles_chevaux_selle[Ration]&amp;Règles_chevaux_selle[Aliment],0))="c"),
INDEX(Règles_chevaux_selle[Valeur 24-36],MATCH(RationEtéChevauxSelle&amp;$EU111,Règles_chevaux_selle[Ration]&amp;Règles_chevaux_selle[Aliment],0)),0),0)*TotalJeuneJumentSelle_24_36_mois*NbreJoursNourrirChevauxSelle)</f>
        <v>0</v>
      </c>
      <c r="EX111" s="458">
        <f t="array" ref="EX111">IF(OR(ChoixRationComplèteEtéChevauxSelle=OUI,ChoixRationComplèteEtéChevauxSelle="",AND(ChoixChevauxSellePréHiver=OUI,ChoixChevauxSellePréEté=OUI)),0,IFERROR(IF(OR(AND(INDEX(Règles_chevaux_selle[Specificite],MATCH(RationEtéChevauxSelle&amp;$EU111,Règles_chevaux_selle[Ration]&amp;Règles_chevaux_selle[Aliment],0))="s1",IF($EU111=Spécificité1ChevauxSelle,1)),
AND(INDEX(Règles_chevaux_selle[Specificite],MATCH(RationEtéChevauxSelle&amp;$EU111,Règles_chevaux_selle[Ration]&amp;Règles_chevaux_selle[Aliment],0))="s2",IF($EU111=Spécificité2ChevauxSelle,1)),
INDEX(Règles_chevaux_selle[Specificite],MATCH(RationEtéChevauxSelle&amp;$EU111,Règles_chevaux_selle[Ration]&amp;Règles_chevaux_selle[Aliment],0))="c"),
INDEX(Règles_chevaux_selle[Valeur 12-24],MATCH(RationEtéChevauxSelle&amp;$EU111,Règles_chevaux_selle[Ration]&amp;Règles_chevaux_selle[Aliment],0)),0),0)*TotalJeuneJumentSelle_12_24_mois_12_24_mois*NbreJoursNourrirChevauxSelle)</f>
        <v>0</v>
      </c>
      <c r="EY111" s="460">
        <f t="array" ref="EY111">IF(OR(ChoixRationComplèteEtéChevauxSelle=OUI,ChoixRationComplèteEtéChevauxSelle="",AND(ChoixChevauxSellePréHiver=OUI,ChoixChevauxSellePréEté=OUI)),0,IFERROR(IF(OR(AND(INDEX(Règles_chevaux_selle[Specificite],MATCH(RationEtéChevauxSelle&amp;$EU111,Règles_chevaux_selle[Ration]&amp;Règles_chevaux_selle[Aliment],0))="s1",IF($EU111=Spécificité1ChevauxSelle,1)),
AND(INDEX(Règles_chevaux_selle[Specificite],MATCH(RationEtéChevauxSelle&amp;$EU111,Règles_chevaux_selle[Ration]&amp;Règles_chevaux_selle[Aliment],0))="s2",IF($EU111=Spécificité2ChevauxSelle,1)),
INDEX(Règles_chevaux_selle[Specificite],MATCH(RationEtéChevauxSelle&amp;$EU111,Règles_chevaux_selle[Ration]&amp;Règles_chevaux_selle[Aliment],0))="c"),
INDEX(Règles_chevaux_selle[Valeur 0-12],MATCH(RationEtéChevauxSelle&amp;$EU111,Règles_chevaux_selle[Ration]&amp;Règles_chevaux_selle[Aliment],0)),0),0)*TotalPoulicheSelle_0_12_mois*NbreJoursNourrirChevauxSelle)</f>
        <v>0</v>
      </c>
      <c r="EZ111" s="460">
        <f t="shared" si="39"/>
        <v>0</v>
      </c>
      <c r="FD111" s="457" t="str">
        <f t="shared" si="33"/>
        <v>Haricot vert</v>
      </c>
      <c r="FE111" s="458">
        <f t="array" ref="FE111">IF(OR(ChoixRationComplèteEtéChevauxTrait=OUI,ChoixRationComplèteEtéChevauxTrait="",AND(ChoixChevauxTraitPréHiver=OUI,ChoixChevauxTraitPréEté=OUI)),0,IFERROR(IF(OR(AND(INDEX(Règles_chevaux_trait[Specificite],MATCH(RationEtéChevauxTrait&amp;$FD111,Règles_chevaux_trait[Ration]&amp;Règles_chevaux_trait[Aliment],0))="s1",IF($FD111=Spécificité1ChevauxTrait,1)),
AND(INDEX(Règles_chevaux_trait[Specificite],MATCH(RationEtéChevauxTrait&amp;$FD111,Règles_chevaux_trait[Ration]&amp;Règles_chevaux_trait[Aliment],0))="s2",IF($FD111=Spécificité2ChevauxTrait,1)),
INDEX(Règles_chevaux_trait[Specificite],MATCH(RationEtéChevauxTrait&amp;$FD111,Règles_chevaux_trait[Ration]&amp;Règles_chevaux_trait[Aliment],0))="c"),
INDEX(Règles_chevaux_trait[Valeur 36 et plus],MATCH(RationEtéChevauxTrait&amp;$FD111,Règles_chevaux_trait[Ration]&amp;Règles_chevaux_trait[Aliment],0)),0),0)*TotalJumentTrait*NbreJoursNourrirChevauxTrait)</f>
        <v>0</v>
      </c>
      <c r="FF111" s="458">
        <f t="array" ref="FF111">IF(OR(ChoixRationComplèteEtéChevauxTrait=OUI,ChoixRationComplèteEtéChevauxTrait="",AND(ChoixChevauxTraitPréHiver=OUI,ChoixChevauxTraitPréEté=OUI)),0,IFERROR(IF(OR(AND(INDEX(Règles_chevaux_trait[Specificite],MATCH(RationEtéChevauxTrait&amp;$FD111,Règles_chevaux_trait[Ration]&amp;Règles_chevaux_trait[Aliment],0))="s1",IF($FD111=Spécificité1ChevauxTrait,1)),
AND(INDEX(Règles_chevaux_trait[Specificite],MATCH(RationEtéChevauxTrait&amp;$FD111,Règles_chevaux_trait[Ration]&amp;Règles_chevaux_trait[Aliment],0))="s2",IF($FD111=Spécificité2ChevauxTrait,1)),
INDEX(Règles_chevaux_trait[Specificite],MATCH(RationEtéChevauxTrait&amp;$FD111,Règles_chevaux_trait[Ration]&amp;Règles_chevaux_trait[Aliment],0))="c"),
INDEX(Règles_chevaux_trait[Valeur 24-36],MATCH(RationEtéChevauxTrait&amp;$FD111,Règles_chevaux_trait[Ration]&amp;Règles_chevaux_trait[Aliment],0)),0),0)*TotalJeuneJumentTrait_24_36_mois*NbreJoursNourrirChevauxTrait)</f>
        <v>0</v>
      </c>
      <c r="FG111" s="458">
        <f t="array" ref="FG111">IF(OR(ChoixRationComplèteEtéChevauxTrait=OUI,ChoixRationComplèteEtéChevauxTrait="",AND(ChoixChevauxTraitPréHiver=OUI,ChoixChevauxTraitPréEté=OUI)),0,IFERROR(IF(OR(AND(INDEX(Règles_chevaux_trait[Specificite],MATCH(RationEtéChevauxTrait&amp;$FD111,Règles_chevaux_trait[Ration]&amp;Règles_chevaux_trait[Aliment],0))="s1",IF($FD111=Spécificité1ChevauxTrait,1)),
AND(INDEX(Règles_chevaux_trait[Specificite],MATCH(RationEtéChevauxTrait&amp;$FD111,Règles_chevaux_trait[Ration]&amp;Règles_chevaux_trait[Aliment],0))="s2",IF($FD111=Spécificité2ChevauxTrait,1)),
INDEX(Règles_chevaux_trait[Specificite],MATCH(RationEtéChevauxTrait&amp;$FD111,Règles_chevaux_trait[Ration]&amp;Règles_chevaux_trait[Aliment],0))="c"),
INDEX(Règles_chevaux_trait[Valeur 12-24],MATCH(RationEtéChevauxTrait&amp;$FD111,Règles_chevaux_trait[Ration]&amp;Règles_chevaux_trait[Aliment],0)),0),0)*TotalJeuneJumentTrait_12_24_mois*NbreJoursNourrirChevauxTrait)</f>
        <v>0</v>
      </c>
      <c r="FH111" s="460">
        <f t="array" ref="FH111">IF(OR(ChoixRationComplèteEtéChevauxTrait=OUI,ChoixRationComplèteEtéChevauxTrait="",AND(ChoixChevauxTraitPréHiver=OUI,ChoixChevauxTraitPréEté=OUI)),0,IFERROR(IF(OR(AND(INDEX(Règles_chevaux_trait[Specificite],MATCH(RationEtéChevauxTrait&amp;$FD111,Règles_chevaux_trait[Ration]&amp;Règles_chevaux_trait[Aliment],0))="s1",IF($FD111=Spécificité1ChevauxTrait,1)),
AND(INDEX(Règles_chevaux_trait[Specificite],MATCH(RationEtéChevauxTrait&amp;$FD111,Règles_chevaux_trait[Ration]&amp;Règles_chevaux_trait[Aliment],0))="s2",IF($FD111=Spécificité2ChevauxTrait,1)),
INDEX(Règles_chevaux_trait[Specificite],MATCH(RationEtéChevauxTrait&amp;$FD111,Règles_chevaux_trait[Ration]&amp;Règles_chevaux_trait[Aliment],0))="c"),
INDEX(Règles_chevaux_trait[Valeur 0-12],MATCH(RationEtéChevauxTrait&amp;$FD111,Règles_chevaux_trait[Ration]&amp;Règles_chevaux_trait[Aliment],0)),0),0)*TotalPoulicheTrait_0_12_mois*NbreJoursNourrirChevauxTrait)</f>
        <v>0</v>
      </c>
      <c r="FI111" s="460">
        <f t="shared" si="31"/>
        <v>0</v>
      </c>
      <c r="FJ111" s="298"/>
      <c r="FN111" s="457" t="str">
        <f t="shared" si="32"/>
        <v>Lentille</v>
      </c>
      <c r="FO111" s="458">
        <f t="array" ref="FO111">IF(OR(ChoixRationComplèteEtéPoneys=OUI,ChoixRationComplèteEtéPoneys="",AND(ChoixPoneysPréHiver=OUI,ChoixPoneysPréEté=OUI)),0,IFERROR(IF(OR(AND(INDEX(Règles_poneys[Specificite],MATCH(RationHivernaleAuPréPoneys&amp;$FN111,Règles_poneys[Ration]&amp;Règles_poneys[Aliment],0))="s1",IF($FN111=Spécificité1Poneys,1)),
AND(INDEX(Règles_poneys[Specificite],MATCH(RationHivernaleAuPréPoneys&amp;$FN111,Règles_poneys[Ration]&amp;Règles_poneys[Aliment],0))="s2",IF($FN111=Spécificité2Poneys,1)),
INDEX(Règles_poneys[Specificite],MATCH(RationHivernaleAuPréPoneys&amp;$FN111,Règles_poneys[Ration]&amp;Règles_poneys[Aliment],0))="c"),
INDEX(Règles_poneys[Valeur 36 et plus],MATCH(RationHivernaleAuPréPoneys&amp;$FN111,Règles_poneys[Ration]&amp;Règles_poneys[Aliment],0)),0),0)*SUM(TotalPoneysAdultes)*SUM(AG118:AG142))</f>
        <v>0</v>
      </c>
      <c r="FP111" s="458">
        <f t="array" ref="FP111">IF(OR(ChoixRationComplèteEtéPoneys=OUI,ChoixRationComplèteEtéPoneys="",AND(ChoixPoneysPréHiver=OUI,ChoixPoneysPréEté=OUI)),0,IFERROR(IF(OR(AND(INDEX(Règles_poneys[Specificite],MATCH(RationHivernaleAuPréPoneys&amp;$FN111,Règles_poneys[Ration]&amp;Règles_poneys[Aliment],0))="s1",IF($FN111=Spécificité1Poneys,1)),
AND(INDEX(Règles_poneys[Specificite],MATCH(RationHivernaleAuPréPoneys&amp;$FN111,Règles_poneys[Ration]&amp;Règles_poneys[Aliment],0))="s2",IF($FN111=Spécificité2Poneys,1)),
INDEX(Règles_poneys[Specificite],MATCH(RationHivernaleAuPréPoneys&amp;$FN111,Règles_poneys[Ration]&amp;Règles_poneys[Aliment],0))="c"),
INDEX(Règles_poneys[Valeur 24-36],MATCH(RationHivernaleAuPréPoneys&amp;$FN111,Règles_poneys[Ration]&amp;Règles_poneys[Aliment],0)),0),0)*SUM(TotalPoneys_24_36mois)*SUM(AG118:AG142))</f>
        <v>0</v>
      </c>
      <c r="FQ111" s="458">
        <f t="array" ref="FQ111">IF(OR(ChoixRationComplèteEtéPoneys=OUI,ChoixRationComplèteEtéPoneys="",AND(ChoixPoneysPréHiver=OUI,ChoixPoneysPréEté=OUI)),0,IFERROR(IF(OR(AND(INDEX(Règles_poneys[Specificite],MATCH(RationHivernaleAuPréPoneys&amp;$FN111,Règles_poneys[Ration]&amp;Règles_poneys[Aliment],0))="s1",IF($FN111=Spécificité1Poneys,1)),
AND(INDEX(Règles_poneys[Specificite],MATCH(RationHivernaleAuPréPoneys&amp;$FN111,Règles_poneys[Ration]&amp;Règles_poneys[Aliment],0))="s2",IF($FN111=Spécificité2Poneys,1)),
INDEX(Règles_poneys[Specificite],MATCH(RationHivernaleAuPréPoneys&amp;$FN111,Règles_poneys[Ration]&amp;Règles_poneys[Aliment],0))="c"),
INDEX(Règles_poneys[Valeur 12-24],MATCH(RationHivernaleAuPréPoneys&amp;$FN111,Règles_poneys[Ration]&amp;Règles_poneys[Aliment],0)),0),0)*SUM(TotalPoneys_12_24mois)*SUM(AG118:AG142))</f>
        <v>0</v>
      </c>
      <c r="FR111" s="460">
        <f t="array" ref="FR111">IF(OR(ChoixRationComplèteEtéPoneys=OUI,ChoixRationComplèteEtéPoneys="",AND(ChoixPoneysPréHiver=OUI,ChoixPoneysPréEté=OUI)),0,IFERROR(IF(OR(AND(INDEX(Règles_poneys[Specificite],MATCH(RationHivernaleAuPréPoneys&amp;$FN111,Règles_poneys[Ration]&amp;Règles_poneys[Aliment],0))="s1",IF($FN111=Spécificité1Poneys,1)),
AND(INDEX(Règles_poneys[Specificite],MATCH(RationHivernaleAuPréPoneys&amp;$FN111,Règles_poneys[Ration]&amp;Règles_poneys[Aliment],0))="s2",IF($FN111=Spécificité2Poneys,1)),
INDEX(Règles_poneys[Specificite],MATCH(RationHivernaleAuPréPoneys&amp;$FN111,Règles_poneys[Ration]&amp;Règles_poneys[Aliment],0))="c"),
INDEX(Règles_poneys[Valeur 0-12],MATCH(RationHivernaleAuPréPoneys&amp;$FN111,Règles_poneys[Ration]&amp;Règles_poneys[Aliment],0)),0),0)*SUM(TotalPoulainsPoneys)*SUM(AG118:AG142))</f>
        <v>0</v>
      </c>
      <c r="FS111" s="460">
        <f t="shared" si="29"/>
        <v>0</v>
      </c>
      <c r="FT111" s="298"/>
      <c r="FW111" s="443" t="str">
        <f t="shared" si="27"/>
        <v>Paille</v>
      </c>
      <c r="FX111" s="450">
        <f t="array" ref="FX111">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11" s="450">
        <f t="array" ref="FY111">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11" s="450">
        <f t="array" ref="FZ111">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11" s="450">
        <f t="array" ref="GA111">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11" s="451">
        <f>SUM(AlimentsGavageCanards[[#This Row],[Valeur 6 et plus]:[Valeur 0-1]])</f>
        <v>0</v>
      </c>
      <c r="GG111" s="276" t="s">
        <v>955</v>
      </c>
      <c r="GH111" s="276" t="s">
        <v>955</v>
      </c>
      <c r="GI111" s="276" t="s">
        <v>955</v>
      </c>
      <c r="GJ111" s="276" t="s">
        <v>955</v>
      </c>
      <c r="GK111" s="276" t="s">
        <v>955</v>
      </c>
      <c r="GL111" s="276" t="s">
        <v>955</v>
      </c>
      <c r="GM111" s="276" t="s">
        <v>955</v>
      </c>
      <c r="GN111" s="276" t="s">
        <v>955</v>
      </c>
      <c r="GO111" s="276" t="s">
        <v>955</v>
      </c>
      <c r="GP111" s="276" t="s">
        <v>955</v>
      </c>
      <c r="GQ111" s="276" t="s">
        <v>955</v>
      </c>
      <c r="GR111" s="276" t="s">
        <v>955</v>
      </c>
      <c r="GS111" s="276" t="s">
        <v>955</v>
      </c>
      <c r="GT111" s="276" t="s">
        <v>955</v>
      </c>
      <c r="GU111" s="276" t="s">
        <v>955</v>
      </c>
      <c r="GV111" s="276" t="s">
        <v>955</v>
      </c>
      <c r="HN111" s="342" t="s">
        <v>990</v>
      </c>
      <c r="HO111" s="342" t="e">
        <f>IF(OR(#REF!=NON,#REF!=""),0,IF(SUM(TotalBovins)=0,0,ROUNDUP(((SUM(TotalVeaux)*HerbeMangéeParVeauParJour/10000+SUM(TotalBovinsMâles_12_18mois+TotalBovinsMâles_18_24mois+TotalBovinsMâles_24_36mois)*HerbeMangéeParTaurillonParJour/10000+SUM(TotalBovinsFemelles_12_18mois+TotalBovinsFemelles_18_24mois+TotalBovinsFemelles_24_36mois)*HerbeMangéeParGenisseParJour/10000+TotalTaureaux*HerbeMangéeParTaureauParJour/10000+TotalVaches*HerbeMangéeParVacheParJour/10000)*49)/((49*4/100)+1),0)))</f>
        <v>#REF!</v>
      </c>
      <c r="HP111" s="342">
        <f>SUM(TotalBisons)</f>
        <v>0</v>
      </c>
      <c r="HQ111" s="342">
        <v>0</v>
      </c>
      <c r="HR111" s="342" t="e">
        <f>IF(OR(#REF!=NON,#REF!=""),0,IF(SUM(TotalCaprins)=0,0,ROUNDUP((((SUM(TotalChevreaux))*HerbeMangéeParChevreauParJour/10000+(SUM(TotalJeunesCaprins))*BDD!JQ67/10000+TotalBoucs*HerbeMangéeParBoucParJour/10000+TotalChèvres*HerbeMangéeParChèvreParJour/10000)*35)/((35*4/100)+1),0)))</f>
        <v>#REF!</v>
      </c>
      <c r="HS111" s="342">
        <v>0</v>
      </c>
      <c r="HT111" s="342">
        <v>0</v>
      </c>
      <c r="HU111" s="342">
        <v>0</v>
      </c>
      <c r="HV111" s="342" t="e">
        <f>IF(OR(#REF!=NON,#REF!=""),0,IF(SUM(TotalOvins)=0,0,ROUNDUP((((SUM(TotalAgneaux))*HerbeMangéeParAgneauParJour/10000+(SUM(TotalJeunesOvins))*HerbeMangéeParJeuneBélierEtJeuneBrebisParJour/10000+TotalBéliers*HerbeMangéeParBélierParJour/10000+TotalBrebis*HerbeMangéeParBrebisParJour/10000)*49)/((49*4/100)+1),0)))</f>
        <v>#REF!</v>
      </c>
      <c r="HW111" s="342">
        <v>0</v>
      </c>
      <c r="HX111" s="342">
        <v>0</v>
      </c>
      <c r="HY111" s="342" t="e">
        <f>IF(OR(#REF!=NON,#REF!=""),0,IF(SUM(TotalChevauxSelle)=0,0,ROUNDUP((((SUM(TotalPoulainsSelle))*HerbeMangéeParPoulainSelleParJour/10000+(SUM(TotalJeunesChevauxSelle))*HerbeMangéeParJeunesChevauxSelleParJour/10000+SUM(TotalChevauxSelleAdultes)*HerbeMangéeParChevauxSelleAdultesParJour/10000)*63)/((63*4/100)+1),0)))</f>
        <v>#REF!</v>
      </c>
      <c r="HZ111" s="342" t="e">
        <f>IF(OR(#REF!=NON,#REF!=""),0,IF(SUM(TotalChevauxTrait)=0,0,ROUNDUP((((SUM(TotalPoulainsTrait))*HerbeMangéeParPoulainTraitParJour/10000+(SUM(TotalJeunesChevauxTrait))*HerbeMangéeParJeuneChevauxTraitParJour/10000+SUM(TotalChevauxTraitAdultes)*HerbeMangéeParChevauxTraitAdultesParJour/10000)*63)/((63*4/100)+1),0)))</f>
        <v>#REF!</v>
      </c>
      <c r="IA111" s="342" t="e">
        <f>IF(OR(#REF!=NON,#REF!=""),0,IF(SUM(TotalPoneys)=0,0,ROUNDUP((((SUM(TotalPoulainsPoneys))*HerbeMangéeParPoulainPoneyParJour/10000+(SUM(TotalJeunesPoneys))*HerbeMangéeParJeunePoneyParJour/10000+SUM(TotalPoneysAdultes)*HerbeMangéeParPoneyAdulteParJour/10000)*63)/((63*4/100)+1),0)))</f>
        <v>#REF!</v>
      </c>
      <c r="IB111" s="342" t="e">
        <f t="shared" si="42"/>
        <v>#REF!</v>
      </c>
    </row>
    <row r="112" spans="1:236" ht="12.75" customHeight="1" x14ac:dyDescent="0.2">
      <c r="A112" s="381"/>
      <c r="B112" s="380"/>
      <c r="F112" s="280"/>
      <c r="G112" s="321"/>
      <c r="H112" s="321"/>
      <c r="I112" s="321"/>
      <c r="J112" s="321"/>
      <c r="K112" s="321"/>
      <c r="L112" s="321"/>
      <c r="O112" s="384">
        <v>1000</v>
      </c>
      <c r="BB112" s="387" t="s">
        <v>948</v>
      </c>
      <c r="BC112" s="362" t="s">
        <v>220</v>
      </c>
      <c r="BD112" s="362" t="s">
        <v>887</v>
      </c>
      <c r="BE112" s="388">
        <v>7.2</v>
      </c>
      <c r="BF112" s="388">
        <v>6</v>
      </c>
      <c r="BG112" s="388">
        <v>4</v>
      </c>
      <c r="BH112" s="388">
        <v>2</v>
      </c>
      <c r="BI112" s="388">
        <v>1.2</v>
      </c>
      <c r="BJ112" s="388">
        <v>0.6</v>
      </c>
      <c r="BK112" s="389">
        <v>0</v>
      </c>
      <c r="BL112" s="312"/>
      <c r="BM112" s="229" t="s">
        <v>1195</v>
      </c>
      <c r="BN112" s="229"/>
      <c r="BO112" s="229"/>
      <c r="BP112" s="229"/>
      <c r="BQ112" s="277"/>
      <c r="BU112" s="317"/>
      <c r="BX112" s="350" t="s">
        <v>499</v>
      </c>
      <c r="BY112" s="350">
        <f t="array" ref="BY112">IF(ChoixRationComplèteCaprins=OUI,0,IFERROR(IF(OR(AND(INDEX(Règles_caprins[Specificite],MATCH(ChoixRationCaprins&amp;$BX112,Règles_caprins[Ration]&amp;Règles_caprins[Aliment],0))="s1",IF($BX112=Spécificité1Caprins,1)),
INDEX(Règles_caprins[Specificite],MATCH(ChoixRationCaprins&amp;$BX112,Règles_caprins[Ration]&amp;Règles_caprins[Aliment],0))="c"),
INDEX(Règles_caprins[Valeur 12 et plus],MATCH(ChoixRationCaprins&amp;$BX112,Règles_caprins[Ration]&amp;Règles_caprins[Aliment],0)),0),0)*TotalBoucs*NbreJoursNourrirCaprins)</f>
        <v>0</v>
      </c>
      <c r="BZ112" s="350">
        <f t="array" ref="BZ112">IF(ChoixRationComplèteCaprins=OUI,0,IFERROR(IF(OR(AND(INDEX(Règles_caprins[Specificite],MATCH(ChoixRationCaprins&amp;$BX112,Règles_caprins[Ration]&amp;Règles_caprins[Aliment],0))="s1",IF($BX112=Spécificité1Caprins,1)),
INDEX(Règles_caprins[Specificite],MATCH(ChoixRationCaprins&amp;$BX112,Règles_caprins[Ration]&amp;Règles_caprins[Aliment],0))="c"),
INDEX(Règles_caprins[Valeur 6-12],MATCH(ChoixRationCaprins&amp;$BX112,Règles_caprins[Ration]&amp;Règles_caprins[Aliment],0)),0),0)*jeune_bouc_6_12_mois*NbreJoursNourrirCaprins)</f>
        <v>0</v>
      </c>
      <c r="CA112" s="350">
        <f t="array" ref="CA112">IF(ChoixRationComplèteCaprins=OUI,0,IFERROR(IF(OR(AND(INDEX(Règles_caprins[Specificite],MATCH(ChoixRationCaprins&amp;$BX112,Règles_caprins[Ration]&amp;Règles_caprins[Aliment],0))="s1",IF($BX112=Spécificité1Caprins,1)),
INDEX(Règles_caprins[Specificite],MATCH(ChoixRationCaprins&amp;$BX112,Règles_caprins[Ration]&amp;Règles_caprins[Aliment],0))="c"),
INDEX(Règles_caprins[Valeur 3-6],MATCH(ChoixRationCaprins&amp;$BX112,Règles_caprins[Ration]&amp;Règles_caprins[Aliment],0)),0),0)*chevreau_3_6_mois*NbreJoursNourrirCaprins)</f>
        <v>0</v>
      </c>
      <c r="CB112" s="350">
        <f t="array" ref="CB112">IF(ChoixRationComplèteCaprins=OUI,0,IFERROR(IF(OR(AND(INDEX(Règles_caprins[Specificite],MATCH(ChoixRationCaprins&amp;$BX112,Règles_caprins[Ration]&amp;Règles_caprins[Aliment],0))="s1",IF($BX112=Spécificité1Caprins,1)),
INDEX(Règles_caprins[Specificite],MATCH(ChoixRationCaprins&amp;$BX112,Règles_caprins[Ration]&amp;Règles_caprins[Aliment],0))="c"),
INDEX(Règles_caprins[Valeur 0-3],MATCH(ChoixRationCaprins&amp;$BX112,Règles_caprins[Ration]&amp;Règles_caprins[Aliment],0)),0),0)*chevreau_0_3_mois*NbreJoursNourrirCaprins)</f>
        <v>0</v>
      </c>
      <c r="CC112" s="350">
        <f t="shared" si="41"/>
        <v>0</v>
      </c>
      <c r="CH112" s="276"/>
      <c r="CI112" s="277"/>
      <c r="CJ112" s="420" t="str">
        <f t="shared" si="25"/>
        <v>Pulpe déshydratée de betterave</v>
      </c>
      <c r="CK112" s="384">
        <f t="array" ref="CK11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12" s="384">
        <f t="array" ref="CL11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12" s="384">
        <f t="array" ref="CM11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12" s="384">
        <f t="array" ref="CN11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12" s="384">
        <f t="array" ref="CO11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12" s="426">
        <f>SUM(AlimentsRationPorcinsFemelles[[#This Row],[Valeur 12 et plus]:[Valeur 0-1]])</f>
        <v>0</v>
      </c>
      <c r="CQ112" s="279"/>
      <c r="CS112" s="420" t="str">
        <f t="shared" si="36"/>
        <v>Féverole</v>
      </c>
      <c r="CT112" s="433">
        <f t="array" ref="CT112">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12" s="433">
        <f t="array" ref="CU112">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12" s="433">
        <f t="array" ref="CV112">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12" s="434">
        <f>SUM(AlimentsRationLapinsFemelles[[#This Row],[Valeur 3 et plus]:[Valeur 0-1]])</f>
        <v>0</v>
      </c>
      <c r="CY112" s="277"/>
      <c r="CZ112" s="420" t="str">
        <f t="shared" si="37"/>
        <v>Féverole</v>
      </c>
      <c r="DA112" s="433">
        <f t="array" ref="DA11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12" s="433">
        <f t="array" ref="DB11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12" s="433">
        <f t="array" ref="DC11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12" s="434">
        <f>SUM(AlimentsRationVolaillesFemelles[[#This Row],[Valeur 6 et plus]:[Valeur 0-1]])</f>
        <v>0</v>
      </c>
      <c r="DE112" s="298"/>
      <c r="DG112" s="384" t="str">
        <f t="shared" si="26"/>
        <v>Pois</v>
      </c>
      <c r="DH112" s="433">
        <f t="array" ref="DH11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12" s="433">
        <f t="array" ref="DI11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12" s="433">
        <f t="array" ref="DJ11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12" s="437">
        <f>SUM(AlimentsRationPintadesFemelles[[#This Row],[Valeur 6 et plus]:[Valeur 0-1]])</f>
        <v>0</v>
      </c>
      <c r="DN112" s="373" t="s">
        <v>950</v>
      </c>
      <c r="DO112" s="280" t="s">
        <v>70</v>
      </c>
      <c r="DP112" s="280" t="s">
        <v>887</v>
      </c>
      <c r="DQ112" s="310">
        <v>1.6</v>
      </c>
      <c r="DR112" s="310">
        <v>1.4</v>
      </c>
      <c r="DS112" s="310">
        <v>1.2</v>
      </c>
      <c r="DT112" s="439">
        <v>1</v>
      </c>
      <c r="DU112" s="298"/>
      <c r="DV112" s="350">
        <f t="shared" si="23"/>
        <v>0</v>
      </c>
      <c r="DW112" s="351"/>
      <c r="DX112" s="351"/>
      <c r="DY112" s="351"/>
      <c r="DZ112" s="298"/>
      <c r="EA112" s="298"/>
      <c r="EB112" s="298"/>
      <c r="EC112" s="298"/>
      <c r="ED112" s="298"/>
      <c r="EG112" s="420" t="str">
        <f t="shared" si="30"/>
        <v>Maïs ensilé</v>
      </c>
      <c r="EH112" s="433">
        <f t="array" ref="EH11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12" s="433">
        <f t="array" ref="EI11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12" s="433">
        <f t="array" ref="EJ11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12" s="434">
        <f>SUM(AlimentsRationOiesFemelles[[#This Row],[Valeur 6 et plus]:[Valeur 0-3]])</f>
        <v>0</v>
      </c>
      <c r="EN112" s="443" t="str">
        <f t="shared" si="28"/>
        <v>Maïs grain</v>
      </c>
      <c r="EO112" s="450">
        <f t="array" ref="EO112">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12" s="450">
        <f t="array" ref="EP112">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12" s="450">
        <f t="array" ref="EQ112">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12" s="451">
        <f>SUM(Ration_canards_Femelles[[#This Row],[Valeur 6 et plus]:[Valeur 0-3]])</f>
        <v>0</v>
      </c>
      <c r="EU112" s="457" t="str">
        <f t="shared" si="40"/>
        <v>Ensilage d'herbe</v>
      </c>
      <c r="EV112" s="458">
        <f t="array" ref="EV112">IF(OR(ChoixRationComplèteEtéChevauxSelle=OUI,ChoixRationComplèteEtéChevauxSelle="",AND(ChoixChevauxSellePréHiver=OUI,ChoixChevauxSellePréEté=OUI)),0,IFERROR(IF(OR(AND(INDEX(Règles_chevaux_selle[Specificite],MATCH(RationEtéChevauxSelle&amp;$EU112,Règles_chevaux_selle[Ration]&amp;Règles_chevaux_selle[Aliment],0))="s1",IF($EU112=Spécificité1ChevauxSelle,1)),
AND(INDEX(Règles_chevaux_selle[Specificite],MATCH(RationEtéChevauxSelle&amp;$EU112,Règles_chevaux_selle[Ration]&amp;Règles_chevaux_selle[Aliment],0))="s2",IF($EU112=Spécificité2ChevauxSelle,1)),
INDEX(Règles_chevaux_selle[Specificite],MATCH(RationEtéChevauxSelle&amp;$EU112,Règles_chevaux_selle[Ration]&amp;Règles_chevaux_selle[Aliment],0))="c"),
INDEX(Règles_chevaux_selle[Valeur 36 et plus],MATCH(RationEtéChevauxSelle&amp;$EU112,Règles_chevaux_selle[Ration]&amp;Règles_chevaux_selle[Aliment],0)),0),0)*TotalJumentSelle*NbreJoursNourrirChevauxSelle)</f>
        <v>0</v>
      </c>
      <c r="EW112" s="458">
        <f t="array" ref="EW112">IF(OR(ChoixRationComplèteEtéChevauxSelle=OUI,ChoixRationComplèteEtéChevauxSelle="",AND(ChoixChevauxSellePréHiver=OUI,ChoixChevauxSellePréEté=OUI)),0,IFERROR(IF(OR(AND(INDEX(Règles_chevaux_selle[Specificite],MATCH(RationEtéChevauxSelle&amp;$EU112,Règles_chevaux_selle[Ration]&amp;Règles_chevaux_selle[Aliment],0))="s1",IF($EU112=Spécificité1ChevauxSelle,1)),
AND(INDEX(Règles_chevaux_selle[Specificite],MATCH(RationEtéChevauxSelle&amp;$EU112,Règles_chevaux_selle[Ration]&amp;Règles_chevaux_selle[Aliment],0))="s2",IF($EU112=Spécificité2ChevauxSelle,1)),
INDEX(Règles_chevaux_selle[Specificite],MATCH(RationEtéChevauxSelle&amp;$EU112,Règles_chevaux_selle[Ration]&amp;Règles_chevaux_selle[Aliment],0))="c"),
INDEX(Règles_chevaux_selle[Valeur 24-36],MATCH(RationEtéChevauxSelle&amp;$EU112,Règles_chevaux_selle[Ration]&amp;Règles_chevaux_selle[Aliment],0)),0),0)*TotalJeuneJumentSelle_24_36_mois*NbreJoursNourrirChevauxSelle)</f>
        <v>0</v>
      </c>
      <c r="EX112" s="458">
        <f t="array" ref="EX112">IF(OR(ChoixRationComplèteEtéChevauxSelle=OUI,ChoixRationComplèteEtéChevauxSelle="",AND(ChoixChevauxSellePréHiver=OUI,ChoixChevauxSellePréEté=OUI)),0,IFERROR(IF(OR(AND(INDEX(Règles_chevaux_selle[Specificite],MATCH(RationEtéChevauxSelle&amp;$EU112,Règles_chevaux_selle[Ration]&amp;Règles_chevaux_selle[Aliment],0))="s1",IF($EU112=Spécificité1ChevauxSelle,1)),
AND(INDEX(Règles_chevaux_selle[Specificite],MATCH(RationEtéChevauxSelle&amp;$EU112,Règles_chevaux_selle[Ration]&amp;Règles_chevaux_selle[Aliment],0))="s2",IF($EU112=Spécificité2ChevauxSelle,1)),
INDEX(Règles_chevaux_selle[Specificite],MATCH(RationEtéChevauxSelle&amp;$EU112,Règles_chevaux_selle[Ration]&amp;Règles_chevaux_selle[Aliment],0))="c"),
INDEX(Règles_chevaux_selle[Valeur 12-24],MATCH(RationEtéChevauxSelle&amp;$EU112,Règles_chevaux_selle[Ration]&amp;Règles_chevaux_selle[Aliment],0)),0),0)*TotalJeuneJumentSelle_12_24_mois_12_24_mois*NbreJoursNourrirChevauxSelle)</f>
        <v>0</v>
      </c>
      <c r="EY112" s="460">
        <f t="array" ref="EY112">IF(OR(ChoixRationComplèteEtéChevauxSelle=OUI,ChoixRationComplèteEtéChevauxSelle="",AND(ChoixChevauxSellePréHiver=OUI,ChoixChevauxSellePréEté=OUI)),0,IFERROR(IF(OR(AND(INDEX(Règles_chevaux_selle[Specificite],MATCH(RationEtéChevauxSelle&amp;$EU112,Règles_chevaux_selle[Ration]&amp;Règles_chevaux_selle[Aliment],0))="s1",IF($EU112=Spécificité1ChevauxSelle,1)),
AND(INDEX(Règles_chevaux_selle[Specificite],MATCH(RationEtéChevauxSelle&amp;$EU112,Règles_chevaux_selle[Ration]&amp;Règles_chevaux_selle[Aliment],0))="s2",IF($EU112=Spécificité2ChevauxSelle,1)),
INDEX(Règles_chevaux_selle[Specificite],MATCH(RationEtéChevauxSelle&amp;$EU112,Règles_chevaux_selle[Ration]&amp;Règles_chevaux_selle[Aliment],0))="c"),
INDEX(Règles_chevaux_selle[Valeur 0-12],MATCH(RationEtéChevauxSelle&amp;$EU112,Règles_chevaux_selle[Ration]&amp;Règles_chevaux_selle[Aliment],0)),0),0)*TotalPoulicheSelle_0_12_mois*NbreJoursNourrirChevauxSelle)</f>
        <v>0</v>
      </c>
      <c r="EZ112" s="460">
        <f t="shared" si="39"/>
        <v>0</v>
      </c>
      <c r="FD112" s="457" t="str">
        <f t="shared" si="33"/>
        <v>Lentille</v>
      </c>
      <c r="FE112" s="458">
        <f t="array" ref="FE112">IF(OR(ChoixRationComplèteEtéChevauxTrait=OUI,ChoixRationComplèteEtéChevauxTrait="",AND(ChoixChevauxTraitPréHiver=OUI,ChoixChevauxTraitPréEté=OUI)),0,IFERROR(IF(OR(AND(INDEX(Règles_chevaux_trait[Specificite],MATCH(RationEtéChevauxTrait&amp;$FD112,Règles_chevaux_trait[Ration]&amp;Règles_chevaux_trait[Aliment],0))="s1",IF($FD112=Spécificité1ChevauxTrait,1)),
AND(INDEX(Règles_chevaux_trait[Specificite],MATCH(RationEtéChevauxTrait&amp;$FD112,Règles_chevaux_trait[Ration]&amp;Règles_chevaux_trait[Aliment],0))="s2",IF($FD112=Spécificité2ChevauxTrait,1)),
INDEX(Règles_chevaux_trait[Specificite],MATCH(RationEtéChevauxTrait&amp;$FD112,Règles_chevaux_trait[Ration]&amp;Règles_chevaux_trait[Aliment],0))="c"),
INDEX(Règles_chevaux_trait[Valeur 36 et plus],MATCH(RationEtéChevauxTrait&amp;$FD112,Règles_chevaux_trait[Ration]&amp;Règles_chevaux_trait[Aliment],0)),0),0)*TotalJumentTrait*NbreJoursNourrirChevauxTrait)</f>
        <v>0</v>
      </c>
      <c r="FF112" s="458">
        <f t="array" ref="FF112">IF(OR(ChoixRationComplèteEtéChevauxTrait=OUI,ChoixRationComplèteEtéChevauxTrait="",AND(ChoixChevauxTraitPréHiver=OUI,ChoixChevauxTraitPréEté=OUI)),0,IFERROR(IF(OR(AND(INDEX(Règles_chevaux_trait[Specificite],MATCH(RationEtéChevauxTrait&amp;$FD112,Règles_chevaux_trait[Ration]&amp;Règles_chevaux_trait[Aliment],0))="s1",IF($FD112=Spécificité1ChevauxTrait,1)),
AND(INDEX(Règles_chevaux_trait[Specificite],MATCH(RationEtéChevauxTrait&amp;$FD112,Règles_chevaux_trait[Ration]&amp;Règles_chevaux_trait[Aliment],0))="s2",IF($FD112=Spécificité2ChevauxTrait,1)),
INDEX(Règles_chevaux_trait[Specificite],MATCH(RationEtéChevauxTrait&amp;$FD112,Règles_chevaux_trait[Ration]&amp;Règles_chevaux_trait[Aliment],0))="c"),
INDEX(Règles_chevaux_trait[Valeur 24-36],MATCH(RationEtéChevauxTrait&amp;$FD112,Règles_chevaux_trait[Ration]&amp;Règles_chevaux_trait[Aliment],0)),0),0)*TotalJeuneJumentTrait_24_36_mois*NbreJoursNourrirChevauxTrait)</f>
        <v>0</v>
      </c>
      <c r="FG112" s="458">
        <f t="array" ref="FG112">IF(OR(ChoixRationComplèteEtéChevauxTrait=OUI,ChoixRationComplèteEtéChevauxTrait="",AND(ChoixChevauxTraitPréHiver=OUI,ChoixChevauxTraitPréEté=OUI)),0,IFERROR(IF(OR(AND(INDEX(Règles_chevaux_trait[Specificite],MATCH(RationEtéChevauxTrait&amp;$FD112,Règles_chevaux_trait[Ration]&amp;Règles_chevaux_trait[Aliment],0))="s1",IF($FD112=Spécificité1ChevauxTrait,1)),
AND(INDEX(Règles_chevaux_trait[Specificite],MATCH(RationEtéChevauxTrait&amp;$FD112,Règles_chevaux_trait[Ration]&amp;Règles_chevaux_trait[Aliment],0))="s2",IF($FD112=Spécificité2ChevauxTrait,1)),
INDEX(Règles_chevaux_trait[Specificite],MATCH(RationEtéChevauxTrait&amp;$FD112,Règles_chevaux_trait[Ration]&amp;Règles_chevaux_trait[Aliment],0))="c"),
INDEX(Règles_chevaux_trait[Valeur 12-24],MATCH(RationEtéChevauxTrait&amp;$FD112,Règles_chevaux_trait[Ration]&amp;Règles_chevaux_trait[Aliment],0)),0),0)*TotalJeuneJumentTrait_12_24_mois*NbreJoursNourrirChevauxTrait)</f>
        <v>0</v>
      </c>
      <c r="FH112" s="460">
        <f t="array" ref="FH112">IF(OR(ChoixRationComplèteEtéChevauxTrait=OUI,ChoixRationComplèteEtéChevauxTrait="",AND(ChoixChevauxTraitPréHiver=OUI,ChoixChevauxTraitPréEté=OUI)),0,IFERROR(IF(OR(AND(INDEX(Règles_chevaux_trait[Specificite],MATCH(RationEtéChevauxTrait&amp;$FD112,Règles_chevaux_trait[Ration]&amp;Règles_chevaux_trait[Aliment],0))="s1",IF($FD112=Spécificité1ChevauxTrait,1)),
AND(INDEX(Règles_chevaux_trait[Specificite],MATCH(RationEtéChevauxTrait&amp;$FD112,Règles_chevaux_trait[Ration]&amp;Règles_chevaux_trait[Aliment],0))="s2",IF($FD112=Spécificité2ChevauxTrait,1)),
INDEX(Règles_chevaux_trait[Specificite],MATCH(RationEtéChevauxTrait&amp;$FD112,Règles_chevaux_trait[Ration]&amp;Règles_chevaux_trait[Aliment],0))="c"),
INDEX(Règles_chevaux_trait[Valeur 0-12],MATCH(RationEtéChevauxTrait&amp;$FD112,Règles_chevaux_trait[Ration]&amp;Règles_chevaux_trait[Aliment],0)),0),0)*TotalPoulicheTrait_0_12_mois*NbreJoursNourrirChevauxTrait)</f>
        <v>0</v>
      </c>
      <c r="FI112" s="460">
        <f t="shared" si="31"/>
        <v>0</v>
      </c>
      <c r="FJ112" s="298"/>
      <c r="FN112" s="457" t="str">
        <f t="shared" si="32"/>
        <v>Maïs ensilé</v>
      </c>
      <c r="FO112" s="458">
        <f t="array" ref="FO112">IF(OR(ChoixRationComplèteEtéPoneys=OUI,ChoixRationComplèteEtéPoneys="",AND(ChoixPoneysPréHiver=OUI,ChoixPoneysPréEté=OUI)),0,IFERROR(IF(OR(AND(INDEX(Règles_poneys[Specificite],MATCH(RationHivernaleAuPréPoneys&amp;$FN112,Règles_poneys[Ration]&amp;Règles_poneys[Aliment],0))="s1",IF($FN112=Spécificité1Poneys,1)),
AND(INDEX(Règles_poneys[Specificite],MATCH(RationHivernaleAuPréPoneys&amp;$FN112,Règles_poneys[Ration]&amp;Règles_poneys[Aliment],0))="s2",IF($FN112=Spécificité2Poneys,1)),
INDEX(Règles_poneys[Specificite],MATCH(RationHivernaleAuPréPoneys&amp;$FN112,Règles_poneys[Ration]&amp;Règles_poneys[Aliment],0))="c"),
INDEX(Règles_poneys[Valeur 36 et plus],MATCH(RationHivernaleAuPréPoneys&amp;$FN112,Règles_poneys[Ration]&amp;Règles_poneys[Aliment],0)),0),0)*SUM(TotalPoneysAdultes)*SUM(AG118:AG142))</f>
        <v>0</v>
      </c>
      <c r="FP112" s="458">
        <f t="array" ref="FP112">IF(OR(ChoixRationComplèteEtéPoneys=OUI,ChoixRationComplèteEtéPoneys="",AND(ChoixPoneysPréHiver=OUI,ChoixPoneysPréEté=OUI)),0,IFERROR(IF(OR(AND(INDEX(Règles_poneys[Specificite],MATCH(RationHivernaleAuPréPoneys&amp;$FN112,Règles_poneys[Ration]&amp;Règles_poneys[Aliment],0))="s1",IF($FN112=Spécificité1Poneys,1)),
AND(INDEX(Règles_poneys[Specificite],MATCH(RationHivernaleAuPréPoneys&amp;$FN112,Règles_poneys[Ration]&amp;Règles_poneys[Aliment],0))="s2",IF($FN112=Spécificité2Poneys,1)),
INDEX(Règles_poneys[Specificite],MATCH(RationHivernaleAuPréPoneys&amp;$FN112,Règles_poneys[Ration]&amp;Règles_poneys[Aliment],0))="c"),
INDEX(Règles_poneys[Valeur 24-36],MATCH(RationHivernaleAuPréPoneys&amp;$FN112,Règles_poneys[Ration]&amp;Règles_poneys[Aliment],0)),0),0)*SUM(TotalPoneys_24_36mois)*SUM(AG118:AG142))</f>
        <v>0</v>
      </c>
      <c r="FQ112" s="458">
        <f t="array" ref="FQ112">IF(OR(ChoixRationComplèteEtéPoneys=OUI,ChoixRationComplèteEtéPoneys="",AND(ChoixPoneysPréHiver=OUI,ChoixPoneysPréEté=OUI)),0,IFERROR(IF(OR(AND(INDEX(Règles_poneys[Specificite],MATCH(RationHivernaleAuPréPoneys&amp;$FN112,Règles_poneys[Ration]&amp;Règles_poneys[Aliment],0))="s1",IF($FN112=Spécificité1Poneys,1)),
AND(INDEX(Règles_poneys[Specificite],MATCH(RationHivernaleAuPréPoneys&amp;$FN112,Règles_poneys[Ration]&amp;Règles_poneys[Aliment],0))="s2",IF($FN112=Spécificité2Poneys,1)),
INDEX(Règles_poneys[Specificite],MATCH(RationHivernaleAuPréPoneys&amp;$FN112,Règles_poneys[Ration]&amp;Règles_poneys[Aliment],0))="c"),
INDEX(Règles_poneys[Valeur 12-24],MATCH(RationHivernaleAuPréPoneys&amp;$FN112,Règles_poneys[Ration]&amp;Règles_poneys[Aliment],0)),0),0)*SUM(TotalPoneys_12_24mois)*SUM(AG118:AG142))</f>
        <v>0</v>
      </c>
      <c r="FR112" s="460">
        <f t="array" ref="FR112">IF(OR(ChoixRationComplèteEtéPoneys=OUI,ChoixRationComplèteEtéPoneys="",AND(ChoixPoneysPréHiver=OUI,ChoixPoneysPréEté=OUI)),0,IFERROR(IF(OR(AND(INDEX(Règles_poneys[Specificite],MATCH(RationHivernaleAuPréPoneys&amp;$FN112,Règles_poneys[Ration]&amp;Règles_poneys[Aliment],0))="s1",IF($FN112=Spécificité1Poneys,1)),
AND(INDEX(Règles_poneys[Specificite],MATCH(RationHivernaleAuPréPoneys&amp;$FN112,Règles_poneys[Ration]&amp;Règles_poneys[Aliment],0))="s2",IF($FN112=Spécificité2Poneys,1)),
INDEX(Règles_poneys[Specificite],MATCH(RationHivernaleAuPréPoneys&amp;$FN112,Règles_poneys[Ration]&amp;Règles_poneys[Aliment],0))="c"),
INDEX(Règles_poneys[Valeur 0-12],MATCH(RationHivernaleAuPréPoneys&amp;$FN112,Règles_poneys[Ration]&amp;Règles_poneys[Aliment],0)),0),0)*SUM(TotalPoulainsPoneys)*SUM(AG118:AG142))</f>
        <v>0</v>
      </c>
      <c r="FS112" s="460">
        <f t="shared" si="29"/>
        <v>0</v>
      </c>
      <c r="FT112" s="298"/>
      <c r="FW112" s="443" t="str">
        <f t="shared" si="27"/>
        <v>Pois</v>
      </c>
      <c r="FX112" s="450">
        <f t="array" ref="FX112">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12" s="450">
        <f t="array" ref="FY112">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12" s="450">
        <f t="array" ref="FZ112">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12" s="450">
        <f t="array" ref="GA112">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12" s="451">
        <f>SUM(AlimentsGavageCanards[[#This Row],[Valeur 6 et plus]:[Valeur 0-1]])</f>
        <v>0</v>
      </c>
      <c r="GG112" s="276" t="s">
        <v>955</v>
      </c>
      <c r="GH112" s="276" t="s">
        <v>955</v>
      </c>
      <c r="GI112" s="276" t="s">
        <v>955</v>
      </c>
      <c r="GJ112" s="276" t="s">
        <v>955</v>
      </c>
      <c r="GK112" s="276" t="s">
        <v>955</v>
      </c>
      <c r="GL112" s="276" t="s">
        <v>955</v>
      </c>
      <c r="GM112" s="276" t="s">
        <v>955</v>
      </c>
      <c r="GN112" s="276" t="s">
        <v>955</v>
      </c>
      <c r="GO112" s="276" t="s">
        <v>955</v>
      </c>
      <c r="GP112" s="276" t="s">
        <v>955</v>
      </c>
      <c r="GQ112" s="276" t="s">
        <v>955</v>
      </c>
      <c r="GR112" s="276" t="s">
        <v>955</v>
      </c>
      <c r="GS112" s="276" t="s">
        <v>955</v>
      </c>
      <c r="GT112" s="276" t="s">
        <v>955</v>
      </c>
      <c r="GU112" s="276" t="s">
        <v>955</v>
      </c>
      <c r="GV112" s="276" t="s">
        <v>955</v>
      </c>
      <c r="HN112" s="342" t="s">
        <v>1076</v>
      </c>
      <c r="HO112" s="342">
        <v>0</v>
      </c>
      <c r="HP112" s="342">
        <v>0</v>
      </c>
      <c r="HQ112" s="342" t="e">
        <f>IF(SUM(VLOOKUP(BDD!CJ76,BDD!CJ50:CP84,7,FALSE)/1000/SUM(Z76:Z100)*84-(#REF!))&lt;0,0,SUM(VLOOKUP(BDD!CJ76,BDD!CJ50:CP84,7,FALSE)/1000/SUM(Z76:Z100)*84-(#REF!)))</f>
        <v>#REF!</v>
      </c>
      <c r="HR112" s="342">
        <v>0</v>
      </c>
      <c r="HS112" s="342">
        <v>0</v>
      </c>
      <c r="HT112" s="342">
        <v>0</v>
      </c>
      <c r="HU112" s="342">
        <v>0</v>
      </c>
      <c r="HV112" s="342">
        <v>0</v>
      </c>
      <c r="HW112" s="342">
        <v>0</v>
      </c>
      <c r="HX112" s="342">
        <v>0</v>
      </c>
      <c r="HY112" s="342">
        <v>0</v>
      </c>
      <c r="HZ112" s="342">
        <v>0</v>
      </c>
      <c r="IA112" s="342">
        <v>0</v>
      </c>
      <c r="IB112" s="342" t="e">
        <f t="shared" si="42"/>
        <v>#REF!</v>
      </c>
    </row>
    <row r="113" spans="1:236" ht="12.75" customHeight="1" x14ac:dyDescent="0.2">
      <c r="A113" s="373"/>
      <c r="B113" s="380"/>
      <c r="F113" s="280"/>
      <c r="G113" s="280"/>
      <c r="H113" s="280"/>
      <c r="I113" s="321"/>
      <c r="J113" s="280"/>
      <c r="K113" s="280"/>
      <c r="L113" s="280"/>
      <c r="O113" s="384">
        <v>2000</v>
      </c>
      <c r="BB113" s="387" t="s">
        <v>948</v>
      </c>
      <c r="BC113" s="362" t="s">
        <v>70</v>
      </c>
      <c r="BD113" s="362" t="s">
        <v>887</v>
      </c>
      <c r="BE113" s="388">
        <v>7.2</v>
      </c>
      <c r="BF113" s="388">
        <v>6</v>
      </c>
      <c r="BG113" s="388">
        <v>4</v>
      </c>
      <c r="BH113" s="388">
        <v>2</v>
      </c>
      <c r="BI113" s="388">
        <v>1.2</v>
      </c>
      <c r="BJ113" s="388">
        <v>0.6</v>
      </c>
      <c r="BK113" s="389">
        <v>0</v>
      </c>
      <c r="BL113" s="312"/>
      <c r="BM113" s="349" t="s">
        <v>910</v>
      </c>
      <c r="BN113" s="353" t="s">
        <v>1192</v>
      </c>
      <c r="BO113" s="353" t="s">
        <v>1193</v>
      </c>
      <c r="BP113" s="353" t="s">
        <v>1194</v>
      </c>
      <c r="BQ113" s="277"/>
      <c r="BX113" s="350" t="s">
        <v>1166</v>
      </c>
      <c r="BY113" s="350">
        <f t="array" ref="BY113">IF(ChoixRationComplèteCaprins=OUI,0,IFERROR(IF(OR(AND(INDEX(Règles_caprins[Specificite],MATCH(ChoixRationCaprins&amp;$BX113,Règles_caprins[Ration]&amp;Règles_caprins[Aliment],0))="s1",IF($BX113=Spécificité1Caprins,1)),
INDEX(Règles_caprins[Specificite],MATCH(ChoixRationCaprins&amp;$BX113,Règles_caprins[Ration]&amp;Règles_caprins[Aliment],0))="c"),
INDEX(Règles_caprins[Valeur 12 et plus],MATCH(ChoixRationCaprins&amp;$BX113,Règles_caprins[Ration]&amp;Règles_caprins[Aliment],0)),0),0)*TotalBoucs*NbreJoursNourrirCaprins)</f>
        <v>0</v>
      </c>
      <c r="BZ113" s="350">
        <f t="array" ref="BZ113">IF(ChoixRationComplèteCaprins=OUI,0,IFERROR(IF(OR(AND(INDEX(Règles_caprins[Specificite],MATCH(ChoixRationCaprins&amp;$BX113,Règles_caprins[Ration]&amp;Règles_caprins[Aliment],0))="s1",IF($BX113=Spécificité1Caprins,1)),
INDEX(Règles_caprins[Specificite],MATCH(ChoixRationCaprins&amp;$BX113,Règles_caprins[Ration]&amp;Règles_caprins[Aliment],0))="c"),
INDEX(Règles_caprins[Valeur 6-12],MATCH(ChoixRationCaprins&amp;$BX113,Règles_caprins[Ration]&amp;Règles_caprins[Aliment],0)),0),0)*jeune_bouc_6_12_mois*NbreJoursNourrirCaprins)</f>
        <v>0</v>
      </c>
      <c r="CA113" s="350">
        <f t="array" ref="CA113">IF(ChoixRationComplèteCaprins=OUI,0,IFERROR(IF(OR(AND(INDEX(Règles_caprins[Specificite],MATCH(ChoixRationCaprins&amp;$BX113,Règles_caprins[Ration]&amp;Règles_caprins[Aliment],0))="s1",IF($BX113=Spécificité1Caprins,1)),
INDEX(Règles_caprins[Specificite],MATCH(ChoixRationCaprins&amp;$BX113,Règles_caprins[Ration]&amp;Règles_caprins[Aliment],0))="c"),
INDEX(Règles_caprins[Valeur 3-6],MATCH(ChoixRationCaprins&amp;$BX113,Règles_caprins[Ration]&amp;Règles_caprins[Aliment],0)),0),0)*chevreau_3_6_mois*NbreJoursNourrirCaprins)</f>
        <v>0</v>
      </c>
      <c r="CB113" s="350">
        <f t="array" ref="CB113">IF(ChoixRationComplèteCaprins=OUI,0,IFERROR(IF(OR(AND(INDEX(Règles_caprins[Specificite],MATCH(ChoixRationCaprins&amp;$BX113,Règles_caprins[Ration]&amp;Règles_caprins[Aliment],0))="s1",IF($BX113=Spécificité1Caprins,1)),
INDEX(Règles_caprins[Specificite],MATCH(ChoixRationCaprins&amp;$BX113,Règles_caprins[Ration]&amp;Règles_caprins[Aliment],0))="c"),
INDEX(Règles_caprins[Valeur 0-3],MATCH(ChoixRationCaprins&amp;$BX113,Règles_caprins[Ration]&amp;Règles_caprins[Aliment],0)),0),0)*chevreau_0_3_mois*NbreJoursNourrirCaprins)</f>
        <v>0</v>
      </c>
      <c r="CC113" s="350">
        <f t="shared" si="41"/>
        <v>0</v>
      </c>
      <c r="CH113" s="276"/>
      <c r="CI113" s="277"/>
      <c r="CJ113" s="420" t="str">
        <f t="shared" si="25"/>
        <v>Ration complète</v>
      </c>
      <c r="CK113" s="384">
        <f t="array" ref="CK11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13" s="384">
        <f t="array" ref="CL11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13" s="384">
        <f t="array" ref="CM11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13" s="384">
        <f t="array" ref="CN11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13" s="384">
        <f t="array" ref="CO113">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13" s="426">
        <f>SUM(AlimentsRationPorcinsFemelles[[#This Row],[Valeur 12 et plus]:[Valeur 0-1]])</f>
        <v>0</v>
      </c>
      <c r="CQ113" s="298"/>
      <c r="CS113" s="420" t="str">
        <f t="shared" si="36"/>
        <v>Foin</v>
      </c>
      <c r="CT113" s="433">
        <f t="array" ref="CT113">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13" s="433">
        <f t="array" ref="CU113">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13" s="433">
        <f t="array" ref="CV113">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13" s="434">
        <f>SUM(AlimentsRationLapinsFemelles[[#This Row],[Valeur 3 et plus]:[Valeur 0-1]])</f>
        <v>0</v>
      </c>
      <c r="CY113" s="277"/>
      <c r="CZ113" s="420" t="str">
        <f t="shared" si="37"/>
        <v>Foin</v>
      </c>
      <c r="DA113" s="433">
        <f t="array" ref="DA11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13" s="433">
        <f t="array" ref="DB11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13" s="433">
        <f t="array" ref="DC11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13" s="434">
        <f>SUM(AlimentsRationVolaillesFemelles[[#This Row],[Valeur 6 et plus]:[Valeur 0-1]])</f>
        <v>0</v>
      </c>
      <c r="DE113" s="298"/>
      <c r="DG113" s="384" t="str">
        <f t="shared" si="26"/>
        <v>Pomme de terre</v>
      </c>
      <c r="DH113" s="433">
        <f t="array" ref="DH11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13" s="433">
        <f t="array" ref="DI11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13" s="433">
        <f t="array" ref="DJ11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13" s="437">
        <f>SUM(AlimentsRationPintadesFemelles[[#This Row],[Valeur 6 et plus]:[Valeur 0-1]])</f>
        <v>0</v>
      </c>
      <c r="DN113" s="373" t="s">
        <v>950</v>
      </c>
      <c r="DO113" s="280" t="s">
        <v>907</v>
      </c>
      <c r="DP113" s="280" t="s">
        <v>886</v>
      </c>
      <c r="DQ113" s="310">
        <v>1.2</v>
      </c>
      <c r="DR113" s="310">
        <v>0.8</v>
      </c>
      <c r="DS113" s="310">
        <v>0.6</v>
      </c>
      <c r="DT113" s="439">
        <v>0.4</v>
      </c>
      <c r="DU113" s="298"/>
      <c r="DV113" s="350">
        <f t="shared" si="23"/>
        <v>0</v>
      </c>
      <c r="DW113" s="351"/>
      <c r="DX113" s="351"/>
      <c r="DY113" s="351"/>
      <c r="DZ113" s="298"/>
      <c r="EA113" s="298"/>
      <c r="EB113" s="298"/>
      <c r="EC113" s="298"/>
      <c r="ED113" s="298"/>
      <c r="EG113" s="420" t="str">
        <f t="shared" si="30"/>
        <v>Maïs grain</v>
      </c>
      <c r="EH113" s="433">
        <f t="array" ref="EH11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13" s="433">
        <f t="array" ref="EI11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13" s="433">
        <f t="array" ref="EJ11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13" s="434">
        <f>SUM(AlimentsRationOiesFemelles[[#This Row],[Valeur 6 et plus]:[Valeur 0-3]])</f>
        <v>0</v>
      </c>
      <c r="EN113" s="443" t="str">
        <f t="shared" si="28"/>
        <v>Minéraux + vitamines</v>
      </c>
      <c r="EO113" s="450">
        <f t="array" ref="EO113">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13" s="450">
        <f t="array" ref="EP113">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13" s="450">
        <f t="array" ref="EQ113">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13" s="451">
        <f>SUM(Ration_canards_Femelles[[#This Row],[Valeur 6 et plus]:[Valeur 0-3]])</f>
        <v>0</v>
      </c>
      <c r="EU113" s="457" t="str">
        <f t="shared" si="40"/>
        <v>Eau</v>
      </c>
      <c r="EV113" s="458">
        <f t="array" ref="EV113">IF(OR(ChoixRationComplèteEtéChevauxSelle=OUI,ChoixRationComplèteEtéChevauxSelle="",AND(ChoixChevauxSellePréHiver=OUI,ChoixChevauxSellePréEté=OUI)),0,IFERROR(IF(OR(AND(INDEX(Règles_chevaux_selle[Specificite],MATCH(RationEtéChevauxSelle&amp;$EU113,Règles_chevaux_selle[Ration]&amp;Règles_chevaux_selle[Aliment],0))="s1",IF($EU113=Spécificité1ChevauxSelle,1)),
AND(INDEX(Règles_chevaux_selle[Specificite],MATCH(RationEtéChevauxSelle&amp;$EU113,Règles_chevaux_selle[Ration]&amp;Règles_chevaux_selle[Aliment],0))="s2",IF($EU113=Spécificité2ChevauxSelle,1)),
INDEX(Règles_chevaux_selle[Specificite],MATCH(RationEtéChevauxSelle&amp;$EU113,Règles_chevaux_selle[Ration]&amp;Règles_chevaux_selle[Aliment],0))="c"),
INDEX(Règles_chevaux_selle[Valeur 36 et plus],MATCH(RationEtéChevauxSelle&amp;$EU113,Règles_chevaux_selle[Ration]&amp;Règles_chevaux_selle[Aliment],0)),0),0)*TotalJumentSelle*NbreJoursNourrirChevauxSelle)</f>
        <v>0</v>
      </c>
      <c r="EW113" s="458">
        <f t="array" ref="EW113">IF(OR(ChoixRationComplèteEtéChevauxSelle=OUI,ChoixRationComplèteEtéChevauxSelle="",AND(ChoixChevauxSellePréHiver=OUI,ChoixChevauxSellePréEté=OUI)),0,IFERROR(IF(OR(AND(INDEX(Règles_chevaux_selle[Specificite],MATCH(RationEtéChevauxSelle&amp;$EU113,Règles_chevaux_selle[Ration]&amp;Règles_chevaux_selle[Aliment],0))="s1",IF($EU113=Spécificité1ChevauxSelle,1)),
AND(INDEX(Règles_chevaux_selle[Specificite],MATCH(RationEtéChevauxSelle&amp;$EU113,Règles_chevaux_selle[Ration]&amp;Règles_chevaux_selle[Aliment],0))="s2",IF($EU113=Spécificité2ChevauxSelle,1)),
INDEX(Règles_chevaux_selle[Specificite],MATCH(RationEtéChevauxSelle&amp;$EU113,Règles_chevaux_selle[Ration]&amp;Règles_chevaux_selle[Aliment],0))="c"),
INDEX(Règles_chevaux_selle[Valeur 24-36],MATCH(RationEtéChevauxSelle&amp;$EU113,Règles_chevaux_selle[Ration]&amp;Règles_chevaux_selle[Aliment],0)),0),0)*TotalJeuneJumentSelle_24_36_mois*NbreJoursNourrirChevauxSelle)</f>
        <v>0</v>
      </c>
      <c r="EX113" s="458">
        <f t="array" ref="EX113">IF(OR(ChoixRationComplèteEtéChevauxSelle=OUI,ChoixRationComplèteEtéChevauxSelle="",AND(ChoixChevauxSellePréHiver=OUI,ChoixChevauxSellePréEté=OUI)),0,IFERROR(IF(OR(AND(INDEX(Règles_chevaux_selle[Specificite],MATCH(RationEtéChevauxSelle&amp;$EU113,Règles_chevaux_selle[Ration]&amp;Règles_chevaux_selle[Aliment],0))="s1",IF($EU113=Spécificité1ChevauxSelle,1)),
AND(INDEX(Règles_chevaux_selle[Specificite],MATCH(RationEtéChevauxSelle&amp;$EU113,Règles_chevaux_selle[Ration]&amp;Règles_chevaux_selle[Aliment],0))="s2",IF($EU113=Spécificité2ChevauxSelle,1)),
INDEX(Règles_chevaux_selle[Specificite],MATCH(RationEtéChevauxSelle&amp;$EU113,Règles_chevaux_selle[Ration]&amp;Règles_chevaux_selle[Aliment],0))="c"),
INDEX(Règles_chevaux_selle[Valeur 12-24],MATCH(RationEtéChevauxSelle&amp;$EU113,Règles_chevaux_selle[Ration]&amp;Règles_chevaux_selle[Aliment],0)),0),0)*TotalJeuneJumentSelle_12_24_mois_12_24_mois*NbreJoursNourrirChevauxSelle)</f>
        <v>0</v>
      </c>
      <c r="EY113" s="460">
        <f t="array" ref="EY113">IF(OR(ChoixRationComplèteEtéChevauxSelle=OUI,ChoixRationComplèteEtéChevauxSelle="",AND(ChoixChevauxSellePréHiver=OUI,ChoixChevauxSellePréEté=OUI)),0,IFERROR(IF(OR(AND(INDEX(Règles_chevaux_selle[Specificite],MATCH(RationEtéChevauxSelle&amp;$EU113,Règles_chevaux_selle[Ration]&amp;Règles_chevaux_selle[Aliment],0))="s1",IF($EU113=Spécificité1ChevauxSelle,1)),
AND(INDEX(Règles_chevaux_selle[Specificite],MATCH(RationEtéChevauxSelle&amp;$EU113,Règles_chevaux_selle[Ration]&amp;Règles_chevaux_selle[Aliment],0))="s2",IF($EU113=Spécificité2ChevauxSelle,1)),
INDEX(Règles_chevaux_selle[Specificite],MATCH(RationEtéChevauxSelle&amp;$EU113,Règles_chevaux_selle[Ration]&amp;Règles_chevaux_selle[Aliment],0))="c"),
INDEX(Règles_chevaux_selle[Valeur 0-12],MATCH(RationEtéChevauxSelle&amp;$EU113,Règles_chevaux_selle[Ration]&amp;Règles_chevaux_selle[Aliment],0)),0),0)*TotalPoulicheSelle_0_12_mois*NbreJoursNourrirChevauxSelle)</f>
        <v>0</v>
      </c>
      <c r="EZ113" s="460">
        <f t="shared" si="39"/>
        <v>0</v>
      </c>
      <c r="FD113" s="457" t="str">
        <f t="shared" si="33"/>
        <v>Maïs ensilé</v>
      </c>
      <c r="FE113" s="458">
        <f t="array" ref="FE113">IF(OR(ChoixRationComplèteEtéChevauxTrait=OUI,ChoixRationComplèteEtéChevauxTrait="",AND(ChoixChevauxTraitPréHiver=OUI,ChoixChevauxTraitPréEté=OUI)),0,IFERROR(IF(OR(AND(INDEX(Règles_chevaux_trait[Specificite],MATCH(RationEtéChevauxTrait&amp;$FD113,Règles_chevaux_trait[Ration]&amp;Règles_chevaux_trait[Aliment],0))="s1",IF($FD113=Spécificité1ChevauxTrait,1)),
AND(INDEX(Règles_chevaux_trait[Specificite],MATCH(RationEtéChevauxTrait&amp;$FD113,Règles_chevaux_trait[Ration]&amp;Règles_chevaux_trait[Aliment],0))="s2",IF($FD113=Spécificité2ChevauxTrait,1)),
INDEX(Règles_chevaux_trait[Specificite],MATCH(RationEtéChevauxTrait&amp;$FD113,Règles_chevaux_trait[Ration]&amp;Règles_chevaux_trait[Aliment],0))="c"),
INDEX(Règles_chevaux_trait[Valeur 36 et plus],MATCH(RationEtéChevauxTrait&amp;$FD113,Règles_chevaux_trait[Ration]&amp;Règles_chevaux_trait[Aliment],0)),0),0)*TotalJumentTrait*NbreJoursNourrirChevauxTrait)</f>
        <v>0</v>
      </c>
      <c r="FF113" s="458">
        <f t="array" ref="FF113">IF(OR(ChoixRationComplèteEtéChevauxTrait=OUI,ChoixRationComplèteEtéChevauxTrait="",AND(ChoixChevauxTraitPréHiver=OUI,ChoixChevauxTraitPréEté=OUI)),0,IFERROR(IF(OR(AND(INDEX(Règles_chevaux_trait[Specificite],MATCH(RationEtéChevauxTrait&amp;$FD113,Règles_chevaux_trait[Ration]&amp;Règles_chevaux_trait[Aliment],0))="s1",IF($FD113=Spécificité1ChevauxTrait,1)),
AND(INDEX(Règles_chevaux_trait[Specificite],MATCH(RationEtéChevauxTrait&amp;$FD113,Règles_chevaux_trait[Ration]&amp;Règles_chevaux_trait[Aliment],0))="s2",IF($FD113=Spécificité2ChevauxTrait,1)),
INDEX(Règles_chevaux_trait[Specificite],MATCH(RationEtéChevauxTrait&amp;$FD113,Règles_chevaux_trait[Ration]&amp;Règles_chevaux_trait[Aliment],0))="c"),
INDEX(Règles_chevaux_trait[Valeur 24-36],MATCH(RationEtéChevauxTrait&amp;$FD113,Règles_chevaux_trait[Ration]&amp;Règles_chevaux_trait[Aliment],0)),0),0)*TotalJeuneJumentTrait_24_36_mois*NbreJoursNourrirChevauxTrait)</f>
        <v>0</v>
      </c>
      <c r="FG113" s="458">
        <f t="array" ref="FG113">IF(OR(ChoixRationComplèteEtéChevauxTrait=OUI,ChoixRationComplèteEtéChevauxTrait="",AND(ChoixChevauxTraitPréHiver=OUI,ChoixChevauxTraitPréEté=OUI)),0,IFERROR(IF(OR(AND(INDEX(Règles_chevaux_trait[Specificite],MATCH(RationEtéChevauxTrait&amp;$FD113,Règles_chevaux_trait[Ration]&amp;Règles_chevaux_trait[Aliment],0))="s1",IF($FD113=Spécificité1ChevauxTrait,1)),
AND(INDEX(Règles_chevaux_trait[Specificite],MATCH(RationEtéChevauxTrait&amp;$FD113,Règles_chevaux_trait[Ration]&amp;Règles_chevaux_trait[Aliment],0))="s2",IF($FD113=Spécificité2ChevauxTrait,1)),
INDEX(Règles_chevaux_trait[Specificite],MATCH(RationEtéChevauxTrait&amp;$FD113,Règles_chevaux_trait[Ration]&amp;Règles_chevaux_trait[Aliment],0))="c"),
INDEX(Règles_chevaux_trait[Valeur 12-24],MATCH(RationEtéChevauxTrait&amp;$FD113,Règles_chevaux_trait[Ration]&amp;Règles_chevaux_trait[Aliment],0)),0),0)*TotalJeuneJumentTrait_12_24_mois*NbreJoursNourrirChevauxTrait)</f>
        <v>0</v>
      </c>
      <c r="FH113" s="460">
        <f t="array" ref="FH113">IF(OR(ChoixRationComplèteEtéChevauxTrait=OUI,ChoixRationComplèteEtéChevauxTrait="",AND(ChoixChevauxTraitPréHiver=OUI,ChoixChevauxTraitPréEté=OUI)),0,IFERROR(IF(OR(AND(INDEX(Règles_chevaux_trait[Specificite],MATCH(RationEtéChevauxTrait&amp;$FD113,Règles_chevaux_trait[Ration]&amp;Règles_chevaux_trait[Aliment],0))="s1",IF($FD113=Spécificité1ChevauxTrait,1)),
AND(INDEX(Règles_chevaux_trait[Specificite],MATCH(RationEtéChevauxTrait&amp;$FD113,Règles_chevaux_trait[Ration]&amp;Règles_chevaux_trait[Aliment],0))="s2",IF($FD113=Spécificité2ChevauxTrait,1)),
INDEX(Règles_chevaux_trait[Specificite],MATCH(RationEtéChevauxTrait&amp;$FD113,Règles_chevaux_trait[Ration]&amp;Règles_chevaux_trait[Aliment],0))="c"),
INDEX(Règles_chevaux_trait[Valeur 0-12],MATCH(RationEtéChevauxTrait&amp;$FD113,Règles_chevaux_trait[Ration]&amp;Règles_chevaux_trait[Aliment],0)),0),0)*TotalPoulicheTrait_0_12_mois*NbreJoursNourrirChevauxTrait)</f>
        <v>0</v>
      </c>
      <c r="FI113" s="460">
        <f t="shared" si="31"/>
        <v>0</v>
      </c>
      <c r="FJ113" s="298"/>
      <c r="FN113" s="457" t="str">
        <f t="shared" si="32"/>
        <v>Maïs grain</v>
      </c>
      <c r="FO113" s="458">
        <f t="array" ref="FO113">IF(OR(ChoixRationComplèteEtéPoneys=OUI,ChoixRationComplèteEtéPoneys="",AND(ChoixPoneysPréHiver=OUI,ChoixPoneysPréEté=OUI)),0,IFERROR(IF(OR(AND(INDEX(Règles_poneys[Specificite],MATCH(RationHivernaleAuPréPoneys&amp;$FN113,Règles_poneys[Ration]&amp;Règles_poneys[Aliment],0))="s1",IF($FN113=Spécificité1Poneys,1)),
AND(INDEX(Règles_poneys[Specificite],MATCH(RationHivernaleAuPréPoneys&amp;$FN113,Règles_poneys[Ration]&amp;Règles_poneys[Aliment],0))="s2",IF($FN113=Spécificité2Poneys,1)),
INDEX(Règles_poneys[Specificite],MATCH(RationHivernaleAuPréPoneys&amp;$FN113,Règles_poneys[Ration]&amp;Règles_poneys[Aliment],0))="c"),
INDEX(Règles_poneys[Valeur 36 et plus],MATCH(RationHivernaleAuPréPoneys&amp;$FN113,Règles_poneys[Ration]&amp;Règles_poneys[Aliment],0)),0),0)*SUM(TotalPoneysAdultes)*SUM(AG118:AG142))</f>
        <v>0</v>
      </c>
      <c r="FP113" s="458">
        <f t="array" ref="FP113">IF(OR(ChoixRationComplèteEtéPoneys=OUI,ChoixRationComplèteEtéPoneys="",AND(ChoixPoneysPréHiver=OUI,ChoixPoneysPréEté=OUI)),0,IFERROR(IF(OR(AND(INDEX(Règles_poneys[Specificite],MATCH(RationHivernaleAuPréPoneys&amp;$FN113,Règles_poneys[Ration]&amp;Règles_poneys[Aliment],0))="s1",IF($FN113=Spécificité1Poneys,1)),
AND(INDEX(Règles_poneys[Specificite],MATCH(RationHivernaleAuPréPoneys&amp;$FN113,Règles_poneys[Ration]&amp;Règles_poneys[Aliment],0))="s2",IF($FN113=Spécificité2Poneys,1)),
INDEX(Règles_poneys[Specificite],MATCH(RationHivernaleAuPréPoneys&amp;$FN113,Règles_poneys[Ration]&amp;Règles_poneys[Aliment],0))="c"),
INDEX(Règles_poneys[Valeur 24-36],MATCH(RationHivernaleAuPréPoneys&amp;$FN113,Règles_poneys[Ration]&amp;Règles_poneys[Aliment],0)),0),0)*SUM(TotalPoneys_24_36mois)*SUM(AG118:AG142))</f>
        <v>0</v>
      </c>
      <c r="FQ113" s="458">
        <f t="array" ref="FQ113">IF(OR(ChoixRationComplèteEtéPoneys=OUI,ChoixRationComplèteEtéPoneys="",AND(ChoixPoneysPréHiver=OUI,ChoixPoneysPréEté=OUI)),0,IFERROR(IF(OR(AND(INDEX(Règles_poneys[Specificite],MATCH(RationHivernaleAuPréPoneys&amp;$FN113,Règles_poneys[Ration]&amp;Règles_poneys[Aliment],0))="s1",IF($FN113=Spécificité1Poneys,1)),
AND(INDEX(Règles_poneys[Specificite],MATCH(RationHivernaleAuPréPoneys&amp;$FN113,Règles_poneys[Ration]&amp;Règles_poneys[Aliment],0))="s2",IF($FN113=Spécificité2Poneys,1)),
INDEX(Règles_poneys[Specificite],MATCH(RationHivernaleAuPréPoneys&amp;$FN113,Règles_poneys[Ration]&amp;Règles_poneys[Aliment],0))="c"),
INDEX(Règles_poneys[Valeur 12-24],MATCH(RationHivernaleAuPréPoneys&amp;$FN113,Règles_poneys[Ration]&amp;Règles_poneys[Aliment],0)),0),0)*SUM(TotalPoneys_12_24mois)*SUM(AG118:AG142))</f>
        <v>0</v>
      </c>
      <c r="FR113" s="460">
        <f t="array" ref="FR113">IF(OR(ChoixRationComplèteEtéPoneys=OUI,ChoixRationComplèteEtéPoneys="",AND(ChoixPoneysPréHiver=OUI,ChoixPoneysPréEté=OUI)),0,IFERROR(IF(OR(AND(INDEX(Règles_poneys[Specificite],MATCH(RationHivernaleAuPréPoneys&amp;$FN113,Règles_poneys[Ration]&amp;Règles_poneys[Aliment],0))="s1",IF($FN113=Spécificité1Poneys,1)),
AND(INDEX(Règles_poneys[Specificite],MATCH(RationHivernaleAuPréPoneys&amp;$FN113,Règles_poneys[Ration]&amp;Règles_poneys[Aliment],0))="s2",IF($FN113=Spécificité2Poneys,1)),
INDEX(Règles_poneys[Specificite],MATCH(RationHivernaleAuPréPoneys&amp;$FN113,Règles_poneys[Ration]&amp;Règles_poneys[Aliment],0))="c"),
INDEX(Règles_poneys[Valeur 0-12],MATCH(RationHivernaleAuPréPoneys&amp;$FN113,Règles_poneys[Ration]&amp;Règles_poneys[Aliment],0)),0),0)*SUM(TotalPoulainsPoneys)*SUM(AG118:AG142))</f>
        <v>0</v>
      </c>
      <c r="FS113" s="460">
        <f t="shared" si="29"/>
        <v>0</v>
      </c>
      <c r="FT113" s="298"/>
      <c r="FW113" s="443" t="str">
        <f t="shared" si="27"/>
        <v>Pomme de terre</v>
      </c>
      <c r="FX113" s="450">
        <f t="array" ref="FX113">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13" s="450">
        <f t="array" ref="FY113">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13" s="450">
        <f t="array" ref="FZ113">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13" s="450">
        <f t="array" ref="GA113">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13" s="451">
        <f>SUM(AlimentsGavageCanards[[#This Row],[Valeur 6 et plus]:[Valeur 0-1]])</f>
        <v>0</v>
      </c>
      <c r="GG113" s="276" t="s">
        <v>955</v>
      </c>
      <c r="GH113" s="276" t="s">
        <v>955</v>
      </c>
      <c r="GI113" s="276" t="s">
        <v>955</v>
      </c>
      <c r="GJ113" s="276" t="s">
        <v>955</v>
      </c>
      <c r="GK113" s="276" t="s">
        <v>955</v>
      </c>
      <c r="GL113" s="276" t="s">
        <v>955</v>
      </c>
      <c r="GM113" s="276" t="s">
        <v>955</v>
      </c>
      <c r="GN113" s="276" t="s">
        <v>955</v>
      </c>
      <c r="GO113" s="276" t="s">
        <v>955</v>
      </c>
      <c r="GP113" s="276" t="s">
        <v>955</v>
      </c>
      <c r="GQ113" s="276" t="s">
        <v>955</v>
      </c>
      <c r="GR113" s="276" t="s">
        <v>955</v>
      </c>
      <c r="GS113" s="276" t="s">
        <v>955</v>
      </c>
      <c r="GT113" s="276" t="s">
        <v>955</v>
      </c>
      <c r="GU113" s="276" t="s">
        <v>955</v>
      </c>
      <c r="GV113" s="276" t="s">
        <v>955</v>
      </c>
      <c r="HN113" s="342" t="s">
        <v>1077</v>
      </c>
      <c r="HO113" s="342">
        <v>0</v>
      </c>
      <c r="HP113" s="342">
        <v>0</v>
      </c>
      <c r="HQ113" s="342">
        <v>0</v>
      </c>
      <c r="HR113" s="342">
        <v>0</v>
      </c>
      <c r="HS113" s="342">
        <v>0</v>
      </c>
      <c r="HT113" s="342">
        <v>0</v>
      </c>
      <c r="HU113" s="342" t="e">
        <f>IF(SUM(VLOOKUP(BDD!CS70,BDD!CS57:CW95,5,FALSE)/1000/SUM(Z76:Z100)*84-(#REF!))&lt;0,0,SUM(VLOOKUP(BDD!CS70,BDD!CS57:CW95,5,FALSE)/1000/SUM(Z76:Z100)*84-(#REF!)))</f>
        <v>#REF!</v>
      </c>
      <c r="HV113" s="342">
        <v>0</v>
      </c>
      <c r="HW113" s="342">
        <v>0</v>
      </c>
      <c r="HX113" s="342">
        <v>0</v>
      </c>
      <c r="HY113" s="342">
        <v>0</v>
      </c>
      <c r="HZ113" s="342">
        <v>0</v>
      </c>
      <c r="IA113" s="342">
        <v>0</v>
      </c>
      <c r="IB113" s="342" t="e">
        <f t="shared" si="42"/>
        <v>#REF!</v>
      </c>
    </row>
    <row r="114" spans="1:236" ht="12.75" customHeight="1" x14ac:dyDescent="0.2">
      <c r="A114" s="373"/>
      <c r="B114" s="380"/>
      <c r="F114" s="280"/>
      <c r="G114" s="280"/>
      <c r="H114" s="321"/>
      <c r="I114" s="280"/>
      <c r="J114" s="280"/>
      <c r="K114" s="321"/>
      <c r="L114" s="321"/>
      <c r="O114" s="384">
        <v>3000</v>
      </c>
      <c r="BB114" s="387" t="s">
        <v>948</v>
      </c>
      <c r="BC114" s="362" t="s">
        <v>907</v>
      </c>
      <c r="BD114" s="362" t="s">
        <v>888</v>
      </c>
      <c r="BE114" s="388">
        <v>4.8</v>
      </c>
      <c r="BF114" s="388">
        <v>4</v>
      </c>
      <c r="BG114" s="388">
        <v>4</v>
      </c>
      <c r="BH114" s="388">
        <v>4</v>
      </c>
      <c r="BI114" s="388">
        <v>2</v>
      </c>
      <c r="BJ114" s="388">
        <v>1.2</v>
      </c>
      <c r="BK114" s="389">
        <v>0</v>
      </c>
      <c r="BL114" s="312"/>
      <c r="BM114" s="350" t="str">
        <f>BM36</f>
        <v>Avoine</v>
      </c>
      <c r="BN114" s="351">
        <f t="array" ref="BN114">SUM((IF(QualitéAlimentsBisonneauxMâles_0_3_mois=BONNE,VLOOKUP("Avoine",AlimentsRationHivernaleBisonsMâles,8,FALSE),0)+(IF(QualitéAlimentsBisonneauxFemelles_0_3_mois=BONNE,VLOOKUP("Avoine",AlimentsRationHivernaleBisonsFemelles,8,FALSE),0)+(IF(QualitéAlimentsBisonneauxMâles_3_6_mois=BONNE,VLOOKUP("Avoine",AlimentsRationHivernaleBisonsMâles,7,FALSE),0)+(IF(QualitéAlimentsBisonneauxFemelles_3_6_mois=BONNE,VLOOKUP("Avoine",AlimentsRationHivernaleBisonsFemelles,7,FALSE),0)+(IF(QualitéAlimentsBisonneauxMâles_6_12_mois=BONNE,VLOOKUP("Avoine",AlimentsRationHivernaleBisonsMâles,6,FALSE),0)+(IF(QualitéAlimentsBisonneauxFemelles_6_12_mois=BONNE,VLOOKUP("Avoine",AlimentsRationHivernaleBisonsFemelles,6,FALSE),0)+(IF(QualitéAlimentsJeunesBisons_12_18_mois=BONNE,VLOOKUP("Avoine",AlimentsRationHivernaleBisonsMâles,5,FALSE),0)+(IF(QualitéAlimentsJeunesBisonnes_12_18_mois=BONNE,VLOOKUP("Avoine",AlimentsRationHivernaleBisonsFemelles,5,FALSE),0)+(IF(QualitéAlimentsJeunesBisons_18_24_mois=BONNE,VLOOKUP("Avoine",AlimentsRationHivernaleBisonsMâles,4,FALSE),0)+(IF(QualitéAlimentsJeunesBisonnes_18_24_mois=BONNE,VLOOKUP("Avoine",AlimentsRationHivernaleBisonsFemelles,4,FALSE),0)+(IF(QualitéAlimentsJeunesBisons_24_36_mois=BONNE,VLOOKUP("Avoine",AlimentsRationHivernaleBisonsMâles,3,FALSE),0)+(IF(QualitéAlimentsJeunesBisonnes_24_36_mois=BONNE,VLOOKUP("Avoine",AlimentsRationHivernaleBisonsFemelles,3,FALSE),0)+(IF(QualitéAlimentsBisons=BONNE,VLOOKUP("Avoine",AlimentsRationHivernaleBisonsMâles,2,FALSE),0)+(IF(QualitéAlimentsBisonnes=BONNE,VLOOKUP("Avoine",AlimentsRationHivernaleBisonsFemelles,2,FALSE),0))))))))))))))))</f>
        <v>0</v>
      </c>
      <c r="BO114" s="351">
        <f t="array" ref="BO114">SUM((IF(QualitéAlimentsBisonneauxMâles_0_3_mois=MOYENNE,VLOOKUP("Avoine",AlimentsRationHivernaleBisonsMâles,8,FALSE),0)+(IF(QualitéAlimentsBisonneauxFemelles_0_3_mois=MOYENNE,VLOOKUP("Avoine",AlimentsRationHivernaleBisonsFemelles,8,FALSE),0)+(IF(QualitéAlimentsBisonneauxMâles_3_6_mois=MOYENNE,VLOOKUP("Avoine",AlimentsRationHivernaleBisonsMâles,7,FALSE),0)+(IF(QualitéAlimentsBisonneauxFemelles_3_6_mois=MOYENNE,VLOOKUP("Avoine",AlimentsRationHivernaleBisonsFemelles,7,FALSE),0)+(IF(QualitéAlimentsBisonneauxMâles_6_12_mois=MOYENNE,VLOOKUP("Avoine",AlimentsRationHivernaleBisonsMâles,6,FALSE),0)+(IF(QualitéAlimentsBisonneauxFemelles_6_12_mois=MOYENNE,VLOOKUP("Avoine",AlimentsRationHivernaleBisonsFemelles,6,FALSE),0)+(IF(QualitéAlimentsJeunesBisons_12_18_mois=MOYENNE,VLOOKUP("Avoine",AlimentsRationHivernaleBisonsMâles,5,FALSE),0)+(IF(QualitéAlimentsJeunesBisonnes_12_18_mois=MOYENNE,VLOOKUP("Avoine",AlimentsRationHivernaleBisonsFemelles,5,FALSE),0)+(IF(QualitéAlimentsJeunesBisons_18_24_mois=MOYENNE,VLOOKUP("Avoine",AlimentsRationHivernaleBisonsMâles,4,FALSE),0)+(IF(QualitéAlimentsJeunesBisonnes_18_24_mois=MOYENNE,VLOOKUP("Avoine",AlimentsRationHivernaleBisonsFemelles,4,FALSE),0)+(IF(QualitéAlimentsJeunesBisons_24_36_mois=MOYENNE,VLOOKUP("Avoine",AlimentsRationHivernaleBisonsMâles,3,FALSE),0)+(IF(QualitéAlimentsJeunesBisonnes_24_36_mois=MOYENNE,VLOOKUP("Avoine",AlimentsRationHivernaleBisonsFemelles,3,FALSE),0)+(IF(QualitéAlimentsBisons=MOYENNE,VLOOKUP("Avoine",AlimentsRationHivernaleBisonsMâles,2,FALSE),0)+(IF(QualitéAlimentsBisonnes=MOYENNE,VLOOKUP("Avoine",AlimentsRationHivernaleBisonsFemelles,2,FALSE),0))))))))))))))))</f>
        <v>0</v>
      </c>
      <c r="BP114" s="351">
        <f t="array" ref="BP114">SUM((IF(QualitéAlimentsBisonneauxMâles_0_3_mois=MAUVAISE,VLOOKUP("Avoine",AlimentsRationHivernaleBisonsMâles,8,FALSE),0)+(IF(QualitéAlimentsBisonneauxFemelles_0_3_mois=MAUVAISE,VLOOKUP("Avoine",AlimentsRationHivernaleBisonsFemelles,8,FALSE),0)+(IF(QualitéAlimentsBisonneauxMâles_3_6_mois=MAUVAISE,VLOOKUP("Avoine",AlimentsRationHivernaleBisonsMâles,7,FALSE),0)+(IF(QualitéAlimentsBisonneauxFemelles_3_6_mois=MAUVAISE,VLOOKUP("Avoine",AlimentsRationHivernaleBisonsFemelles,7,FALSE),0)+(IF(QualitéAlimentsBisonneauxMâles_6_12_mois=MAUVAISE,VLOOKUP("Avoine",AlimentsRationHivernaleBisonsMâles,6,FALSE),0)+(IF(QualitéAlimentsBisonneauxFemelles_6_12_mois=MAUVAISE,VLOOKUP("Avoine",AlimentsRationHivernaleBisonsFemelles,6,FALSE),0)+(IF(QualitéAlimentsJeunesBisons_12_18_mois=MAUVAISE,VLOOKUP("Avoine",AlimentsRationHivernaleBisonsMâles,5,FALSE),0)+(IF(QualitéAlimentsJeunesBisonnes_12_18_mois=MAUVAISE,VLOOKUP("Avoine",AlimentsRationHivernaleBisonsFemelles,5,FALSE),0)+(IF(QualitéAlimentsJeunesBisons_18_24_mois=MAUVAISE,VLOOKUP("Avoine",AlimentsRationHivernaleBisonsMâles,4,FALSE),0)+(IF(QualitéAlimentsJeunesBisonnes_18_24_mois=MAUVAISE,VLOOKUP("Avoine",AlimentsRationHivernaleBisonsFemelles,4,FALSE),0)+(IF(QualitéAlimentsJeunesBisons_24_36_mois=MAUVAISE,VLOOKUP("Avoine",AlimentsRationHivernaleBisonsMâles,3,FALSE),0)+(IF(QualitéAlimentsJeunesBisonnes_24_36_mois=MAUVAISE,VLOOKUP("Avoine",AlimentsRationHivernaleBisonsFemelles,3,FALSE),0)+(IF(QualitéAlimentsBisons=MAUVAISE,VLOOKUP("Avoine",AlimentsRationHivernaleBisonsMâles,2,FALSE),0)+(IF(QualitéAlimentsBisonnes=MAUVAISE,VLOOKUP("Avoine",AlimentsRationHivernaleBisonsFemelles,2,FALSE),0))))))))))))))))</f>
        <v>0</v>
      </c>
      <c r="BQ114" s="282"/>
      <c r="BR114" s="282"/>
      <c r="BS114" s="282"/>
      <c r="BT114" s="282"/>
      <c r="BU114" s="282"/>
      <c r="BX114" s="350" t="s">
        <v>1167</v>
      </c>
      <c r="BY114" s="350">
        <f t="array" ref="BY114">IF(ChoixRationComplèteCaprins=OUI,0,IFERROR(IF(OR(AND(INDEX(Règles_caprins[Specificite],MATCH(ChoixRationCaprins&amp;$BX114,Règles_caprins[Ration]&amp;Règles_caprins[Aliment],0))="s1",IF($BX114=Spécificité1Caprins,1)),
INDEX(Règles_caprins[Specificite],MATCH(ChoixRationCaprins&amp;$BX114,Règles_caprins[Ration]&amp;Règles_caprins[Aliment],0))="c"),
INDEX(Règles_caprins[Valeur 12 et plus],MATCH(ChoixRationCaprins&amp;$BX114,Règles_caprins[Ration]&amp;Règles_caprins[Aliment],0)),0),0)*TotalBoucs*NbreJoursNourrirCaprins)</f>
        <v>0</v>
      </c>
      <c r="BZ114" s="350">
        <f t="array" ref="BZ114">IF(ChoixRationComplèteCaprins=OUI,0,IFERROR(IF(OR(AND(INDEX(Règles_caprins[Specificite],MATCH(ChoixRationCaprins&amp;$BX114,Règles_caprins[Ration]&amp;Règles_caprins[Aliment],0))="s1",IF($BX114=Spécificité1Caprins,1)),
INDEX(Règles_caprins[Specificite],MATCH(ChoixRationCaprins&amp;$BX114,Règles_caprins[Ration]&amp;Règles_caprins[Aliment],0))="c"),
INDEX(Règles_caprins[Valeur 6-12],MATCH(ChoixRationCaprins&amp;$BX114,Règles_caprins[Ration]&amp;Règles_caprins[Aliment],0)),0),0)*jeune_bouc_6_12_mois*NbreJoursNourrirCaprins)</f>
        <v>0</v>
      </c>
      <c r="CA114" s="350">
        <f t="array" ref="CA114">IF(ChoixRationComplèteCaprins=OUI,0,IFERROR(IF(OR(AND(INDEX(Règles_caprins[Specificite],MATCH(ChoixRationCaprins&amp;$BX114,Règles_caprins[Ration]&amp;Règles_caprins[Aliment],0))="s1",IF($BX114=Spécificité1Caprins,1)),
INDEX(Règles_caprins[Specificite],MATCH(ChoixRationCaprins&amp;$BX114,Règles_caprins[Ration]&amp;Règles_caprins[Aliment],0))="c"),
INDEX(Règles_caprins[Valeur 3-6],MATCH(ChoixRationCaprins&amp;$BX114,Règles_caprins[Ration]&amp;Règles_caprins[Aliment],0)),0),0)*chevreau_3_6_mois*NbreJoursNourrirCaprins)</f>
        <v>0</v>
      </c>
      <c r="CB114" s="350">
        <f t="array" ref="CB114">IF(ChoixRationComplèteCaprins=OUI,0,IFERROR(IF(OR(AND(INDEX(Règles_caprins[Specificite],MATCH(ChoixRationCaprins&amp;$BX114,Règles_caprins[Ration]&amp;Règles_caprins[Aliment],0))="s1",IF($BX114=Spécificité1Caprins,1)),
INDEX(Règles_caprins[Specificite],MATCH(ChoixRationCaprins&amp;$BX114,Règles_caprins[Ration]&amp;Règles_caprins[Aliment],0))="c"),
INDEX(Règles_caprins[Valeur 0-3],MATCH(ChoixRationCaprins&amp;$BX114,Règles_caprins[Ration]&amp;Règles_caprins[Aliment],0)),0),0)*chevreau_0_3_mois*NbreJoursNourrirCaprins)</f>
        <v>0</v>
      </c>
      <c r="CC114" s="350">
        <f t="shared" si="41"/>
        <v>0</v>
      </c>
      <c r="CH114" s="276"/>
      <c r="CI114" s="277"/>
      <c r="CJ114" s="420" t="str">
        <f t="shared" si="25"/>
        <v>Seigle</v>
      </c>
      <c r="CK114" s="384">
        <f t="array" ref="CK11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14" s="384">
        <f t="array" ref="CL11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14" s="384">
        <f t="array" ref="CM11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14" s="384">
        <f t="array" ref="CN11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14" s="384">
        <f t="array" ref="CO114">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14" s="426">
        <f>SUM(AlimentsRationPorcinsFemelles[[#This Row],[Valeur 12 et plus]:[Valeur 0-1]])</f>
        <v>0</v>
      </c>
      <c r="CQ114" s="298"/>
      <c r="CS114" s="420" t="str">
        <f t="shared" si="36"/>
        <v>Haricot vert</v>
      </c>
      <c r="CT114" s="433">
        <f t="array" ref="CT114">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14" s="433">
        <f t="array" ref="CU114">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14" s="433">
        <f t="array" ref="CV114">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14" s="434">
        <f>SUM(AlimentsRationLapinsFemelles[[#This Row],[Valeur 3 et plus]:[Valeur 0-1]])</f>
        <v>0</v>
      </c>
      <c r="CY114" s="277"/>
      <c r="CZ114" s="420" t="str">
        <f t="shared" si="37"/>
        <v>Haricot vert</v>
      </c>
      <c r="DA114" s="433">
        <f t="array" ref="DA11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14" s="433">
        <f t="array" ref="DB11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14" s="433">
        <f t="array" ref="DC11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14" s="434">
        <f>SUM(AlimentsRationVolaillesFemelles[[#This Row],[Valeur 6 et plus]:[Valeur 0-1]])</f>
        <v>0</v>
      </c>
      <c r="DE114" s="298"/>
      <c r="DG114" s="384" t="str">
        <f t="shared" si="26"/>
        <v>Pulpe déshydratée de betterave</v>
      </c>
      <c r="DH114" s="433">
        <f t="array" ref="DH11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14" s="433">
        <f t="array" ref="DI11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14" s="433">
        <f t="array" ref="DJ11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14" s="437">
        <f>SUM(AlimentsRationPintadesFemelles[[#This Row],[Valeur 6 et plus]:[Valeur 0-1]])</f>
        <v>0</v>
      </c>
      <c r="DN114" s="373" t="s">
        <v>950</v>
      </c>
      <c r="DO114" s="280" t="s">
        <v>500</v>
      </c>
      <c r="DP114" s="280" t="s">
        <v>886</v>
      </c>
      <c r="DQ114" s="310">
        <v>1.2</v>
      </c>
      <c r="DR114" s="310">
        <v>0.8</v>
      </c>
      <c r="DS114" s="310">
        <v>0.6</v>
      </c>
      <c r="DT114" s="439">
        <v>0.4</v>
      </c>
      <c r="DU114" s="298"/>
      <c r="DV114" s="350">
        <f t="shared" si="23"/>
        <v>0</v>
      </c>
      <c r="DW114" s="351"/>
      <c r="DX114" s="351"/>
      <c r="DY114" s="351"/>
      <c r="DZ114" s="298"/>
      <c r="EA114" s="298"/>
      <c r="EB114" s="298"/>
      <c r="EC114" s="298"/>
      <c r="ED114" s="298"/>
      <c r="EG114" s="420" t="str">
        <f t="shared" si="30"/>
        <v>Minéraux + vitamines</v>
      </c>
      <c r="EH114" s="433">
        <f t="array" ref="EH11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14" s="433">
        <f t="array" ref="EI11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14" s="433">
        <f t="array" ref="EJ11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14" s="434">
        <f>SUM(AlimentsRationOiesFemelles[[#This Row],[Valeur 6 et plus]:[Valeur 0-3]])</f>
        <v>0</v>
      </c>
      <c r="EN114" s="443" t="str">
        <f t="shared" si="28"/>
        <v>Orge</v>
      </c>
      <c r="EO114" s="450">
        <f t="array" ref="EO114">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14" s="450">
        <f t="array" ref="EP114">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14" s="450">
        <f t="array" ref="EQ114">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14" s="451">
        <f>SUM(Ration_canards_Femelles[[#This Row],[Valeur 6 et plus]:[Valeur 0-3]])</f>
        <v>0</v>
      </c>
      <c r="EU114" s="457" t="str">
        <f t="shared" si="40"/>
        <v>Epinard</v>
      </c>
      <c r="EV114" s="458">
        <f t="array" ref="EV114">IF(OR(ChoixRationComplèteEtéChevauxSelle=OUI,ChoixRationComplèteEtéChevauxSelle="",AND(ChoixChevauxSellePréHiver=OUI,ChoixChevauxSellePréEté=OUI)),0,IFERROR(IF(OR(AND(INDEX(Règles_chevaux_selle[Specificite],MATCH(RationEtéChevauxSelle&amp;$EU114,Règles_chevaux_selle[Ration]&amp;Règles_chevaux_selle[Aliment],0))="s1",IF($EU114=Spécificité1ChevauxSelle,1)),
AND(INDEX(Règles_chevaux_selle[Specificite],MATCH(RationEtéChevauxSelle&amp;$EU114,Règles_chevaux_selle[Ration]&amp;Règles_chevaux_selle[Aliment],0))="s2",IF($EU114=Spécificité2ChevauxSelle,1)),
INDEX(Règles_chevaux_selle[Specificite],MATCH(RationEtéChevauxSelle&amp;$EU114,Règles_chevaux_selle[Ration]&amp;Règles_chevaux_selle[Aliment],0))="c"),
INDEX(Règles_chevaux_selle[Valeur 36 et plus],MATCH(RationEtéChevauxSelle&amp;$EU114,Règles_chevaux_selle[Ration]&amp;Règles_chevaux_selle[Aliment],0)),0),0)*TotalJumentSelle*NbreJoursNourrirChevauxSelle)</f>
        <v>0</v>
      </c>
      <c r="EW114" s="458">
        <f t="array" ref="EW114">IF(OR(ChoixRationComplèteEtéChevauxSelle=OUI,ChoixRationComplèteEtéChevauxSelle="",AND(ChoixChevauxSellePréHiver=OUI,ChoixChevauxSellePréEté=OUI)),0,IFERROR(IF(OR(AND(INDEX(Règles_chevaux_selle[Specificite],MATCH(RationEtéChevauxSelle&amp;$EU114,Règles_chevaux_selle[Ration]&amp;Règles_chevaux_selle[Aliment],0))="s1",IF($EU114=Spécificité1ChevauxSelle,1)),
AND(INDEX(Règles_chevaux_selle[Specificite],MATCH(RationEtéChevauxSelle&amp;$EU114,Règles_chevaux_selle[Ration]&amp;Règles_chevaux_selle[Aliment],0))="s2",IF($EU114=Spécificité2ChevauxSelle,1)),
INDEX(Règles_chevaux_selle[Specificite],MATCH(RationEtéChevauxSelle&amp;$EU114,Règles_chevaux_selle[Ration]&amp;Règles_chevaux_selle[Aliment],0))="c"),
INDEX(Règles_chevaux_selle[Valeur 24-36],MATCH(RationEtéChevauxSelle&amp;$EU114,Règles_chevaux_selle[Ration]&amp;Règles_chevaux_selle[Aliment],0)),0),0)*TotalJeuneJumentSelle_24_36_mois*NbreJoursNourrirChevauxSelle)</f>
        <v>0</v>
      </c>
      <c r="EX114" s="458">
        <f t="array" ref="EX114">IF(OR(ChoixRationComplèteEtéChevauxSelle=OUI,ChoixRationComplèteEtéChevauxSelle="",AND(ChoixChevauxSellePréHiver=OUI,ChoixChevauxSellePréEté=OUI)),0,IFERROR(IF(OR(AND(INDEX(Règles_chevaux_selle[Specificite],MATCH(RationEtéChevauxSelle&amp;$EU114,Règles_chevaux_selle[Ration]&amp;Règles_chevaux_selle[Aliment],0))="s1",IF($EU114=Spécificité1ChevauxSelle,1)),
AND(INDEX(Règles_chevaux_selle[Specificite],MATCH(RationEtéChevauxSelle&amp;$EU114,Règles_chevaux_selle[Ration]&amp;Règles_chevaux_selle[Aliment],0))="s2",IF($EU114=Spécificité2ChevauxSelle,1)),
INDEX(Règles_chevaux_selle[Specificite],MATCH(RationEtéChevauxSelle&amp;$EU114,Règles_chevaux_selle[Ration]&amp;Règles_chevaux_selle[Aliment],0))="c"),
INDEX(Règles_chevaux_selle[Valeur 12-24],MATCH(RationEtéChevauxSelle&amp;$EU114,Règles_chevaux_selle[Ration]&amp;Règles_chevaux_selle[Aliment],0)),0),0)*TotalJeuneJumentSelle_12_24_mois_12_24_mois*NbreJoursNourrirChevauxSelle)</f>
        <v>0</v>
      </c>
      <c r="EY114" s="460">
        <f t="array" ref="EY114">IF(OR(ChoixRationComplèteEtéChevauxSelle=OUI,ChoixRationComplèteEtéChevauxSelle="",AND(ChoixChevauxSellePréHiver=OUI,ChoixChevauxSellePréEté=OUI)),0,IFERROR(IF(OR(AND(INDEX(Règles_chevaux_selle[Specificite],MATCH(RationEtéChevauxSelle&amp;$EU114,Règles_chevaux_selle[Ration]&amp;Règles_chevaux_selle[Aliment],0))="s1",IF($EU114=Spécificité1ChevauxSelle,1)),
AND(INDEX(Règles_chevaux_selle[Specificite],MATCH(RationEtéChevauxSelle&amp;$EU114,Règles_chevaux_selle[Ration]&amp;Règles_chevaux_selle[Aliment],0))="s2",IF($EU114=Spécificité2ChevauxSelle,1)),
INDEX(Règles_chevaux_selle[Specificite],MATCH(RationEtéChevauxSelle&amp;$EU114,Règles_chevaux_selle[Ration]&amp;Règles_chevaux_selle[Aliment],0))="c"),
INDEX(Règles_chevaux_selle[Valeur 0-12],MATCH(RationEtéChevauxSelle&amp;$EU114,Règles_chevaux_selle[Ration]&amp;Règles_chevaux_selle[Aliment],0)),0),0)*TotalPoulicheSelle_0_12_mois*NbreJoursNourrirChevauxSelle)</f>
        <v>0</v>
      </c>
      <c r="EZ114" s="460">
        <f t="shared" si="39"/>
        <v>0</v>
      </c>
      <c r="FD114" s="457" t="str">
        <f t="shared" si="33"/>
        <v>Maïs grain</v>
      </c>
      <c r="FE114" s="458">
        <f t="array" ref="FE114">IF(OR(ChoixRationComplèteEtéChevauxTrait=OUI,ChoixRationComplèteEtéChevauxTrait="",AND(ChoixChevauxTraitPréHiver=OUI,ChoixChevauxTraitPréEté=OUI)),0,IFERROR(IF(OR(AND(INDEX(Règles_chevaux_trait[Specificite],MATCH(RationEtéChevauxTrait&amp;$FD114,Règles_chevaux_trait[Ration]&amp;Règles_chevaux_trait[Aliment],0))="s1",IF($FD114=Spécificité1ChevauxTrait,1)),
AND(INDEX(Règles_chevaux_trait[Specificite],MATCH(RationEtéChevauxTrait&amp;$FD114,Règles_chevaux_trait[Ration]&amp;Règles_chevaux_trait[Aliment],0))="s2",IF($FD114=Spécificité2ChevauxTrait,1)),
INDEX(Règles_chevaux_trait[Specificite],MATCH(RationEtéChevauxTrait&amp;$FD114,Règles_chevaux_trait[Ration]&amp;Règles_chevaux_trait[Aliment],0))="c"),
INDEX(Règles_chevaux_trait[Valeur 36 et plus],MATCH(RationEtéChevauxTrait&amp;$FD114,Règles_chevaux_trait[Ration]&amp;Règles_chevaux_trait[Aliment],0)),0),0)*TotalJumentTrait*NbreJoursNourrirChevauxTrait)</f>
        <v>0</v>
      </c>
      <c r="FF114" s="458">
        <f t="array" ref="FF114">IF(OR(ChoixRationComplèteEtéChevauxTrait=OUI,ChoixRationComplèteEtéChevauxTrait="",AND(ChoixChevauxTraitPréHiver=OUI,ChoixChevauxTraitPréEté=OUI)),0,IFERROR(IF(OR(AND(INDEX(Règles_chevaux_trait[Specificite],MATCH(RationEtéChevauxTrait&amp;$FD114,Règles_chevaux_trait[Ration]&amp;Règles_chevaux_trait[Aliment],0))="s1",IF($FD114=Spécificité1ChevauxTrait,1)),
AND(INDEX(Règles_chevaux_trait[Specificite],MATCH(RationEtéChevauxTrait&amp;$FD114,Règles_chevaux_trait[Ration]&amp;Règles_chevaux_trait[Aliment],0))="s2",IF($FD114=Spécificité2ChevauxTrait,1)),
INDEX(Règles_chevaux_trait[Specificite],MATCH(RationEtéChevauxTrait&amp;$FD114,Règles_chevaux_trait[Ration]&amp;Règles_chevaux_trait[Aliment],0))="c"),
INDEX(Règles_chevaux_trait[Valeur 24-36],MATCH(RationEtéChevauxTrait&amp;$FD114,Règles_chevaux_trait[Ration]&amp;Règles_chevaux_trait[Aliment],0)),0),0)*TotalJeuneJumentTrait_24_36_mois*NbreJoursNourrirChevauxTrait)</f>
        <v>0</v>
      </c>
      <c r="FG114" s="458">
        <f t="array" ref="FG114">IF(OR(ChoixRationComplèteEtéChevauxTrait=OUI,ChoixRationComplèteEtéChevauxTrait="",AND(ChoixChevauxTraitPréHiver=OUI,ChoixChevauxTraitPréEté=OUI)),0,IFERROR(IF(OR(AND(INDEX(Règles_chevaux_trait[Specificite],MATCH(RationEtéChevauxTrait&amp;$FD114,Règles_chevaux_trait[Ration]&amp;Règles_chevaux_trait[Aliment],0))="s1",IF($FD114=Spécificité1ChevauxTrait,1)),
AND(INDEX(Règles_chevaux_trait[Specificite],MATCH(RationEtéChevauxTrait&amp;$FD114,Règles_chevaux_trait[Ration]&amp;Règles_chevaux_trait[Aliment],0))="s2",IF($FD114=Spécificité2ChevauxTrait,1)),
INDEX(Règles_chevaux_trait[Specificite],MATCH(RationEtéChevauxTrait&amp;$FD114,Règles_chevaux_trait[Ration]&amp;Règles_chevaux_trait[Aliment],0))="c"),
INDEX(Règles_chevaux_trait[Valeur 12-24],MATCH(RationEtéChevauxTrait&amp;$FD114,Règles_chevaux_trait[Ration]&amp;Règles_chevaux_trait[Aliment],0)),0),0)*TotalJeuneJumentTrait_12_24_mois*NbreJoursNourrirChevauxTrait)</f>
        <v>0</v>
      </c>
      <c r="FH114" s="460">
        <f t="array" ref="FH114">IF(OR(ChoixRationComplèteEtéChevauxTrait=OUI,ChoixRationComplèteEtéChevauxTrait="",AND(ChoixChevauxTraitPréHiver=OUI,ChoixChevauxTraitPréEté=OUI)),0,IFERROR(IF(OR(AND(INDEX(Règles_chevaux_trait[Specificite],MATCH(RationEtéChevauxTrait&amp;$FD114,Règles_chevaux_trait[Ration]&amp;Règles_chevaux_trait[Aliment],0))="s1",IF($FD114=Spécificité1ChevauxTrait,1)),
AND(INDEX(Règles_chevaux_trait[Specificite],MATCH(RationEtéChevauxTrait&amp;$FD114,Règles_chevaux_trait[Ration]&amp;Règles_chevaux_trait[Aliment],0))="s2",IF($FD114=Spécificité2ChevauxTrait,1)),
INDEX(Règles_chevaux_trait[Specificite],MATCH(RationEtéChevauxTrait&amp;$FD114,Règles_chevaux_trait[Ration]&amp;Règles_chevaux_trait[Aliment],0))="c"),
INDEX(Règles_chevaux_trait[Valeur 0-12],MATCH(RationEtéChevauxTrait&amp;$FD114,Règles_chevaux_trait[Ration]&amp;Règles_chevaux_trait[Aliment],0)),0),0)*TotalPoulicheTrait_0_12_mois*NbreJoursNourrirChevauxTrait)</f>
        <v>0</v>
      </c>
      <c r="FI114" s="460">
        <f t="shared" si="31"/>
        <v>0</v>
      </c>
      <c r="FJ114" s="298"/>
      <c r="FN114" s="457" t="str">
        <f t="shared" si="32"/>
        <v>Minéraux + vitamines</v>
      </c>
      <c r="FO114" s="458">
        <f t="array" ref="FO114">IF(OR(ChoixRationComplèteEtéPoneys=OUI,ChoixRationComplèteEtéPoneys="",AND(ChoixPoneysPréHiver=OUI,ChoixPoneysPréEté=OUI)),0,IFERROR(IF(OR(AND(INDEX(Règles_poneys[Specificite],MATCH(RationHivernaleAuPréPoneys&amp;$FN114,Règles_poneys[Ration]&amp;Règles_poneys[Aliment],0))="s1",IF($FN114=Spécificité1Poneys,1)),
AND(INDEX(Règles_poneys[Specificite],MATCH(RationHivernaleAuPréPoneys&amp;$FN114,Règles_poneys[Ration]&amp;Règles_poneys[Aliment],0))="s2",IF($FN114=Spécificité2Poneys,1)),
INDEX(Règles_poneys[Specificite],MATCH(RationHivernaleAuPréPoneys&amp;$FN114,Règles_poneys[Ration]&amp;Règles_poneys[Aliment],0))="c"),
INDEX(Règles_poneys[Valeur 36 et plus],MATCH(RationHivernaleAuPréPoneys&amp;$FN114,Règles_poneys[Ration]&amp;Règles_poneys[Aliment],0)),0),0)*SUM(TotalPoneysAdultes)*SUM(AG118:AG142))</f>
        <v>0</v>
      </c>
      <c r="FP114" s="458">
        <f t="array" ref="FP114">IF(OR(ChoixRationComplèteEtéPoneys=OUI,ChoixRationComplèteEtéPoneys="",AND(ChoixPoneysPréHiver=OUI,ChoixPoneysPréEté=OUI)),0,IFERROR(IF(OR(AND(INDEX(Règles_poneys[Specificite],MATCH(RationHivernaleAuPréPoneys&amp;$FN114,Règles_poneys[Ration]&amp;Règles_poneys[Aliment],0))="s1",IF($FN114=Spécificité1Poneys,1)),
AND(INDEX(Règles_poneys[Specificite],MATCH(RationHivernaleAuPréPoneys&amp;$FN114,Règles_poneys[Ration]&amp;Règles_poneys[Aliment],0))="s2",IF($FN114=Spécificité2Poneys,1)),
INDEX(Règles_poneys[Specificite],MATCH(RationHivernaleAuPréPoneys&amp;$FN114,Règles_poneys[Ration]&amp;Règles_poneys[Aliment],0))="c"),
INDEX(Règles_poneys[Valeur 24-36],MATCH(RationHivernaleAuPréPoneys&amp;$FN114,Règles_poneys[Ration]&amp;Règles_poneys[Aliment],0)),0),0)*SUM(TotalPoneys_24_36mois)*SUM(AG118:AG142))</f>
        <v>0</v>
      </c>
      <c r="FQ114" s="458">
        <f t="array" ref="FQ114">IF(OR(ChoixRationComplèteEtéPoneys=OUI,ChoixRationComplèteEtéPoneys="",AND(ChoixPoneysPréHiver=OUI,ChoixPoneysPréEté=OUI)),0,IFERROR(IF(OR(AND(INDEX(Règles_poneys[Specificite],MATCH(RationHivernaleAuPréPoneys&amp;$FN114,Règles_poneys[Ration]&amp;Règles_poneys[Aliment],0))="s1",IF($FN114=Spécificité1Poneys,1)),
AND(INDEX(Règles_poneys[Specificite],MATCH(RationHivernaleAuPréPoneys&amp;$FN114,Règles_poneys[Ration]&amp;Règles_poneys[Aliment],0))="s2",IF($FN114=Spécificité2Poneys,1)),
INDEX(Règles_poneys[Specificite],MATCH(RationHivernaleAuPréPoneys&amp;$FN114,Règles_poneys[Ration]&amp;Règles_poneys[Aliment],0))="c"),
INDEX(Règles_poneys[Valeur 12-24],MATCH(RationHivernaleAuPréPoneys&amp;$FN114,Règles_poneys[Ration]&amp;Règles_poneys[Aliment],0)),0),0)*SUM(TotalPoneys_12_24mois)*SUM(AG118:AG142))</f>
        <v>0</v>
      </c>
      <c r="FR114" s="460">
        <f t="array" ref="FR114">IF(OR(ChoixRationComplèteEtéPoneys=OUI,ChoixRationComplèteEtéPoneys="",AND(ChoixPoneysPréHiver=OUI,ChoixPoneysPréEté=OUI)),0,IFERROR(IF(OR(AND(INDEX(Règles_poneys[Specificite],MATCH(RationHivernaleAuPréPoneys&amp;$FN114,Règles_poneys[Ration]&amp;Règles_poneys[Aliment],0))="s1",IF($FN114=Spécificité1Poneys,1)),
AND(INDEX(Règles_poneys[Specificite],MATCH(RationHivernaleAuPréPoneys&amp;$FN114,Règles_poneys[Ration]&amp;Règles_poneys[Aliment],0))="s2",IF($FN114=Spécificité2Poneys,1)),
INDEX(Règles_poneys[Specificite],MATCH(RationHivernaleAuPréPoneys&amp;$FN114,Règles_poneys[Ration]&amp;Règles_poneys[Aliment],0))="c"),
INDEX(Règles_poneys[Valeur 0-12],MATCH(RationHivernaleAuPréPoneys&amp;$FN114,Règles_poneys[Ration]&amp;Règles_poneys[Aliment],0)),0),0)*SUM(TotalPoulainsPoneys)*SUM(AG118:AG142))</f>
        <v>0</v>
      </c>
      <c r="FS114" s="460">
        <f t="shared" si="29"/>
        <v>0</v>
      </c>
      <c r="FT114" s="298"/>
      <c r="FW114" s="443" t="str">
        <f t="shared" si="27"/>
        <v>Pulpe déshydratée de betterave</v>
      </c>
      <c r="FX114" s="450">
        <f t="array" ref="FX114">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14" s="450">
        <f t="array" ref="FY114">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14" s="450">
        <f t="array" ref="FZ114">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14" s="450">
        <f t="array" ref="GA114">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14" s="451">
        <f>SUM(AlimentsGavageCanards[[#This Row],[Valeur 6 et plus]:[Valeur 0-1]])</f>
        <v>0</v>
      </c>
      <c r="GG114" s="276" t="s">
        <v>955</v>
      </c>
      <c r="GH114" s="276" t="s">
        <v>955</v>
      </c>
      <c r="GI114" s="276" t="s">
        <v>955</v>
      </c>
      <c r="GJ114" s="276" t="s">
        <v>955</v>
      </c>
      <c r="GK114" s="276" t="s">
        <v>955</v>
      </c>
      <c r="GL114" s="276" t="s">
        <v>955</v>
      </c>
      <c r="GM114" s="276" t="s">
        <v>955</v>
      </c>
      <c r="GN114" s="276" t="s">
        <v>955</v>
      </c>
      <c r="GO114" s="276" t="s">
        <v>955</v>
      </c>
      <c r="GP114" s="276" t="s">
        <v>955</v>
      </c>
      <c r="GQ114" s="276" t="s">
        <v>955</v>
      </c>
      <c r="GR114" s="276" t="s">
        <v>955</v>
      </c>
      <c r="GS114" s="276" t="s">
        <v>955</v>
      </c>
      <c r="GT114" s="276" t="s">
        <v>955</v>
      </c>
      <c r="GU114" s="276" t="s">
        <v>955</v>
      </c>
      <c r="GV114" s="276" t="s">
        <v>955</v>
      </c>
      <c r="HN114" s="342" t="s">
        <v>145</v>
      </c>
      <c r="HO114" s="342" t="e">
        <f>IF(SUM((VLOOKUP(BDD!BB197,BDD!BB194:BJ232,9,FALSE)+VLOOKUP(BDD!BB287,BDD!BB284:BJ323,9,FALSE))/1000/SUM(AA76:AA100)*IF(#REF!=OUI,35,84)-(#REF!))&lt;0,0,SUM((VLOOKUP(BDD!BB197,BDD!BB194:BJ232,9,FALSE)+VLOOKUP(BDD!BB287,BDD!BB284:BJ323,9,FALSE))/1000/SUM(AA76:AA100)*IF(#REF!=OUI,35,84)-(#REF!)))</f>
        <v>#REF!</v>
      </c>
      <c r="HP114" s="342">
        <v>0</v>
      </c>
      <c r="HQ114" s="342">
        <v>0</v>
      </c>
      <c r="HR114" s="342">
        <v>0</v>
      </c>
      <c r="HS114" s="342">
        <v>0</v>
      </c>
      <c r="HT114" s="342">
        <v>0</v>
      </c>
      <c r="HU114" s="342">
        <v>0</v>
      </c>
      <c r="HV114" s="342" t="e">
        <f>IF(SUM(VLOOKUP(BDD!DN153,BDD!DN150:DS188,6,FALSE)+VLOOKUP(BDD!DN241,BDD!DN238:DS276,6,FALSE))/1000/SUM(AD76:AD100)*IF(#REF!=OUI,35,84)-(#REF!)&lt;0,0,(SUM(VLOOKUP(BDD!DN153,BDD!DN150:DS188,6,FALSE)+VLOOKUP(BDD!DN241,BDD!DN238:DS276,6,FALSE))/1000/SUM(AD76:AD100)*IF(#REF!=OUI,35,84)-(#REF!)))</f>
        <v>#REF!</v>
      </c>
      <c r="HW114" s="342">
        <v>0</v>
      </c>
      <c r="HX114" s="342">
        <v>0</v>
      </c>
      <c r="HY114" s="342">
        <v>0</v>
      </c>
      <c r="HZ114" s="342">
        <v>0</v>
      </c>
      <c r="IA114" s="342">
        <v>0</v>
      </c>
      <c r="IB114" s="342" t="e">
        <f t="shared" si="42"/>
        <v>#REF!</v>
      </c>
    </row>
    <row r="115" spans="1:236" ht="12.75" customHeight="1" x14ac:dyDescent="0.2">
      <c r="A115" s="381"/>
      <c r="B115" s="380"/>
      <c r="F115" s="280"/>
      <c r="G115" s="323"/>
      <c r="H115" s="321"/>
      <c r="I115" s="321"/>
      <c r="J115" s="321"/>
      <c r="K115" s="321"/>
      <c r="L115" s="280"/>
      <c r="O115" s="384">
        <v>4000</v>
      </c>
      <c r="BB115" s="387" t="s">
        <v>948</v>
      </c>
      <c r="BC115" s="362" t="s">
        <v>500</v>
      </c>
      <c r="BD115" s="362" t="s">
        <v>888</v>
      </c>
      <c r="BE115" s="388">
        <v>4.8</v>
      </c>
      <c r="BF115" s="388">
        <v>4</v>
      </c>
      <c r="BG115" s="388">
        <v>4</v>
      </c>
      <c r="BH115" s="388">
        <v>4</v>
      </c>
      <c r="BI115" s="388">
        <v>2</v>
      </c>
      <c r="BJ115" s="388">
        <v>1.2</v>
      </c>
      <c r="BK115" s="389">
        <v>0</v>
      </c>
      <c r="BL115" s="312"/>
      <c r="BM115" s="350" t="str">
        <f t="shared" ref="BM115:BM148" si="43">BM37</f>
        <v>Betterave</v>
      </c>
      <c r="BN115" s="351">
        <f t="array" ref="BN115">SUM((IF(QualitéAlimentsBisonneauxMâles_0_3_mois=BONNE,VLOOKUP("Betterave",AlimentsRationHivernaleBisonsMâles,8,FALSE),0)+(IF(QualitéAlimentsBisonneauxFemelles_0_3_mois=BONNE,VLOOKUP("Betterave",AlimentsRationHivernaleBisonsFemelles,8,FALSE),0)+(IF(QualitéAlimentsBisonneauxMâles_3_6_mois=BONNE,VLOOKUP("Betterave",AlimentsRationHivernaleBisonsMâles,7,FALSE),0)+(IF(QualitéAlimentsBisonneauxFemelles_3_6_mois=BONNE,VLOOKUP("Betterave",AlimentsRationHivernaleBisonsFemelles,7,FALSE),0)+(IF(QualitéAlimentsBisonneauxMâles_6_12_mois=BONNE,VLOOKUP("Betterave",AlimentsRationHivernaleBisonsMâles,6,FALSE),0)+(IF(QualitéAlimentsBisonneauxFemelles_6_12_mois=BONNE,VLOOKUP("Betterave",AlimentsRationHivernaleBisonsFemelles,6,FALSE),0)+(IF(QualitéAlimentsJeunesBisons_12_18_mois=BONNE,VLOOKUP("Betterave",AlimentsRationHivernaleBisonsMâles,5,FALSE),0)+(IF(QualitéAlimentsJeunesBisonnes_12_18_mois=BONNE,VLOOKUP("Betterave",AlimentsRationHivernaleBisonsFemelles,5,FALSE),0)+(IF(QualitéAlimentsJeunesBisons_18_24_mois=BONNE,VLOOKUP("Betterave",AlimentsRationHivernaleBisonsMâles,4,FALSE),0)+(IF(QualitéAlimentsJeunesBisonnes_18_24_mois=BONNE,VLOOKUP("Betterave",AlimentsRationHivernaleBisonsFemelles,4,FALSE),0)+(IF(QualitéAlimentsJeunesBisons_24_36_mois=BONNE,VLOOKUP("Betterave",AlimentsRationHivernaleBisonsMâles,3,FALSE),0)+(IF(QualitéAlimentsJeunesBisonnes_24_36_mois=BONNE,VLOOKUP("Betterave",AlimentsRationHivernaleBisonsFemelles,3,FALSE),0)+(IF(QualitéAlimentsBisons=BONNE,VLOOKUP("Betterave",AlimentsRationHivernaleBisonsMâles,2,FALSE),0)+(IF(QualitéAlimentsBisonnes=BONNE,VLOOKUP("Betterave",AlimentsRationHivernaleBisonsFemelles,2,FALSE),0))))))))))))))))</f>
        <v>0</v>
      </c>
      <c r="BO115" s="351">
        <f t="array" ref="BO115">SUM((IF(QualitéAlimentsBisonneauxMâles_0_3_mois=MOYENNE,VLOOKUP("Betterave",AlimentsRationHivernaleBisonsMâles,8,FALSE),0)+(IF(QualitéAlimentsBisonneauxFemelles_0_3_mois=MOYENNE,VLOOKUP("Betterave",AlimentsRationHivernaleBisonsFemelles,8,FALSE),0)+(IF(QualitéAlimentsBisonneauxMâles_3_6_mois=MOYENNE,VLOOKUP("Betterave",AlimentsRationHivernaleBisonsMâles,7,FALSE),0)+(IF(QualitéAlimentsBisonneauxFemelles_3_6_mois=MOYENNE,VLOOKUP("Betterave",AlimentsRationHivernaleBisonsFemelles,7,FALSE),0)+(IF(QualitéAlimentsBisonneauxMâles_6_12_mois=MOYENNE,VLOOKUP("Betterave",AlimentsRationHivernaleBisonsMâles,6,FALSE),0)+(IF(QualitéAlimentsBisonneauxFemelles_6_12_mois=MOYENNE,VLOOKUP("Betterave",AlimentsRationHivernaleBisonsFemelles,6,FALSE),0)+(IF(QualitéAlimentsJeunesBisons_12_18_mois=MOYENNE,VLOOKUP("Betterave",AlimentsRationHivernaleBisonsMâles,5,FALSE),0)+(IF(QualitéAlimentsJeunesBisonnes_12_18_mois=MOYENNE,VLOOKUP("Betterave",AlimentsRationHivernaleBisonsFemelles,5,FALSE),0)+(IF(QualitéAlimentsJeunesBisons_18_24_mois=MOYENNE,VLOOKUP("Betterave",AlimentsRationHivernaleBisonsMâles,4,FALSE),0)+(IF(QualitéAlimentsJeunesBisonnes_18_24_mois=MOYENNE,VLOOKUP("Betterave",AlimentsRationHivernaleBisonsFemelles,4,FALSE),0)+(IF(QualitéAlimentsJeunesBisons_24_36_mois=MOYENNE,VLOOKUP("Betterave",AlimentsRationHivernaleBisonsMâles,3,FALSE),0)+(IF(QualitéAlimentsJeunesBisonnes_24_36_mois=MOYENNE,VLOOKUP("Betterave",AlimentsRationHivernaleBisonsFemelles,3,FALSE),0)+(IF(QualitéAlimentsBisons=MOYENNE,VLOOKUP("Betterave",AlimentsRationHivernaleBisonsMâles,2,FALSE),0)+(IF(QualitéAlimentsBisonnes=MOYENNE,VLOOKUP("Betterave",AlimentsRationHivernaleBisonsFemelles,2,FALSE),0))))))))))))))))</f>
        <v>0</v>
      </c>
      <c r="BP115" s="351">
        <f t="array" ref="BP115">SUM((IF(QualitéAlimentsBisonneauxMâles_0_3_mois=MAUVAISE,VLOOKUP("Betterave",AlimentsRationHivernaleBisonsMâles,8,FALSE),0)+(IF(QualitéAlimentsBisonneauxFemelles_0_3_mois=MAUVAISE,VLOOKUP("Betterave",AlimentsRationHivernaleBisonsFemelles,8,FALSE),0)+(IF(QualitéAlimentsBisonneauxMâles_3_6_mois=MAUVAISE,VLOOKUP("Betterave",AlimentsRationHivernaleBisonsMâles,7,FALSE),0)+(IF(QualitéAlimentsBisonneauxFemelles_3_6_mois=MAUVAISE,VLOOKUP("Betterave",AlimentsRationHivernaleBisonsFemelles,7,FALSE),0)+(IF(QualitéAlimentsBisonneauxMâles_6_12_mois=MAUVAISE,VLOOKUP("Betterave",AlimentsRationHivernaleBisonsMâles,6,FALSE),0)+(IF(QualitéAlimentsBisonneauxFemelles_6_12_mois=MAUVAISE,VLOOKUP("Betterave",AlimentsRationHivernaleBisonsFemelles,6,FALSE),0)+(IF(QualitéAlimentsJeunesBisons_12_18_mois=MAUVAISE,VLOOKUP("Betterave",AlimentsRationHivernaleBisonsMâles,5,FALSE),0)+(IF(QualitéAlimentsJeunesBisonnes_12_18_mois=MAUVAISE,VLOOKUP("Betterave",AlimentsRationHivernaleBisonsFemelles,5,FALSE),0)+(IF(QualitéAlimentsJeunesBisons_18_24_mois=MAUVAISE,VLOOKUP("Betterave",AlimentsRationHivernaleBisonsMâles,4,FALSE),0)+(IF(QualitéAlimentsJeunesBisonnes_18_24_mois=MAUVAISE,VLOOKUP("Betterave",AlimentsRationHivernaleBisonsFemelles,4,FALSE),0)+(IF(QualitéAlimentsJeunesBisons_24_36_mois=MAUVAISE,VLOOKUP("Betterave",AlimentsRationHivernaleBisonsMâles,3,FALSE),0)+(IF(QualitéAlimentsJeunesBisonnes_24_36_mois=MAUVAISE,VLOOKUP("Betterave",AlimentsRationHivernaleBisonsFemelles,3,FALSE),0)+(IF(QualitéAlimentsBisons=MAUVAISE,VLOOKUP("Betterave",AlimentsRationHivernaleBisonsMâles,2,FALSE),0)+(IF(QualitéAlimentsBisonnes=MAUVAISE,VLOOKUP("Betterave",AlimentsRationHivernaleBisonsFemelles,2,FALSE),0))))))))))))))))</f>
        <v>0</v>
      </c>
      <c r="BQ115" s="282"/>
      <c r="BR115" s="282"/>
      <c r="BS115" s="282"/>
      <c r="BT115" s="282"/>
      <c r="BU115" s="282"/>
      <c r="BX115" s="350" t="s">
        <v>1165</v>
      </c>
      <c r="BY115" s="350">
        <f t="array" ref="BY115">IF(ChoixRationComplèteCaprins=OUI,0,IFERROR(IF(OR(AND(INDEX(Règles_caprins[Specificite],MATCH(ChoixRationCaprins&amp;$BX115,Règles_caprins[Ration]&amp;Règles_caprins[Aliment],0))="s1",IF($BX115=Spécificité1Caprins,1)),
INDEX(Règles_caprins[Specificite],MATCH(ChoixRationCaprins&amp;$BX115,Règles_caprins[Ration]&amp;Règles_caprins[Aliment],0))="c"),
INDEX(Règles_caprins[Valeur 12 et plus],MATCH(ChoixRationCaprins&amp;$BX115,Règles_caprins[Ration]&amp;Règles_caprins[Aliment],0)),0),0)*TotalBoucs*NbreJoursNourrirCaprins)</f>
        <v>0</v>
      </c>
      <c r="BZ115" s="350">
        <f t="array" ref="BZ115">IF(ChoixRationComplèteCaprins=OUI,0,IFERROR(IF(OR(AND(INDEX(Règles_caprins[Specificite],MATCH(ChoixRationCaprins&amp;$BX115,Règles_caprins[Ration]&amp;Règles_caprins[Aliment],0))="s1",IF($BX115=Spécificité1Caprins,1)),
INDEX(Règles_caprins[Specificite],MATCH(ChoixRationCaprins&amp;$BX115,Règles_caprins[Ration]&amp;Règles_caprins[Aliment],0))="c"),
INDEX(Règles_caprins[Valeur 6-12],MATCH(ChoixRationCaprins&amp;$BX115,Règles_caprins[Ration]&amp;Règles_caprins[Aliment],0)),0),0)*jeune_bouc_6_12_mois*NbreJoursNourrirCaprins)</f>
        <v>0</v>
      </c>
      <c r="CA115" s="350">
        <f t="array" ref="CA115">IF(ChoixRationComplèteCaprins=OUI,0,IFERROR(IF(OR(AND(INDEX(Règles_caprins[Specificite],MATCH(ChoixRationCaprins&amp;$BX115,Règles_caprins[Ration]&amp;Règles_caprins[Aliment],0))="s1",IF($BX115=Spécificité1Caprins,1)),
INDEX(Règles_caprins[Specificite],MATCH(ChoixRationCaprins&amp;$BX115,Règles_caprins[Ration]&amp;Règles_caprins[Aliment],0))="c"),
INDEX(Règles_caprins[Valeur 3-6],MATCH(ChoixRationCaprins&amp;$BX115,Règles_caprins[Ration]&amp;Règles_caprins[Aliment],0)),0),0)*chevreau_3_6_mois*NbreJoursNourrirCaprins)</f>
        <v>0</v>
      </c>
      <c r="CB115" s="350">
        <f t="array" ref="CB115">IF(ChoixRationComplèteCaprins=OUI,0,IFERROR(IF(OR(AND(INDEX(Règles_caprins[Specificite],MATCH(ChoixRationCaprins&amp;$BX115,Règles_caprins[Ration]&amp;Règles_caprins[Aliment],0))="s1",IF($BX115=Spécificité1Caprins,1)),
INDEX(Règles_caprins[Specificite],MATCH(ChoixRationCaprins&amp;$BX115,Règles_caprins[Ration]&amp;Règles_caprins[Aliment],0))="c"),
INDEX(Règles_caprins[Valeur 0-3],MATCH(ChoixRationCaprins&amp;$BX115,Règles_caprins[Ration]&amp;Règles_caprins[Aliment],0)),0),0)*chevreau_0_3_mois*NbreJoursNourrirCaprins)</f>
        <v>0</v>
      </c>
      <c r="CC115" s="350">
        <f t="shared" si="41"/>
        <v>0</v>
      </c>
      <c r="CH115" s="276"/>
      <c r="CI115" s="277"/>
      <c r="CJ115" s="420" t="str">
        <f t="shared" si="25"/>
        <v>Soja</v>
      </c>
      <c r="CK115" s="384">
        <f t="array" ref="CK11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15" s="384">
        <f t="array" ref="CL11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15" s="384">
        <f t="array" ref="CM11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15" s="384">
        <f t="array" ref="CN11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15" s="384">
        <f t="array" ref="CO115">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15" s="426">
        <f>SUM(AlimentsRationPorcinsFemelles[[#This Row],[Valeur 12 et plus]:[Valeur 0-1]])</f>
        <v>0</v>
      </c>
      <c r="CQ115" s="298"/>
      <c r="CS115" s="420" t="str">
        <f t="shared" si="36"/>
        <v>Lentille</v>
      </c>
      <c r="CT115" s="433">
        <f t="array" ref="CT115">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15" s="433">
        <f t="array" ref="CU115">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15" s="433">
        <f t="array" ref="CV115">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15" s="434">
        <f>SUM(AlimentsRationLapinsFemelles[[#This Row],[Valeur 3 et plus]:[Valeur 0-1]])</f>
        <v>0</v>
      </c>
      <c r="CY115" s="277"/>
      <c r="CZ115" s="420" t="str">
        <f t="shared" si="37"/>
        <v>Lentille</v>
      </c>
      <c r="DA115" s="433">
        <f t="array" ref="DA11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15" s="433">
        <f t="array" ref="DB11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15" s="433">
        <f t="array" ref="DC11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15" s="434">
        <f>SUM(AlimentsRationVolaillesFemelles[[#This Row],[Valeur 6 et plus]:[Valeur 0-1]])</f>
        <v>0</v>
      </c>
      <c r="DE115" s="298"/>
      <c r="DG115" s="384" t="str">
        <f t="shared" si="26"/>
        <v>Ration complète</v>
      </c>
      <c r="DH115" s="433">
        <f t="array" ref="DH11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15" s="433">
        <f t="array" ref="DI11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15" s="433">
        <f t="array" ref="DJ11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15" s="437">
        <f>SUM(AlimentsRationPintadesFemelles[[#This Row],[Valeur 6 et plus]:[Valeur 0-1]])</f>
        <v>0</v>
      </c>
      <c r="DN115" s="373" t="s">
        <v>950</v>
      </c>
      <c r="DO115" s="280" t="s">
        <v>905</v>
      </c>
      <c r="DP115" s="280" t="s">
        <v>886</v>
      </c>
      <c r="DQ115" s="310">
        <v>0.14000000000000001</v>
      </c>
      <c r="DR115" s="310">
        <v>0.08</v>
      </c>
      <c r="DS115" s="310">
        <v>0.04</v>
      </c>
      <c r="DT115" s="439">
        <v>0.04</v>
      </c>
      <c r="DU115" s="298"/>
      <c r="DV115" s="350">
        <f t="shared" si="23"/>
        <v>0</v>
      </c>
      <c r="DW115" s="351"/>
      <c r="DX115" s="351"/>
      <c r="DY115" s="351"/>
      <c r="DZ115" s="298"/>
      <c r="EA115" s="298"/>
      <c r="EB115" s="298"/>
      <c r="EC115" s="298"/>
      <c r="ED115" s="298"/>
      <c r="EG115" s="420" t="str">
        <f t="shared" si="30"/>
        <v>Orge</v>
      </c>
      <c r="EH115" s="433">
        <f t="array" ref="EH11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15" s="433">
        <f t="array" ref="EI11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15" s="433">
        <f t="array" ref="EJ11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15" s="434">
        <f>SUM(AlimentsRationOiesFemelles[[#This Row],[Valeur 6 et plus]:[Valeur 0-3]])</f>
        <v>0</v>
      </c>
      <c r="EN115" s="443" t="str">
        <f t="shared" si="28"/>
        <v>Paille</v>
      </c>
      <c r="EO115" s="450">
        <f t="array" ref="EO115">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15" s="450">
        <f t="array" ref="EP115">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15" s="450">
        <f t="array" ref="EQ115">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15" s="451">
        <f>SUM(Ration_canards_Femelles[[#This Row],[Valeur 6 et plus]:[Valeur 0-3]])</f>
        <v>0</v>
      </c>
      <c r="EU115" s="457" t="str">
        <f t="shared" si="40"/>
        <v>Féverole</v>
      </c>
      <c r="EV115" s="458">
        <f t="array" ref="EV115">IF(OR(ChoixRationComplèteEtéChevauxSelle=OUI,ChoixRationComplèteEtéChevauxSelle="",AND(ChoixChevauxSellePréHiver=OUI,ChoixChevauxSellePréEté=OUI)),0,IFERROR(IF(OR(AND(INDEX(Règles_chevaux_selle[Specificite],MATCH(RationEtéChevauxSelle&amp;$EU115,Règles_chevaux_selle[Ration]&amp;Règles_chevaux_selle[Aliment],0))="s1",IF($EU115=Spécificité1ChevauxSelle,1)),
AND(INDEX(Règles_chevaux_selle[Specificite],MATCH(RationEtéChevauxSelle&amp;$EU115,Règles_chevaux_selle[Ration]&amp;Règles_chevaux_selle[Aliment],0))="s2",IF($EU115=Spécificité2ChevauxSelle,1)),
INDEX(Règles_chevaux_selle[Specificite],MATCH(RationEtéChevauxSelle&amp;$EU115,Règles_chevaux_selle[Ration]&amp;Règles_chevaux_selle[Aliment],0))="c"),
INDEX(Règles_chevaux_selle[Valeur 36 et plus],MATCH(RationEtéChevauxSelle&amp;$EU115,Règles_chevaux_selle[Ration]&amp;Règles_chevaux_selle[Aliment],0)),0),0)*TotalJumentSelle*NbreJoursNourrirChevauxSelle)</f>
        <v>0</v>
      </c>
      <c r="EW115" s="458">
        <f t="array" ref="EW115">IF(OR(ChoixRationComplèteEtéChevauxSelle=OUI,ChoixRationComplèteEtéChevauxSelle="",AND(ChoixChevauxSellePréHiver=OUI,ChoixChevauxSellePréEté=OUI)),0,IFERROR(IF(OR(AND(INDEX(Règles_chevaux_selle[Specificite],MATCH(RationEtéChevauxSelle&amp;$EU115,Règles_chevaux_selle[Ration]&amp;Règles_chevaux_selle[Aliment],0))="s1",IF($EU115=Spécificité1ChevauxSelle,1)),
AND(INDEX(Règles_chevaux_selle[Specificite],MATCH(RationEtéChevauxSelle&amp;$EU115,Règles_chevaux_selle[Ration]&amp;Règles_chevaux_selle[Aliment],0))="s2",IF($EU115=Spécificité2ChevauxSelle,1)),
INDEX(Règles_chevaux_selle[Specificite],MATCH(RationEtéChevauxSelle&amp;$EU115,Règles_chevaux_selle[Ration]&amp;Règles_chevaux_selle[Aliment],0))="c"),
INDEX(Règles_chevaux_selle[Valeur 24-36],MATCH(RationEtéChevauxSelle&amp;$EU115,Règles_chevaux_selle[Ration]&amp;Règles_chevaux_selle[Aliment],0)),0),0)*TotalJeuneJumentSelle_24_36_mois*NbreJoursNourrirChevauxSelle)</f>
        <v>0</v>
      </c>
      <c r="EX115" s="458">
        <f t="array" ref="EX115">IF(OR(ChoixRationComplèteEtéChevauxSelle=OUI,ChoixRationComplèteEtéChevauxSelle="",AND(ChoixChevauxSellePréHiver=OUI,ChoixChevauxSellePréEté=OUI)),0,IFERROR(IF(OR(AND(INDEX(Règles_chevaux_selle[Specificite],MATCH(RationEtéChevauxSelle&amp;$EU115,Règles_chevaux_selle[Ration]&amp;Règles_chevaux_selle[Aliment],0))="s1",IF($EU115=Spécificité1ChevauxSelle,1)),
AND(INDEX(Règles_chevaux_selle[Specificite],MATCH(RationEtéChevauxSelle&amp;$EU115,Règles_chevaux_selle[Ration]&amp;Règles_chevaux_selle[Aliment],0))="s2",IF($EU115=Spécificité2ChevauxSelle,1)),
INDEX(Règles_chevaux_selle[Specificite],MATCH(RationEtéChevauxSelle&amp;$EU115,Règles_chevaux_selle[Ration]&amp;Règles_chevaux_selle[Aliment],0))="c"),
INDEX(Règles_chevaux_selle[Valeur 12-24],MATCH(RationEtéChevauxSelle&amp;$EU115,Règles_chevaux_selle[Ration]&amp;Règles_chevaux_selle[Aliment],0)),0),0)*TotalJeuneJumentSelle_12_24_mois_12_24_mois*NbreJoursNourrirChevauxSelle)</f>
        <v>0</v>
      </c>
      <c r="EY115" s="460">
        <f t="array" ref="EY115">IF(OR(ChoixRationComplèteEtéChevauxSelle=OUI,ChoixRationComplèteEtéChevauxSelle="",AND(ChoixChevauxSellePréHiver=OUI,ChoixChevauxSellePréEté=OUI)),0,IFERROR(IF(OR(AND(INDEX(Règles_chevaux_selle[Specificite],MATCH(RationEtéChevauxSelle&amp;$EU115,Règles_chevaux_selle[Ration]&amp;Règles_chevaux_selle[Aliment],0))="s1",IF($EU115=Spécificité1ChevauxSelle,1)),
AND(INDEX(Règles_chevaux_selle[Specificite],MATCH(RationEtéChevauxSelle&amp;$EU115,Règles_chevaux_selle[Ration]&amp;Règles_chevaux_selle[Aliment],0))="s2",IF($EU115=Spécificité2ChevauxSelle,1)),
INDEX(Règles_chevaux_selle[Specificite],MATCH(RationEtéChevauxSelle&amp;$EU115,Règles_chevaux_selle[Ration]&amp;Règles_chevaux_selle[Aliment],0))="c"),
INDEX(Règles_chevaux_selle[Valeur 0-12],MATCH(RationEtéChevauxSelle&amp;$EU115,Règles_chevaux_selle[Ration]&amp;Règles_chevaux_selle[Aliment],0)),0),0)*TotalPoulicheSelle_0_12_mois*NbreJoursNourrirChevauxSelle)</f>
        <v>0</v>
      </c>
      <c r="EZ115" s="460">
        <f t="shared" si="39"/>
        <v>0</v>
      </c>
      <c r="FD115" s="457" t="str">
        <f t="shared" si="33"/>
        <v>Minéraux + vitamines</v>
      </c>
      <c r="FE115" s="458">
        <f t="array" ref="FE115">IF(OR(ChoixRationComplèteEtéChevauxTrait=OUI,ChoixRationComplèteEtéChevauxTrait="",AND(ChoixChevauxTraitPréHiver=OUI,ChoixChevauxTraitPréEté=OUI)),0,IFERROR(IF(OR(AND(INDEX(Règles_chevaux_trait[Specificite],MATCH(RationEtéChevauxTrait&amp;$FD115,Règles_chevaux_trait[Ration]&amp;Règles_chevaux_trait[Aliment],0))="s1",IF($FD115=Spécificité1ChevauxTrait,1)),
AND(INDEX(Règles_chevaux_trait[Specificite],MATCH(RationEtéChevauxTrait&amp;$FD115,Règles_chevaux_trait[Ration]&amp;Règles_chevaux_trait[Aliment],0))="s2",IF($FD115=Spécificité2ChevauxTrait,1)),
INDEX(Règles_chevaux_trait[Specificite],MATCH(RationEtéChevauxTrait&amp;$FD115,Règles_chevaux_trait[Ration]&amp;Règles_chevaux_trait[Aliment],0))="c"),
INDEX(Règles_chevaux_trait[Valeur 36 et plus],MATCH(RationEtéChevauxTrait&amp;$FD115,Règles_chevaux_trait[Ration]&amp;Règles_chevaux_trait[Aliment],0)),0),0)*TotalJumentTrait*NbreJoursNourrirChevauxTrait)</f>
        <v>0</v>
      </c>
      <c r="FF115" s="458">
        <f t="array" ref="FF115">IF(OR(ChoixRationComplèteEtéChevauxTrait=OUI,ChoixRationComplèteEtéChevauxTrait="",AND(ChoixChevauxTraitPréHiver=OUI,ChoixChevauxTraitPréEté=OUI)),0,IFERROR(IF(OR(AND(INDEX(Règles_chevaux_trait[Specificite],MATCH(RationEtéChevauxTrait&amp;$FD115,Règles_chevaux_trait[Ration]&amp;Règles_chevaux_trait[Aliment],0))="s1",IF($FD115=Spécificité1ChevauxTrait,1)),
AND(INDEX(Règles_chevaux_trait[Specificite],MATCH(RationEtéChevauxTrait&amp;$FD115,Règles_chevaux_trait[Ration]&amp;Règles_chevaux_trait[Aliment],0))="s2",IF($FD115=Spécificité2ChevauxTrait,1)),
INDEX(Règles_chevaux_trait[Specificite],MATCH(RationEtéChevauxTrait&amp;$FD115,Règles_chevaux_trait[Ration]&amp;Règles_chevaux_trait[Aliment],0))="c"),
INDEX(Règles_chevaux_trait[Valeur 24-36],MATCH(RationEtéChevauxTrait&amp;$FD115,Règles_chevaux_trait[Ration]&amp;Règles_chevaux_trait[Aliment],0)),0),0)*TotalJeuneJumentTrait_24_36_mois*NbreJoursNourrirChevauxTrait)</f>
        <v>0</v>
      </c>
      <c r="FG115" s="458">
        <f t="array" ref="FG115">IF(OR(ChoixRationComplèteEtéChevauxTrait=OUI,ChoixRationComplèteEtéChevauxTrait="",AND(ChoixChevauxTraitPréHiver=OUI,ChoixChevauxTraitPréEté=OUI)),0,IFERROR(IF(OR(AND(INDEX(Règles_chevaux_trait[Specificite],MATCH(RationEtéChevauxTrait&amp;$FD115,Règles_chevaux_trait[Ration]&amp;Règles_chevaux_trait[Aliment],0))="s1",IF($FD115=Spécificité1ChevauxTrait,1)),
AND(INDEX(Règles_chevaux_trait[Specificite],MATCH(RationEtéChevauxTrait&amp;$FD115,Règles_chevaux_trait[Ration]&amp;Règles_chevaux_trait[Aliment],0))="s2",IF($FD115=Spécificité2ChevauxTrait,1)),
INDEX(Règles_chevaux_trait[Specificite],MATCH(RationEtéChevauxTrait&amp;$FD115,Règles_chevaux_trait[Ration]&amp;Règles_chevaux_trait[Aliment],0))="c"),
INDEX(Règles_chevaux_trait[Valeur 12-24],MATCH(RationEtéChevauxTrait&amp;$FD115,Règles_chevaux_trait[Ration]&amp;Règles_chevaux_trait[Aliment],0)),0),0)*TotalJeuneJumentTrait_12_24_mois*NbreJoursNourrirChevauxTrait)</f>
        <v>0</v>
      </c>
      <c r="FH115" s="460">
        <f t="array" ref="FH115">IF(OR(ChoixRationComplèteEtéChevauxTrait=OUI,ChoixRationComplèteEtéChevauxTrait="",AND(ChoixChevauxTraitPréHiver=OUI,ChoixChevauxTraitPréEté=OUI)),0,IFERROR(IF(OR(AND(INDEX(Règles_chevaux_trait[Specificite],MATCH(RationEtéChevauxTrait&amp;$FD115,Règles_chevaux_trait[Ration]&amp;Règles_chevaux_trait[Aliment],0))="s1",IF($FD115=Spécificité1ChevauxTrait,1)),
AND(INDEX(Règles_chevaux_trait[Specificite],MATCH(RationEtéChevauxTrait&amp;$FD115,Règles_chevaux_trait[Ration]&amp;Règles_chevaux_trait[Aliment],0))="s2",IF($FD115=Spécificité2ChevauxTrait,1)),
INDEX(Règles_chevaux_trait[Specificite],MATCH(RationEtéChevauxTrait&amp;$FD115,Règles_chevaux_trait[Ration]&amp;Règles_chevaux_trait[Aliment],0))="c"),
INDEX(Règles_chevaux_trait[Valeur 0-12],MATCH(RationEtéChevauxTrait&amp;$FD115,Règles_chevaux_trait[Ration]&amp;Règles_chevaux_trait[Aliment],0)),0),0)*TotalPoulicheTrait_0_12_mois*NbreJoursNourrirChevauxTrait)</f>
        <v>0</v>
      </c>
      <c r="FI115" s="460">
        <f t="shared" si="31"/>
        <v>0</v>
      </c>
      <c r="FJ115" s="298"/>
      <c r="FN115" s="457" t="str">
        <f t="shared" si="32"/>
        <v>Orge</v>
      </c>
      <c r="FO115" s="458">
        <f t="array" ref="FO115">IF(OR(ChoixRationComplèteEtéPoneys=OUI,ChoixRationComplèteEtéPoneys="",AND(ChoixPoneysPréHiver=OUI,ChoixPoneysPréEté=OUI)),0,IFERROR(IF(OR(AND(INDEX(Règles_poneys[Specificite],MATCH(RationHivernaleAuPréPoneys&amp;$FN115,Règles_poneys[Ration]&amp;Règles_poneys[Aliment],0))="s1",IF($FN115=Spécificité1Poneys,1)),
AND(INDEX(Règles_poneys[Specificite],MATCH(RationHivernaleAuPréPoneys&amp;$FN115,Règles_poneys[Ration]&amp;Règles_poneys[Aliment],0))="s2",IF($FN115=Spécificité2Poneys,1)),
INDEX(Règles_poneys[Specificite],MATCH(RationHivernaleAuPréPoneys&amp;$FN115,Règles_poneys[Ration]&amp;Règles_poneys[Aliment],0))="c"),
INDEX(Règles_poneys[Valeur 36 et plus],MATCH(RationHivernaleAuPréPoneys&amp;$FN115,Règles_poneys[Ration]&amp;Règles_poneys[Aliment],0)),0),0)*SUM(TotalPoneysAdultes)*SUM(AG118:AG142))</f>
        <v>0</v>
      </c>
      <c r="FP115" s="458">
        <f t="array" ref="FP115">IF(OR(ChoixRationComplèteEtéPoneys=OUI,ChoixRationComplèteEtéPoneys="",AND(ChoixPoneysPréHiver=OUI,ChoixPoneysPréEté=OUI)),0,IFERROR(IF(OR(AND(INDEX(Règles_poneys[Specificite],MATCH(RationHivernaleAuPréPoneys&amp;$FN115,Règles_poneys[Ration]&amp;Règles_poneys[Aliment],0))="s1",IF($FN115=Spécificité1Poneys,1)),
AND(INDEX(Règles_poneys[Specificite],MATCH(RationHivernaleAuPréPoneys&amp;$FN115,Règles_poneys[Ration]&amp;Règles_poneys[Aliment],0))="s2",IF($FN115=Spécificité2Poneys,1)),
INDEX(Règles_poneys[Specificite],MATCH(RationHivernaleAuPréPoneys&amp;$FN115,Règles_poneys[Ration]&amp;Règles_poneys[Aliment],0))="c"),
INDEX(Règles_poneys[Valeur 24-36],MATCH(RationHivernaleAuPréPoneys&amp;$FN115,Règles_poneys[Ration]&amp;Règles_poneys[Aliment],0)),0),0)*SUM(TotalPoneys_24_36mois)*SUM(AG118:AG142))</f>
        <v>0</v>
      </c>
      <c r="FQ115" s="458">
        <f t="array" ref="FQ115">IF(OR(ChoixRationComplèteEtéPoneys=OUI,ChoixRationComplèteEtéPoneys="",AND(ChoixPoneysPréHiver=OUI,ChoixPoneysPréEté=OUI)),0,IFERROR(IF(OR(AND(INDEX(Règles_poneys[Specificite],MATCH(RationHivernaleAuPréPoneys&amp;$FN115,Règles_poneys[Ration]&amp;Règles_poneys[Aliment],0))="s1",IF($FN115=Spécificité1Poneys,1)),
AND(INDEX(Règles_poneys[Specificite],MATCH(RationHivernaleAuPréPoneys&amp;$FN115,Règles_poneys[Ration]&amp;Règles_poneys[Aliment],0))="s2",IF($FN115=Spécificité2Poneys,1)),
INDEX(Règles_poneys[Specificite],MATCH(RationHivernaleAuPréPoneys&amp;$FN115,Règles_poneys[Ration]&amp;Règles_poneys[Aliment],0))="c"),
INDEX(Règles_poneys[Valeur 12-24],MATCH(RationHivernaleAuPréPoneys&amp;$FN115,Règles_poneys[Ration]&amp;Règles_poneys[Aliment],0)),0),0)*SUM(TotalPoneys_12_24mois)*SUM(AG118:AG142))</f>
        <v>0</v>
      </c>
      <c r="FR115" s="460">
        <f t="array" ref="FR115">IF(OR(ChoixRationComplèteEtéPoneys=OUI,ChoixRationComplèteEtéPoneys="",AND(ChoixPoneysPréHiver=OUI,ChoixPoneysPréEté=OUI)),0,IFERROR(IF(OR(AND(INDEX(Règles_poneys[Specificite],MATCH(RationHivernaleAuPréPoneys&amp;$FN115,Règles_poneys[Ration]&amp;Règles_poneys[Aliment],0))="s1",IF($FN115=Spécificité1Poneys,1)),
AND(INDEX(Règles_poneys[Specificite],MATCH(RationHivernaleAuPréPoneys&amp;$FN115,Règles_poneys[Ration]&amp;Règles_poneys[Aliment],0))="s2",IF($FN115=Spécificité2Poneys,1)),
INDEX(Règles_poneys[Specificite],MATCH(RationHivernaleAuPréPoneys&amp;$FN115,Règles_poneys[Ration]&amp;Règles_poneys[Aliment],0))="c"),
INDEX(Règles_poneys[Valeur 0-12],MATCH(RationHivernaleAuPréPoneys&amp;$FN115,Règles_poneys[Ration]&amp;Règles_poneys[Aliment],0)),0),0)*SUM(TotalPoulainsPoneys)*SUM(AG118:AG142))</f>
        <v>0</v>
      </c>
      <c r="FS115" s="460">
        <f t="shared" si="29"/>
        <v>0</v>
      </c>
      <c r="FT115" s="298"/>
      <c r="FW115" s="443" t="str">
        <f t="shared" si="27"/>
        <v>Ration complète</v>
      </c>
      <c r="FX115" s="450">
        <f t="array" ref="FX115">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15" s="450">
        <f t="array" ref="FY115">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15" s="450">
        <f t="array" ref="FZ115">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15" s="450">
        <f t="array" ref="GA115">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15" s="451">
        <f>SUM(AlimentsGavageCanards[[#This Row],[Valeur 6 et plus]:[Valeur 0-1]])</f>
        <v>0</v>
      </c>
      <c r="GG115" s="276" t="s">
        <v>955</v>
      </c>
      <c r="GH115" s="276" t="s">
        <v>955</v>
      </c>
      <c r="GI115" s="276" t="s">
        <v>955</v>
      </c>
      <c r="GJ115" s="276" t="s">
        <v>955</v>
      </c>
      <c r="GK115" s="276" t="s">
        <v>955</v>
      </c>
      <c r="GL115" s="276" t="s">
        <v>955</v>
      </c>
      <c r="GM115" s="276" t="s">
        <v>955</v>
      </c>
      <c r="GN115" s="276" t="s">
        <v>955</v>
      </c>
      <c r="GO115" s="276" t="s">
        <v>955</v>
      </c>
      <c r="GP115" s="276" t="s">
        <v>955</v>
      </c>
      <c r="GQ115" s="276" t="s">
        <v>955</v>
      </c>
      <c r="GR115" s="276" t="s">
        <v>955</v>
      </c>
      <c r="GS115" s="276" t="s">
        <v>955</v>
      </c>
      <c r="GT115" s="276" t="s">
        <v>955</v>
      </c>
      <c r="GU115" s="276" t="s">
        <v>955</v>
      </c>
      <c r="GV115" s="276" t="s">
        <v>955</v>
      </c>
    </row>
    <row r="116" spans="1:236" ht="12.75" customHeight="1" x14ac:dyDescent="0.2">
      <c r="A116" s="381"/>
      <c r="B116" s="380"/>
      <c r="O116" s="384">
        <v>5000</v>
      </c>
      <c r="BB116" s="387" t="s">
        <v>948</v>
      </c>
      <c r="BC116" s="362" t="s">
        <v>57</v>
      </c>
      <c r="BD116" s="362" t="s">
        <v>888</v>
      </c>
      <c r="BE116" s="388">
        <v>4.8</v>
      </c>
      <c r="BF116" s="388">
        <v>4</v>
      </c>
      <c r="BG116" s="388">
        <v>4</v>
      </c>
      <c r="BH116" s="388">
        <v>4</v>
      </c>
      <c r="BI116" s="388">
        <v>2</v>
      </c>
      <c r="BJ116" s="388">
        <v>1.2</v>
      </c>
      <c r="BK116" s="389">
        <v>0</v>
      </c>
      <c r="BL116" s="312"/>
      <c r="BM116" s="350" t="str">
        <f t="shared" si="43"/>
        <v>Blé</v>
      </c>
      <c r="BN116" s="351">
        <f t="array" ref="BN116">SUM((IF(QualitéAlimentsBisonneauxMâles_0_3_mois=BONNE,VLOOKUP("Blé",AlimentsRationHivernaleBisonsMâles,8,FALSE),0)+(IF(QualitéAlimentsBisonneauxFemelles_0_3_mois=BONNE,VLOOKUP("Blé",AlimentsRationHivernaleBisonsFemelles,8,FALSE),0)+(IF(QualitéAlimentsBisonneauxMâles_3_6_mois=BONNE,VLOOKUP("Blé",AlimentsRationHivernaleBisonsMâles,7,FALSE),0)+(IF(QualitéAlimentsBisonneauxFemelles_3_6_mois=BONNE,VLOOKUP("Blé",AlimentsRationHivernaleBisonsFemelles,7,FALSE),0)+(IF(QualitéAlimentsBisonneauxMâles_6_12_mois=BONNE,VLOOKUP("Blé",AlimentsRationHivernaleBisonsMâles,6,FALSE),0)+(IF(QualitéAlimentsBisonneauxFemelles_6_12_mois=BONNE,VLOOKUP("Blé",AlimentsRationHivernaleBisonsFemelles,6,FALSE),0)+(IF(QualitéAlimentsJeunesBisons_12_18_mois=BONNE,VLOOKUP("Blé",AlimentsRationHivernaleBisonsMâles,5,FALSE),0)+(IF(QualitéAlimentsJeunesBisonnes_12_18_mois=BONNE,VLOOKUP("Blé",AlimentsRationHivernaleBisonsFemelles,5,FALSE),0)+(IF(QualitéAlimentsJeunesBisons_18_24_mois=BONNE,VLOOKUP("Blé",AlimentsRationHivernaleBisonsMâles,4,FALSE),0)+(IF(QualitéAlimentsJeunesBisonnes_18_24_mois=BONNE,VLOOKUP("Blé",AlimentsRationHivernaleBisonsFemelles,4,FALSE),0)+(IF(QualitéAlimentsJeunesBisons_24_36_mois=BONNE,VLOOKUP("Blé",AlimentsRationHivernaleBisonsMâles,3,FALSE),0)+(IF(QualitéAlimentsJeunesBisonnes_24_36_mois=BONNE,VLOOKUP("Blé",AlimentsRationHivernaleBisonsFemelles,3,FALSE),0)+(IF(QualitéAlimentsBisons=BONNE,VLOOKUP("Blé",AlimentsRationHivernaleBisonsMâles,2,FALSE),0)+(IF(QualitéAlimentsBisonnes=BONNE,VLOOKUP("Blé",AlimentsRationHivernaleBisonsFemelles,2,FALSE),0))))))))))))))))</f>
        <v>0</v>
      </c>
      <c r="BO116" s="351">
        <f t="array" ref="BO116">SUM((IF(QualitéAlimentsBisonneauxMâles_0_3_mois=MOYENNE,VLOOKUP("Blé",AlimentsRationHivernaleBisonsMâles,8,FALSE),0)+(IF(QualitéAlimentsBisonneauxFemelles_0_3_mois=MOYENNE,VLOOKUP("Blé",AlimentsRationHivernaleBisonsFemelles,8,FALSE),0)+(IF(QualitéAlimentsBisonneauxMâles_3_6_mois=MOYENNE,VLOOKUP("Blé",AlimentsRationHivernaleBisonsMâles,7,FALSE),0)+(IF(QualitéAlimentsBisonneauxFemelles_3_6_mois=MOYENNE,VLOOKUP("Blé",AlimentsRationHivernaleBisonsFemelles,7,FALSE),0)+(IF(QualitéAlimentsBisonneauxMâles_6_12_mois=MOYENNE,VLOOKUP("Blé",AlimentsRationHivernaleBisonsMâles,6,FALSE),0)+(IF(QualitéAlimentsBisonneauxFemelles_6_12_mois=MOYENNE,VLOOKUP("Blé",AlimentsRationHivernaleBisonsFemelles,6,FALSE),0)+(IF(QualitéAlimentsJeunesBisons_12_18_mois=MOYENNE,VLOOKUP("Blé",AlimentsRationHivernaleBisonsMâles,5,FALSE),0)+(IF(QualitéAlimentsJeunesBisonnes_12_18_mois=MOYENNE,VLOOKUP("Blé",AlimentsRationHivernaleBisonsFemelles,5,FALSE),0)+(IF(QualitéAlimentsJeunesBisons_18_24_mois=MOYENNE,VLOOKUP("Blé",AlimentsRationHivernaleBisonsMâles,4,FALSE),0)+(IF(QualitéAlimentsJeunesBisonnes_18_24_mois=MOYENNE,VLOOKUP("Blé",AlimentsRationHivernaleBisonsFemelles,4,FALSE),0)+(IF(QualitéAlimentsJeunesBisons_24_36_mois=MOYENNE,VLOOKUP("Blé",AlimentsRationHivernaleBisonsMâles,3,FALSE),0)+(IF(QualitéAlimentsJeunesBisonnes_24_36_mois=MOYENNE,VLOOKUP("Blé",AlimentsRationHivernaleBisonsFemelles,3,FALSE),0)+(IF(QualitéAlimentsBisons=MOYENNE,VLOOKUP("Blé",AlimentsRationHivernaleBisonsMâles,2,FALSE),0)+(IF(QualitéAlimentsBisonnes=MOYENNE,VLOOKUP("Blé",AlimentsRationHivernaleBisonsFemelles,2,FALSE),0))))))))))))))))</f>
        <v>0</v>
      </c>
      <c r="BP116" s="351">
        <f t="array" ref="BP116">SUM((IF(QualitéAlimentsBisonneauxMâles_0_3_mois=MAUVAISE,VLOOKUP("Blé",AlimentsRationHivernaleBisonsMâles,8,FALSE),0)+(IF(QualitéAlimentsBisonneauxFemelles_0_3_mois=MAUVAISE,VLOOKUP("Blé",AlimentsRationHivernaleBisonsFemelles,8,FALSE),0)+(IF(QualitéAlimentsBisonneauxMâles_3_6_mois=MAUVAISE,VLOOKUP("Blé",AlimentsRationHivernaleBisonsMâles,7,FALSE),0)+(IF(QualitéAlimentsBisonneauxFemelles_3_6_mois=MAUVAISE,VLOOKUP("Blé",AlimentsRationHivernaleBisonsFemelles,7,FALSE),0)+(IF(QualitéAlimentsBisonneauxMâles_6_12_mois=MAUVAISE,VLOOKUP("Blé",AlimentsRationHivernaleBisonsMâles,6,FALSE),0)+(IF(QualitéAlimentsBisonneauxFemelles_6_12_mois=MAUVAISE,VLOOKUP("Blé",AlimentsRationHivernaleBisonsFemelles,6,FALSE),0)+(IF(QualitéAlimentsJeunesBisons_12_18_mois=MAUVAISE,VLOOKUP("Blé",AlimentsRationHivernaleBisonsMâles,5,FALSE),0)+(IF(QualitéAlimentsJeunesBisonnes_12_18_mois=MAUVAISE,VLOOKUP("Blé",AlimentsRationHivernaleBisonsFemelles,5,FALSE),0)+(IF(QualitéAlimentsJeunesBisons_18_24_mois=MAUVAISE,VLOOKUP("Blé",AlimentsRationHivernaleBisonsMâles,4,FALSE),0)+(IF(QualitéAlimentsJeunesBisonnes_18_24_mois=MAUVAISE,VLOOKUP("Blé",AlimentsRationHivernaleBisonsFemelles,4,FALSE),0)+(IF(QualitéAlimentsJeunesBisons_24_36_mois=MAUVAISE,VLOOKUP("Blé",AlimentsRationHivernaleBisonsMâles,3,FALSE),0)+(IF(QualitéAlimentsJeunesBisonnes_24_36_mois=MAUVAISE,VLOOKUP("Blé",AlimentsRationHivernaleBisonsFemelles,3,FALSE),0)+(IF(QualitéAlimentsBisons=MAUVAISE,VLOOKUP("Blé",AlimentsRationHivernaleBisonsMâles,2,FALSE),0)+(IF(QualitéAlimentsBisonnes=MAUVAISE,VLOOKUP("Blé",AlimentsRationHivernaleBisonsFemelles,2,FALSE),0))))))))))))))))</f>
        <v>0</v>
      </c>
      <c r="BQ116" s="282"/>
      <c r="BR116" s="282"/>
      <c r="BS116" s="282"/>
      <c r="BT116" s="282"/>
      <c r="BU116" s="282"/>
      <c r="BX116" s="350" t="s">
        <v>513</v>
      </c>
      <c r="BY116" s="350">
        <f t="array" ref="BY116">IF(ChoixRationComplèteCaprins=OUI,0,IFERROR(IF(OR(AND(INDEX(Règles_caprins[Specificite],MATCH(ChoixRationCaprins&amp;$BX116,Règles_caprins[Ration]&amp;Règles_caprins[Aliment],0))="s1",IF($BX116=Spécificité1Caprins,1)),
INDEX(Règles_caprins[Specificite],MATCH(ChoixRationCaprins&amp;$BX116,Règles_caprins[Ration]&amp;Règles_caprins[Aliment],0))="c"),
INDEX(Règles_caprins[Valeur 12 et plus],MATCH(ChoixRationCaprins&amp;$BX116,Règles_caprins[Ration]&amp;Règles_caprins[Aliment],0)),0),0)*TotalBoucs*NbreJoursNourrirCaprins)</f>
        <v>0</v>
      </c>
      <c r="BZ116" s="350">
        <f t="array" ref="BZ116">IF(ChoixRationComplèteCaprins=OUI,0,IFERROR(IF(OR(AND(INDEX(Règles_caprins[Specificite],MATCH(ChoixRationCaprins&amp;$BX116,Règles_caprins[Ration]&amp;Règles_caprins[Aliment],0))="s1",IF($BX116=Spécificité1Caprins,1)),
INDEX(Règles_caprins[Specificite],MATCH(ChoixRationCaprins&amp;$BX116,Règles_caprins[Ration]&amp;Règles_caprins[Aliment],0))="c"),
INDEX(Règles_caprins[Valeur 6-12],MATCH(ChoixRationCaprins&amp;$BX116,Règles_caprins[Ration]&amp;Règles_caprins[Aliment],0)),0),0)*jeune_bouc_6_12_mois*NbreJoursNourrirCaprins)</f>
        <v>0</v>
      </c>
      <c r="CA116" s="350">
        <f t="array" ref="CA116">IF(ChoixRationComplèteCaprins=OUI,0,IFERROR(IF(OR(AND(INDEX(Règles_caprins[Specificite],MATCH(ChoixRationCaprins&amp;$BX116,Règles_caprins[Ration]&amp;Règles_caprins[Aliment],0))="s1",IF($BX116=Spécificité1Caprins,1)),
INDEX(Règles_caprins[Specificite],MATCH(ChoixRationCaprins&amp;$BX116,Règles_caprins[Ration]&amp;Règles_caprins[Aliment],0))="c"),
INDEX(Règles_caprins[Valeur 3-6],MATCH(ChoixRationCaprins&amp;$BX116,Règles_caprins[Ration]&amp;Règles_caprins[Aliment],0)),0),0)*chevreau_3_6_mois*NbreJoursNourrirCaprins)</f>
        <v>0</v>
      </c>
      <c r="CB116" s="350">
        <f t="array" ref="CB116">IF(ChoixRationComplèteCaprins=OUI,0,IFERROR(IF(OR(AND(INDEX(Règles_caprins[Specificite],MATCH(ChoixRationCaprins&amp;$BX116,Règles_caprins[Ration]&amp;Règles_caprins[Aliment],0))="s1",IF($BX116=Spécificité1Caprins,1)),
INDEX(Règles_caprins[Specificite],MATCH(ChoixRationCaprins&amp;$BX116,Règles_caprins[Ration]&amp;Règles_caprins[Aliment],0))="c"),
INDEX(Règles_caprins[Valeur 0-3],MATCH(ChoixRationCaprins&amp;$BX116,Règles_caprins[Ration]&amp;Règles_caprins[Aliment],0)),0),0)*chevreau_0_3_mois*NbreJoursNourrirCaprins)</f>
        <v>0</v>
      </c>
      <c r="CC116" s="350">
        <f t="shared" si="41"/>
        <v>0</v>
      </c>
      <c r="CH116" s="276"/>
      <c r="CI116" s="277"/>
      <c r="CJ116" s="420" t="str">
        <f t="shared" si="25"/>
        <v>Sorgho ensilé</v>
      </c>
      <c r="CK116" s="384">
        <f t="array" ref="CK11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16" s="384">
        <f t="array" ref="CL11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16" s="384">
        <f t="array" ref="CM11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16" s="384">
        <f t="array" ref="CN11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16" s="384">
        <f t="array" ref="CO116">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16" s="426">
        <f>SUM(AlimentsRationPorcinsFemelles[[#This Row],[Valeur 12 et plus]:[Valeur 0-1]])</f>
        <v>0</v>
      </c>
      <c r="CQ116" s="298"/>
      <c r="CS116" s="420" t="str">
        <f t="shared" si="36"/>
        <v>Maïs ensilé</v>
      </c>
      <c r="CT116" s="433">
        <f t="array" ref="CT116">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16" s="433">
        <f t="array" ref="CU116">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16" s="433">
        <f t="array" ref="CV116">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16" s="434">
        <f>SUM(AlimentsRationLapinsFemelles[[#This Row],[Valeur 3 et plus]:[Valeur 0-1]])</f>
        <v>0</v>
      </c>
      <c r="CY116" s="277"/>
      <c r="CZ116" s="420" t="str">
        <f t="shared" si="37"/>
        <v>Maïs ensilé</v>
      </c>
      <c r="DA116" s="433">
        <f t="array" ref="DA11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16" s="433">
        <f t="array" ref="DB11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16" s="433">
        <f t="array" ref="DC11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16" s="434">
        <f>SUM(AlimentsRationVolaillesFemelles[[#This Row],[Valeur 6 et plus]:[Valeur 0-1]])</f>
        <v>0</v>
      </c>
      <c r="DE116" s="277"/>
      <c r="DG116" s="384" t="str">
        <f t="shared" si="26"/>
        <v>Seigle</v>
      </c>
      <c r="DH116" s="433">
        <f t="array" ref="DH11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16" s="433">
        <f t="array" ref="DI11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16" s="433">
        <f t="array" ref="DJ11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16" s="437">
        <f>SUM(AlimentsRationPintadesFemelles[[#This Row],[Valeur 6 et plus]:[Valeur 0-1]])</f>
        <v>0</v>
      </c>
      <c r="DN116" s="373" t="s">
        <v>950</v>
      </c>
      <c r="DO116" s="280" t="s">
        <v>518</v>
      </c>
      <c r="DP116" s="280" t="s">
        <v>886</v>
      </c>
      <c r="DQ116" s="310">
        <v>20</v>
      </c>
      <c r="DR116" s="310">
        <v>12</v>
      </c>
      <c r="DS116" s="310">
        <v>8</v>
      </c>
      <c r="DT116" s="439">
        <v>4</v>
      </c>
      <c r="DU116" s="298"/>
      <c r="DV116" s="350">
        <f t="shared" si="23"/>
        <v>0</v>
      </c>
      <c r="DW116" s="351"/>
      <c r="DX116" s="351"/>
      <c r="DY116" s="351"/>
      <c r="DZ116" s="298"/>
      <c r="EA116" s="298"/>
      <c r="EB116" s="298"/>
      <c r="EC116" s="298"/>
      <c r="ED116" s="298"/>
      <c r="EG116" s="420" t="str">
        <f t="shared" si="30"/>
        <v>Paille</v>
      </c>
      <c r="EH116" s="433">
        <f t="array" ref="EH11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16" s="433">
        <f t="array" ref="EI11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16" s="433">
        <f t="array" ref="EJ11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16" s="434">
        <f>SUM(AlimentsRationOiesFemelles[[#This Row],[Valeur 6 et plus]:[Valeur 0-3]])</f>
        <v>0</v>
      </c>
      <c r="EN116" s="443" t="str">
        <f t="shared" si="28"/>
        <v>Pois</v>
      </c>
      <c r="EO116" s="450">
        <f t="array" ref="EO116">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16" s="450">
        <f t="array" ref="EP116">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16" s="450">
        <f t="array" ref="EQ116">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16" s="451">
        <f>SUM(Ration_canards_Femelles[[#This Row],[Valeur 6 et plus]:[Valeur 0-3]])</f>
        <v>0</v>
      </c>
      <c r="EU116" s="457" t="str">
        <f t="shared" si="40"/>
        <v>Foin</v>
      </c>
      <c r="EV116" s="458">
        <f t="array" ref="EV116">IF(OR(ChoixRationComplèteEtéChevauxSelle=OUI,ChoixRationComplèteEtéChevauxSelle="",AND(ChoixChevauxSellePréHiver=OUI,ChoixChevauxSellePréEté=OUI)),0,IFERROR(IF(OR(AND(INDEX(Règles_chevaux_selle[Specificite],MATCH(RationEtéChevauxSelle&amp;$EU116,Règles_chevaux_selle[Ration]&amp;Règles_chevaux_selle[Aliment],0))="s1",IF($EU116=Spécificité1ChevauxSelle,1)),
AND(INDEX(Règles_chevaux_selle[Specificite],MATCH(RationEtéChevauxSelle&amp;$EU116,Règles_chevaux_selle[Ration]&amp;Règles_chevaux_selle[Aliment],0))="s2",IF($EU116=Spécificité2ChevauxSelle,1)),
INDEX(Règles_chevaux_selle[Specificite],MATCH(RationEtéChevauxSelle&amp;$EU116,Règles_chevaux_selle[Ration]&amp;Règles_chevaux_selle[Aliment],0))="c"),
INDEX(Règles_chevaux_selle[Valeur 36 et plus],MATCH(RationEtéChevauxSelle&amp;$EU116,Règles_chevaux_selle[Ration]&amp;Règles_chevaux_selle[Aliment],0)),0),0)*TotalJumentSelle*NbreJoursNourrirChevauxSelle)</f>
        <v>0</v>
      </c>
      <c r="EW116" s="458">
        <f t="array" ref="EW116">IF(OR(ChoixRationComplèteEtéChevauxSelle=OUI,ChoixRationComplèteEtéChevauxSelle="",AND(ChoixChevauxSellePréHiver=OUI,ChoixChevauxSellePréEté=OUI)),0,IFERROR(IF(OR(AND(INDEX(Règles_chevaux_selle[Specificite],MATCH(RationEtéChevauxSelle&amp;$EU116,Règles_chevaux_selle[Ration]&amp;Règles_chevaux_selle[Aliment],0))="s1",IF($EU116=Spécificité1ChevauxSelle,1)),
AND(INDEX(Règles_chevaux_selle[Specificite],MATCH(RationEtéChevauxSelle&amp;$EU116,Règles_chevaux_selle[Ration]&amp;Règles_chevaux_selle[Aliment],0))="s2",IF($EU116=Spécificité2ChevauxSelle,1)),
INDEX(Règles_chevaux_selle[Specificite],MATCH(RationEtéChevauxSelle&amp;$EU116,Règles_chevaux_selle[Ration]&amp;Règles_chevaux_selle[Aliment],0))="c"),
INDEX(Règles_chevaux_selle[Valeur 24-36],MATCH(RationEtéChevauxSelle&amp;$EU116,Règles_chevaux_selle[Ration]&amp;Règles_chevaux_selle[Aliment],0)),0),0)*TotalJeuneJumentSelle_24_36_mois*NbreJoursNourrirChevauxSelle)</f>
        <v>0</v>
      </c>
      <c r="EX116" s="458">
        <f t="array" ref="EX116">IF(OR(ChoixRationComplèteEtéChevauxSelle=OUI,ChoixRationComplèteEtéChevauxSelle="",AND(ChoixChevauxSellePréHiver=OUI,ChoixChevauxSellePréEté=OUI)),0,IFERROR(IF(OR(AND(INDEX(Règles_chevaux_selle[Specificite],MATCH(RationEtéChevauxSelle&amp;$EU116,Règles_chevaux_selle[Ration]&amp;Règles_chevaux_selle[Aliment],0))="s1",IF($EU116=Spécificité1ChevauxSelle,1)),
AND(INDEX(Règles_chevaux_selle[Specificite],MATCH(RationEtéChevauxSelle&amp;$EU116,Règles_chevaux_selle[Ration]&amp;Règles_chevaux_selle[Aliment],0))="s2",IF($EU116=Spécificité2ChevauxSelle,1)),
INDEX(Règles_chevaux_selle[Specificite],MATCH(RationEtéChevauxSelle&amp;$EU116,Règles_chevaux_selle[Ration]&amp;Règles_chevaux_selle[Aliment],0))="c"),
INDEX(Règles_chevaux_selle[Valeur 12-24],MATCH(RationEtéChevauxSelle&amp;$EU116,Règles_chevaux_selle[Ration]&amp;Règles_chevaux_selle[Aliment],0)),0),0)*TotalJeuneJumentSelle_12_24_mois_12_24_mois*NbreJoursNourrirChevauxSelle)</f>
        <v>0</v>
      </c>
      <c r="EY116" s="460">
        <f t="array" ref="EY116">IF(OR(ChoixRationComplèteEtéChevauxSelle=OUI,ChoixRationComplèteEtéChevauxSelle="",AND(ChoixChevauxSellePréHiver=OUI,ChoixChevauxSellePréEté=OUI)),0,IFERROR(IF(OR(AND(INDEX(Règles_chevaux_selle[Specificite],MATCH(RationEtéChevauxSelle&amp;$EU116,Règles_chevaux_selle[Ration]&amp;Règles_chevaux_selle[Aliment],0))="s1",IF($EU116=Spécificité1ChevauxSelle,1)),
AND(INDEX(Règles_chevaux_selle[Specificite],MATCH(RationEtéChevauxSelle&amp;$EU116,Règles_chevaux_selle[Ration]&amp;Règles_chevaux_selle[Aliment],0))="s2",IF($EU116=Spécificité2ChevauxSelle,1)),
INDEX(Règles_chevaux_selle[Specificite],MATCH(RationEtéChevauxSelle&amp;$EU116,Règles_chevaux_selle[Ration]&amp;Règles_chevaux_selle[Aliment],0))="c"),
INDEX(Règles_chevaux_selle[Valeur 0-12],MATCH(RationEtéChevauxSelle&amp;$EU116,Règles_chevaux_selle[Ration]&amp;Règles_chevaux_selle[Aliment],0)),0),0)*TotalPoulicheSelle_0_12_mois*NbreJoursNourrirChevauxSelle)</f>
        <v>0</v>
      </c>
      <c r="EZ116" s="460">
        <f t="shared" si="39"/>
        <v>0</v>
      </c>
      <c r="FD116" s="457" t="str">
        <f t="shared" si="33"/>
        <v>Orge</v>
      </c>
      <c r="FE116" s="458">
        <f t="array" ref="FE116">IF(OR(ChoixRationComplèteEtéChevauxTrait=OUI,ChoixRationComplèteEtéChevauxTrait="",AND(ChoixChevauxTraitPréHiver=OUI,ChoixChevauxTraitPréEté=OUI)),0,IFERROR(IF(OR(AND(INDEX(Règles_chevaux_trait[Specificite],MATCH(RationEtéChevauxTrait&amp;$FD116,Règles_chevaux_trait[Ration]&amp;Règles_chevaux_trait[Aliment],0))="s1",IF($FD116=Spécificité1ChevauxTrait,1)),
AND(INDEX(Règles_chevaux_trait[Specificite],MATCH(RationEtéChevauxTrait&amp;$FD116,Règles_chevaux_trait[Ration]&amp;Règles_chevaux_trait[Aliment],0))="s2",IF($FD116=Spécificité2ChevauxTrait,1)),
INDEX(Règles_chevaux_trait[Specificite],MATCH(RationEtéChevauxTrait&amp;$FD116,Règles_chevaux_trait[Ration]&amp;Règles_chevaux_trait[Aliment],0))="c"),
INDEX(Règles_chevaux_trait[Valeur 36 et plus],MATCH(RationEtéChevauxTrait&amp;$FD116,Règles_chevaux_trait[Ration]&amp;Règles_chevaux_trait[Aliment],0)),0),0)*TotalJumentTrait*NbreJoursNourrirChevauxTrait)</f>
        <v>0</v>
      </c>
      <c r="FF116" s="458">
        <f t="array" ref="FF116">IF(OR(ChoixRationComplèteEtéChevauxTrait=OUI,ChoixRationComplèteEtéChevauxTrait="",AND(ChoixChevauxTraitPréHiver=OUI,ChoixChevauxTraitPréEté=OUI)),0,IFERROR(IF(OR(AND(INDEX(Règles_chevaux_trait[Specificite],MATCH(RationEtéChevauxTrait&amp;$FD116,Règles_chevaux_trait[Ration]&amp;Règles_chevaux_trait[Aliment],0))="s1",IF($FD116=Spécificité1ChevauxTrait,1)),
AND(INDEX(Règles_chevaux_trait[Specificite],MATCH(RationEtéChevauxTrait&amp;$FD116,Règles_chevaux_trait[Ration]&amp;Règles_chevaux_trait[Aliment],0))="s2",IF($FD116=Spécificité2ChevauxTrait,1)),
INDEX(Règles_chevaux_trait[Specificite],MATCH(RationEtéChevauxTrait&amp;$FD116,Règles_chevaux_trait[Ration]&amp;Règles_chevaux_trait[Aliment],0))="c"),
INDEX(Règles_chevaux_trait[Valeur 24-36],MATCH(RationEtéChevauxTrait&amp;$FD116,Règles_chevaux_trait[Ration]&amp;Règles_chevaux_trait[Aliment],0)),0),0)*TotalJeuneJumentTrait_24_36_mois*NbreJoursNourrirChevauxTrait)</f>
        <v>0</v>
      </c>
      <c r="FG116" s="458">
        <f t="array" ref="FG116">IF(OR(ChoixRationComplèteEtéChevauxTrait=OUI,ChoixRationComplèteEtéChevauxTrait="",AND(ChoixChevauxTraitPréHiver=OUI,ChoixChevauxTraitPréEté=OUI)),0,IFERROR(IF(OR(AND(INDEX(Règles_chevaux_trait[Specificite],MATCH(RationEtéChevauxTrait&amp;$FD116,Règles_chevaux_trait[Ration]&amp;Règles_chevaux_trait[Aliment],0))="s1",IF($FD116=Spécificité1ChevauxTrait,1)),
AND(INDEX(Règles_chevaux_trait[Specificite],MATCH(RationEtéChevauxTrait&amp;$FD116,Règles_chevaux_trait[Ration]&amp;Règles_chevaux_trait[Aliment],0))="s2",IF($FD116=Spécificité2ChevauxTrait,1)),
INDEX(Règles_chevaux_trait[Specificite],MATCH(RationEtéChevauxTrait&amp;$FD116,Règles_chevaux_trait[Ration]&amp;Règles_chevaux_trait[Aliment],0))="c"),
INDEX(Règles_chevaux_trait[Valeur 12-24],MATCH(RationEtéChevauxTrait&amp;$FD116,Règles_chevaux_trait[Ration]&amp;Règles_chevaux_trait[Aliment],0)),0),0)*TotalJeuneJumentTrait_12_24_mois*NbreJoursNourrirChevauxTrait)</f>
        <v>0</v>
      </c>
      <c r="FH116" s="460">
        <f t="array" ref="FH116">IF(OR(ChoixRationComplèteEtéChevauxTrait=OUI,ChoixRationComplèteEtéChevauxTrait="",AND(ChoixChevauxTraitPréHiver=OUI,ChoixChevauxTraitPréEté=OUI)),0,IFERROR(IF(OR(AND(INDEX(Règles_chevaux_trait[Specificite],MATCH(RationEtéChevauxTrait&amp;$FD116,Règles_chevaux_trait[Ration]&amp;Règles_chevaux_trait[Aliment],0))="s1",IF($FD116=Spécificité1ChevauxTrait,1)),
AND(INDEX(Règles_chevaux_trait[Specificite],MATCH(RationEtéChevauxTrait&amp;$FD116,Règles_chevaux_trait[Ration]&amp;Règles_chevaux_trait[Aliment],0))="s2",IF($FD116=Spécificité2ChevauxTrait,1)),
INDEX(Règles_chevaux_trait[Specificite],MATCH(RationEtéChevauxTrait&amp;$FD116,Règles_chevaux_trait[Ration]&amp;Règles_chevaux_trait[Aliment],0))="c"),
INDEX(Règles_chevaux_trait[Valeur 0-12],MATCH(RationEtéChevauxTrait&amp;$FD116,Règles_chevaux_trait[Ration]&amp;Règles_chevaux_trait[Aliment],0)),0),0)*TotalPoulicheTrait_0_12_mois*NbreJoursNourrirChevauxTrait)</f>
        <v>0</v>
      </c>
      <c r="FI116" s="460">
        <f t="shared" si="31"/>
        <v>0</v>
      </c>
      <c r="FJ116" s="298"/>
      <c r="FN116" s="457" t="str">
        <f t="shared" si="32"/>
        <v>Paille</v>
      </c>
      <c r="FO116" s="458">
        <f t="array" ref="FO116">IF(OR(ChoixRationComplèteEtéPoneys=OUI,ChoixRationComplèteEtéPoneys="",AND(ChoixPoneysPréHiver=OUI,ChoixPoneysPréEté=OUI)),0,IFERROR(IF(OR(AND(INDEX(Règles_poneys[Specificite],MATCH(RationHivernaleAuPréPoneys&amp;$FN116,Règles_poneys[Ration]&amp;Règles_poneys[Aliment],0))="s1",IF($FN116=Spécificité1Poneys,1)),
AND(INDEX(Règles_poneys[Specificite],MATCH(RationHivernaleAuPréPoneys&amp;$FN116,Règles_poneys[Ration]&amp;Règles_poneys[Aliment],0))="s2",IF($FN116=Spécificité2Poneys,1)),
INDEX(Règles_poneys[Specificite],MATCH(RationHivernaleAuPréPoneys&amp;$FN116,Règles_poneys[Ration]&amp;Règles_poneys[Aliment],0))="c"),
INDEX(Règles_poneys[Valeur 36 et plus],MATCH(RationHivernaleAuPréPoneys&amp;$FN116,Règles_poneys[Ration]&amp;Règles_poneys[Aliment],0)),0),0)*SUM(TotalPoneysAdultes)*SUM(AG118:AG142))</f>
        <v>0</v>
      </c>
      <c r="FP116" s="458">
        <f t="array" ref="FP116">IF(OR(ChoixRationComplèteEtéPoneys=OUI,ChoixRationComplèteEtéPoneys="",AND(ChoixPoneysPréHiver=OUI,ChoixPoneysPréEté=OUI)),0,IFERROR(IF(OR(AND(INDEX(Règles_poneys[Specificite],MATCH(RationHivernaleAuPréPoneys&amp;$FN116,Règles_poneys[Ration]&amp;Règles_poneys[Aliment],0))="s1",IF($FN116=Spécificité1Poneys,1)),
AND(INDEX(Règles_poneys[Specificite],MATCH(RationHivernaleAuPréPoneys&amp;$FN116,Règles_poneys[Ration]&amp;Règles_poneys[Aliment],0))="s2",IF($FN116=Spécificité2Poneys,1)),
INDEX(Règles_poneys[Specificite],MATCH(RationHivernaleAuPréPoneys&amp;$FN116,Règles_poneys[Ration]&amp;Règles_poneys[Aliment],0))="c"),
INDEX(Règles_poneys[Valeur 24-36],MATCH(RationHivernaleAuPréPoneys&amp;$FN116,Règles_poneys[Ration]&amp;Règles_poneys[Aliment],0)),0),0)*SUM(TotalPoneys_24_36mois)*SUM(AG118:AG142))</f>
        <v>0</v>
      </c>
      <c r="FQ116" s="458">
        <f t="array" ref="FQ116">IF(OR(ChoixRationComplèteEtéPoneys=OUI,ChoixRationComplèteEtéPoneys="",AND(ChoixPoneysPréHiver=OUI,ChoixPoneysPréEté=OUI)),0,IFERROR(IF(OR(AND(INDEX(Règles_poneys[Specificite],MATCH(RationHivernaleAuPréPoneys&amp;$FN116,Règles_poneys[Ration]&amp;Règles_poneys[Aliment],0))="s1",IF($FN116=Spécificité1Poneys,1)),
AND(INDEX(Règles_poneys[Specificite],MATCH(RationHivernaleAuPréPoneys&amp;$FN116,Règles_poneys[Ration]&amp;Règles_poneys[Aliment],0))="s2",IF($FN116=Spécificité2Poneys,1)),
INDEX(Règles_poneys[Specificite],MATCH(RationHivernaleAuPréPoneys&amp;$FN116,Règles_poneys[Ration]&amp;Règles_poneys[Aliment],0))="c"),
INDEX(Règles_poneys[Valeur 12-24],MATCH(RationHivernaleAuPréPoneys&amp;$FN116,Règles_poneys[Ration]&amp;Règles_poneys[Aliment],0)),0),0)*SUM(TotalPoneys_12_24mois)*SUM(AG118:AG142))</f>
        <v>0</v>
      </c>
      <c r="FR116" s="460">
        <f t="array" ref="FR116">IF(OR(ChoixRationComplèteEtéPoneys=OUI,ChoixRationComplèteEtéPoneys="",AND(ChoixPoneysPréHiver=OUI,ChoixPoneysPréEté=OUI)),0,IFERROR(IF(OR(AND(INDEX(Règles_poneys[Specificite],MATCH(RationHivernaleAuPréPoneys&amp;$FN116,Règles_poneys[Ration]&amp;Règles_poneys[Aliment],0))="s1",IF($FN116=Spécificité1Poneys,1)),
AND(INDEX(Règles_poneys[Specificite],MATCH(RationHivernaleAuPréPoneys&amp;$FN116,Règles_poneys[Ration]&amp;Règles_poneys[Aliment],0))="s2",IF($FN116=Spécificité2Poneys,1)),
INDEX(Règles_poneys[Specificite],MATCH(RationHivernaleAuPréPoneys&amp;$FN116,Règles_poneys[Ration]&amp;Règles_poneys[Aliment],0))="c"),
INDEX(Règles_poneys[Valeur 0-12],MATCH(RationHivernaleAuPréPoneys&amp;$FN116,Règles_poneys[Ration]&amp;Règles_poneys[Aliment],0)),0),0)*SUM(TotalPoulainsPoneys)*SUM(AG118:AG142))</f>
        <v>0</v>
      </c>
      <c r="FS116" s="460">
        <f t="shared" si="29"/>
        <v>0</v>
      </c>
      <c r="FT116" s="298"/>
      <c r="FW116" s="443" t="str">
        <f t="shared" si="27"/>
        <v>Seigle</v>
      </c>
      <c r="FX116" s="450">
        <f t="array" ref="FX116">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16" s="450">
        <f t="array" ref="FY116">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16" s="450">
        <f t="array" ref="FZ116">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16" s="450">
        <f t="array" ref="GA116">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16" s="451">
        <f>SUM(AlimentsGavageCanards[[#This Row],[Valeur 6 et plus]:[Valeur 0-1]])</f>
        <v>0</v>
      </c>
      <c r="GG116" s="276" t="s">
        <v>955</v>
      </c>
      <c r="GH116" s="276" t="s">
        <v>955</v>
      </c>
      <c r="GI116" s="276" t="s">
        <v>955</v>
      </c>
      <c r="GJ116" s="276" t="s">
        <v>955</v>
      </c>
      <c r="GK116" s="276" t="s">
        <v>955</v>
      </c>
      <c r="GL116" s="276" t="s">
        <v>955</v>
      </c>
      <c r="GM116" s="276" t="s">
        <v>955</v>
      </c>
      <c r="GN116" s="276" t="s">
        <v>955</v>
      </c>
      <c r="GO116" s="276" t="s">
        <v>955</v>
      </c>
      <c r="GP116" s="276" t="s">
        <v>955</v>
      </c>
      <c r="GQ116" s="276" t="s">
        <v>955</v>
      </c>
      <c r="GR116" s="276" t="s">
        <v>955</v>
      </c>
      <c r="GS116" s="276" t="s">
        <v>955</v>
      </c>
      <c r="GT116" s="276" t="s">
        <v>955</v>
      </c>
      <c r="GU116" s="276" t="s">
        <v>955</v>
      </c>
      <c r="GV116" s="276" t="s">
        <v>955</v>
      </c>
    </row>
    <row r="117" spans="1:236" ht="12.75" customHeight="1" x14ac:dyDescent="0.2">
      <c r="A117" s="381"/>
      <c r="B117" s="380"/>
      <c r="O117" s="384">
        <v>6000</v>
      </c>
      <c r="BB117" s="387" t="s">
        <v>948</v>
      </c>
      <c r="BC117" s="362" t="s">
        <v>905</v>
      </c>
      <c r="BD117" s="362" t="s">
        <v>886</v>
      </c>
      <c r="BE117" s="388">
        <v>1</v>
      </c>
      <c r="BF117" s="388">
        <v>0.8</v>
      </c>
      <c r="BG117" s="388">
        <v>0.6</v>
      </c>
      <c r="BH117" s="388">
        <v>0.4</v>
      </c>
      <c r="BI117" s="388">
        <v>0.4</v>
      </c>
      <c r="BJ117" s="388">
        <v>0.4</v>
      </c>
      <c r="BK117" s="389">
        <v>0</v>
      </c>
      <c r="BL117" s="312"/>
      <c r="BM117" s="350" t="str">
        <f t="shared" si="43"/>
        <v>Bouchons luzerne</v>
      </c>
      <c r="BN117" s="351">
        <f t="array" ref="BN117">SUM((IF(QualitéAlimentsBisonneauxMâles_0_3_mois=BONNE,VLOOKUP("Bouchons luzerne",AlimentsRationHivernaleBisonsMâles,8,FALSE),0)+(IF(QualitéAlimentsBisonneauxFemelles_0_3_mois=BONNE,VLOOKUP("Bouchons luzerne",AlimentsRationHivernaleBisonsFemelles,8,FALSE),0)+(IF(QualitéAlimentsBisonneauxMâles_3_6_mois=BONNE,VLOOKUP("Bouchons luzerne",AlimentsRationHivernaleBisonsMâles,7,FALSE),0)+(IF(QualitéAlimentsBisonneauxFemelles_3_6_mois=BONNE,VLOOKUP("Bouchons luzerne",AlimentsRationHivernaleBisonsFemelles,7,FALSE),0)+(IF(QualitéAlimentsBisonneauxMâles_6_12_mois=BONNE,VLOOKUP("Bouchons luzerne",AlimentsRationHivernaleBisonsMâles,6,FALSE),0)+(IF(QualitéAlimentsBisonneauxFemelles_6_12_mois=BONNE,VLOOKUP("Bouchons luzerne",AlimentsRationHivernaleBisonsFemelles,6,FALSE),0)+(IF(QualitéAlimentsJeunesBisons_12_18_mois=BONNE,VLOOKUP("Bouchons luzerne",AlimentsRationHivernaleBisonsMâles,5,FALSE),0)+(IF(QualitéAlimentsJeunesBisonnes_12_18_mois=BONNE,VLOOKUP("Bouchons luzerne",AlimentsRationHivernaleBisonsFemelles,5,FALSE),0)+(IF(QualitéAlimentsJeunesBisons_18_24_mois=BONNE,VLOOKUP("Bouchons luzerne",AlimentsRationHivernaleBisonsMâles,4,FALSE),0)+(IF(QualitéAlimentsJeunesBisonnes_18_24_mois=BONNE,VLOOKUP("Bouchons luzerne",AlimentsRationHivernaleBisonsFemelles,4,FALSE),0)+(IF(QualitéAlimentsJeunesBisons_24_36_mois=BONNE,VLOOKUP("Bouchons luzerne",AlimentsRationHivernaleBisonsMâles,3,FALSE),0)+(IF(QualitéAlimentsJeunesBisonnes_24_36_mois=BONNE,VLOOKUP("Bouchons luzerne",AlimentsRationHivernaleBisonsFemelles,3,FALSE),0)+(IF(QualitéAlimentsBisons=BONNE,VLOOKUP("Bouchons luzerne",AlimentsRationHivernaleBisonsMâles,2,FALSE),0)+(IF(QualitéAlimentsBisonnes=BONNE,VLOOKUP("Bouchons luzerne",AlimentsRationHivernaleBisonsFemelles,2,FALSE),0))))))))))))))))</f>
        <v>0</v>
      </c>
      <c r="BO117" s="351">
        <f t="array" ref="BO117">SUM((IF(QualitéAlimentsBisonneauxMâles_0_3_mois=MOYENNE,VLOOKUP("Bouchons luzerne",AlimentsRationHivernaleBisonsMâles,8,FALSE),0)+(IF(QualitéAlimentsBisonneauxFemelles_0_3_mois=MOYENNE,VLOOKUP("Bouchons luzerne",AlimentsRationHivernaleBisonsFemelles,8,FALSE),0)+(IF(QualitéAlimentsBisonneauxMâles_3_6_mois=MOYENNE,VLOOKUP("Bouchons luzerne",AlimentsRationHivernaleBisonsMâles,7,FALSE),0)+(IF(QualitéAlimentsBisonneauxFemelles_3_6_mois=MOYENNE,VLOOKUP("Bouchons luzerne",AlimentsRationHivernaleBisonsFemelles,7,FALSE),0)+(IF(QualitéAlimentsBisonneauxMâles_6_12_mois=MOYENNE,VLOOKUP("Bouchons luzerne",AlimentsRationHivernaleBisonsMâles,6,FALSE),0)+(IF(QualitéAlimentsBisonneauxFemelles_6_12_mois=MOYENNE,VLOOKUP("Bouchons luzerne",AlimentsRationHivernaleBisonsFemelles,6,FALSE),0)+(IF(QualitéAlimentsJeunesBisons_12_18_mois=MOYENNE,VLOOKUP("Bouchons luzerne",AlimentsRationHivernaleBisonsMâles,5,FALSE),0)+(IF(QualitéAlimentsJeunesBisonnes_12_18_mois=MOYENNE,VLOOKUP("Bouchons luzerne",AlimentsRationHivernaleBisonsFemelles,5,FALSE),0)+(IF(QualitéAlimentsJeunesBisons_18_24_mois=MOYENNE,VLOOKUP("Bouchons luzerne",AlimentsRationHivernaleBisonsMâles,4,FALSE),0)+(IF(QualitéAlimentsJeunesBisonnes_18_24_mois=MOYENNE,VLOOKUP("Bouchons luzerne",AlimentsRationHivernaleBisonsFemelles,4,FALSE),0)+(IF(QualitéAlimentsJeunesBisons_24_36_mois=MOYENNE,VLOOKUP("Bouchons luzerne",AlimentsRationHivernaleBisonsMâles,3,FALSE),0)+(IF(QualitéAlimentsJeunesBisonnes_24_36_mois=MOYENNE,VLOOKUP("Bouchons luzerne",AlimentsRationHivernaleBisonsFemelles,3,FALSE),0)+(IF(QualitéAlimentsBisons=MOYENNE,VLOOKUP("Bouchons luzerne",AlimentsRationHivernaleBisonsMâles,2,FALSE),0)+(IF(QualitéAlimentsBisonnes=MOYENNE,VLOOKUP("Bouchons luzerne",AlimentsRationHivernaleBisonsFemelles,2,FALSE),0))))))))))))))))</f>
        <v>0</v>
      </c>
      <c r="BP117" s="351">
        <f t="array" ref="BP117">SUM((IF(QualitéAlimentsBisonneauxMâles_0_3_mois=MAUVAISE,VLOOKUP("Bouchons luzerne",AlimentsRationHivernaleBisonsMâles,8,FALSE),0)+(IF(QualitéAlimentsBisonneauxFemelles_0_3_mois=MAUVAISE,VLOOKUP("Bouchons luzerne",AlimentsRationHivernaleBisonsFemelles,8,FALSE),0)+(IF(QualitéAlimentsBisonneauxMâles_3_6_mois=MAUVAISE,VLOOKUP("Bouchons luzerne",AlimentsRationHivernaleBisonsMâles,7,FALSE),0)+(IF(QualitéAlimentsBisonneauxFemelles_3_6_mois=MAUVAISE,VLOOKUP("Bouchons luzerne",AlimentsRationHivernaleBisonsFemelles,7,FALSE),0)+(IF(QualitéAlimentsBisonneauxMâles_6_12_mois=MAUVAISE,VLOOKUP("Bouchons luzerne",AlimentsRationHivernaleBisonsMâles,6,FALSE),0)+(IF(QualitéAlimentsBisonneauxFemelles_6_12_mois=MAUVAISE,VLOOKUP("Bouchons luzerne",AlimentsRationHivernaleBisonsFemelles,6,FALSE),0)+(IF(QualitéAlimentsJeunesBisons_12_18_mois=MAUVAISE,VLOOKUP("Bouchons luzerne",AlimentsRationHivernaleBisonsMâles,5,FALSE),0)+(IF(QualitéAlimentsJeunesBisonnes_12_18_mois=MAUVAISE,VLOOKUP("Bouchons luzerne",AlimentsRationHivernaleBisonsFemelles,5,FALSE),0)+(IF(QualitéAlimentsJeunesBisons_18_24_mois=MAUVAISE,VLOOKUP("Bouchons luzerne",AlimentsRationHivernaleBisonsMâles,4,FALSE),0)+(IF(QualitéAlimentsJeunesBisonnes_18_24_mois=MAUVAISE,VLOOKUP("Bouchons luzerne",AlimentsRationHivernaleBisonsFemelles,4,FALSE),0)+(IF(QualitéAlimentsJeunesBisons_24_36_mois=MAUVAISE,VLOOKUP("Bouchons luzerne",AlimentsRationHivernaleBisonsMâles,3,FALSE),0)+(IF(QualitéAlimentsJeunesBisonnes_24_36_mois=MAUVAISE,VLOOKUP("Bouchons luzerne",AlimentsRationHivernaleBisonsFemelles,3,FALSE),0)+(IF(QualitéAlimentsBisons=MAUVAISE,VLOOKUP("Bouchons luzerne",AlimentsRationHivernaleBisonsMâles,2,FALSE),0)+(IF(QualitéAlimentsBisonnes=MAUVAISE,VLOOKUP("Bouchons luzerne",AlimentsRationHivernaleBisonsFemelles,2,FALSE),0))))))))))))))))</f>
        <v>0</v>
      </c>
      <c r="BQ117" s="282"/>
      <c r="BR117" s="282"/>
      <c r="BS117" s="282"/>
      <c r="BT117" s="282"/>
      <c r="BU117" s="282"/>
      <c r="BX117" s="350" t="s">
        <v>518</v>
      </c>
      <c r="BY117" s="350">
        <f t="array" ref="BY117">IF(ChoixRationComplèteCaprins=OUI,0,IFERROR(IF(OR(AND(INDEX(Règles_caprins[Specificite],MATCH(ChoixRationCaprins&amp;$BX117,Règles_caprins[Ration]&amp;Règles_caprins[Aliment],0))="s1",IF($BX117=Spécificité1Caprins,1)),
INDEX(Règles_caprins[Specificite],MATCH(ChoixRationCaprins&amp;$BX117,Règles_caprins[Ration]&amp;Règles_caprins[Aliment],0))="c"),
INDEX(Règles_caprins[Valeur 12 et plus],MATCH(ChoixRationCaprins&amp;$BX117,Règles_caprins[Ration]&amp;Règles_caprins[Aliment],0)),0),0)*TotalBoucs*NbreJoursNourrirCaprins)</f>
        <v>260</v>
      </c>
      <c r="BZ117" s="350">
        <f t="array" ref="BZ117">IF(ChoixRationComplèteCaprins=OUI,0,IFERROR(IF(OR(AND(INDEX(Règles_caprins[Specificite],MATCH(ChoixRationCaprins&amp;$BX117,Règles_caprins[Ration]&amp;Règles_caprins[Aliment],0))="s1",IF($BX117=Spécificité1Caprins,1)),
INDEX(Règles_caprins[Specificite],MATCH(ChoixRationCaprins&amp;$BX117,Règles_caprins[Ration]&amp;Règles_caprins[Aliment],0))="c"),
INDEX(Règles_caprins[Valeur 6-12],MATCH(ChoixRationCaprins&amp;$BX117,Règles_caprins[Ration]&amp;Règles_caprins[Aliment],0)),0),0)*jeune_bouc_6_12_mois*NbreJoursNourrirCaprins)</f>
        <v>924</v>
      </c>
      <c r="CA117" s="350">
        <f t="array" ref="CA117">IF(ChoixRationComplèteCaprins=OUI,0,IFERROR(IF(OR(AND(INDEX(Règles_caprins[Specificite],MATCH(ChoixRationCaprins&amp;$BX117,Règles_caprins[Ration]&amp;Règles_caprins[Aliment],0))="s1",IF($BX117=Spécificité1Caprins,1)),
INDEX(Règles_caprins[Specificite],MATCH(ChoixRationCaprins&amp;$BX117,Règles_caprins[Ration]&amp;Règles_caprins[Aliment],0))="c"),
INDEX(Règles_caprins[Valeur 3-6],MATCH(ChoixRationCaprins&amp;$BX117,Règles_caprins[Ration]&amp;Règles_caprins[Aliment],0)),0),0)*chevreau_3_6_mois*NbreJoursNourrirCaprins)</f>
        <v>248</v>
      </c>
      <c r="CB117" s="350">
        <f t="array" ref="CB117">IF(ChoixRationComplèteCaprins=OUI,0,IFERROR(IF(OR(AND(INDEX(Règles_caprins[Specificite],MATCH(ChoixRationCaprins&amp;$BX117,Règles_caprins[Ration]&amp;Règles_caprins[Aliment],0))="s1",IF($BX117=Spécificité1Caprins,1)),
INDEX(Règles_caprins[Specificite],MATCH(ChoixRationCaprins&amp;$BX117,Règles_caprins[Ration]&amp;Règles_caprins[Aliment],0))="c"),
INDEX(Règles_caprins[Valeur 0-3],MATCH(ChoixRationCaprins&amp;$BX117,Règles_caprins[Ration]&amp;Règles_caprins[Aliment],0)),0),0)*chevreau_0_3_mois*NbreJoursNourrirCaprins)</f>
        <v>264</v>
      </c>
      <c r="CC117" s="350">
        <f t="shared" si="41"/>
        <v>1696</v>
      </c>
      <c r="CH117" s="276"/>
      <c r="CI117" s="277"/>
      <c r="CJ117" s="420" t="str">
        <f t="shared" si="25"/>
        <v>Tournesol</v>
      </c>
      <c r="CK117" s="384">
        <f t="array" ref="CK11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17" s="384">
        <f t="array" ref="CL11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17" s="384">
        <f t="array" ref="CM11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17" s="384">
        <f t="array" ref="CN11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17" s="384">
        <f t="array" ref="CO117">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17" s="426">
        <f>SUM(AlimentsRationPorcinsFemelles[[#This Row],[Valeur 12 et plus]:[Valeur 0-1]])</f>
        <v>0</v>
      </c>
      <c r="CQ117" s="298"/>
      <c r="CS117" s="420" t="str">
        <f t="shared" si="36"/>
        <v>Maïs grain</v>
      </c>
      <c r="CT117" s="433">
        <f t="array" ref="CT117">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17" s="433">
        <f t="array" ref="CU117">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17" s="433">
        <f t="array" ref="CV117">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17" s="434">
        <f>SUM(AlimentsRationLapinsFemelles[[#This Row],[Valeur 3 et plus]:[Valeur 0-1]])</f>
        <v>0</v>
      </c>
      <c r="CY117" s="277"/>
      <c r="CZ117" s="420" t="str">
        <f t="shared" si="37"/>
        <v>Maïs grain</v>
      </c>
      <c r="DA117" s="433">
        <f t="array" ref="DA11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17" s="433">
        <f t="array" ref="DB11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17" s="433">
        <f t="array" ref="DC11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17" s="434">
        <f>SUM(AlimentsRationVolaillesFemelles[[#This Row],[Valeur 6 et plus]:[Valeur 0-1]])</f>
        <v>0</v>
      </c>
      <c r="DE117" s="277"/>
      <c r="DG117" s="384" t="str">
        <f t="shared" si="26"/>
        <v>Soja</v>
      </c>
      <c r="DH117" s="433">
        <f t="array" ref="DH11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17" s="433">
        <f t="array" ref="DI11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17" s="433">
        <f t="array" ref="DJ11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17" s="437">
        <f>SUM(AlimentsRationPintadesFemelles[[#This Row],[Valeur 6 et plus]:[Valeur 0-1]])</f>
        <v>0</v>
      </c>
      <c r="DN117" s="373" t="s">
        <v>623</v>
      </c>
      <c r="DO117" s="280" t="s">
        <v>508</v>
      </c>
      <c r="DP117" s="280" t="s">
        <v>886</v>
      </c>
      <c r="DQ117" s="310"/>
      <c r="DR117" s="310"/>
      <c r="DS117" s="310"/>
      <c r="DT117" s="439"/>
      <c r="DU117" s="298"/>
      <c r="DV117" s="298"/>
      <c r="DW117" s="298"/>
      <c r="DX117" s="298"/>
      <c r="DY117" s="298"/>
      <c r="DZ117" s="298"/>
      <c r="EA117" s="298"/>
      <c r="EB117" s="298"/>
      <c r="EC117" s="298"/>
      <c r="ED117" s="298"/>
      <c r="EG117" s="420" t="str">
        <f t="shared" si="30"/>
        <v>Pois</v>
      </c>
      <c r="EH117" s="433">
        <f t="array" ref="EH11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17" s="433">
        <f t="array" ref="EI11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17" s="433">
        <f t="array" ref="EJ11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17" s="434">
        <f>SUM(AlimentsRationOiesFemelles[[#This Row],[Valeur 6 et plus]:[Valeur 0-3]])</f>
        <v>0</v>
      </c>
      <c r="EN117" s="443" t="str">
        <f t="shared" si="28"/>
        <v>Pomme de terre</v>
      </c>
      <c r="EO117" s="450">
        <f t="array" ref="EO117">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17" s="450">
        <f t="array" ref="EP117">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17" s="450">
        <f t="array" ref="EQ117">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17" s="451">
        <f>SUM(Ration_canards_Femelles[[#This Row],[Valeur 6 et plus]:[Valeur 0-3]])</f>
        <v>0</v>
      </c>
      <c r="EU117" s="457" t="str">
        <f t="shared" si="40"/>
        <v>Haricot vert</v>
      </c>
      <c r="EV117" s="458">
        <f t="array" ref="EV117">IF(OR(ChoixRationComplèteEtéChevauxSelle=OUI,ChoixRationComplèteEtéChevauxSelle="",AND(ChoixChevauxSellePréHiver=OUI,ChoixChevauxSellePréEté=OUI)),0,IFERROR(IF(OR(AND(INDEX(Règles_chevaux_selle[Specificite],MATCH(RationEtéChevauxSelle&amp;$EU117,Règles_chevaux_selle[Ration]&amp;Règles_chevaux_selle[Aliment],0))="s1",IF($EU117=Spécificité1ChevauxSelle,1)),
AND(INDEX(Règles_chevaux_selle[Specificite],MATCH(RationEtéChevauxSelle&amp;$EU117,Règles_chevaux_selle[Ration]&amp;Règles_chevaux_selle[Aliment],0))="s2",IF($EU117=Spécificité2ChevauxSelle,1)),
INDEX(Règles_chevaux_selle[Specificite],MATCH(RationEtéChevauxSelle&amp;$EU117,Règles_chevaux_selle[Ration]&amp;Règles_chevaux_selle[Aliment],0))="c"),
INDEX(Règles_chevaux_selle[Valeur 36 et plus],MATCH(RationEtéChevauxSelle&amp;$EU117,Règles_chevaux_selle[Ration]&amp;Règles_chevaux_selle[Aliment],0)),0),0)*TotalJumentSelle*NbreJoursNourrirChevauxSelle)</f>
        <v>0</v>
      </c>
      <c r="EW117" s="458">
        <f t="array" ref="EW117">IF(OR(ChoixRationComplèteEtéChevauxSelle=OUI,ChoixRationComplèteEtéChevauxSelle="",AND(ChoixChevauxSellePréHiver=OUI,ChoixChevauxSellePréEté=OUI)),0,IFERROR(IF(OR(AND(INDEX(Règles_chevaux_selle[Specificite],MATCH(RationEtéChevauxSelle&amp;$EU117,Règles_chevaux_selle[Ration]&amp;Règles_chevaux_selle[Aliment],0))="s1",IF($EU117=Spécificité1ChevauxSelle,1)),
AND(INDEX(Règles_chevaux_selle[Specificite],MATCH(RationEtéChevauxSelle&amp;$EU117,Règles_chevaux_selle[Ration]&amp;Règles_chevaux_selle[Aliment],0))="s2",IF($EU117=Spécificité2ChevauxSelle,1)),
INDEX(Règles_chevaux_selle[Specificite],MATCH(RationEtéChevauxSelle&amp;$EU117,Règles_chevaux_selle[Ration]&amp;Règles_chevaux_selle[Aliment],0))="c"),
INDEX(Règles_chevaux_selle[Valeur 24-36],MATCH(RationEtéChevauxSelle&amp;$EU117,Règles_chevaux_selle[Ration]&amp;Règles_chevaux_selle[Aliment],0)),0),0)*TotalJeuneJumentSelle_24_36_mois*NbreJoursNourrirChevauxSelle)</f>
        <v>0</v>
      </c>
      <c r="EX117" s="458">
        <f t="array" ref="EX117">IF(OR(ChoixRationComplèteEtéChevauxSelle=OUI,ChoixRationComplèteEtéChevauxSelle="",AND(ChoixChevauxSellePréHiver=OUI,ChoixChevauxSellePréEté=OUI)),0,IFERROR(IF(OR(AND(INDEX(Règles_chevaux_selle[Specificite],MATCH(RationEtéChevauxSelle&amp;$EU117,Règles_chevaux_selle[Ration]&amp;Règles_chevaux_selle[Aliment],0))="s1",IF($EU117=Spécificité1ChevauxSelle,1)),
AND(INDEX(Règles_chevaux_selle[Specificite],MATCH(RationEtéChevauxSelle&amp;$EU117,Règles_chevaux_selle[Ration]&amp;Règles_chevaux_selle[Aliment],0))="s2",IF($EU117=Spécificité2ChevauxSelle,1)),
INDEX(Règles_chevaux_selle[Specificite],MATCH(RationEtéChevauxSelle&amp;$EU117,Règles_chevaux_selle[Ration]&amp;Règles_chevaux_selle[Aliment],0))="c"),
INDEX(Règles_chevaux_selle[Valeur 12-24],MATCH(RationEtéChevauxSelle&amp;$EU117,Règles_chevaux_selle[Ration]&amp;Règles_chevaux_selle[Aliment],0)),0),0)*TotalJeuneJumentSelle_12_24_mois_12_24_mois*NbreJoursNourrirChevauxSelle)</f>
        <v>0</v>
      </c>
      <c r="EY117" s="460">
        <f t="array" ref="EY117">IF(OR(ChoixRationComplèteEtéChevauxSelle=OUI,ChoixRationComplèteEtéChevauxSelle="",AND(ChoixChevauxSellePréHiver=OUI,ChoixChevauxSellePréEté=OUI)),0,IFERROR(IF(OR(AND(INDEX(Règles_chevaux_selle[Specificite],MATCH(RationEtéChevauxSelle&amp;$EU117,Règles_chevaux_selle[Ration]&amp;Règles_chevaux_selle[Aliment],0))="s1",IF($EU117=Spécificité1ChevauxSelle,1)),
AND(INDEX(Règles_chevaux_selle[Specificite],MATCH(RationEtéChevauxSelle&amp;$EU117,Règles_chevaux_selle[Ration]&amp;Règles_chevaux_selle[Aliment],0))="s2",IF($EU117=Spécificité2ChevauxSelle,1)),
INDEX(Règles_chevaux_selle[Specificite],MATCH(RationEtéChevauxSelle&amp;$EU117,Règles_chevaux_selle[Ration]&amp;Règles_chevaux_selle[Aliment],0))="c"),
INDEX(Règles_chevaux_selle[Valeur 0-12],MATCH(RationEtéChevauxSelle&amp;$EU117,Règles_chevaux_selle[Ration]&amp;Règles_chevaux_selle[Aliment],0)),0),0)*TotalPoulicheSelle_0_12_mois*NbreJoursNourrirChevauxSelle)</f>
        <v>0</v>
      </c>
      <c r="EZ117" s="460">
        <f t="shared" si="39"/>
        <v>0</v>
      </c>
      <c r="FD117" s="457" t="str">
        <f t="shared" si="33"/>
        <v>Paille</v>
      </c>
      <c r="FE117" s="458">
        <f t="array" ref="FE117">IF(OR(ChoixRationComplèteEtéChevauxTrait=OUI,ChoixRationComplèteEtéChevauxTrait="",AND(ChoixChevauxTraitPréHiver=OUI,ChoixChevauxTraitPréEté=OUI)),0,IFERROR(IF(OR(AND(INDEX(Règles_chevaux_trait[Specificite],MATCH(RationEtéChevauxTrait&amp;$FD117,Règles_chevaux_trait[Ration]&amp;Règles_chevaux_trait[Aliment],0))="s1",IF($FD117=Spécificité1ChevauxTrait,1)),
AND(INDEX(Règles_chevaux_trait[Specificite],MATCH(RationEtéChevauxTrait&amp;$FD117,Règles_chevaux_trait[Ration]&amp;Règles_chevaux_trait[Aliment],0))="s2",IF($FD117=Spécificité2ChevauxTrait,1)),
INDEX(Règles_chevaux_trait[Specificite],MATCH(RationEtéChevauxTrait&amp;$FD117,Règles_chevaux_trait[Ration]&amp;Règles_chevaux_trait[Aliment],0))="c"),
INDEX(Règles_chevaux_trait[Valeur 36 et plus],MATCH(RationEtéChevauxTrait&amp;$FD117,Règles_chevaux_trait[Ration]&amp;Règles_chevaux_trait[Aliment],0)),0),0)*TotalJumentTrait*NbreJoursNourrirChevauxTrait)</f>
        <v>0</v>
      </c>
      <c r="FF117" s="458">
        <f t="array" ref="FF117">IF(OR(ChoixRationComplèteEtéChevauxTrait=OUI,ChoixRationComplèteEtéChevauxTrait="",AND(ChoixChevauxTraitPréHiver=OUI,ChoixChevauxTraitPréEté=OUI)),0,IFERROR(IF(OR(AND(INDEX(Règles_chevaux_trait[Specificite],MATCH(RationEtéChevauxTrait&amp;$FD117,Règles_chevaux_trait[Ration]&amp;Règles_chevaux_trait[Aliment],0))="s1",IF($FD117=Spécificité1ChevauxTrait,1)),
AND(INDEX(Règles_chevaux_trait[Specificite],MATCH(RationEtéChevauxTrait&amp;$FD117,Règles_chevaux_trait[Ration]&amp;Règles_chevaux_trait[Aliment],0))="s2",IF($FD117=Spécificité2ChevauxTrait,1)),
INDEX(Règles_chevaux_trait[Specificite],MATCH(RationEtéChevauxTrait&amp;$FD117,Règles_chevaux_trait[Ration]&amp;Règles_chevaux_trait[Aliment],0))="c"),
INDEX(Règles_chevaux_trait[Valeur 24-36],MATCH(RationEtéChevauxTrait&amp;$FD117,Règles_chevaux_trait[Ration]&amp;Règles_chevaux_trait[Aliment],0)),0),0)*TotalJeuneJumentTrait_24_36_mois*NbreJoursNourrirChevauxTrait)</f>
        <v>0</v>
      </c>
      <c r="FG117" s="458">
        <f t="array" ref="FG117">IF(OR(ChoixRationComplèteEtéChevauxTrait=OUI,ChoixRationComplèteEtéChevauxTrait="",AND(ChoixChevauxTraitPréHiver=OUI,ChoixChevauxTraitPréEté=OUI)),0,IFERROR(IF(OR(AND(INDEX(Règles_chevaux_trait[Specificite],MATCH(RationEtéChevauxTrait&amp;$FD117,Règles_chevaux_trait[Ration]&amp;Règles_chevaux_trait[Aliment],0))="s1",IF($FD117=Spécificité1ChevauxTrait,1)),
AND(INDEX(Règles_chevaux_trait[Specificite],MATCH(RationEtéChevauxTrait&amp;$FD117,Règles_chevaux_trait[Ration]&amp;Règles_chevaux_trait[Aliment],0))="s2",IF($FD117=Spécificité2ChevauxTrait,1)),
INDEX(Règles_chevaux_trait[Specificite],MATCH(RationEtéChevauxTrait&amp;$FD117,Règles_chevaux_trait[Ration]&amp;Règles_chevaux_trait[Aliment],0))="c"),
INDEX(Règles_chevaux_trait[Valeur 12-24],MATCH(RationEtéChevauxTrait&amp;$FD117,Règles_chevaux_trait[Ration]&amp;Règles_chevaux_trait[Aliment],0)),0),0)*TotalJeuneJumentTrait_12_24_mois*NbreJoursNourrirChevauxTrait)</f>
        <v>0</v>
      </c>
      <c r="FH117" s="460">
        <f t="array" ref="FH117">IF(OR(ChoixRationComplèteEtéChevauxTrait=OUI,ChoixRationComplèteEtéChevauxTrait="",AND(ChoixChevauxTraitPréHiver=OUI,ChoixChevauxTraitPréEté=OUI)),0,IFERROR(IF(OR(AND(INDEX(Règles_chevaux_trait[Specificite],MATCH(RationEtéChevauxTrait&amp;$FD117,Règles_chevaux_trait[Ration]&amp;Règles_chevaux_trait[Aliment],0))="s1",IF($FD117=Spécificité1ChevauxTrait,1)),
AND(INDEX(Règles_chevaux_trait[Specificite],MATCH(RationEtéChevauxTrait&amp;$FD117,Règles_chevaux_trait[Ration]&amp;Règles_chevaux_trait[Aliment],0))="s2",IF($FD117=Spécificité2ChevauxTrait,1)),
INDEX(Règles_chevaux_trait[Specificite],MATCH(RationEtéChevauxTrait&amp;$FD117,Règles_chevaux_trait[Ration]&amp;Règles_chevaux_trait[Aliment],0))="c"),
INDEX(Règles_chevaux_trait[Valeur 0-12],MATCH(RationEtéChevauxTrait&amp;$FD117,Règles_chevaux_trait[Ration]&amp;Règles_chevaux_trait[Aliment],0)),0),0)*TotalPoulicheTrait_0_12_mois*NbreJoursNourrirChevauxTrait)</f>
        <v>0</v>
      </c>
      <c r="FI117" s="460">
        <f t="shared" si="31"/>
        <v>0</v>
      </c>
      <c r="FJ117" s="298"/>
      <c r="FN117" s="457" t="str">
        <f t="shared" si="32"/>
        <v>Pois</v>
      </c>
      <c r="FO117" s="458">
        <f t="array" ref="FO117">IF(OR(ChoixRationComplèteEtéPoneys=OUI,ChoixRationComplèteEtéPoneys="",AND(ChoixPoneysPréHiver=OUI,ChoixPoneysPréEté=OUI)),0,IFERROR(IF(OR(AND(INDEX(Règles_poneys[Specificite],MATCH(RationHivernaleAuPréPoneys&amp;$FN117,Règles_poneys[Ration]&amp;Règles_poneys[Aliment],0))="s1",IF($FN117=Spécificité1Poneys,1)),
AND(INDEX(Règles_poneys[Specificite],MATCH(RationHivernaleAuPréPoneys&amp;$FN117,Règles_poneys[Ration]&amp;Règles_poneys[Aliment],0))="s2",IF($FN117=Spécificité2Poneys,1)),
INDEX(Règles_poneys[Specificite],MATCH(RationHivernaleAuPréPoneys&amp;$FN117,Règles_poneys[Ration]&amp;Règles_poneys[Aliment],0))="c"),
INDEX(Règles_poneys[Valeur 36 et plus],MATCH(RationHivernaleAuPréPoneys&amp;$FN117,Règles_poneys[Ration]&amp;Règles_poneys[Aliment],0)),0),0)*SUM(TotalPoneysAdultes)*SUM(AG118:AG142))</f>
        <v>0</v>
      </c>
      <c r="FP117" s="458">
        <f t="array" ref="FP117">IF(OR(ChoixRationComplèteEtéPoneys=OUI,ChoixRationComplèteEtéPoneys="",AND(ChoixPoneysPréHiver=OUI,ChoixPoneysPréEté=OUI)),0,IFERROR(IF(OR(AND(INDEX(Règles_poneys[Specificite],MATCH(RationHivernaleAuPréPoneys&amp;$FN117,Règles_poneys[Ration]&amp;Règles_poneys[Aliment],0))="s1",IF($FN117=Spécificité1Poneys,1)),
AND(INDEX(Règles_poneys[Specificite],MATCH(RationHivernaleAuPréPoneys&amp;$FN117,Règles_poneys[Ration]&amp;Règles_poneys[Aliment],0))="s2",IF($FN117=Spécificité2Poneys,1)),
INDEX(Règles_poneys[Specificite],MATCH(RationHivernaleAuPréPoneys&amp;$FN117,Règles_poneys[Ration]&amp;Règles_poneys[Aliment],0))="c"),
INDEX(Règles_poneys[Valeur 24-36],MATCH(RationHivernaleAuPréPoneys&amp;$FN117,Règles_poneys[Ration]&amp;Règles_poneys[Aliment],0)),0),0)*SUM(TotalPoneys_24_36mois)*SUM(AG118:AG142))</f>
        <v>0</v>
      </c>
      <c r="FQ117" s="458">
        <f t="array" ref="FQ117">IF(OR(ChoixRationComplèteEtéPoneys=OUI,ChoixRationComplèteEtéPoneys="",AND(ChoixPoneysPréHiver=OUI,ChoixPoneysPréEté=OUI)),0,IFERROR(IF(OR(AND(INDEX(Règles_poneys[Specificite],MATCH(RationHivernaleAuPréPoneys&amp;$FN117,Règles_poneys[Ration]&amp;Règles_poneys[Aliment],0))="s1",IF($FN117=Spécificité1Poneys,1)),
AND(INDEX(Règles_poneys[Specificite],MATCH(RationHivernaleAuPréPoneys&amp;$FN117,Règles_poneys[Ration]&amp;Règles_poneys[Aliment],0))="s2",IF($FN117=Spécificité2Poneys,1)),
INDEX(Règles_poneys[Specificite],MATCH(RationHivernaleAuPréPoneys&amp;$FN117,Règles_poneys[Ration]&amp;Règles_poneys[Aliment],0))="c"),
INDEX(Règles_poneys[Valeur 12-24],MATCH(RationHivernaleAuPréPoneys&amp;$FN117,Règles_poneys[Ration]&amp;Règles_poneys[Aliment],0)),0),0)*SUM(TotalPoneys_12_24mois)*SUM(AG118:AG142))</f>
        <v>0</v>
      </c>
      <c r="FR117" s="460">
        <f t="array" ref="FR117">IF(OR(ChoixRationComplèteEtéPoneys=OUI,ChoixRationComplèteEtéPoneys="",AND(ChoixPoneysPréHiver=OUI,ChoixPoneysPréEté=OUI)),0,IFERROR(IF(OR(AND(INDEX(Règles_poneys[Specificite],MATCH(RationHivernaleAuPréPoneys&amp;$FN117,Règles_poneys[Ration]&amp;Règles_poneys[Aliment],0))="s1",IF($FN117=Spécificité1Poneys,1)),
AND(INDEX(Règles_poneys[Specificite],MATCH(RationHivernaleAuPréPoneys&amp;$FN117,Règles_poneys[Ration]&amp;Règles_poneys[Aliment],0))="s2",IF($FN117=Spécificité2Poneys,1)),
INDEX(Règles_poneys[Specificite],MATCH(RationHivernaleAuPréPoneys&amp;$FN117,Règles_poneys[Ration]&amp;Règles_poneys[Aliment],0))="c"),
INDEX(Règles_poneys[Valeur 0-12],MATCH(RationHivernaleAuPréPoneys&amp;$FN117,Règles_poneys[Ration]&amp;Règles_poneys[Aliment],0)),0),0)*SUM(TotalPoulainsPoneys)*SUM(AG118:AG142))</f>
        <v>0</v>
      </c>
      <c r="FS117" s="460">
        <f t="shared" si="29"/>
        <v>0</v>
      </c>
      <c r="FT117" s="298"/>
      <c r="FW117" s="443" t="str">
        <f t="shared" si="27"/>
        <v>Soja</v>
      </c>
      <c r="FX117" s="450">
        <f t="array" ref="FX117">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17" s="450">
        <f t="array" ref="FY117">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17" s="450">
        <f t="array" ref="FZ117">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17" s="450">
        <f t="array" ref="GA117">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17" s="451">
        <f>SUM(AlimentsGavageCanards[[#This Row],[Valeur 6 et plus]:[Valeur 0-1]])</f>
        <v>0</v>
      </c>
      <c r="GG117" s="276" t="s">
        <v>955</v>
      </c>
      <c r="GH117" s="276" t="s">
        <v>955</v>
      </c>
      <c r="GI117" s="276" t="s">
        <v>955</v>
      </c>
      <c r="GJ117" s="276" t="s">
        <v>955</v>
      </c>
      <c r="GK117" s="276" t="s">
        <v>955</v>
      </c>
      <c r="GL117" s="276" t="s">
        <v>955</v>
      </c>
      <c r="GM117" s="276" t="s">
        <v>955</v>
      </c>
      <c r="GN117" s="276" t="s">
        <v>955</v>
      </c>
      <c r="GO117" s="276" t="s">
        <v>955</v>
      </c>
      <c r="GP117" s="276" t="s">
        <v>955</v>
      </c>
      <c r="GQ117" s="276" t="s">
        <v>955</v>
      </c>
      <c r="GR117" s="276" t="s">
        <v>955</v>
      </c>
      <c r="GS117" s="276" t="s">
        <v>955</v>
      </c>
      <c r="GT117" s="276" t="s">
        <v>955</v>
      </c>
      <c r="GU117" s="276" t="s">
        <v>955</v>
      </c>
      <c r="GV117" s="276" t="s">
        <v>955</v>
      </c>
    </row>
    <row r="118" spans="1:236" ht="12.75" customHeight="1" x14ac:dyDescent="0.2">
      <c r="A118" s="381"/>
      <c r="B118" s="380"/>
      <c r="F118" s="283"/>
      <c r="O118" s="384">
        <v>7000</v>
      </c>
      <c r="BB118" s="387" t="s">
        <v>948</v>
      </c>
      <c r="BC118" s="362" t="s">
        <v>1166</v>
      </c>
      <c r="BD118" s="362" t="s">
        <v>886</v>
      </c>
      <c r="BE118" s="388">
        <v>0</v>
      </c>
      <c r="BF118" s="388">
        <v>0</v>
      </c>
      <c r="BG118" s="388">
        <v>0</v>
      </c>
      <c r="BH118" s="388">
        <v>0</v>
      </c>
      <c r="BI118" s="388">
        <v>0</v>
      </c>
      <c r="BJ118" s="388">
        <v>0</v>
      </c>
      <c r="BK118" s="389">
        <v>8</v>
      </c>
      <c r="BL118" s="312"/>
      <c r="BM118" s="350" t="str">
        <f t="shared" si="43"/>
        <v>Chanvre</v>
      </c>
      <c r="BN118" s="351">
        <f t="array" ref="BN118">SUM((IF(QualitéAlimentsBisonneauxMâles_0_3_mois=BONNE,VLOOKUP("Chanvre",AlimentsRationHivernaleBisonsMâles,8,FALSE),0)+(IF(QualitéAlimentsBisonneauxFemelles_0_3_mois=BONNE,VLOOKUP("Chanvre",AlimentsRationHivernaleBisonsFemelles,8,FALSE),0)+(IF(QualitéAlimentsBisonneauxMâles_3_6_mois=BONNE,VLOOKUP("Chanvre",AlimentsRationHivernaleBisonsMâles,7,FALSE),0)+(IF(QualitéAlimentsBisonneauxFemelles_3_6_mois=BONNE,VLOOKUP("Chanvre",AlimentsRationHivernaleBisonsFemelles,7,FALSE),0)+(IF(QualitéAlimentsBisonneauxMâles_6_12_mois=BONNE,VLOOKUP("Chanvre",AlimentsRationHivernaleBisonsMâles,6,FALSE),0)+(IF(QualitéAlimentsBisonneauxFemelles_6_12_mois=BONNE,VLOOKUP("Chanvre",AlimentsRationHivernaleBisonsFemelles,6,FALSE),0)+(IF(QualitéAlimentsJeunesBisons_12_18_mois=BONNE,VLOOKUP("Chanvre",AlimentsRationHivernaleBisonsMâles,5,FALSE),0)+(IF(QualitéAlimentsJeunesBisonnes_12_18_mois=BONNE,VLOOKUP("Chanvre",AlimentsRationHivernaleBisonsFemelles,5,FALSE),0)+(IF(QualitéAlimentsJeunesBisons_18_24_mois=BONNE,VLOOKUP("Chanvre",AlimentsRationHivernaleBisonsMâles,4,FALSE),0)+(IF(QualitéAlimentsJeunesBisonnes_18_24_mois=BONNE,VLOOKUP("Chanvre",AlimentsRationHivernaleBisonsFemelles,4,FALSE),0)+(IF(QualitéAlimentsJeunesBisons_24_36_mois=BONNE,VLOOKUP("Chanvre",AlimentsRationHivernaleBisonsMâles,3,FALSE),0)+(IF(QualitéAlimentsJeunesBisonnes_24_36_mois=BONNE,VLOOKUP("Chanvre",AlimentsRationHivernaleBisonsFemelles,3,FALSE),0)+(IF(QualitéAlimentsBisons=BONNE,VLOOKUP("Chanvre",AlimentsRationHivernaleBisonsMâles,2,FALSE),0)+(IF(QualitéAlimentsBisonnes=BONNE,VLOOKUP("Chanvre",AlimentsRationHivernaleBisonsFemelles,2,FALSE),0))))))))))))))))</f>
        <v>0</v>
      </c>
      <c r="BO118" s="351">
        <f t="array" ref="BO118">SUM((IF(QualitéAlimentsBisonneauxMâles_0_3_mois=MOYENNE,VLOOKUP("Chanvre",AlimentsRationHivernaleBisonsMâles,8,FALSE),0)+(IF(QualitéAlimentsBisonneauxFemelles_0_3_mois=MOYENNE,VLOOKUP("Chanvre",AlimentsRationHivernaleBisonsFemelles,8,FALSE),0)+(IF(QualitéAlimentsBisonneauxMâles_3_6_mois=MOYENNE,VLOOKUP("Chanvre",AlimentsRationHivernaleBisonsMâles,7,FALSE),0)+(IF(QualitéAlimentsBisonneauxFemelles_3_6_mois=MOYENNE,VLOOKUP("Chanvre",AlimentsRationHivernaleBisonsFemelles,7,FALSE),0)+(IF(QualitéAlimentsBisonneauxMâles_6_12_mois=MOYENNE,VLOOKUP("Chanvre",AlimentsRationHivernaleBisonsMâles,6,FALSE),0)+(IF(QualitéAlimentsBisonneauxFemelles_6_12_mois=MOYENNE,VLOOKUP("Chanvre",AlimentsRationHivernaleBisonsFemelles,6,FALSE),0)+(IF(QualitéAlimentsJeunesBisons_12_18_mois=MOYENNE,VLOOKUP("Chanvre",AlimentsRationHivernaleBisonsMâles,5,FALSE),0)+(IF(QualitéAlimentsJeunesBisonnes_12_18_mois=MOYENNE,VLOOKUP("Chanvre",AlimentsRationHivernaleBisonsFemelles,5,FALSE),0)+(IF(QualitéAlimentsJeunesBisons_18_24_mois=MOYENNE,VLOOKUP("Chanvre",AlimentsRationHivernaleBisonsMâles,4,FALSE),0)+(IF(QualitéAlimentsJeunesBisonnes_18_24_mois=MOYENNE,VLOOKUP("Chanvre",AlimentsRationHivernaleBisonsFemelles,4,FALSE),0)+(IF(QualitéAlimentsJeunesBisons_24_36_mois=MOYENNE,VLOOKUP("Chanvre",AlimentsRationHivernaleBisonsMâles,3,FALSE),0)+(IF(QualitéAlimentsJeunesBisonnes_24_36_mois=MOYENNE,VLOOKUP("Chanvre",AlimentsRationHivernaleBisonsFemelles,3,FALSE),0)+(IF(QualitéAlimentsBisons=MOYENNE,VLOOKUP("Chanvre",AlimentsRationHivernaleBisonsMâles,2,FALSE),0)+(IF(QualitéAlimentsBisonnes=MOYENNE,VLOOKUP("Chanvre",AlimentsRationHivernaleBisonsFemelles,2,FALSE),0))))))))))))))))</f>
        <v>0</v>
      </c>
      <c r="BP118" s="351">
        <f t="array" ref="BP118">SUM((IF(QualitéAlimentsBisonneauxMâles_0_3_mois=MAUVAISE,VLOOKUP("Chanvre",AlimentsRationHivernaleBisonsMâles,8,FALSE),0)+(IF(QualitéAlimentsBisonneauxFemelles_0_3_mois=MAUVAISE,VLOOKUP("Chanvre",AlimentsRationHivernaleBisonsFemelles,8,FALSE),0)+(IF(QualitéAlimentsBisonneauxMâles_3_6_mois=MAUVAISE,VLOOKUP("Chanvre",AlimentsRationHivernaleBisonsMâles,7,FALSE),0)+(IF(QualitéAlimentsBisonneauxFemelles_3_6_mois=MAUVAISE,VLOOKUP("Chanvre",AlimentsRationHivernaleBisonsFemelles,7,FALSE),0)+(IF(QualitéAlimentsBisonneauxMâles_6_12_mois=MAUVAISE,VLOOKUP("Chanvre",AlimentsRationHivernaleBisonsMâles,6,FALSE),0)+(IF(QualitéAlimentsBisonneauxFemelles_6_12_mois=MAUVAISE,VLOOKUP("Chanvre",AlimentsRationHivernaleBisonsFemelles,6,FALSE),0)+(IF(QualitéAlimentsJeunesBisons_12_18_mois=MAUVAISE,VLOOKUP("Chanvre",AlimentsRationHivernaleBisonsMâles,5,FALSE),0)+(IF(QualitéAlimentsJeunesBisonnes_12_18_mois=MAUVAISE,VLOOKUP("Chanvre",AlimentsRationHivernaleBisonsFemelles,5,FALSE),0)+(IF(QualitéAlimentsJeunesBisons_18_24_mois=MAUVAISE,VLOOKUP("Chanvre",AlimentsRationHivernaleBisonsMâles,4,FALSE),0)+(IF(QualitéAlimentsJeunesBisonnes_18_24_mois=MAUVAISE,VLOOKUP("Chanvre",AlimentsRationHivernaleBisonsFemelles,4,FALSE),0)+(IF(QualitéAlimentsJeunesBisons_24_36_mois=MAUVAISE,VLOOKUP("Chanvre",AlimentsRationHivernaleBisonsMâles,3,FALSE),0)+(IF(QualitéAlimentsJeunesBisonnes_24_36_mois=MAUVAISE,VLOOKUP("Chanvre",AlimentsRationHivernaleBisonsFemelles,3,FALSE),0)+(IF(QualitéAlimentsBisons=MAUVAISE,VLOOKUP("Chanvre",AlimentsRationHivernaleBisonsMâles,2,FALSE),0)+(IF(QualitéAlimentsBisonnes=MAUVAISE,VLOOKUP("Chanvre",AlimentsRationHivernaleBisonsFemelles,2,FALSE),0))))))))))))))))</f>
        <v>0</v>
      </c>
      <c r="BQ118" s="282"/>
      <c r="BR118" s="282"/>
      <c r="BS118" s="282"/>
      <c r="BT118" s="282"/>
      <c r="BU118" s="282"/>
      <c r="BX118" s="350" t="s">
        <v>265</v>
      </c>
      <c r="BY118" s="350">
        <f t="array" ref="BY118">IF(ChoixRationComplèteCaprins=OUI,0,IFERROR(IF(OR(AND(INDEX(Règles_caprins[Specificite],MATCH(ChoixRationCaprins&amp;$BX118,Règles_caprins[Ration]&amp;Règles_caprins[Aliment],0))="s1",IF($BX118=Spécificité1Caprins,1)),
INDEX(Règles_caprins[Specificite],MATCH(ChoixRationCaprins&amp;$BX118,Règles_caprins[Ration]&amp;Règles_caprins[Aliment],0))="c"),
INDEX(Règles_caprins[Valeur 12 et plus],MATCH(ChoixRationCaprins&amp;$BX118,Règles_caprins[Ration]&amp;Règles_caprins[Aliment],0)),0),0)*TotalBoucs*NbreJoursNourrirCaprins)</f>
        <v>0</v>
      </c>
      <c r="BZ118" s="350">
        <f t="array" ref="BZ118">IF(ChoixRationComplèteCaprins=OUI,0,IFERROR(IF(OR(AND(INDEX(Règles_caprins[Specificite],MATCH(ChoixRationCaprins&amp;$BX118,Règles_caprins[Ration]&amp;Règles_caprins[Aliment],0))="s1",IF($BX118=Spécificité1Caprins,1)),
INDEX(Règles_caprins[Specificite],MATCH(ChoixRationCaprins&amp;$BX118,Règles_caprins[Ration]&amp;Règles_caprins[Aliment],0))="c"),
INDEX(Règles_caprins[Valeur 6-12],MATCH(ChoixRationCaprins&amp;$BX118,Règles_caprins[Ration]&amp;Règles_caprins[Aliment],0)),0),0)*jeune_bouc_6_12_mois*NbreJoursNourrirCaprins)</f>
        <v>0</v>
      </c>
      <c r="CA118" s="350">
        <f t="array" ref="CA118">IF(ChoixRationComplèteCaprins=OUI,0,IFERROR(IF(OR(AND(INDEX(Règles_caprins[Specificite],MATCH(ChoixRationCaprins&amp;$BX118,Règles_caprins[Ration]&amp;Règles_caprins[Aliment],0))="s1",IF($BX118=Spécificité1Caprins,1)),
INDEX(Règles_caprins[Specificite],MATCH(ChoixRationCaprins&amp;$BX118,Règles_caprins[Ration]&amp;Règles_caprins[Aliment],0))="c"),
INDEX(Règles_caprins[Valeur 3-6],MATCH(ChoixRationCaprins&amp;$BX118,Règles_caprins[Ration]&amp;Règles_caprins[Aliment],0)),0),0)*chevreau_3_6_mois*NbreJoursNourrirCaprins)</f>
        <v>0</v>
      </c>
      <c r="CB118" s="350">
        <f t="array" ref="CB118">IF(ChoixRationComplèteCaprins=OUI,0,IFERROR(IF(OR(AND(INDEX(Règles_caprins[Specificite],MATCH(ChoixRationCaprins&amp;$BX118,Règles_caprins[Ration]&amp;Règles_caprins[Aliment],0))="s1",IF($BX118=Spécificité1Caprins,1)),
INDEX(Règles_caprins[Specificite],MATCH(ChoixRationCaprins&amp;$BX118,Règles_caprins[Ration]&amp;Règles_caprins[Aliment],0))="c"),
INDEX(Règles_caprins[Valeur 0-3],MATCH(ChoixRationCaprins&amp;$BX118,Règles_caprins[Ration]&amp;Règles_caprins[Aliment],0)),0),0)*chevreau_0_3_mois*NbreJoursNourrirCaprins)</f>
        <v>0</v>
      </c>
      <c r="CC118" s="350">
        <f t="shared" si="41"/>
        <v>0</v>
      </c>
      <c r="CH118" s="276"/>
      <c r="CI118" s="277"/>
      <c r="CJ118" s="420" t="str">
        <f t="shared" si="25"/>
        <v>Tourteau de colza</v>
      </c>
      <c r="CK118" s="384">
        <f t="array" ref="CK11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18" s="384">
        <f t="array" ref="CL11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18" s="384">
        <f t="array" ref="CM11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18" s="384">
        <f t="array" ref="CN11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18" s="384">
        <f t="array" ref="CO118">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18" s="426">
        <f>SUM(AlimentsRationPorcinsFemelles[[#This Row],[Valeur 12 et plus]:[Valeur 0-1]])</f>
        <v>0</v>
      </c>
      <c r="CQ118" s="298"/>
      <c r="CS118" s="420" t="str">
        <f t="shared" si="36"/>
        <v>Minéraux + vitamines</v>
      </c>
      <c r="CT118" s="433">
        <f t="array" ref="CT118">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18" s="433">
        <f t="array" ref="CU118">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18" s="433">
        <f t="array" ref="CV118">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18" s="434">
        <f>SUM(AlimentsRationLapinsFemelles[[#This Row],[Valeur 3 et plus]:[Valeur 0-1]])</f>
        <v>0</v>
      </c>
      <c r="CY118" s="277"/>
      <c r="CZ118" s="420" t="str">
        <f t="shared" si="37"/>
        <v>Minéraux + vitamines</v>
      </c>
      <c r="DA118" s="433">
        <f t="array" ref="DA11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18" s="433">
        <f t="array" ref="DB11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18" s="433">
        <f t="array" ref="DC11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18" s="434">
        <f>SUM(AlimentsRationVolaillesFemelles[[#This Row],[Valeur 6 et plus]:[Valeur 0-1]])</f>
        <v>0</v>
      </c>
      <c r="DE118" s="277"/>
      <c r="DG118" s="384" t="str">
        <f t="shared" si="26"/>
        <v>Sorgho ensilé</v>
      </c>
      <c r="DH118" s="433">
        <f t="array" ref="DH11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18" s="433">
        <f t="array" ref="DI11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18" s="433">
        <f t="array" ref="DJ11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18" s="437">
        <f>SUM(AlimentsRationPintadesFemelles[[#This Row],[Valeur 6 et plus]:[Valeur 0-1]])</f>
        <v>0</v>
      </c>
      <c r="DN118" s="373" t="s">
        <v>623</v>
      </c>
      <c r="DO118" s="280" t="s">
        <v>168</v>
      </c>
      <c r="DP118" s="280" t="s">
        <v>886</v>
      </c>
      <c r="DQ118" s="310">
        <v>8</v>
      </c>
      <c r="DR118" s="310">
        <v>6</v>
      </c>
      <c r="DS118" s="310">
        <v>4</v>
      </c>
      <c r="DT118" s="439">
        <v>0</v>
      </c>
      <c r="DU118" s="298"/>
      <c r="EG118" s="420" t="str">
        <f t="shared" si="30"/>
        <v>Pomme de terre</v>
      </c>
      <c r="EH118" s="433">
        <f t="array" ref="EH11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18" s="433">
        <f t="array" ref="EI11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18" s="433">
        <f t="array" ref="EJ11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18" s="434">
        <f>SUM(AlimentsRationOiesFemelles[[#This Row],[Valeur 6 et plus]:[Valeur 0-3]])</f>
        <v>0</v>
      </c>
      <c r="EN118" s="443" t="str">
        <f t="shared" si="28"/>
        <v>Pulpe déshydratée de betterave</v>
      </c>
      <c r="EO118" s="450">
        <f t="array" ref="EO118">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18" s="450">
        <f t="array" ref="EP118">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18" s="450">
        <f t="array" ref="EQ118">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18" s="451">
        <f>SUM(Ration_canards_Femelles[[#This Row],[Valeur 6 et plus]:[Valeur 0-3]])</f>
        <v>0</v>
      </c>
      <c r="EU118" s="457" t="str">
        <f t="shared" si="40"/>
        <v>Lentille</v>
      </c>
      <c r="EV118" s="458">
        <f t="array" ref="EV118">IF(OR(ChoixRationComplèteEtéChevauxSelle=OUI,ChoixRationComplèteEtéChevauxSelle="",AND(ChoixChevauxSellePréHiver=OUI,ChoixChevauxSellePréEté=OUI)),0,IFERROR(IF(OR(AND(INDEX(Règles_chevaux_selle[Specificite],MATCH(RationEtéChevauxSelle&amp;$EU118,Règles_chevaux_selle[Ration]&amp;Règles_chevaux_selle[Aliment],0))="s1",IF($EU118=Spécificité1ChevauxSelle,1)),
AND(INDEX(Règles_chevaux_selle[Specificite],MATCH(RationEtéChevauxSelle&amp;$EU118,Règles_chevaux_selle[Ration]&amp;Règles_chevaux_selle[Aliment],0))="s2",IF($EU118=Spécificité2ChevauxSelle,1)),
INDEX(Règles_chevaux_selle[Specificite],MATCH(RationEtéChevauxSelle&amp;$EU118,Règles_chevaux_selle[Ration]&amp;Règles_chevaux_selle[Aliment],0))="c"),
INDEX(Règles_chevaux_selle[Valeur 36 et plus],MATCH(RationEtéChevauxSelle&amp;$EU118,Règles_chevaux_selle[Ration]&amp;Règles_chevaux_selle[Aliment],0)),0),0)*TotalJumentSelle*NbreJoursNourrirChevauxSelle)</f>
        <v>0</v>
      </c>
      <c r="EW118" s="458">
        <f t="array" ref="EW118">IF(OR(ChoixRationComplèteEtéChevauxSelle=OUI,ChoixRationComplèteEtéChevauxSelle="",AND(ChoixChevauxSellePréHiver=OUI,ChoixChevauxSellePréEté=OUI)),0,IFERROR(IF(OR(AND(INDEX(Règles_chevaux_selle[Specificite],MATCH(RationEtéChevauxSelle&amp;$EU118,Règles_chevaux_selle[Ration]&amp;Règles_chevaux_selle[Aliment],0))="s1",IF($EU118=Spécificité1ChevauxSelle,1)),
AND(INDEX(Règles_chevaux_selle[Specificite],MATCH(RationEtéChevauxSelle&amp;$EU118,Règles_chevaux_selle[Ration]&amp;Règles_chevaux_selle[Aliment],0))="s2",IF($EU118=Spécificité2ChevauxSelle,1)),
INDEX(Règles_chevaux_selle[Specificite],MATCH(RationEtéChevauxSelle&amp;$EU118,Règles_chevaux_selle[Ration]&amp;Règles_chevaux_selle[Aliment],0))="c"),
INDEX(Règles_chevaux_selle[Valeur 24-36],MATCH(RationEtéChevauxSelle&amp;$EU118,Règles_chevaux_selle[Ration]&amp;Règles_chevaux_selle[Aliment],0)),0),0)*TotalJeuneJumentSelle_24_36_mois*NbreJoursNourrirChevauxSelle)</f>
        <v>0</v>
      </c>
      <c r="EX118" s="458">
        <f t="array" ref="EX118">IF(OR(ChoixRationComplèteEtéChevauxSelle=OUI,ChoixRationComplèteEtéChevauxSelle="",AND(ChoixChevauxSellePréHiver=OUI,ChoixChevauxSellePréEté=OUI)),0,IFERROR(IF(OR(AND(INDEX(Règles_chevaux_selle[Specificite],MATCH(RationEtéChevauxSelle&amp;$EU118,Règles_chevaux_selle[Ration]&amp;Règles_chevaux_selle[Aliment],0))="s1",IF($EU118=Spécificité1ChevauxSelle,1)),
AND(INDEX(Règles_chevaux_selle[Specificite],MATCH(RationEtéChevauxSelle&amp;$EU118,Règles_chevaux_selle[Ration]&amp;Règles_chevaux_selle[Aliment],0))="s2",IF($EU118=Spécificité2ChevauxSelle,1)),
INDEX(Règles_chevaux_selle[Specificite],MATCH(RationEtéChevauxSelle&amp;$EU118,Règles_chevaux_selle[Ration]&amp;Règles_chevaux_selle[Aliment],0))="c"),
INDEX(Règles_chevaux_selle[Valeur 12-24],MATCH(RationEtéChevauxSelle&amp;$EU118,Règles_chevaux_selle[Ration]&amp;Règles_chevaux_selle[Aliment],0)),0),0)*TotalJeuneJumentSelle_12_24_mois_12_24_mois*NbreJoursNourrirChevauxSelle)</f>
        <v>0</v>
      </c>
      <c r="EY118" s="460">
        <f t="array" ref="EY118">IF(OR(ChoixRationComplèteEtéChevauxSelle=OUI,ChoixRationComplèteEtéChevauxSelle="",AND(ChoixChevauxSellePréHiver=OUI,ChoixChevauxSellePréEté=OUI)),0,IFERROR(IF(OR(AND(INDEX(Règles_chevaux_selle[Specificite],MATCH(RationEtéChevauxSelle&amp;$EU118,Règles_chevaux_selle[Ration]&amp;Règles_chevaux_selle[Aliment],0))="s1",IF($EU118=Spécificité1ChevauxSelle,1)),
AND(INDEX(Règles_chevaux_selle[Specificite],MATCH(RationEtéChevauxSelle&amp;$EU118,Règles_chevaux_selle[Ration]&amp;Règles_chevaux_selle[Aliment],0))="s2",IF($EU118=Spécificité2ChevauxSelle,1)),
INDEX(Règles_chevaux_selle[Specificite],MATCH(RationEtéChevauxSelle&amp;$EU118,Règles_chevaux_selle[Ration]&amp;Règles_chevaux_selle[Aliment],0))="c"),
INDEX(Règles_chevaux_selle[Valeur 0-12],MATCH(RationEtéChevauxSelle&amp;$EU118,Règles_chevaux_selle[Ration]&amp;Règles_chevaux_selle[Aliment],0)),0),0)*TotalPoulicheSelle_0_12_mois*NbreJoursNourrirChevauxSelle)</f>
        <v>0</v>
      </c>
      <c r="EZ118" s="460">
        <f t="shared" si="39"/>
        <v>0</v>
      </c>
      <c r="FD118" s="457" t="str">
        <f t="shared" si="33"/>
        <v>Pois</v>
      </c>
      <c r="FE118" s="458">
        <f t="array" ref="FE118">IF(OR(ChoixRationComplèteEtéChevauxTrait=OUI,ChoixRationComplèteEtéChevauxTrait="",AND(ChoixChevauxTraitPréHiver=OUI,ChoixChevauxTraitPréEté=OUI)),0,IFERROR(IF(OR(AND(INDEX(Règles_chevaux_trait[Specificite],MATCH(RationEtéChevauxTrait&amp;$FD118,Règles_chevaux_trait[Ration]&amp;Règles_chevaux_trait[Aliment],0))="s1",IF($FD118=Spécificité1ChevauxTrait,1)),
AND(INDEX(Règles_chevaux_trait[Specificite],MATCH(RationEtéChevauxTrait&amp;$FD118,Règles_chevaux_trait[Ration]&amp;Règles_chevaux_trait[Aliment],0))="s2",IF($FD118=Spécificité2ChevauxTrait,1)),
INDEX(Règles_chevaux_trait[Specificite],MATCH(RationEtéChevauxTrait&amp;$FD118,Règles_chevaux_trait[Ration]&amp;Règles_chevaux_trait[Aliment],0))="c"),
INDEX(Règles_chevaux_trait[Valeur 36 et plus],MATCH(RationEtéChevauxTrait&amp;$FD118,Règles_chevaux_trait[Ration]&amp;Règles_chevaux_trait[Aliment],0)),0),0)*TotalJumentTrait*NbreJoursNourrirChevauxTrait)</f>
        <v>0</v>
      </c>
      <c r="FF118" s="458">
        <f t="array" ref="FF118">IF(OR(ChoixRationComplèteEtéChevauxTrait=OUI,ChoixRationComplèteEtéChevauxTrait="",AND(ChoixChevauxTraitPréHiver=OUI,ChoixChevauxTraitPréEté=OUI)),0,IFERROR(IF(OR(AND(INDEX(Règles_chevaux_trait[Specificite],MATCH(RationEtéChevauxTrait&amp;$FD118,Règles_chevaux_trait[Ration]&amp;Règles_chevaux_trait[Aliment],0))="s1",IF($FD118=Spécificité1ChevauxTrait,1)),
AND(INDEX(Règles_chevaux_trait[Specificite],MATCH(RationEtéChevauxTrait&amp;$FD118,Règles_chevaux_trait[Ration]&amp;Règles_chevaux_trait[Aliment],0))="s2",IF($FD118=Spécificité2ChevauxTrait,1)),
INDEX(Règles_chevaux_trait[Specificite],MATCH(RationEtéChevauxTrait&amp;$FD118,Règles_chevaux_trait[Ration]&amp;Règles_chevaux_trait[Aliment],0))="c"),
INDEX(Règles_chevaux_trait[Valeur 24-36],MATCH(RationEtéChevauxTrait&amp;$FD118,Règles_chevaux_trait[Ration]&amp;Règles_chevaux_trait[Aliment],0)),0),0)*TotalJeuneJumentTrait_24_36_mois*NbreJoursNourrirChevauxTrait)</f>
        <v>0</v>
      </c>
      <c r="FG118" s="458">
        <f t="array" ref="FG118">IF(OR(ChoixRationComplèteEtéChevauxTrait=OUI,ChoixRationComplèteEtéChevauxTrait="",AND(ChoixChevauxTraitPréHiver=OUI,ChoixChevauxTraitPréEté=OUI)),0,IFERROR(IF(OR(AND(INDEX(Règles_chevaux_trait[Specificite],MATCH(RationEtéChevauxTrait&amp;$FD118,Règles_chevaux_trait[Ration]&amp;Règles_chevaux_trait[Aliment],0))="s1",IF($FD118=Spécificité1ChevauxTrait,1)),
AND(INDEX(Règles_chevaux_trait[Specificite],MATCH(RationEtéChevauxTrait&amp;$FD118,Règles_chevaux_trait[Ration]&amp;Règles_chevaux_trait[Aliment],0))="s2",IF($FD118=Spécificité2ChevauxTrait,1)),
INDEX(Règles_chevaux_trait[Specificite],MATCH(RationEtéChevauxTrait&amp;$FD118,Règles_chevaux_trait[Ration]&amp;Règles_chevaux_trait[Aliment],0))="c"),
INDEX(Règles_chevaux_trait[Valeur 12-24],MATCH(RationEtéChevauxTrait&amp;$FD118,Règles_chevaux_trait[Ration]&amp;Règles_chevaux_trait[Aliment],0)),0),0)*TotalJeuneJumentTrait_12_24_mois*NbreJoursNourrirChevauxTrait)</f>
        <v>0</v>
      </c>
      <c r="FH118" s="460">
        <f t="array" ref="FH118">IF(OR(ChoixRationComplèteEtéChevauxTrait=OUI,ChoixRationComplèteEtéChevauxTrait="",AND(ChoixChevauxTraitPréHiver=OUI,ChoixChevauxTraitPréEté=OUI)),0,IFERROR(IF(OR(AND(INDEX(Règles_chevaux_trait[Specificite],MATCH(RationEtéChevauxTrait&amp;$FD118,Règles_chevaux_trait[Ration]&amp;Règles_chevaux_trait[Aliment],0))="s1",IF($FD118=Spécificité1ChevauxTrait,1)),
AND(INDEX(Règles_chevaux_trait[Specificite],MATCH(RationEtéChevauxTrait&amp;$FD118,Règles_chevaux_trait[Ration]&amp;Règles_chevaux_trait[Aliment],0))="s2",IF($FD118=Spécificité2ChevauxTrait,1)),
INDEX(Règles_chevaux_trait[Specificite],MATCH(RationEtéChevauxTrait&amp;$FD118,Règles_chevaux_trait[Ration]&amp;Règles_chevaux_trait[Aliment],0))="c"),
INDEX(Règles_chevaux_trait[Valeur 0-12],MATCH(RationEtéChevauxTrait&amp;$FD118,Règles_chevaux_trait[Ration]&amp;Règles_chevaux_trait[Aliment],0)),0),0)*TotalPoulicheTrait_0_12_mois*NbreJoursNourrirChevauxTrait)</f>
        <v>0</v>
      </c>
      <c r="FI118" s="460">
        <f t="shared" si="31"/>
        <v>0</v>
      </c>
      <c r="FJ118" s="298"/>
      <c r="FN118" s="457" t="str">
        <f t="shared" si="32"/>
        <v>Pomme de terre</v>
      </c>
      <c r="FO118" s="458">
        <f t="array" ref="FO118">IF(OR(ChoixRationComplèteEtéPoneys=OUI,ChoixRationComplèteEtéPoneys="",AND(ChoixPoneysPréHiver=OUI,ChoixPoneysPréEté=OUI)),0,IFERROR(IF(OR(AND(INDEX(Règles_poneys[Specificite],MATCH(RationHivernaleAuPréPoneys&amp;$FN118,Règles_poneys[Ration]&amp;Règles_poneys[Aliment],0))="s1",IF($FN118=Spécificité1Poneys,1)),
AND(INDEX(Règles_poneys[Specificite],MATCH(RationHivernaleAuPréPoneys&amp;$FN118,Règles_poneys[Ration]&amp;Règles_poneys[Aliment],0))="s2",IF($FN118=Spécificité2Poneys,1)),
INDEX(Règles_poneys[Specificite],MATCH(RationHivernaleAuPréPoneys&amp;$FN118,Règles_poneys[Ration]&amp;Règles_poneys[Aliment],0))="c"),
INDEX(Règles_poneys[Valeur 36 et plus],MATCH(RationHivernaleAuPréPoneys&amp;$FN118,Règles_poneys[Ration]&amp;Règles_poneys[Aliment],0)),0),0)*SUM(TotalPoneysAdultes)*SUM(AG118:AG142))</f>
        <v>0</v>
      </c>
      <c r="FP118" s="458">
        <f t="array" ref="FP118">IF(OR(ChoixRationComplèteEtéPoneys=OUI,ChoixRationComplèteEtéPoneys="",AND(ChoixPoneysPréHiver=OUI,ChoixPoneysPréEté=OUI)),0,IFERROR(IF(OR(AND(INDEX(Règles_poneys[Specificite],MATCH(RationHivernaleAuPréPoneys&amp;$FN118,Règles_poneys[Ration]&amp;Règles_poneys[Aliment],0))="s1",IF($FN118=Spécificité1Poneys,1)),
AND(INDEX(Règles_poneys[Specificite],MATCH(RationHivernaleAuPréPoneys&amp;$FN118,Règles_poneys[Ration]&amp;Règles_poneys[Aliment],0))="s2",IF($FN118=Spécificité2Poneys,1)),
INDEX(Règles_poneys[Specificite],MATCH(RationHivernaleAuPréPoneys&amp;$FN118,Règles_poneys[Ration]&amp;Règles_poneys[Aliment],0))="c"),
INDEX(Règles_poneys[Valeur 24-36],MATCH(RationHivernaleAuPréPoneys&amp;$FN118,Règles_poneys[Ration]&amp;Règles_poneys[Aliment],0)),0),0)*SUM(TotalPoneys_24_36mois)*SUM(AG118:AG142))</f>
        <v>0</v>
      </c>
      <c r="FQ118" s="458">
        <f t="array" ref="FQ118">IF(OR(ChoixRationComplèteEtéPoneys=OUI,ChoixRationComplèteEtéPoneys="",AND(ChoixPoneysPréHiver=OUI,ChoixPoneysPréEté=OUI)),0,IFERROR(IF(OR(AND(INDEX(Règles_poneys[Specificite],MATCH(RationHivernaleAuPréPoneys&amp;$FN118,Règles_poneys[Ration]&amp;Règles_poneys[Aliment],0))="s1",IF($FN118=Spécificité1Poneys,1)),
AND(INDEX(Règles_poneys[Specificite],MATCH(RationHivernaleAuPréPoneys&amp;$FN118,Règles_poneys[Ration]&amp;Règles_poneys[Aliment],0))="s2",IF($FN118=Spécificité2Poneys,1)),
INDEX(Règles_poneys[Specificite],MATCH(RationHivernaleAuPréPoneys&amp;$FN118,Règles_poneys[Ration]&amp;Règles_poneys[Aliment],0))="c"),
INDEX(Règles_poneys[Valeur 12-24],MATCH(RationHivernaleAuPréPoneys&amp;$FN118,Règles_poneys[Ration]&amp;Règles_poneys[Aliment],0)),0),0)*SUM(TotalPoneys_12_24mois)*SUM(AG118:AG142))</f>
        <v>0</v>
      </c>
      <c r="FR118" s="460">
        <f t="array" ref="FR118">IF(OR(ChoixRationComplèteEtéPoneys=OUI,ChoixRationComplèteEtéPoneys="",AND(ChoixPoneysPréHiver=OUI,ChoixPoneysPréEté=OUI)),0,IFERROR(IF(OR(AND(INDEX(Règles_poneys[Specificite],MATCH(RationHivernaleAuPréPoneys&amp;$FN118,Règles_poneys[Ration]&amp;Règles_poneys[Aliment],0))="s1",IF($FN118=Spécificité1Poneys,1)),
AND(INDEX(Règles_poneys[Specificite],MATCH(RationHivernaleAuPréPoneys&amp;$FN118,Règles_poneys[Ration]&amp;Règles_poneys[Aliment],0))="s2",IF($FN118=Spécificité2Poneys,1)),
INDEX(Règles_poneys[Specificite],MATCH(RationHivernaleAuPréPoneys&amp;$FN118,Règles_poneys[Ration]&amp;Règles_poneys[Aliment],0))="c"),
INDEX(Règles_poneys[Valeur 0-12],MATCH(RationHivernaleAuPréPoneys&amp;$FN118,Règles_poneys[Ration]&amp;Règles_poneys[Aliment],0)),0),0)*SUM(TotalPoulainsPoneys)*SUM(AG118:AG142))</f>
        <v>0</v>
      </c>
      <c r="FS118" s="460">
        <f t="shared" si="29"/>
        <v>0</v>
      </c>
      <c r="FT118" s="298"/>
      <c r="FW118" s="443" t="str">
        <f t="shared" si="27"/>
        <v>Sorgho ensilé</v>
      </c>
      <c r="FX118" s="450">
        <f t="array" ref="FX118">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18" s="450">
        <f t="array" ref="FY118">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18" s="450">
        <f t="array" ref="FZ118">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18" s="450">
        <f t="array" ref="GA118">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18" s="451">
        <f>SUM(AlimentsGavageCanards[[#This Row],[Valeur 6 et plus]:[Valeur 0-1]])</f>
        <v>0</v>
      </c>
      <c r="GG118" s="276" t="s">
        <v>955</v>
      </c>
      <c r="GH118" s="276" t="s">
        <v>955</v>
      </c>
      <c r="GI118" s="276" t="s">
        <v>955</v>
      </c>
      <c r="GJ118" s="276" t="s">
        <v>955</v>
      </c>
      <c r="GK118" s="276" t="s">
        <v>955</v>
      </c>
      <c r="GL118" s="276" t="s">
        <v>955</v>
      </c>
      <c r="GM118" s="276" t="s">
        <v>955</v>
      </c>
      <c r="GN118" s="276" t="s">
        <v>955</v>
      </c>
      <c r="GO118" s="276" t="s">
        <v>955</v>
      </c>
      <c r="GP118" s="276" t="s">
        <v>955</v>
      </c>
      <c r="GQ118" s="276" t="s">
        <v>955</v>
      </c>
      <c r="GR118" s="276" t="s">
        <v>955</v>
      </c>
      <c r="GS118" s="276" t="s">
        <v>955</v>
      </c>
      <c r="GT118" s="276" t="s">
        <v>955</v>
      </c>
      <c r="GU118" s="276" t="s">
        <v>955</v>
      </c>
      <c r="GV118" s="276" t="s">
        <v>955</v>
      </c>
    </row>
    <row r="119" spans="1:236" ht="12.75" customHeight="1" x14ac:dyDescent="0.2">
      <c r="A119" s="381"/>
      <c r="B119" s="380"/>
      <c r="F119" s="280"/>
      <c r="G119" s="280"/>
      <c r="H119" s="280"/>
      <c r="I119" s="280"/>
      <c r="J119" s="280"/>
      <c r="K119" s="280"/>
      <c r="L119" s="280"/>
      <c r="O119" s="384">
        <v>8000</v>
      </c>
      <c r="BB119" s="387" t="s">
        <v>948</v>
      </c>
      <c r="BC119" s="362" t="s">
        <v>518</v>
      </c>
      <c r="BD119" s="362" t="s">
        <v>886</v>
      </c>
      <c r="BE119" s="388">
        <v>200</v>
      </c>
      <c r="BF119" s="388">
        <v>100</v>
      </c>
      <c r="BG119" s="388">
        <v>80</v>
      </c>
      <c r="BH119" s="388">
        <v>60</v>
      </c>
      <c r="BI119" s="388">
        <v>40</v>
      </c>
      <c r="BJ119" s="388">
        <v>28</v>
      </c>
      <c r="BK119" s="389">
        <v>12</v>
      </c>
      <c r="BL119" s="312"/>
      <c r="BM119" s="350" t="str">
        <f t="shared" si="43"/>
        <v>Canola</v>
      </c>
      <c r="BN119" s="351">
        <f t="array" ref="BN119">SUM((IF(QualitéAlimentsBisonneauxMâles_0_3_mois=BONNE,VLOOKUP("Canola",AlimentsRationHivernaleBisonsMâles,8,FALSE),0)+(IF(QualitéAlimentsBisonneauxFemelles_0_3_mois=BONNE,VLOOKUP("Canola",AlimentsRationHivernaleBisonsFemelles,8,FALSE),0)+(IF(QualitéAlimentsBisonneauxMâles_3_6_mois=BONNE,VLOOKUP("Canola",AlimentsRationHivernaleBisonsMâles,7,FALSE),0)+(IF(QualitéAlimentsBisonneauxFemelles_3_6_mois=BONNE,VLOOKUP("Canola",AlimentsRationHivernaleBisonsFemelles,7,FALSE),0)+(IF(QualitéAlimentsBisonneauxMâles_6_12_mois=BONNE,VLOOKUP("Canola",AlimentsRationHivernaleBisonsMâles,6,FALSE),0)+(IF(QualitéAlimentsBisonneauxFemelles_6_12_mois=BONNE,VLOOKUP("Canola",AlimentsRationHivernaleBisonsFemelles,6,FALSE),0)+(IF(QualitéAlimentsJeunesBisons_12_18_mois=BONNE,VLOOKUP("Canola",AlimentsRationHivernaleBisonsMâles,5,FALSE),0)+(IF(QualitéAlimentsJeunesBisonnes_12_18_mois=BONNE,VLOOKUP("Canola",AlimentsRationHivernaleBisonsFemelles,5,FALSE),0)+(IF(QualitéAlimentsJeunesBisons_18_24_mois=BONNE,VLOOKUP("Canola",AlimentsRationHivernaleBisonsMâles,4,FALSE),0)+(IF(QualitéAlimentsJeunesBisonnes_18_24_mois=BONNE,VLOOKUP("Canola",AlimentsRationHivernaleBisonsFemelles,4,FALSE),0)+(IF(QualitéAlimentsJeunesBisons_24_36_mois=BONNE,VLOOKUP("Canola",AlimentsRationHivernaleBisonsMâles,3,FALSE),0)+(IF(QualitéAlimentsJeunesBisonnes_24_36_mois=BONNE,VLOOKUP("Canola",AlimentsRationHivernaleBisonsFemelles,3,FALSE),0)+(IF(QualitéAlimentsBisons=BONNE,VLOOKUP("Canola",AlimentsRationHivernaleBisonsMâles,2,FALSE),0)+(IF(QualitéAlimentsBisonnes=BONNE,VLOOKUP("Canola",AlimentsRationHivernaleBisonsFemelles,2,FALSE),0))))))))))))))))</f>
        <v>0</v>
      </c>
      <c r="BO119" s="351">
        <f t="array" ref="BO119">SUM((IF(QualitéAlimentsBisonneauxMâles_0_3_mois=MOYENNE,VLOOKUP("Canola",AlimentsRationHivernaleBisonsMâles,8,FALSE),0)+(IF(QualitéAlimentsBisonneauxFemelles_0_3_mois=MOYENNE,VLOOKUP("Canola",AlimentsRationHivernaleBisonsFemelles,8,FALSE),0)+(IF(QualitéAlimentsBisonneauxMâles_3_6_mois=MOYENNE,VLOOKUP("Canola",AlimentsRationHivernaleBisonsMâles,7,FALSE),0)+(IF(QualitéAlimentsBisonneauxFemelles_3_6_mois=MOYENNE,VLOOKUP("Canola",AlimentsRationHivernaleBisonsFemelles,7,FALSE),0)+(IF(QualitéAlimentsBisonneauxMâles_6_12_mois=MOYENNE,VLOOKUP("Canola",AlimentsRationHivernaleBisonsMâles,6,FALSE),0)+(IF(QualitéAlimentsBisonneauxFemelles_6_12_mois=MOYENNE,VLOOKUP("Canola",AlimentsRationHivernaleBisonsFemelles,6,FALSE),0)+(IF(QualitéAlimentsJeunesBisons_12_18_mois=MOYENNE,VLOOKUP("Canola",AlimentsRationHivernaleBisonsMâles,5,FALSE),0)+(IF(QualitéAlimentsJeunesBisonnes_12_18_mois=MOYENNE,VLOOKUP("Canola",AlimentsRationHivernaleBisonsFemelles,5,FALSE),0)+(IF(QualitéAlimentsJeunesBisons_18_24_mois=MOYENNE,VLOOKUP("Canola",AlimentsRationHivernaleBisonsMâles,4,FALSE),0)+(IF(QualitéAlimentsJeunesBisonnes_18_24_mois=MOYENNE,VLOOKUP("Canola",AlimentsRationHivernaleBisonsFemelles,4,FALSE),0)+(IF(QualitéAlimentsJeunesBisons_24_36_mois=MOYENNE,VLOOKUP("Canola",AlimentsRationHivernaleBisonsMâles,3,FALSE),0)+(IF(QualitéAlimentsJeunesBisonnes_24_36_mois=MOYENNE,VLOOKUP("Canola",AlimentsRationHivernaleBisonsFemelles,3,FALSE),0)+(IF(QualitéAlimentsBisons=MOYENNE,VLOOKUP("Canola",AlimentsRationHivernaleBisonsMâles,2,FALSE),0)+(IF(QualitéAlimentsBisonnes=MOYENNE,VLOOKUP("Canola",AlimentsRationHivernaleBisonsFemelles,2,FALSE),0))))))))))))))))</f>
        <v>0</v>
      </c>
      <c r="BP119" s="351">
        <f t="array" ref="BP119">SUM((IF(QualitéAlimentsBisonneauxMâles_0_3_mois=MAUVAISE,VLOOKUP("Canola",AlimentsRationHivernaleBisonsMâles,8,FALSE),0)+(IF(QualitéAlimentsBisonneauxFemelles_0_3_mois=MAUVAISE,VLOOKUP("Canola",AlimentsRationHivernaleBisonsFemelles,8,FALSE),0)+(IF(QualitéAlimentsBisonneauxMâles_3_6_mois=MAUVAISE,VLOOKUP("Canola",AlimentsRationHivernaleBisonsMâles,7,FALSE),0)+(IF(QualitéAlimentsBisonneauxFemelles_3_6_mois=MAUVAISE,VLOOKUP("Canola",AlimentsRationHivernaleBisonsFemelles,7,FALSE),0)+(IF(QualitéAlimentsBisonneauxMâles_6_12_mois=MAUVAISE,VLOOKUP("Canola",AlimentsRationHivernaleBisonsMâles,6,FALSE),0)+(IF(QualitéAlimentsBisonneauxFemelles_6_12_mois=MAUVAISE,VLOOKUP("Canola",AlimentsRationHivernaleBisonsFemelles,6,FALSE),0)+(IF(QualitéAlimentsJeunesBisons_12_18_mois=MAUVAISE,VLOOKUP("Canola",AlimentsRationHivernaleBisonsMâles,5,FALSE),0)+(IF(QualitéAlimentsJeunesBisonnes_12_18_mois=MAUVAISE,VLOOKUP("Canola",AlimentsRationHivernaleBisonsFemelles,5,FALSE),0)+(IF(QualitéAlimentsJeunesBisons_18_24_mois=MAUVAISE,VLOOKUP("Canola",AlimentsRationHivernaleBisonsMâles,4,FALSE),0)+(IF(QualitéAlimentsJeunesBisonnes_18_24_mois=MAUVAISE,VLOOKUP("Canola",AlimentsRationHivernaleBisonsFemelles,4,FALSE),0)+(IF(QualitéAlimentsJeunesBisons_24_36_mois=MAUVAISE,VLOOKUP("Canola",AlimentsRationHivernaleBisonsMâles,3,FALSE),0)+(IF(QualitéAlimentsJeunesBisonnes_24_36_mois=MAUVAISE,VLOOKUP("Canola",AlimentsRationHivernaleBisonsFemelles,3,FALSE),0)+(IF(QualitéAlimentsBisons=MAUVAISE,VLOOKUP("Canola",AlimentsRationHivernaleBisonsMâles,2,FALSE),0)+(IF(QualitéAlimentsBisonnes=MAUVAISE,VLOOKUP("Canola",AlimentsRationHivernaleBisonsFemelles,2,FALSE),0))))))))))))))))</f>
        <v>0</v>
      </c>
      <c r="BQ119" s="282"/>
      <c r="BR119" s="282"/>
      <c r="BS119" s="282"/>
      <c r="BT119" s="282"/>
      <c r="BU119" s="282"/>
      <c r="BX119" s="350" t="s">
        <v>233</v>
      </c>
      <c r="BY119" s="350">
        <f t="array" ref="BY119">IF(ChoixRationComplèteCaprins=OUI,0,IFERROR(IF(OR(AND(INDEX(Règles_caprins[Specificite],MATCH(ChoixRationCaprins&amp;$BX119,Règles_caprins[Ration]&amp;Règles_caprins[Aliment],0))="s1",IF($BX119=Spécificité1Caprins,1)),
INDEX(Règles_caprins[Specificite],MATCH(ChoixRationCaprins&amp;$BX119,Règles_caprins[Ration]&amp;Règles_caprins[Aliment],0))="c"),
INDEX(Règles_caprins[Valeur 12 et plus],MATCH(ChoixRationCaprins&amp;$BX119,Règles_caprins[Ration]&amp;Règles_caprins[Aliment],0)),0),0)*TotalBoucs*NbreJoursNourrirCaprins)</f>
        <v>0</v>
      </c>
      <c r="BZ119" s="350">
        <f t="array" ref="BZ119">IF(ChoixRationComplèteCaprins=OUI,0,IFERROR(IF(OR(AND(INDEX(Règles_caprins[Specificite],MATCH(ChoixRationCaprins&amp;$BX119,Règles_caprins[Ration]&amp;Règles_caprins[Aliment],0))="s1",IF($BX119=Spécificité1Caprins,1)),
INDEX(Règles_caprins[Specificite],MATCH(ChoixRationCaprins&amp;$BX119,Règles_caprins[Ration]&amp;Règles_caprins[Aliment],0))="c"),
INDEX(Règles_caprins[Valeur 6-12],MATCH(ChoixRationCaprins&amp;$BX119,Règles_caprins[Ration]&amp;Règles_caprins[Aliment],0)),0),0)*jeune_bouc_6_12_mois*NbreJoursNourrirCaprins)</f>
        <v>0</v>
      </c>
      <c r="CA119" s="350">
        <f t="array" ref="CA119">IF(ChoixRationComplèteCaprins=OUI,0,IFERROR(IF(OR(AND(INDEX(Règles_caprins[Specificite],MATCH(ChoixRationCaprins&amp;$BX119,Règles_caprins[Ration]&amp;Règles_caprins[Aliment],0))="s1",IF($BX119=Spécificité1Caprins,1)),
INDEX(Règles_caprins[Specificite],MATCH(ChoixRationCaprins&amp;$BX119,Règles_caprins[Ration]&amp;Règles_caprins[Aliment],0))="c"),
INDEX(Règles_caprins[Valeur 3-6],MATCH(ChoixRationCaprins&amp;$BX119,Règles_caprins[Ration]&amp;Règles_caprins[Aliment],0)),0),0)*chevreau_3_6_mois*NbreJoursNourrirCaprins)</f>
        <v>0</v>
      </c>
      <c r="CB119" s="350">
        <f t="array" ref="CB119">IF(ChoixRationComplèteCaprins=OUI,0,IFERROR(IF(OR(AND(INDEX(Règles_caprins[Specificite],MATCH(ChoixRationCaprins&amp;$BX119,Règles_caprins[Ration]&amp;Règles_caprins[Aliment],0))="s1",IF($BX119=Spécificité1Caprins,1)),
INDEX(Règles_caprins[Specificite],MATCH(ChoixRationCaprins&amp;$BX119,Règles_caprins[Ration]&amp;Règles_caprins[Aliment],0))="c"),
INDEX(Règles_caprins[Valeur 0-3],MATCH(ChoixRationCaprins&amp;$BX119,Règles_caprins[Ration]&amp;Règles_caprins[Aliment],0)),0),0)*chevreau_0_3_mois*NbreJoursNourrirCaprins)</f>
        <v>0</v>
      </c>
      <c r="CC119" s="350">
        <f t="shared" si="41"/>
        <v>0</v>
      </c>
      <c r="CH119" s="276"/>
      <c r="CI119" s="277"/>
      <c r="CJ119" s="420" t="str">
        <f t="shared" si="25"/>
        <v>Tourteau de tournesol</v>
      </c>
      <c r="CK119" s="384">
        <f t="array" ref="CK11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19" s="384">
        <f t="array" ref="CL11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19" s="384">
        <f t="array" ref="CM11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19" s="384">
        <f t="array" ref="CN11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19" s="384">
        <f t="array" ref="CO119">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19" s="426">
        <f>SUM(AlimentsRationPorcinsFemelles[[#This Row],[Valeur 12 et plus]:[Valeur 0-1]])</f>
        <v>0</v>
      </c>
      <c r="CQ119" s="298"/>
      <c r="CS119" s="420" t="str">
        <f t="shared" si="36"/>
        <v>Orge</v>
      </c>
      <c r="CT119" s="433">
        <f t="array" ref="CT119">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19" s="433">
        <f t="array" ref="CU119">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19" s="433">
        <f t="array" ref="CV119">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19" s="434">
        <f>SUM(AlimentsRationLapinsFemelles[[#This Row],[Valeur 3 et plus]:[Valeur 0-1]])</f>
        <v>0</v>
      </c>
      <c r="CY119" s="277"/>
      <c r="CZ119" s="420" t="str">
        <f t="shared" si="37"/>
        <v>Orge</v>
      </c>
      <c r="DA119" s="433">
        <f t="array" ref="DA11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19" s="433">
        <f t="array" ref="DB11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19" s="433">
        <f t="array" ref="DC11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19" s="434">
        <f>SUM(AlimentsRationVolaillesFemelles[[#This Row],[Valeur 6 et plus]:[Valeur 0-1]])</f>
        <v>0</v>
      </c>
      <c r="DE119" s="277"/>
      <c r="DG119" s="384" t="str">
        <f t="shared" si="26"/>
        <v>Tournesol</v>
      </c>
      <c r="DH119" s="433">
        <f t="array" ref="DH11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19" s="433">
        <f t="array" ref="DI11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19" s="433">
        <f t="array" ref="DJ119">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19" s="437">
        <f>SUM(AlimentsRationPintadesFemelles[[#This Row],[Valeur 6 et plus]:[Valeur 0-1]])</f>
        <v>0</v>
      </c>
      <c r="DN119" s="373" t="s">
        <v>623</v>
      </c>
      <c r="DO119" s="280" t="s">
        <v>488</v>
      </c>
      <c r="DP119" s="280" t="s">
        <v>886</v>
      </c>
      <c r="DQ119" s="310">
        <v>16</v>
      </c>
      <c r="DR119" s="310">
        <v>12</v>
      </c>
      <c r="DS119" s="310">
        <v>8</v>
      </c>
      <c r="DT119" s="439">
        <v>0</v>
      </c>
      <c r="EG119" s="420" t="str">
        <f t="shared" si="30"/>
        <v>Pulpe déshydratée de betterave</v>
      </c>
      <c r="EH119" s="433">
        <f t="array" ref="EH11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19" s="433">
        <f t="array" ref="EI11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19" s="433">
        <f t="array" ref="EJ11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19" s="434">
        <f>SUM(AlimentsRationOiesFemelles[[#This Row],[Valeur 6 et plus]:[Valeur 0-3]])</f>
        <v>0</v>
      </c>
      <c r="EN119" s="443" t="str">
        <f t="shared" si="28"/>
        <v>Ration complète</v>
      </c>
      <c r="EO119" s="450">
        <f t="array" ref="EO119">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19" s="450">
        <f t="array" ref="EP119">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19" s="450">
        <f t="array" ref="EQ119">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19" s="451">
        <f>SUM(Ration_canards_Femelles[[#This Row],[Valeur 6 et plus]:[Valeur 0-3]])</f>
        <v>0</v>
      </c>
      <c r="EU119" s="457" t="str">
        <f t="shared" si="40"/>
        <v>Maïs ensilé</v>
      </c>
      <c r="EV119" s="458">
        <f t="array" ref="EV119">IF(OR(ChoixRationComplèteEtéChevauxSelle=OUI,ChoixRationComplèteEtéChevauxSelle="",AND(ChoixChevauxSellePréHiver=OUI,ChoixChevauxSellePréEté=OUI)),0,IFERROR(IF(OR(AND(INDEX(Règles_chevaux_selle[Specificite],MATCH(RationEtéChevauxSelle&amp;$EU119,Règles_chevaux_selle[Ration]&amp;Règles_chevaux_selle[Aliment],0))="s1",IF($EU119=Spécificité1ChevauxSelle,1)),
AND(INDEX(Règles_chevaux_selle[Specificite],MATCH(RationEtéChevauxSelle&amp;$EU119,Règles_chevaux_selle[Ration]&amp;Règles_chevaux_selle[Aliment],0))="s2",IF($EU119=Spécificité2ChevauxSelle,1)),
INDEX(Règles_chevaux_selle[Specificite],MATCH(RationEtéChevauxSelle&amp;$EU119,Règles_chevaux_selle[Ration]&amp;Règles_chevaux_selle[Aliment],0))="c"),
INDEX(Règles_chevaux_selle[Valeur 36 et plus],MATCH(RationEtéChevauxSelle&amp;$EU119,Règles_chevaux_selle[Ration]&amp;Règles_chevaux_selle[Aliment],0)),0),0)*TotalJumentSelle*NbreJoursNourrirChevauxSelle)</f>
        <v>0</v>
      </c>
      <c r="EW119" s="458">
        <f t="array" ref="EW119">IF(OR(ChoixRationComplèteEtéChevauxSelle=OUI,ChoixRationComplèteEtéChevauxSelle="",AND(ChoixChevauxSellePréHiver=OUI,ChoixChevauxSellePréEté=OUI)),0,IFERROR(IF(OR(AND(INDEX(Règles_chevaux_selle[Specificite],MATCH(RationEtéChevauxSelle&amp;$EU119,Règles_chevaux_selle[Ration]&amp;Règles_chevaux_selle[Aliment],0))="s1",IF($EU119=Spécificité1ChevauxSelle,1)),
AND(INDEX(Règles_chevaux_selle[Specificite],MATCH(RationEtéChevauxSelle&amp;$EU119,Règles_chevaux_selle[Ration]&amp;Règles_chevaux_selle[Aliment],0))="s2",IF($EU119=Spécificité2ChevauxSelle,1)),
INDEX(Règles_chevaux_selle[Specificite],MATCH(RationEtéChevauxSelle&amp;$EU119,Règles_chevaux_selle[Ration]&amp;Règles_chevaux_selle[Aliment],0))="c"),
INDEX(Règles_chevaux_selle[Valeur 24-36],MATCH(RationEtéChevauxSelle&amp;$EU119,Règles_chevaux_selle[Ration]&amp;Règles_chevaux_selle[Aliment],0)),0),0)*TotalJeuneJumentSelle_24_36_mois*NbreJoursNourrirChevauxSelle)</f>
        <v>0</v>
      </c>
      <c r="EX119" s="458">
        <f t="array" ref="EX119">IF(OR(ChoixRationComplèteEtéChevauxSelle=OUI,ChoixRationComplèteEtéChevauxSelle="",AND(ChoixChevauxSellePréHiver=OUI,ChoixChevauxSellePréEté=OUI)),0,IFERROR(IF(OR(AND(INDEX(Règles_chevaux_selle[Specificite],MATCH(RationEtéChevauxSelle&amp;$EU119,Règles_chevaux_selle[Ration]&amp;Règles_chevaux_selle[Aliment],0))="s1",IF($EU119=Spécificité1ChevauxSelle,1)),
AND(INDEX(Règles_chevaux_selle[Specificite],MATCH(RationEtéChevauxSelle&amp;$EU119,Règles_chevaux_selle[Ration]&amp;Règles_chevaux_selle[Aliment],0))="s2",IF($EU119=Spécificité2ChevauxSelle,1)),
INDEX(Règles_chevaux_selle[Specificite],MATCH(RationEtéChevauxSelle&amp;$EU119,Règles_chevaux_selle[Ration]&amp;Règles_chevaux_selle[Aliment],0))="c"),
INDEX(Règles_chevaux_selle[Valeur 12-24],MATCH(RationEtéChevauxSelle&amp;$EU119,Règles_chevaux_selle[Ration]&amp;Règles_chevaux_selle[Aliment],0)),0),0)*TotalJeuneJumentSelle_12_24_mois_12_24_mois*NbreJoursNourrirChevauxSelle)</f>
        <v>0</v>
      </c>
      <c r="EY119" s="460">
        <f t="array" ref="EY119">IF(OR(ChoixRationComplèteEtéChevauxSelle=OUI,ChoixRationComplèteEtéChevauxSelle="",AND(ChoixChevauxSellePréHiver=OUI,ChoixChevauxSellePréEté=OUI)),0,IFERROR(IF(OR(AND(INDEX(Règles_chevaux_selle[Specificite],MATCH(RationEtéChevauxSelle&amp;$EU119,Règles_chevaux_selle[Ration]&amp;Règles_chevaux_selle[Aliment],0))="s1",IF($EU119=Spécificité1ChevauxSelle,1)),
AND(INDEX(Règles_chevaux_selle[Specificite],MATCH(RationEtéChevauxSelle&amp;$EU119,Règles_chevaux_selle[Ration]&amp;Règles_chevaux_selle[Aliment],0))="s2",IF($EU119=Spécificité2ChevauxSelle,1)),
INDEX(Règles_chevaux_selle[Specificite],MATCH(RationEtéChevauxSelle&amp;$EU119,Règles_chevaux_selle[Ration]&amp;Règles_chevaux_selle[Aliment],0))="c"),
INDEX(Règles_chevaux_selle[Valeur 0-12],MATCH(RationEtéChevauxSelle&amp;$EU119,Règles_chevaux_selle[Ration]&amp;Règles_chevaux_selle[Aliment],0)),0),0)*TotalPoulicheSelle_0_12_mois*NbreJoursNourrirChevauxSelle)</f>
        <v>0</v>
      </c>
      <c r="EZ119" s="460">
        <f t="shared" si="39"/>
        <v>0</v>
      </c>
      <c r="FD119" s="457" t="str">
        <f t="shared" si="33"/>
        <v>Pomme de terre</v>
      </c>
      <c r="FE119" s="458">
        <f t="array" ref="FE119">IF(OR(ChoixRationComplèteEtéChevauxTrait=OUI,ChoixRationComplèteEtéChevauxTrait="",AND(ChoixChevauxTraitPréHiver=OUI,ChoixChevauxTraitPréEté=OUI)),0,IFERROR(IF(OR(AND(INDEX(Règles_chevaux_trait[Specificite],MATCH(RationEtéChevauxTrait&amp;$FD119,Règles_chevaux_trait[Ration]&amp;Règles_chevaux_trait[Aliment],0))="s1",IF($FD119=Spécificité1ChevauxTrait,1)),
AND(INDEX(Règles_chevaux_trait[Specificite],MATCH(RationEtéChevauxTrait&amp;$FD119,Règles_chevaux_trait[Ration]&amp;Règles_chevaux_trait[Aliment],0))="s2",IF($FD119=Spécificité2ChevauxTrait,1)),
INDEX(Règles_chevaux_trait[Specificite],MATCH(RationEtéChevauxTrait&amp;$FD119,Règles_chevaux_trait[Ration]&amp;Règles_chevaux_trait[Aliment],0))="c"),
INDEX(Règles_chevaux_trait[Valeur 36 et plus],MATCH(RationEtéChevauxTrait&amp;$FD119,Règles_chevaux_trait[Ration]&amp;Règles_chevaux_trait[Aliment],0)),0),0)*TotalJumentTrait*NbreJoursNourrirChevauxTrait)</f>
        <v>0</v>
      </c>
      <c r="FF119" s="458">
        <f t="array" ref="FF119">IF(OR(ChoixRationComplèteEtéChevauxTrait=OUI,ChoixRationComplèteEtéChevauxTrait="",AND(ChoixChevauxTraitPréHiver=OUI,ChoixChevauxTraitPréEté=OUI)),0,IFERROR(IF(OR(AND(INDEX(Règles_chevaux_trait[Specificite],MATCH(RationEtéChevauxTrait&amp;$FD119,Règles_chevaux_trait[Ration]&amp;Règles_chevaux_trait[Aliment],0))="s1",IF($FD119=Spécificité1ChevauxTrait,1)),
AND(INDEX(Règles_chevaux_trait[Specificite],MATCH(RationEtéChevauxTrait&amp;$FD119,Règles_chevaux_trait[Ration]&amp;Règles_chevaux_trait[Aliment],0))="s2",IF($FD119=Spécificité2ChevauxTrait,1)),
INDEX(Règles_chevaux_trait[Specificite],MATCH(RationEtéChevauxTrait&amp;$FD119,Règles_chevaux_trait[Ration]&amp;Règles_chevaux_trait[Aliment],0))="c"),
INDEX(Règles_chevaux_trait[Valeur 24-36],MATCH(RationEtéChevauxTrait&amp;$FD119,Règles_chevaux_trait[Ration]&amp;Règles_chevaux_trait[Aliment],0)),0),0)*TotalJeuneJumentTrait_24_36_mois*NbreJoursNourrirChevauxTrait)</f>
        <v>0</v>
      </c>
      <c r="FG119" s="458">
        <f t="array" ref="FG119">IF(OR(ChoixRationComplèteEtéChevauxTrait=OUI,ChoixRationComplèteEtéChevauxTrait="",AND(ChoixChevauxTraitPréHiver=OUI,ChoixChevauxTraitPréEté=OUI)),0,IFERROR(IF(OR(AND(INDEX(Règles_chevaux_trait[Specificite],MATCH(RationEtéChevauxTrait&amp;$FD119,Règles_chevaux_trait[Ration]&amp;Règles_chevaux_trait[Aliment],0))="s1",IF($FD119=Spécificité1ChevauxTrait,1)),
AND(INDEX(Règles_chevaux_trait[Specificite],MATCH(RationEtéChevauxTrait&amp;$FD119,Règles_chevaux_trait[Ration]&amp;Règles_chevaux_trait[Aliment],0))="s2",IF($FD119=Spécificité2ChevauxTrait,1)),
INDEX(Règles_chevaux_trait[Specificite],MATCH(RationEtéChevauxTrait&amp;$FD119,Règles_chevaux_trait[Ration]&amp;Règles_chevaux_trait[Aliment],0))="c"),
INDEX(Règles_chevaux_trait[Valeur 12-24],MATCH(RationEtéChevauxTrait&amp;$FD119,Règles_chevaux_trait[Ration]&amp;Règles_chevaux_trait[Aliment],0)),0),0)*TotalJeuneJumentTrait_12_24_mois*NbreJoursNourrirChevauxTrait)</f>
        <v>0</v>
      </c>
      <c r="FH119" s="460">
        <f t="array" ref="FH119">IF(OR(ChoixRationComplèteEtéChevauxTrait=OUI,ChoixRationComplèteEtéChevauxTrait="",AND(ChoixChevauxTraitPréHiver=OUI,ChoixChevauxTraitPréEté=OUI)),0,IFERROR(IF(OR(AND(INDEX(Règles_chevaux_trait[Specificite],MATCH(RationEtéChevauxTrait&amp;$FD119,Règles_chevaux_trait[Ration]&amp;Règles_chevaux_trait[Aliment],0))="s1",IF($FD119=Spécificité1ChevauxTrait,1)),
AND(INDEX(Règles_chevaux_trait[Specificite],MATCH(RationEtéChevauxTrait&amp;$FD119,Règles_chevaux_trait[Ration]&amp;Règles_chevaux_trait[Aliment],0))="s2",IF($FD119=Spécificité2ChevauxTrait,1)),
INDEX(Règles_chevaux_trait[Specificite],MATCH(RationEtéChevauxTrait&amp;$FD119,Règles_chevaux_trait[Ration]&amp;Règles_chevaux_trait[Aliment],0))="c"),
INDEX(Règles_chevaux_trait[Valeur 0-12],MATCH(RationEtéChevauxTrait&amp;$FD119,Règles_chevaux_trait[Ration]&amp;Règles_chevaux_trait[Aliment],0)),0),0)*TotalPoulicheTrait_0_12_mois*NbreJoursNourrirChevauxTrait)</f>
        <v>0</v>
      </c>
      <c r="FI119" s="460">
        <f t="shared" si="31"/>
        <v>0</v>
      </c>
      <c r="FJ119" s="298"/>
      <c r="FN119" s="457" t="str">
        <f t="shared" si="32"/>
        <v>Pulpe déshydratée de betterave</v>
      </c>
      <c r="FO119" s="458">
        <f t="array" ref="FO119">IF(OR(ChoixRationComplèteEtéPoneys=OUI,ChoixRationComplèteEtéPoneys="",AND(ChoixPoneysPréHiver=OUI,ChoixPoneysPréEté=OUI)),0,IFERROR(IF(OR(AND(INDEX(Règles_poneys[Specificite],MATCH(RationHivernaleAuPréPoneys&amp;$FN119,Règles_poneys[Ration]&amp;Règles_poneys[Aliment],0))="s1",IF($FN119=Spécificité1Poneys,1)),
AND(INDEX(Règles_poneys[Specificite],MATCH(RationHivernaleAuPréPoneys&amp;$FN119,Règles_poneys[Ration]&amp;Règles_poneys[Aliment],0))="s2",IF($FN119=Spécificité2Poneys,1)),
INDEX(Règles_poneys[Specificite],MATCH(RationHivernaleAuPréPoneys&amp;$FN119,Règles_poneys[Ration]&amp;Règles_poneys[Aliment],0))="c"),
INDEX(Règles_poneys[Valeur 36 et plus],MATCH(RationHivernaleAuPréPoneys&amp;$FN119,Règles_poneys[Ration]&amp;Règles_poneys[Aliment],0)),0),0)*SUM(TotalPoneysAdultes)*SUM(AG118:AG142))</f>
        <v>0</v>
      </c>
      <c r="FP119" s="458">
        <f t="array" ref="FP119">IF(OR(ChoixRationComplèteEtéPoneys=OUI,ChoixRationComplèteEtéPoneys="",AND(ChoixPoneysPréHiver=OUI,ChoixPoneysPréEté=OUI)),0,IFERROR(IF(OR(AND(INDEX(Règles_poneys[Specificite],MATCH(RationHivernaleAuPréPoneys&amp;$FN119,Règles_poneys[Ration]&amp;Règles_poneys[Aliment],0))="s1",IF($FN119=Spécificité1Poneys,1)),
AND(INDEX(Règles_poneys[Specificite],MATCH(RationHivernaleAuPréPoneys&amp;$FN119,Règles_poneys[Ration]&amp;Règles_poneys[Aliment],0))="s2",IF($FN119=Spécificité2Poneys,1)),
INDEX(Règles_poneys[Specificite],MATCH(RationHivernaleAuPréPoneys&amp;$FN119,Règles_poneys[Ration]&amp;Règles_poneys[Aliment],0))="c"),
INDEX(Règles_poneys[Valeur 24-36],MATCH(RationHivernaleAuPréPoneys&amp;$FN119,Règles_poneys[Ration]&amp;Règles_poneys[Aliment],0)),0),0)*SUM(TotalPoneys_24_36mois)*SUM(AG118:AG142))</f>
        <v>0</v>
      </c>
      <c r="FQ119" s="458">
        <f t="array" ref="FQ119">IF(OR(ChoixRationComplèteEtéPoneys=OUI,ChoixRationComplèteEtéPoneys="",AND(ChoixPoneysPréHiver=OUI,ChoixPoneysPréEté=OUI)),0,IFERROR(IF(OR(AND(INDEX(Règles_poneys[Specificite],MATCH(RationHivernaleAuPréPoneys&amp;$FN119,Règles_poneys[Ration]&amp;Règles_poneys[Aliment],0))="s1",IF($FN119=Spécificité1Poneys,1)),
AND(INDEX(Règles_poneys[Specificite],MATCH(RationHivernaleAuPréPoneys&amp;$FN119,Règles_poneys[Ration]&amp;Règles_poneys[Aliment],0))="s2",IF($FN119=Spécificité2Poneys,1)),
INDEX(Règles_poneys[Specificite],MATCH(RationHivernaleAuPréPoneys&amp;$FN119,Règles_poneys[Ration]&amp;Règles_poneys[Aliment],0))="c"),
INDEX(Règles_poneys[Valeur 12-24],MATCH(RationHivernaleAuPréPoneys&amp;$FN119,Règles_poneys[Ration]&amp;Règles_poneys[Aliment],0)),0),0)*SUM(TotalPoneys_12_24mois)*SUM(AG118:AG142))</f>
        <v>0</v>
      </c>
      <c r="FR119" s="460">
        <f t="array" ref="FR119">IF(OR(ChoixRationComplèteEtéPoneys=OUI,ChoixRationComplèteEtéPoneys="",AND(ChoixPoneysPréHiver=OUI,ChoixPoneysPréEté=OUI)),0,IFERROR(IF(OR(AND(INDEX(Règles_poneys[Specificite],MATCH(RationHivernaleAuPréPoneys&amp;$FN119,Règles_poneys[Ration]&amp;Règles_poneys[Aliment],0))="s1",IF($FN119=Spécificité1Poneys,1)),
AND(INDEX(Règles_poneys[Specificite],MATCH(RationHivernaleAuPréPoneys&amp;$FN119,Règles_poneys[Ration]&amp;Règles_poneys[Aliment],0))="s2",IF($FN119=Spécificité2Poneys,1)),
INDEX(Règles_poneys[Specificite],MATCH(RationHivernaleAuPréPoneys&amp;$FN119,Règles_poneys[Ration]&amp;Règles_poneys[Aliment],0))="c"),
INDEX(Règles_poneys[Valeur 0-12],MATCH(RationHivernaleAuPréPoneys&amp;$FN119,Règles_poneys[Ration]&amp;Règles_poneys[Aliment],0)),0),0)*SUM(TotalPoulainsPoneys)*SUM(AG118:AG142))</f>
        <v>0</v>
      </c>
      <c r="FS119" s="460">
        <f t="shared" si="29"/>
        <v>0</v>
      </c>
      <c r="FT119" s="298"/>
      <c r="FW119" s="443" t="str">
        <f t="shared" si="27"/>
        <v>Tournesol</v>
      </c>
      <c r="FX119" s="450">
        <f t="array" ref="FX119">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19" s="450">
        <f t="array" ref="FY119">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19" s="450">
        <f t="array" ref="FZ119">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19" s="450">
        <f t="array" ref="GA119">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19" s="451">
        <f>SUM(AlimentsGavageCanards[[#This Row],[Valeur 6 et plus]:[Valeur 0-1]])</f>
        <v>0</v>
      </c>
      <c r="GG119" s="276" t="s">
        <v>955</v>
      </c>
      <c r="GH119" s="276" t="s">
        <v>955</v>
      </c>
      <c r="GI119" s="276" t="s">
        <v>955</v>
      </c>
      <c r="GJ119" s="276" t="s">
        <v>955</v>
      </c>
      <c r="GK119" s="276" t="s">
        <v>955</v>
      </c>
      <c r="GL119" s="276" t="s">
        <v>955</v>
      </c>
      <c r="GM119" s="276" t="s">
        <v>955</v>
      </c>
      <c r="GN119" s="276" t="s">
        <v>955</v>
      </c>
      <c r="GO119" s="276" t="s">
        <v>955</v>
      </c>
      <c r="GP119" s="276" t="s">
        <v>955</v>
      </c>
      <c r="GQ119" s="276" t="s">
        <v>955</v>
      </c>
      <c r="GR119" s="276" t="s">
        <v>955</v>
      </c>
      <c r="GS119" s="276" t="s">
        <v>955</v>
      </c>
      <c r="GT119" s="276" t="s">
        <v>955</v>
      </c>
      <c r="GU119" s="276" t="s">
        <v>955</v>
      </c>
      <c r="GV119" s="276" t="s">
        <v>955</v>
      </c>
    </row>
    <row r="120" spans="1:236" ht="12.75" customHeight="1" x14ac:dyDescent="0.2">
      <c r="A120" s="381"/>
      <c r="B120" s="380"/>
      <c r="F120" s="280"/>
      <c r="G120" s="280"/>
      <c r="H120" s="280"/>
      <c r="I120" s="280"/>
      <c r="J120" s="280"/>
      <c r="K120" s="280"/>
      <c r="L120" s="280"/>
      <c r="O120" s="384">
        <v>9000</v>
      </c>
      <c r="BB120" s="387" t="s">
        <v>516</v>
      </c>
      <c r="BC120" s="362" t="s">
        <v>508</v>
      </c>
      <c r="BD120" s="362" t="s">
        <v>911</v>
      </c>
      <c r="BE120" s="388">
        <v>169</v>
      </c>
      <c r="BF120" s="388">
        <v>144</v>
      </c>
      <c r="BG120" s="388">
        <v>112</v>
      </c>
      <c r="BH120" s="388">
        <v>85</v>
      </c>
      <c r="BI120" s="388">
        <v>57</v>
      </c>
      <c r="BJ120" s="388">
        <v>29</v>
      </c>
      <c r="BK120" s="389">
        <v>0</v>
      </c>
      <c r="BL120" s="312"/>
      <c r="BM120" s="350" t="str">
        <f t="shared" si="43"/>
        <v>Colza</v>
      </c>
      <c r="BN120" s="351">
        <f t="array" ref="BN120">SUM((IF(QualitéAlimentsBisonneauxMâles_0_3_mois=BONNE,VLOOKUP("Colza",AlimentsRationHivernaleBisonsMâles,8,FALSE),0)+(IF(QualitéAlimentsBisonneauxFemelles_0_3_mois=BONNE,VLOOKUP("Colza",AlimentsRationHivernaleBisonsFemelles,8,FALSE),0)+(IF(QualitéAlimentsBisonneauxMâles_3_6_mois=BONNE,VLOOKUP("Colza",AlimentsRationHivernaleBisonsMâles,7,FALSE),0)+(IF(QualitéAlimentsBisonneauxFemelles_3_6_mois=BONNE,VLOOKUP("Colza",AlimentsRationHivernaleBisonsFemelles,7,FALSE),0)+(IF(QualitéAlimentsBisonneauxMâles_6_12_mois=BONNE,VLOOKUP("Colza",AlimentsRationHivernaleBisonsMâles,6,FALSE),0)+(IF(QualitéAlimentsBisonneauxFemelles_6_12_mois=BONNE,VLOOKUP("Colza",AlimentsRationHivernaleBisonsFemelles,6,FALSE),0)+(IF(QualitéAlimentsJeunesBisons_12_18_mois=BONNE,VLOOKUP("Colza",AlimentsRationHivernaleBisonsMâles,5,FALSE),0)+(IF(QualitéAlimentsJeunesBisonnes_12_18_mois=BONNE,VLOOKUP("Colza",AlimentsRationHivernaleBisonsFemelles,5,FALSE),0)+(IF(QualitéAlimentsJeunesBisons_18_24_mois=BONNE,VLOOKUP("Colza",AlimentsRationHivernaleBisonsMâles,4,FALSE),0)+(IF(QualitéAlimentsJeunesBisonnes_18_24_mois=BONNE,VLOOKUP("Colza",AlimentsRationHivernaleBisonsFemelles,4,FALSE),0)+(IF(QualitéAlimentsJeunesBisons_24_36_mois=BONNE,VLOOKUP("Colza",AlimentsRationHivernaleBisonsMâles,3,FALSE),0)+(IF(QualitéAlimentsJeunesBisonnes_24_36_mois=BONNE,VLOOKUP("Colza",AlimentsRationHivernaleBisonsFemelles,3,FALSE),0)+(IF(QualitéAlimentsBisons=BONNE,VLOOKUP("Colza",AlimentsRationHivernaleBisonsMâles,2,FALSE),0)+(IF(QualitéAlimentsBisonnes=BONNE,VLOOKUP("Colza",AlimentsRationHivernaleBisonsFemelles,2,FALSE),0))))))))))))))))</f>
        <v>0</v>
      </c>
      <c r="BO120" s="351">
        <f t="array" ref="BO120">SUM((IF(QualitéAlimentsBisonneauxMâles_0_3_mois=MOYENNE,VLOOKUP("Colza",AlimentsRationHivernaleBisonsMâles,8,FALSE),0)+(IF(QualitéAlimentsBisonneauxFemelles_0_3_mois=MOYENNE,VLOOKUP("Colza",AlimentsRationHivernaleBisonsFemelles,8,FALSE),0)+(IF(QualitéAlimentsBisonneauxMâles_3_6_mois=MOYENNE,VLOOKUP("Colza",AlimentsRationHivernaleBisonsMâles,7,FALSE),0)+(IF(QualitéAlimentsBisonneauxFemelles_3_6_mois=MOYENNE,VLOOKUP("Colza",AlimentsRationHivernaleBisonsFemelles,7,FALSE),0)+(IF(QualitéAlimentsBisonneauxMâles_6_12_mois=MOYENNE,VLOOKUP("Colza",AlimentsRationHivernaleBisonsMâles,6,FALSE),0)+(IF(QualitéAlimentsBisonneauxFemelles_6_12_mois=MOYENNE,VLOOKUP("Colza",AlimentsRationHivernaleBisonsFemelles,6,FALSE),0)+(IF(QualitéAlimentsJeunesBisons_12_18_mois=MOYENNE,VLOOKUP("Colza",AlimentsRationHivernaleBisonsMâles,5,FALSE),0)+(IF(QualitéAlimentsJeunesBisonnes_12_18_mois=MOYENNE,VLOOKUP("Colza",AlimentsRationHivernaleBisonsFemelles,5,FALSE),0)+(IF(QualitéAlimentsJeunesBisons_18_24_mois=MOYENNE,VLOOKUP("Colza",AlimentsRationHivernaleBisonsMâles,4,FALSE),0)+(IF(QualitéAlimentsJeunesBisonnes_18_24_mois=MOYENNE,VLOOKUP("Colza",AlimentsRationHivernaleBisonsFemelles,4,FALSE),0)+(IF(QualitéAlimentsJeunesBisons_24_36_mois=MOYENNE,VLOOKUP("Colza",AlimentsRationHivernaleBisonsMâles,3,FALSE),0)+(IF(QualitéAlimentsJeunesBisonnes_24_36_mois=MOYENNE,VLOOKUP("Colza",AlimentsRationHivernaleBisonsFemelles,3,FALSE),0)+(IF(QualitéAlimentsBisons=MOYENNE,VLOOKUP("Colza",AlimentsRationHivernaleBisonsMâles,2,FALSE),0)+(IF(QualitéAlimentsBisonnes=MOYENNE,VLOOKUP("Colza",AlimentsRationHivernaleBisonsFemelles,2,FALSE),0))))))))))))))))</f>
        <v>0</v>
      </c>
      <c r="BP120" s="351">
        <f t="array" ref="BP120">SUM((IF(QualitéAlimentsBisonneauxMâles_0_3_mois=MAUVAISE,VLOOKUP("Colza",AlimentsRationHivernaleBisonsMâles,8,FALSE),0)+(IF(QualitéAlimentsBisonneauxFemelles_0_3_mois=MAUVAISE,VLOOKUP("Colza",AlimentsRationHivernaleBisonsFemelles,8,FALSE),0)+(IF(QualitéAlimentsBisonneauxMâles_3_6_mois=MAUVAISE,VLOOKUP("Colza",AlimentsRationHivernaleBisonsMâles,7,FALSE),0)+(IF(QualitéAlimentsBisonneauxFemelles_3_6_mois=MAUVAISE,VLOOKUP("Colza",AlimentsRationHivernaleBisonsFemelles,7,FALSE),0)+(IF(QualitéAlimentsBisonneauxMâles_6_12_mois=MAUVAISE,VLOOKUP("Colza",AlimentsRationHivernaleBisonsMâles,6,FALSE),0)+(IF(QualitéAlimentsBisonneauxFemelles_6_12_mois=MAUVAISE,VLOOKUP("Colza",AlimentsRationHivernaleBisonsFemelles,6,FALSE),0)+(IF(QualitéAlimentsJeunesBisons_12_18_mois=MAUVAISE,VLOOKUP("Colza",AlimentsRationHivernaleBisonsMâles,5,FALSE),0)+(IF(QualitéAlimentsJeunesBisonnes_12_18_mois=MAUVAISE,VLOOKUP("Colza",AlimentsRationHivernaleBisonsFemelles,5,FALSE),0)+(IF(QualitéAlimentsJeunesBisons_18_24_mois=MAUVAISE,VLOOKUP("Colza",AlimentsRationHivernaleBisonsMâles,4,FALSE),0)+(IF(QualitéAlimentsJeunesBisonnes_18_24_mois=MAUVAISE,VLOOKUP("Colza",AlimentsRationHivernaleBisonsFemelles,4,FALSE),0)+(IF(QualitéAlimentsJeunesBisons_24_36_mois=MAUVAISE,VLOOKUP("Colza",AlimentsRationHivernaleBisonsMâles,3,FALSE),0)+(IF(QualitéAlimentsJeunesBisonnes_24_36_mois=MAUVAISE,VLOOKUP("Colza",AlimentsRationHivernaleBisonsFemelles,3,FALSE),0)+(IF(QualitéAlimentsBisons=MAUVAISE,VLOOKUP("Colza",AlimentsRationHivernaleBisonsMâles,2,FALSE),0)+(IF(QualitéAlimentsBisonnes=MAUVAISE,VLOOKUP("Colza",AlimentsRationHivernaleBisonsFemelles,2,FALSE),0))))))))))))))))</f>
        <v>0</v>
      </c>
      <c r="BQ120" s="282"/>
      <c r="BR120" s="282"/>
      <c r="BS120" s="282"/>
      <c r="BT120" s="282"/>
      <c r="BU120" s="282"/>
      <c r="BX120" s="350" t="s">
        <v>168</v>
      </c>
      <c r="BY120" s="350">
        <f t="array" ref="BY120">IF(ChoixRationComplèteCaprins=OUI,0,IFERROR(IF(OR(AND(INDEX(Règles_caprins[Specificite],MATCH(ChoixRationCaprins&amp;$BX120,Règles_caprins[Ration]&amp;Règles_caprins[Aliment],0))="s1",IF($BX120=Spécificité1Caprins,1)),
INDEX(Règles_caprins[Specificite],MATCH(ChoixRationCaprins&amp;$BX120,Règles_caprins[Ration]&amp;Règles_caprins[Aliment],0))="c"),
INDEX(Règles_caprins[Valeur 12 et plus],MATCH(ChoixRationCaprins&amp;$BX120,Règles_caprins[Ration]&amp;Règles_caprins[Aliment],0)),0),0)*TotalBoucs*NbreJoursNourrirCaprins)</f>
        <v>208</v>
      </c>
      <c r="BZ120" s="350">
        <f t="array" ref="BZ120">IF(ChoixRationComplèteCaprins=OUI,0,IFERROR(IF(OR(AND(INDEX(Règles_caprins[Specificite],MATCH(ChoixRationCaprins&amp;$BX120,Règles_caprins[Ration]&amp;Règles_caprins[Aliment],0))="s1",IF($BX120=Spécificité1Caprins,1)),
INDEX(Règles_caprins[Specificite],MATCH(ChoixRationCaprins&amp;$BX120,Règles_caprins[Ration]&amp;Règles_caprins[Aliment],0))="c"),
INDEX(Règles_caprins[Valeur 6-12],MATCH(ChoixRationCaprins&amp;$BX120,Règles_caprins[Ration]&amp;Règles_caprins[Aliment],0)),0),0)*jeune_bouc_6_12_mois*NbreJoursNourrirCaprins)</f>
        <v>924</v>
      </c>
      <c r="CA120" s="350">
        <f t="array" ref="CA120">IF(ChoixRationComplèteCaprins=OUI,0,IFERROR(IF(OR(AND(INDEX(Règles_caprins[Specificite],MATCH(ChoixRationCaprins&amp;$BX120,Règles_caprins[Ration]&amp;Règles_caprins[Aliment],0))="s1",IF($BX120=Spécificité1Caprins,1)),
INDEX(Règles_caprins[Specificite],MATCH(ChoixRationCaprins&amp;$BX120,Règles_caprins[Ration]&amp;Règles_caprins[Aliment],0))="c"),
INDEX(Règles_caprins[Valeur 3-6],MATCH(ChoixRationCaprins&amp;$BX120,Règles_caprins[Ration]&amp;Règles_caprins[Aliment],0)),0),0)*chevreau_3_6_mois*NbreJoursNourrirCaprins)</f>
        <v>186</v>
      </c>
      <c r="CB120" s="350">
        <f t="array" ref="CB120">IF(ChoixRationComplèteCaprins=OUI,0,IFERROR(IF(OR(AND(INDEX(Règles_caprins[Specificite],MATCH(ChoixRationCaprins&amp;$BX120,Règles_caprins[Ration]&amp;Règles_caprins[Aliment],0))="s1",IF($BX120=Spécificité1Caprins,1)),
INDEX(Règles_caprins[Specificite],MATCH(ChoixRationCaprins&amp;$BX120,Règles_caprins[Ration]&amp;Règles_caprins[Aliment],0))="c"),
INDEX(Règles_caprins[Valeur 0-3],MATCH(ChoixRationCaprins&amp;$BX120,Règles_caprins[Ration]&amp;Règles_caprins[Aliment],0)),0),0)*chevreau_0_3_mois*NbreJoursNourrirCaprins)</f>
        <v>184.79999999999998</v>
      </c>
      <c r="CC120" s="350">
        <f t="shared" si="41"/>
        <v>1502.8</v>
      </c>
      <c r="CH120" s="276"/>
      <c r="CI120" s="277"/>
      <c r="CJ120" s="420" t="str">
        <f t="shared" si="25"/>
        <v>Triticale</v>
      </c>
      <c r="CK120" s="384">
        <f t="array" ref="CK12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20" s="384">
        <f t="array" ref="CL12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20" s="384">
        <f t="array" ref="CM12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20" s="384">
        <f t="array" ref="CN12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20" s="384">
        <f t="array" ref="CO120">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20" s="426">
        <f>SUM(AlimentsRationPorcinsFemelles[[#This Row],[Valeur 12 et plus]:[Valeur 0-1]])</f>
        <v>0</v>
      </c>
      <c r="CQ120" s="298"/>
      <c r="CS120" s="420" t="str">
        <f t="shared" si="36"/>
        <v>Paille</v>
      </c>
      <c r="CT120" s="433">
        <f t="array" ref="CT120">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20" s="433">
        <f t="array" ref="CU120">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20" s="433">
        <f t="array" ref="CV120">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20" s="434">
        <f>SUM(AlimentsRationLapinsFemelles[[#This Row],[Valeur 3 et plus]:[Valeur 0-1]])</f>
        <v>0</v>
      </c>
      <c r="CY120" s="277"/>
      <c r="CZ120" s="420" t="str">
        <f t="shared" si="37"/>
        <v>Paille</v>
      </c>
      <c r="DA120" s="433">
        <f t="array" ref="DA12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20" s="433">
        <f t="array" ref="DB12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20" s="433">
        <f t="array" ref="DC12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20" s="434">
        <f>SUM(AlimentsRationVolaillesFemelles[[#This Row],[Valeur 6 et plus]:[Valeur 0-1]])</f>
        <v>0</v>
      </c>
      <c r="DE120" s="298"/>
      <c r="DG120" s="384" t="str">
        <f t="shared" si="26"/>
        <v>Tourteau de colza</v>
      </c>
      <c r="DH120" s="433">
        <f t="array" ref="DH12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20" s="433">
        <f t="array" ref="DI12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20" s="433">
        <f t="array" ref="DJ120">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20" s="437">
        <f>SUM(AlimentsRationPintadesFemelles[[#This Row],[Valeur 6 et plus]:[Valeur 0-1]])</f>
        <v>0</v>
      </c>
      <c r="DN120" s="373" t="s">
        <v>623</v>
      </c>
      <c r="DO120" s="280" t="s">
        <v>489</v>
      </c>
      <c r="DP120" s="280" t="s">
        <v>887</v>
      </c>
      <c r="DQ120" s="310">
        <v>1.6</v>
      </c>
      <c r="DR120" s="310">
        <v>1.4</v>
      </c>
      <c r="DS120" s="310">
        <v>1.2</v>
      </c>
      <c r="DT120" s="439">
        <v>1</v>
      </c>
      <c r="EG120" s="420" t="str">
        <f t="shared" si="30"/>
        <v>Ration complète</v>
      </c>
      <c r="EH120" s="433">
        <f t="array" ref="EH12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20" s="433">
        <f t="array" ref="EI12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20" s="433">
        <f t="array" ref="EJ12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20" s="434">
        <f>SUM(AlimentsRationOiesFemelles[[#This Row],[Valeur 6 et plus]:[Valeur 0-3]])</f>
        <v>0</v>
      </c>
      <c r="EN120" s="443" t="str">
        <f t="shared" si="28"/>
        <v>Seigle</v>
      </c>
      <c r="EO120" s="450">
        <f t="array" ref="EO120">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20" s="450">
        <f t="array" ref="EP120">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20" s="450">
        <f t="array" ref="EQ120">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20" s="451">
        <f>SUM(Ration_canards_Femelles[[#This Row],[Valeur 6 et plus]:[Valeur 0-3]])</f>
        <v>0</v>
      </c>
      <c r="EU120" s="457" t="str">
        <f t="shared" si="40"/>
        <v>Maïs grain</v>
      </c>
      <c r="EV120" s="458">
        <f t="array" ref="EV120">IF(OR(ChoixRationComplèteEtéChevauxSelle=OUI,ChoixRationComplèteEtéChevauxSelle="",AND(ChoixChevauxSellePréHiver=OUI,ChoixChevauxSellePréEté=OUI)),0,IFERROR(IF(OR(AND(INDEX(Règles_chevaux_selle[Specificite],MATCH(RationEtéChevauxSelle&amp;$EU120,Règles_chevaux_selle[Ration]&amp;Règles_chevaux_selle[Aliment],0))="s1",IF($EU120=Spécificité1ChevauxSelle,1)),
AND(INDEX(Règles_chevaux_selle[Specificite],MATCH(RationEtéChevauxSelle&amp;$EU120,Règles_chevaux_selle[Ration]&amp;Règles_chevaux_selle[Aliment],0))="s2",IF($EU120=Spécificité2ChevauxSelle,1)),
INDEX(Règles_chevaux_selle[Specificite],MATCH(RationEtéChevauxSelle&amp;$EU120,Règles_chevaux_selle[Ration]&amp;Règles_chevaux_selle[Aliment],0))="c"),
INDEX(Règles_chevaux_selle[Valeur 36 et plus],MATCH(RationEtéChevauxSelle&amp;$EU120,Règles_chevaux_selle[Ration]&amp;Règles_chevaux_selle[Aliment],0)),0),0)*TotalJumentSelle*NbreJoursNourrirChevauxSelle)</f>
        <v>0</v>
      </c>
      <c r="EW120" s="458">
        <f t="array" ref="EW120">IF(OR(ChoixRationComplèteEtéChevauxSelle=OUI,ChoixRationComplèteEtéChevauxSelle="",AND(ChoixChevauxSellePréHiver=OUI,ChoixChevauxSellePréEté=OUI)),0,IFERROR(IF(OR(AND(INDEX(Règles_chevaux_selle[Specificite],MATCH(RationEtéChevauxSelle&amp;$EU120,Règles_chevaux_selle[Ration]&amp;Règles_chevaux_selle[Aliment],0))="s1",IF($EU120=Spécificité1ChevauxSelle,1)),
AND(INDEX(Règles_chevaux_selle[Specificite],MATCH(RationEtéChevauxSelle&amp;$EU120,Règles_chevaux_selle[Ration]&amp;Règles_chevaux_selle[Aliment],0))="s2",IF($EU120=Spécificité2ChevauxSelle,1)),
INDEX(Règles_chevaux_selle[Specificite],MATCH(RationEtéChevauxSelle&amp;$EU120,Règles_chevaux_selle[Ration]&amp;Règles_chevaux_selle[Aliment],0))="c"),
INDEX(Règles_chevaux_selle[Valeur 24-36],MATCH(RationEtéChevauxSelle&amp;$EU120,Règles_chevaux_selle[Ration]&amp;Règles_chevaux_selle[Aliment],0)),0),0)*TotalJeuneJumentSelle_24_36_mois*NbreJoursNourrirChevauxSelle)</f>
        <v>0</v>
      </c>
      <c r="EX120" s="458">
        <f t="array" ref="EX120">IF(OR(ChoixRationComplèteEtéChevauxSelle=OUI,ChoixRationComplèteEtéChevauxSelle="",AND(ChoixChevauxSellePréHiver=OUI,ChoixChevauxSellePréEté=OUI)),0,IFERROR(IF(OR(AND(INDEX(Règles_chevaux_selle[Specificite],MATCH(RationEtéChevauxSelle&amp;$EU120,Règles_chevaux_selle[Ration]&amp;Règles_chevaux_selle[Aliment],0))="s1",IF($EU120=Spécificité1ChevauxSelle,1)),
AND(INDEX(Règles_chevaux_selle[Specificite],MATCH(RationEtéChevauxSelle&amp;$EU120,Règles_chevaux_selle[Ration]&amp;Règles_chevaux_selle[Aliment],0))="s2",IF($EU120=Spécificité2ChevauxSelle,1)),
INDEX(Règles_chevaux_selle[Specificite],MATCH(RationEtéChevauxSelle&amp;$EU120,Règles_chevaux_selle[Ration]&amp;Règles_chevaux_selle[Aliment],0))="c"),
INDEX(Règles_chevaux_selle[Valeur 12-24],MATCH(RationEtéChevauxSelle&amp;$EU120,Règles_chevaux_selle[Ration]&amp;Règles_chevaux_selle[Aliment],0)),0),0)*TotalJeuneJumentSelle_12_24_mois_12_24_mois*NbreJoursNourrirChevauxSelle)</f>
        <v>0</v>
      </c>
      <c r="EY120" s="460">
        <f t="array" ref="EY120">IF(OR(ChoixRationComplèteEtéChevauxSelle=OUI,ChoixRationComplèteEtéChevauxSelle="",AND(ChoixChevauxSellePréHiver=OUI,ChoixChevauxSellePréEté=OUI)),0,IFERROR(IF(OR(AND(INDEX(Règles_chevaux_selle[Specificite],MATCH(RationEtéChevauxSelle&amp;$EU120,Règles_chevaux_selle[Ration]&amp;Règles_chevaux_selle[Aliment],0))="s1",IF($EU120=Spécificité1ChevauxSelle,1)),
AND(INDEX(Règles_chevaux_selle[Specificite],MATCH(RationEtéChevauxSelle&amp;$EU120,Règles_chevaux_selle[Ration]&amp;Règles_chevaux_selle[Aliment],0))="s2",IF($EU120=Spécificité2ChevauxSelle,1)),
INDEX(Règles_chevaux_selle[Specificite],MATCH(RationEtéChevauxSelle&amp;$EU120,Règles_chevaux_selle[Ration]&amp;Règles_chevaux_selle[Aliment],0))="c"),
INDEX(Règles_chevaux_selle[Valeur 0-12],MATCH(RationEtéChevauxSelle&amp;$EU120,Règles_chevaux_selle[Ration]&amp;Règles_chevaux_selle[Aliment],0)),0),0)*TotalPoulicheSelle_0_12_mois*NbreJoursNourrirChevauxSelle)</f>
        <v>0</v>
      </c>
      <c r="EZ120" s="460">
        <f t="shared" si="39"/>
        <v>0</v>
      </c>
      <c r="FD120" s="457" t="str">
        <f t="shared" si="33"/>
        <v>Pulpe déshydratée de betterave</v>
      </c>
      <c r="FE120" s="458">
        <f t="array" ref="FE120">IF(OR(ChoixRationComplèteEtéChevauxTrait=OUI,ChoixRationComplèteEtéChevauxTrait="",AND(ChoixChevauxTraitPréHiver=OUI,ChoixChevauxTraitPréEté=OUI)),0,IFERROR(IF(OR(AND(INDEX(Règles_chevaux_trait[Specificite],MATCH(RationEtéChevauxTrait&amp;$FD120,Règles_chevaux_trait[Ration]&amp;Règles_chevaux_trait[Aliment],0))="s1",IF($FD120=Spécificité1ChevauxTrait,1)),
AND(INDEX(Règles_chevaux_trait[Specificite],MATCH(RationEtéChevauxTrait&amp;$FD120,Règles_chevaux_trait[Ration]&amp;Règles_chevaux_trait[Aliment],0))="s2",IF($FD120=Spécificité2ChevauxTrait,1)),
INDEX(Règles_chevaux_trait[Specificite],MATCH(RationEtéChevauxTrait&amp;$FD120,Règles_chevaux_trait[Ration]&amp;Règles_chevaux_trait[Aliment],0))="c"),
INDEX(Règles_chevaux_trait[Valeur 36 et plus],MATCH(RationEtéChevauxTrait&amp;$FD120,Règles_chevaux_trait[Ration]&amp;Règles_chevaux_trait[Aliment],0)),0),0)*TotalJumentTrait*NbreJoursNourrirChevauxTrait)</f>
        <v>0</v>
      </c>
      <c r="FF120" s="458">
        <f t="array" ref="FF120">IF(OR(ChoixRationComplèteEtéChevauxTrait=OUI,ChoixRationComplèteEtéChevauxTrait="",AND(ChoixChevauxTraitPréHiver=OUI,ChoixChevauxTraitPréEté=OUI)),0,IFERROR(IF(OR(AND(INDEX(Règles_chevaux_trait[Specificite],MATCH(RationEtéChevauxTrait&amp;$FD120,Règles_chevaux_trait[Ration]&amp;Règles_chevaux_trait[Aliment],0))="s1",IF($FD120=Spécificité1ChevauxTrait,1)),
AND(INDEX(Règles_chevaux_trait[Specificite],MATCH(RationEtéChevauxTrait&amp;$FD120,Règles_chevaux_trait[Ration]&amp;Règles_chevaux_trait[Aliment],0))="s2",IF($FD120=Spécificité2ChevauxTrait,1)),
INDEX(Règles_chevaux_trait[Specificite],MATCH(RationEtéChevauxTrait&amp;$FD120,Règles_chevaux_trait[Ration]&amp;Règles_chevaux_trait[Aliment],0))="c"),
INDEX(Règles_chevaux_trait[Valeur 24-36],MATCH(RationEtéChevauxTrait&amp;$FD120,Règles_chevaux_trait[Ration]&amp;Règles_chevaux_trait[Aliment],0)),0),0)*TotalJeuneJumentTrait_24_36_mois*NbreJoursNourrirChevauxTrait)</f>
        <v>0</v>
      </c>
      <c r="FG120" s="458">
        <f t="array" ref="FG120">IF(OR(ChoixRationComplèteEtéChevauxTrait=OUI,ChoixRationComplèteEtéChevauxTrait="",AND(ChoixChevauxTraitPréHiver=OUI,ChoixChevauxTraitPréEté=OUI)),0,IFERROR(IF(OR(AND(INDEX(Règles_chevaux_trait[Specificite],MATCH(RationEtéChevauxTrait&amp;$FD120,Règles_chevaux_trait[Ration]&amp;Règles_chevaux_trait[Aliment],0))="s1",IF($FD120=Spécificité1ChevauxTrait,1)),
AND(INDEX(Règles_chevaux_trait[Specificite],MATCH(RationEtéChevauxTrait&amp;$FD120,Règles_chevaux_trait[Ration]&amp;Règles_chevaux_trait[Aliment],0))="s2",IF($FD120=Spécificité2ChevauxTrait,1)),
INDEX(Règles_chevaux_trait[Specificite],MATCH(RationEtéChevauxTrait&amp;$FD120,Règles_chevaux_trait[Ration]&amp;Règles_chevaux_trait[Aliment],0))="c"),
INDEX(Règles_chevaux_trait[Valeur 12-24],MATCH(RationEtéChevauxTrait&amp;$FD120,Règles_chevaux_trait[Ration]&amp;Règles_chevaux_trait[Aliment],0)),0),0)*TotalJeuneJumentTrait_12_24_mois*NbreJoursNourrirChevauxTrait)</f>
        <v>0</v>
      </c>
      <c r="FH120" s="460">
        <f t="array" ref="FH120">IF(OR(ChoixRationComplèteEtéChevauxTrait=OUI,ChoixRationComplèteEtéChevauxTrait="",AND(ChoixChevauxTraitPréHiver=OUI,ChoixChevauxTraitPréEté=OUI)),0,IFERROR(IF(OR(AND(INDEX(Règles_chevaux_trait[Specificite],MATCH(RationEtéChevauxTrait&amp;$FD120,Règles_chevaux_trait[Ration]&amp;Règles_chevaux_trait[Aliment],0))="s1",IF($FD120=Spécificité1ChevauxTrait,1)),
AND(INDEX(Règles_chevaux_trait[Specificite],MATCH(RationEtéChevauxTrait&amp;$FD120,Règles_chevaux_trait[Ration]&amp;Règles_chevaux_trait[Aliment],0))="s2",IF($FD120=Spécificité2ChevauxTrait,1)),
INDEX(Règles_chevaux_trait[Specificite],MATCH(RationEtéChevauxTrait&amp;$FD120,Règles_chevaux_trait[Ration]&amp;Règles_chevaux_trait[Aliment],0))="c"),
INDEX(Règles_chevaux_trait[Valeur 0-12],MATCH(RationEtéChevauxTrait&amp;$FD120,Règles_chevaux_trait[Ration]&amp;Règles_chevaux_trait[Aliment],0)),0),0)*TotalPoulicheTrait_0_12_mois*NbreJoursNourrirChevauxTrait)</f>
        <v>0</v>
      </c>
      <c r="FI120" s="460">
        <f t="shared" si="31"/>
        <v>0</v>
      </c>
      <c r="FJ120" s="298"/>
      <c r="FN120" s="457" t="str">
        <f t="shared" si="32"/>
        <v>Ration complète</v>
      </c>
      <c r="FO120" s="458">
        <f t="array" ref="FO120">IF(OR(ChoixRationComplèteEtéPoneys=OUI,ChoixRationComplèteEtéPoneys="",AND(ChoixPoneysPréHiver=OUI,ChoixPoneysPréEté=OUI)),0,IFERROR(IF(OR(AND(INDEX(Règles_poneys[Specificite],MATCH(RationHivernaleAuPréPoneys&amp;$FN120,Règles_poneys[Ration]&amp;Règles_poneys[Aliment],0))="s1",IF($FN120=Spécificité1Poneys,1)),
AND(INDEX(Règles_poneys[Specificite],MATCH(RationHivernaleAuPréPoneys&amp;$FN120,Règles_poneys[Ration]&amp;Règles_poneys[Aliment],0))="s2",IF($FN120=Spécificité2Poneys,1)),
INDEX(Règles_poneys[Specificite],MATCH(RationHivernaleAuPréPoneys&amp;$FN120,Règles_poneys[Ration]&amp;Règles_poneys[Aliment],0))="c"),
INDEX(Règles_poneys[Valeur 36 et plus],MATCH(RationHivernaleAuPréPoneys&amp;$FN120,Règles_poneys[Ration]&amp;Règles_poneys[Aliment],0)),0),0)*SUM(TotalPoneysAdultes)*SUM(AG118:AG142))</f>
        <v>0</v>
      </c>
      <c r="FP120" s="458">
        <f t="array" ref="FP120">IF(OR(ChoixRationComplèteEtéPoneys=OUI,ChoixRationComplèteEtéPoneys="",AND(ChoixPoneysPréHiver=OUI,ChoixPoneysPréEté=OUI)),0,IFERROR(IF(OR(AND(INDEX(Règles_poneys[Specificite],MATCH(RationHivernaleAuPréPoneys&amp;$FN120,Règles_poneys[Ration]&amp;Règles_poneys[Aliment],0))="s1",IF($FN120=Spécificité1Poneys,1)),
AND(INDEX(Règles_poneys[Specificite],MATCH(RationHivernaleAuPréPoneys&amp;$FN120,Règles_poneys[Ration]&amp;Règles_poneys[Aliment],0))="s2",IF($FN120=Spécificité2Poneys,1)),
INDEX(Règles_poneys[Specificite],MATCH(RationHivernaleAuPréPoneys&amp;$FN120,Règles_poneys[Ration]&amp;Règles_poneys[Aliment],0))="c"),
INDEX(Règles_poneys[Valeur 24-36],MATCH(RationHivernaleAuPréPoneys&amp;$FN120,Règles_poneys[Ration]&amp;Règles_poneys[Aliment],0)),0),0)*SUM(TotalPoneys_24_36mois)*SUM(AG118:AG142))</f>
        <v>0</v>
      </c>
      <c r="FQ120" s="458">
        <f t="array" ref="FQ120">IF(OR(ChoixRationComplèteEtéPoneys=OUI,ChoixRationComplèteEtéPoneys="",AND(ChoixPoneysPréHiver=OUI,ChoixPoneysPréEté=OUI)),0,IFERROR(IF(OR(AND(INDEX(Règles_poneys[Specificite],MATCH(RationHivernaleAuPréPoneys&amp;$FN120,Règles_poneys[Ration]&amp;Règles_poneys[Aliment],0))="s1",IF($FN120=Spécificité1Poneys,1)),
AND(INDEX(Règles_poneys[Specificite],MATCH(RationHivernaleAuPréPoneys&amp;$FN120,Règles_poneys[Ration]&amp;Règles_poneys[Aliment],0))="s2",IF($FN120=Spécificité2Poneys,1)),
INDEX(Règles_poneys[Specificite],MATCH(RationHivernaleAuPréPoneys&amp;$FN120,Règles_poneys[Ration]&amp;Règles_poneys[Aliment],0))="c"),
INDEX(Règles_poneys[Valeur 12-24],MATCH(RationHivernaleAuPréPoneys&amp;$FN120,Règles_poneys[Ration]&amp;Règles_poneys[Aliment],0)),0),0)*SUM(TotalPoneys_12_24mois)*SUM(AG118:AG142))</f>
        <v>0</v>
      </c>
      <c r="FR120" s="460">
        <f t="array" ref="FR120">IF(OR(ChoixRationComplèteEtéPoneys=OUI,ChoixRationComplèteEtéPoneys="",AND(ChoixPoneysPréHiver=OUI,ChoixPoneysPréEté=OUI)),0,IFERROR(IF(OR(AND(INDEX(Règles_poneys[Specificite],MATCH(RationHivernaleAuPréPoneys&amp;$FN120,Règles_poneys[Ration]&amp;Règles_poneys[Aliment],0))="s1",IF($FN120=Spécificité1Poneys,1)),
AND(INDEX(Règles_poneys[Specificite],MATCH(RationHivernaleAuPréPoneys&amp;$FN120,Règles_poneys[Ration]&amp;Règles_poneys[Aliment],0))="s2",IF($FN120=Spécificité2Poneys,1)),
INDEX(Règles_poneys[Specificite],MATCH(RationHivernaleAuPréPoneys&amp;$FN120,Règles_poneys[Ration]&amp;Règles_poneys[Aliment],0))="c"),
INDEX(Règles_poneys[Valeur 0-12],MATCH(RationHivernaleAuPréPoneys&amp;$FN120,Règles_poneys[Ration]&amp;Règles_poneys[Aliment],0)),0),0)*SUM(TotalPoulainsPoneys)*SUM(AG118:AG142))</f>
        <v>0</v>
      </c>
      <c r="FS120" s="460">
        <f t="shared" si="29"/>
        <v>0</v>
      </c>
      <c r="FT120" s="298"/>
      <c r="FW120" s="443" t="str">
        <f t="shared" si="27"/>
        <v>Tourteau de colza</v>
      </c>
      <c r="FX120" s="450">
        <f t="array" ref="FX120">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20" s="450">
        <f t="array" ref="FY120">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20" s="450">
        <f t="array" ref="FZ120">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20" s="450">
        <f t="array" ref="GA120">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20" s="451">
        <f>SUM(AlimentsGavageCanards[[#This Row],[Valeur 6 et plus]:[Valeur 0-1]])</f>
        <v>0</v>
      </c>
      <c r="GG120" s="276" t="s">
        <v>955</v>
      </c>
      <c r="GH120" s="276" t="s">
        <v>955</v>
      </c>
      <c r="GI120" s="276" t="s">
        <v>955</v>
      </c>
      <c r="GJ120" s="276" t="s">
        <v>955</v>
      </c>
      <c r="GK120" s="276" t="s">
        <v>955</v>
      </c>
      <c r="GL120" s="276" t="s">
        <v>955</v>
      </c>
      <c r="GM120" s="276" t="s">
        <v>955</v>
      </c>
      <c r="GN120" s="276" t="s">
        <v>955</v>
      </c>
      <c r="GO120" s="276" t="s">
        <v>955</v>
      </c>
      <c r="GP120" s="276" t="s">
        <v>955</v>
      </c>
      <c r="GQ120" s="276" t="s">
        <v>955</v>
      </c>
      <c r="GR120" s="276" t="s">
        <v>955</v>
      </c>
      <c r="GS120" s="276" t="s">
        <v>955</v>
      </c>
      <c r="GT120" s="276" t="s">
        <v>955</v>
      </c>
      <c r="GU120" s="276" t="s">
        <v>955</v>
      </c>
      <c r="GV120" s="276" t="s">
        <v>955</v>
      </c>
    </row>
    <row r="121" spans="1:236" ht="12.75" customHeight="1" x14ac:dyDescent="0.2">
      <c r="A121" s="373"/>
      <c r="B121" s="380"/>
      <c r="F121" s="280"/>
      <c r="G121" s="280"/>
      <c r="H121" s="280"/>
      <c r="I121" s="280"/>
      <c r="J121" s="280"/>
      <c r="K121" s="280"/>
      <c r="L121" s="280"/>
      <c r="O121" s="384">
        <v>10000</v>
      </c>
      <c r="BB121" s="387" t="s">
        <v>516</v>
      </c>
      <c r="BC121" s="362" t="s">
        <v>168</v>
      </c>
      <c r="BD121" s="362" t="s">
        <v>886</v>
      </c>
      <c r="BE121" s="388">
        <v>72</v>
      </c>
      <c r="BF121" s="388">
        <v>60</v>
      </c>
      <c r="BG121" s="388">
        <v>48</v>
      </c>
      <c r="BH121" s="388">
        <v>36</v>
      </c>
      <c r="BI121" s="388">
        <v>24</v>
      </c>
      <c r="BJ121" s="388">
        <v>12</v>
      </c>
      <c r="BK121" s="389">
        <v>0</v>
      </c>
      <c r="BL121" s="312"/>
      <c r="BM121" s="350" t="str">
        <f t="shared" si="43"/>
        <v>concentré jeunes bovins</v>
      </c>
      <c r="BN121" s="351">
        <f t="array" ref="BN121">SUM((IF(QualitéAlimentsBisonneauxMâles_0_3_mois=BONNE,VLOOKUP("concentré jeunes bovins",AlimentsRationHivernaleBisonsMâles,8,FALSE),0)+(IF(QualitéAlimentsBisonneauxFemelles_0_3_mois=BONNE,VLOOKUP("concentré jeunes bovins",AlimentsRationHivernaleBisonsFemelles,8,FALSE),0)+(IF(QualitéAlimentsBisonneauxMâles_3_6_mois=BONNE,VLOOKUP("concentré jeunes bovins",AlimentsRationHivernaleBisonsMâles,7,FALSE),0)+(IF(QualitéAlimentsBisonneauxFemelles_3_6_mois=BONNE,VLOOKUP("concentré jeunes bovins",AlimentsRationHivernaleBisonsFemelles,7,FALSE),0)+(IF(QualitéAlimentsBisonneauxMâles_6_12_mois=BONNE,VLOOKUP("concentré jeunes bovins",AlimentsRationHivernaleBisonsMâles,6,FALSE),0)+(IF(QualitéAlimentsBisonneauxFemelles_6_12_mois=BONNE,VLOOKUP("concentré jeunes bovins",AlimentsRationHivernaleBisonsFemelles,6,FALSE),0)+(IF(QualitéAlimentsJeunesBisons_12_18_mois=BONNE,VLOOKUP("concentré jeunes bovins",AlimentsRationHivernaleBisonsMâles,5,FALSE),0)+(IF(QualitéAlimentsJeunesBisonnes_12_18_mois=BONNE,VLOOKUP("concentré jeunes bovins",AlimentsRationHivernaleBisonsFemelles,5,FALSE),0)+(IF(QualitéAlimentsJeunesBisons_18_24_mois=BONNE,VLOOKUP("concentré jeunes bovins",AlimentsRationHivernaleBisonsMâles,4,FALSE),0)+(IF(QualitéAlimentsJeunesBisonnes_18_24_mois=BONNE,VLOOKUP("concentré jeunes bovins",AlimentsRationHivernaleBisonsFemelles,4,FALSE),0)+(IF(QualitéAlimentsJeunesBisons_24_36_mois=BONNE,VLOOKUP("concentré jeunes bovins",AlimentsRationHivernaleBisonsMâles,3,FALSE),0)+(IF(QualitéAlimentsJeunesBisonnes_24_36_mois=BONNE,VLOOKUP("concentré jeunes bovins",AlimentsRationHivernaleBisonsFemelles,3,FALSE),0)+(IF(QualitéAlimentsBisons=BONNE,VLOOKUP("concentré jeunes bovins",AlimentsRationHivernaleBisonsMâles,2,FALSE),0)+(IF(QualitéAlimentsBisonnes=BONNE,VLOOKUP("concentré jeunes bovins",AlimentsRationHivernaleBisonsFemelles,2,FALSE),0))))))))))))))))</f>
        <v>0</v>
      </c>
      <c r="BO121" s="351">
        <f t="array" ref="BO121">SUM((IF(QualitéAlimentsBisonneauxMâles_0_3_mois=MOYENNE,VLOOKUP("concentré jeunes bovins",AlimentsRationHivernaleBisonsMâles,8,FALSE),0)+(IF(QualitéAlimentsBisonneauxFemelles_0_3_mois=MOYENNE,VLOOKUP("concentré jeunes bovins",AlimentsRationHivernaleBisonsFemelles,8,FALSE),0)+(IF(QualitéAlimentsBisonneauxMâles_3_6_mois=MOYENNE,VLOOKUP("concentré jeunes bovins",AlimentsRationHivernaleBisonsMâles,7,FALSE),0)+(IF(QualitéAlimentsBisonneauxFemelles_3_6_mois=MOYENNE,VLOOKUP("concentré jeunes bovins",AlimentsRationHivernaleBisonsFemelles,7,FALSE),0)+(IF(QualitéAlimentsBisonneauxMâles_6_12_mois=MOYENNE,VLOOKUP("concentré jeunes bovins",AlimentsRationHivernaleBisonsMâles,6,FALSE),0)+(IF(QualitéAlimentsBisonneauxFemelles_6_12_mois=MOYENNE,VLOOKUP("concentré jeunes bovins",AlimentsRationHivernaleBisonsFemelles,6,FALSE),0)+(IF(QualitéAlimentsJeunesBisons_12_18_mois=MOYENNE,VLOOKUP("concentré jeunes bovins",AlimentsRationHivernaleBisonsMâles,5,FALSE),0)+(IF(QualitéAlimentsJeunesBisonnes_12_18_mois=MOYENNE,VLOOKUP("concentré jeunes bovins",AlimentsRationHivernaleBisonsFemelles,5,FALSE),0)+(IF(QualitéAlimentsJeunesBisons_18_24_mois=MOYENNE,VLOOKUP("concentré jeunes bovins",AlimentsRationHivernaleBisonsMâles,4,FALSE),0)+(IF(QualitéAlimentsJeunesBisonnes_18_24_mois=MOYENNE,VLOOKUP("concentré jeunes bovins",AlimentsRationHivernaleBisonsFemelles,4,FALSE),0)+(IF(QualitéAlimentsJeunesBisons_24_36_mois=MOYENNE,VLOOKUP("concentré jeunes bovins",AlimentsRationHivernaleBisonsMâles,3,FALSE),0)+(IF(QualitéAlimentsJeunesBisonnes_24_36_mois=MOYENNE,VLOOKUP("concentré jeunes bovins",AlimentsRationHivernaleBisonsFemelles,3,FALSE),0)+(IF(QualitéAlimentsBisons=MOYENNE,VLOOKUP("concentré jeunes bovins",AlimentsRationHivernaleBisonsMâles,2,FALSE),0)+(IF(QualitéAlimentsBisonnes=MOYENNE,VLOOKUP("concentré jeunes bovins",AlimentsRationHivernaleBisonsFemelles,2,FALSE),0))))))))))))))))</f>
        <v>0</v>
      </c>
      <c r="BP121" s="351">
        <f t="array" ref="BP121">SUM((IF(QualitéAlimentsBisonneauxMâles_0_3_mois=MAUVAISE,VLOOKUP("concentré jeunes bovins",AlimentsRationHivernaleBisonsMâles,8,FALSE),0)+(IF(QualitéAlimentsBisonneauxFemelles_0_3_mois=MAUVAISE,VLOOKUP("concentré jeunes bovins",AlimentsRationHivernaleBisonsFemelles,8,FALSE),0)+(IF(QualitéAlimentsBisonneauxMâles_3_6_mois=MAUVAISE,VLOOKUP("concentré jeunes bovins",AlimentsRationHivernaleBisonsMâles,7,FALSE),0)+(IF(QualitéAlimentsBisonneauxFemelles_3_6_mois=MAUVAISE,VLOOKUP("concentré jeunes bovins",AlimentsRationHivernaleBisonsFemelles,7,FALSE),0)+(IF(QualitéAlimentsBisonneauxMâles_6_12_mois=MAUVAISE,VLOOKUP("concentré jeunes bovins",AlimentsRationHivernaleBisonsMâles,6,FALSE),0)+(IF(QualitéAlimentsBisonneauxFemelles_6_12_mois=MAUVAISE,VLOOKUP("concentré jeunes bovins",AlimentsRationHivernaleBisonsFemelles,6,FALSE),0)+(IF(QualitéAlimentsJeunesBisons_12_18_mois=MAUVAISE,VLOOKUP("concentré jeunes bovins",AlimentsRationHivernaleBisonsMâles,5,FALSE),0)+(IF(QualitéAlimentsJeunesBisonnes_12_18_mois=MAUVAISE,VLOOKUP("concentré jeunes bovins",AlimentsRationHivernaleBisonsFemelles,5,FALSE),0)+(IF(QualitéAlimentsJeunesBisons_18_24_mois=MAUVAISE,VLOOKUP("concentré jeunes bovins",AlimentsRationHivernaleBisonsMâles,4,FALSE),0)+(IF(QualitéAlimentsJeunesBisonnes_18_24_mois=MAUVAISE,VLOOKUP("concentré jeunes bovins",AlimentsRationHivernaleBisonsFemelles,4,FALSE),0)+(IF(QualitéAlimentsJeunesBisons_24_36_mois=MAUVAISE,VLOOKUP("concentré jeunes bovins",AlimentsRationHivernaleBisonsMâles,3,FALSE),0)+(IF(QualitéAlimentsJeunesBisonnes_24_36_mois=MAUVAISE,VLOOKUP("concentré jeunes bovins",AlimentsRationHivernaleBisonsFemelles,3,FALSE),0)+(IF(QualitéAlimentsBisons=MAUVAISE,VLOOKUP("concentré jeunes bovins",AlimentsRationHivernaleBisonsMâles,2,FALSE),0)+(IF(QualitéAlimentsBisonnes=MAUVAISE,VLOOKUP("concentré jeunes bovins",AlimentsRationHivernaleBisonsFemelles,2,FALSE),0))))))))))))))))</f>
        <v>0</v>
      </c>
      <c r="BQ121" s="282"/>
      <c r="BR121" s="282"/>
      <c r="BS121" s="282"/>
      <c r="BT121" s="282"/>
      <c r="BU121" s="282"/>
      <c r="BX121" s="350" t="s">
        <v>266</v>
      </c>
      <c r="BY121" s="350">
        <f t="array" ref="BY121">IF(ChoixRationComplèteCaprins=OUI,0,IFERROR(IF(OR(AND(INDEX(Règles_caprins[Specificite],MATCH(ChoixRationCaprins&amp;$BX121,Règles_caprins[Ration]&amp;Règles_caprins[Aliment],0))="s1",IF($BX121=Spécificité1Caprins,1)),
INDEX(Règles_caprins[Specificite],MATCH(ChoixRationCaprins&amp;$BX121,Règles_caprins[Ration]&amp;Règles_caprins[Aliment],0))="c"),
INDEX(Règles_caprins[Valeur 12 et plus],MATCH(ChoixRationCaprins&amp;$BX121,Règles_caprins[Ration]&amp;Règles_caprins[Aliment],0)),0),0)*TotalBoucs*NbreJoursNourrirCaprins)</f>
        <v>0</v>
      </c>
      <c r="BZ121" s="350">
        <f t="array" ref="BZ121">IF(ChoixRationComplèteCaprins=OUI,0,IFERROR(IF(OR(AND(INDEX(Règles_caprins[Specificite],MATCH(ChoixRationCaprins&amp;$BX121,Règles_caprins[Ration]&amp;Règles_caprins[Aliment],0))="s1",IF($BX121=Spécificité1Caprins,1)),
INDEX(Règles_caprins[Specificite],MATCH(ChoixRationCaprins&amp;$BX121,Règles_caprins[Ration]&amp;Règles_caprins[Aliment],0))="c"),
INDEX(Règles_caprins[Valeur 6-12],MATCH(ChoixRationCaprins&amp;$BX121,Règles_caprins[Ration]&amp;Règles_caprins[Aliment],0)),0),0)*jeune_bouc_6_12_mois*NbreJoursNourrirCaprins)</f>
        <v>0</v>
      </c>
      <c r="CA121" s="350">
        <f t="array" ref="CA121">IF(ChoixRationComplèteCaprins=OUI,0,IFERROR(IF(OR(AND(INDEX(Règles_caprins[Specificite],MATCH(ChoixRationCaprins&amp;$BX121,Règles_caprins[Ration]&amp;Règles_caprins[Aliment],0))="s1",IF($BX121=Spécificité1Caprins,1)),
INDEX(Règles_caprins[Specificite],MATCH(ChoixRationCaprins&amp;$BX121,Règles_caprins[Ration]&amp;Règles_caprins[Aliment],0))="c"),
INDEX(Règles_caprins[Valeur 3-6],MATCH(ChoixRationCaprins&amp;$BX121,Règles_caprins[Ration]&amp;Règles_caprins[Aliment],0)),0),0)*chevreau_3_6_mois*NbreJoursNourrirCaprins)</f>
        <v>0</v>
      </c>
      <c r="CB121" s="350">
        <f t="array" ref="CB121">IF(ChoixRationComplèteCaprins=OUI,0,IFERROR(IF(OR(AND(INDEX(Règles_caprins[Specificite],MATCH(ChoixRationCaprins&amp;$BX121,Règles_caprins[Ration]&amp;Règles_caprins[Aliment],0))="s1",IF($BX121=Spécificité1Caprins,1)),
INDEX(Règles_caprins[Specificite],MATCH(ChoixRationCaprins&amp;$BX121,Règles_caprins[Ration]&amp;Règles_caprins[Aliment],0))="c"),
INDEX(Règles_caprins[Valeur 0-3],MATCH(ChoixRationCaprins&amp;$BX121,Règles_caprins[Ration]&amp;Règles_caprins[Aliment],0)),0),0)*chevreau_0_3_mois*NbreJoursNourrirCaprins)</f>
        <v>0</v>
      </c>
      <c r="CC121" s="350">
        <f t="shared" si="41"/>
        <v>0</v>
      </c>
      <c r="CH121" s="276"/>
      <c r="CI121" s="277"/>
      <c r="CJ121" s="420">
        <f t="shared" si="25"/>
        <v>0</v>
      </c>
      <c r="CK121" s="384">
        <f t="array" ref="CK12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21" s="384">
        <f t="array" ref="CL12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21" s="384">
        <f t="array" ref="CM12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21" s="384">
        <f t="array" ref="CN12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21" s="384">
        <f t="array" ref="CO121">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21" s="426">
        <f>SUM(AlimentsRationPorcinsFemelles[[#This Row],[Valeur 12 et plus]:[Valeur 0-1]])</f>
        <v>0</v>
      </c>
      <c r="CQ121" s="298"/>
      <c r="CS121" s="420" t="str">
        <f t="shared" si="36"/>
        <v>Pois</v>
      </c>
      <c r="CT121" s="433">
        <f t="array" ref="CT121">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21" s="433">
        <f t="array" ref="CU121">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21" s="433">
        <f t="array" ref="CV121">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21" s="434">
        <f>SUM(AlimentsRationLapinsFemelles[[#This Row],[Valeur 3 et plus]:[Valeur 0-1]])</f>
        <v>0</v>
      </c>
      <c r="CY121" s="277"/>
      <c r="CZ121" s="420" t="str">
        <f t="shared" si="37"/>
        <v>Pois</v>
      </c>
      <c r="DA121" s="433">
        <f t="array" ref="DA12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21" s="433">
        <f t="array" ref="DB12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21" s="433">
        <f t="array" ref="DC12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21" s="434">
        <f>SUM(AlimentsRationVolaillesFemelles[[#This Row],[Valeur 6 et plus]:[Valeur 0-1]])</f>
        <v>0</v>
      </c>
      <c r="DE121" s="298"/>
      <c r="DG121" s="384" t="str">
        <f t="shared" si="26"/>
        <v>Tourteau de tournesol</v>
      </c>
      <c r="DH121" s="433">
        <f t="array" ref="DH12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21" s="433">
        <f t="array" ref="DI12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21" s="433">
        <f t="array" ref="DJ121">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21" s="437">
        <f>SUM(AlimentsRationPintadesFemelles[[#This Row],[Valeur 6 et plus]:[Valeur 0-1]])</f>
        <v>0</v>
      </c>
      <c r="DN121" s="373" t="s">
        <v>623</v>
      </c>
      <c r="DO121" s="280" t="s">
        <v>220</v>
      </c>
      <c r="DP121" s="280" t="s">
        <v>887</v>
      </c>
      <c r="DQ121" s="310">
        <v>1.6</v>
      </c>
      <c r="DR121" s="310">
        <v>1.4</v>
      </c>
      <c r="DS121" s="310">
        <v>1.2</v>
      </c>
      <c r="DT121" s="439">
        <v>1</v>
      </c>
      <c r="EG121" s="420" t="str">
        <f t="shared" si="30"/>
        <v>Seigle</v>
      </c>
      <c r="EH121" s="433">
        <f t="array" ref="EH12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21" s="433">
        <f t="array" ref="EI12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21" s="433">
        <f t="array" ref="EJ12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21" s="434">
        <f>SUM(AlimentsRationOiesFemelles[[#This Row],[Valeur 6 et plus]:[Valeur 0-3]])</f>
        <v>0</v>
      </c>
      <c r="EN121" s="443" t="str">
        <f t="shared" si="28"/>
        <v>Soja</v>
      </c>
      <c r="EO121" s="450">
        <f t="array" ref="EO121">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21" s="450">
        <f t="array" ref="EP121">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21" s="450">
        <f t="array" ref="EQ121">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21" s="451">
        <f>SUM(Ration_canards_Femelles[[#This Row],[Valeur 6 et plus]:[Valeur 0-3]])</f>
        <v>0</v>
      </c>
      <c r="EU121" s="457" t="str">
        <f t="shared" si="40"/>
        <v>Minéraux + vitamines</v>
      </c>
      <c r="EV121" s="458">
        <f t="array" ref="EV121">IF(OR(ChoixRationComplèteEtéChevauxSelle=OUI,ChoixRationComplèteEtéChevauxSelle="",AND(ChoixChevauxSellePréHiver=OUI,ChoixChevauxSellePréEté=OUI)),0,IFERROR(IF(OR(AND(INDEX(Règles_chevaux_selle[Specificite],MATCH(RationEtéChevauxSelle&amp;$EU121,Règles_chevaux_selle[Ration]&amp;Règles_chevaux_selle[Aliment],0))="s1",IF($EU121=Spécificité1ChevauxSelle,1)),
AND(INDEX(Règles_chevaux_selle[Specificite],MATCH(RationEtéChevauxSelle&amp;$EU121,Règles_chevaux_selle[Ration]&amp;Règles_chevaux_selle[Aliment],0))="s2",IF($EU121=Spécificité2ChevauxSelle,1)),
INDEX(Règles_chevaux_selle[Specificite],MATCH(RationEtéChevauxSelle&amp;$EU121,Règles_chevaux_selle[Ration]&amp;Règles_chevaux_selle[Aliment],0))="c"),
INDEX(Règles_chevaux_selle[Valeur 36 et plus],MATCH(RationEtéChevauxSelle&amp;$EU121,Règles_chevaux_selle[Ration]&amp;Règles_chevaux_selle[Aliment],0)),0),0)*TotalJumentSelle*NbreJoursNourrirChevauxSelle)</f>
        <v>0</v>
      </c>
      <c r="EW121" s="458">
        <f t="array" ref="EW121">IF(OR(ChoixRationComplèteEtéChevauxSelle=OUI,ChoixRationComplèteEtéChevauxSelle="",AND(ChoixChevauxSellePréHiver=OUI,ChoixChevauxSellePréEté=OUI)),0,IFERROR(IF(OR(AND(INDEX(Règles_chevaux_selle[Specificite],MATCH(RationEtéChevauxSelle&amp;$EU121,Règles_chevaux_selle[Ration]&amp;Règles_chevaux_selle[Aliment],0))="s1",IF($EU121=Spécificité1ChevauxSelle,1)),
AND(INDEX(Règles_chevaux_selle[Specificite],MATCH(RationEtéChevauxSelle&amp;$EU121,Règles_chevaux_selle[Ration]&amp;Règles_chevaux_selle[Aliment],0))="s2",IF($EU121=Spécificité2ChevauxSelle,1)),
INDEX(Règles_chevaux_selle[Specificite],MATCH(RationEtéChevauxSelle&amp;$EU121,Règles_chevaux_selle[Ration]&amp;Règles_chevaux_selle[Aliment],0))="c"),
INDEX(Règles_chevaux_selle[Valeur 24-36],MATCH(RationEtéChevauxSelle&amp;$EU121,Règles_chevaux_selle[Ration]&amp;Règles_chevaux_selle[Aliment],0)),0),0)*TotalJeuneJumentSelle_24_36_mois*NbreJoursNourrirChevauxSelle)</f>
        <v>0</v>
      </c>
      <c r="EX121" s="458">
        <f t="array" ref="EX121">IF(OR(ChoixRationComplèteEtéChevauxSelle=OUI,ChoixRationComplèteEtéChevauxSelle="",AND(ChoixChevauxSellePréHiver=OUI,ChoixChevauxSellePréEté=OUI)),0,IFERROR(IF(OR(AND(INDEX(Règles_chevaux_selle[Specificite],MATCH(RationEtéChevauxSelle&amp;$EU121,Règles_chevaux_selle[Ration]&amp;Règles_chevaux_selle[Aliment],0))="s1",IF($EU121=Spécificité1ChevauxSelle,1)),
AND(INDEX(Règles_chevaux_selle[Specificite],MATCH(RationEtéChevauxSelle&amp;$EU121,Règles_chevaux_selle[Ration]&amp;Règles_chevaux_selle[Aliment],0))="s2",IF($EU121=Spécificité2ChevauxSelle,1)),
INDEX(Règles_chevaux_selle[Specificite],MATCH(RationEtéChevauxSelle&amp;$EU121,Règles_chevaux_selle[Ration]&amp;Règles_chevaux_selle[Aliment],0))="c"),
INDEX(Règles_chevaux_selle[Valeur 12-24],MATCH(RationEtéChevauxSelle&amp;$EU121,Règles_chevaux_selle[Ration]&amp;Règles_chevaux_selle[Aliment],0)),0),0)*TotalJeuneJumentSelle_12_24_mois_12_24_mois*NbreJoursNourrirChevauxSelle)</f>
        <v>0</v>
      </c>
      <c r="EY121" s="460">
        <f t="array" ref="EY121">IF(OR(ChoixRationComplèteEtéChevauxSelle=OUI,ChoixRationComplèteEtéChevauxSelle="",AND(ChoixChevauxSellePréHiver=OUI,ChoixChevauxSellePréEté=OUI)),0,IFERROR(IF(OR(AND(INDEX(Règles_chevaux_selle[Specificite],MATCH(RationEtéChevauxSelle&amp;$EU121,Règles_chevaux_selle[Ration]&amp;Règles_chevaux_selle[Aliment],0))="s1",IF($EU121=Spécificité1ChevauxSelle,1)),
AND(INDEX(Règles_chevaux_selle[Specificite],MATCH(RationEtéChevauxSelle&amp;$EU121,Règles_chevaux_selle[Ration]&amp;Règles_chevaux_selle[Aliment],0))="s2",IF($EU121=Spécificité2ChevauxSelle,1)),
INDEX(Règles_chevaux_selle[Specificite],MATCH(RationEtéChevauxSelle&amp;$EU121,Règles_chevaux_selle[Ration]&amp;Règles_chevaux_selle[Aliment],0))="c"),
INDEX(Règles_chevaux_selle[Valeur 0-12],MATCH(RationEtéChevauxSelle&amp;$EU121,Règles_chevaux_selle[Ration]&amp;Règles_chevaux_selle[Aliment],0)),0),0)*TotalPoulicheSelle_0_12_mois*NbreJoursNourrirChevauxSelle)</f>
        <v>0</v>
      </c>
      <c r="EZ121" s="460">
        <f t="shared" si="39"/>
        <v>0</v>
      </c>
      <c r="FD121" s="457" t="str">
        <f t="shared" si="33"/>
        <v>Ration complète</v>
      </c>
      <c r="FE121" s="458">
        <f t="array" ref="FE121">IF(OR(ChoixRationComplèteEtéChevauxTrait=OUI,ChoixRationComplèteEtéChevauxTrait="",AND(ChoixChevauxTraitPréHiver=OUI,ChoixChevauxTraitPréEté=OUI)),0,IFERROR(IF(OR(AND(INDEX(Règles_chevaux_trait[Specificite],MATCH(RationEtéChevauxTrait&amp;$FD121,Règles_chevaux_trait[Ration]&amp;Règles_chevaux_trait[Aliment],0))="s1",IF($FD121=Spécificité1ChevauxTrait,1)),
AND(INDEX(Règles_chevaux_trait[Specificite],MATCH(RationEtéChevauxTrait&amp;$FD121,Règles_chevaux_trait[Ration]&amp;Règles_chevaux_trait[Aliment],0))="s2",IF($FD121=Spécificité2ChevauxTrait,1)),
INDEX(Règles_chevaux_trait[Specificite],MATCH(RationEtéChevauxTrait&amp;$FD121,Règles_chevaux_trait[Ration]&amp;Règles_chevaux_trait[Aliment],0))="c"),
INDEX(Règles_chevaux_trait[Valeur 36 et plus],MATCH(RationEtéChevauxTrait&amp;$FD121,Règles_chevaux_trait[Ration]&amp;Règles_chevaux_trait[Aliment],0)),0),0)*TotalJumentTrait*NbreJoursNourrirChevauxTrait)</f>
        <v>0</v>
      </c>
      <c r="FF121" s="458">
        <f t="array" ref="FF121">IF(OR(ChoixRationComplèteEtéChevauxTrait=OUI,ChoixRationComplèteEtéChevauxTrait="",AND(ChoixChevauxTraitPréHiver=OUI,ChoixChevauxTraitPréEté=OUI)),0,IFERROR(IF(OR(AND(INDEX(Règles_chevaux_trait[Specificite],MATCH(RationEtéChevauxTrait&amp;$FD121,Règles_chevaux_trait[Ration]&amp;Règles_chevaux_trait[Aliment],0))="s1",IF($FD121=Spécificité1ChevauxTrait,1)),
AND(INDEX(Règles_chevaux_trait[Specificite],MATCH(RationEtéChevauxTrait&amp;$FD121,Règles_chevaux_trait[Ration]&amp;Règles_chevaux_trait[Aliment],0))="s2",IF($FD121=Spécificité2ChevauxTrait,1)),
INDEX(Règles_chevaux_trait[Specificite],MATCH(RationEtéChevauxTrait&amp;$FD121,Règles_chevaux_trait[Ration]&amp;Règles_chevaux_trait[Aliment],0))="c"),
INDEX(Règles_chevaux_trait[Valeur 24-36],MATCH(RationEtéChevauxTrait&amp;$FD121,Règles_chevaux_trait[Ration]&amp;Règles_chevaux_trait[Aliment],0)),0),0)*TotalJeuneJumentTrait_24_36_mois*NbreJoursNourrirChevauxTrait)</f>
        <v>0</v>
      </c>
      <c r="FG121" s="458">
        <f t="array" ref="FG121">IF(OR(ChoixRationComplèteEtéChevauxTrait=OUI,ChoixRationComplèteEtéChevauxTrait="",AND(ChoixChevauxTraitPréHiver=OUI,ChoixChevauxTraitPréEté=OUI)),0,IFERROR(IF(OR(AND(INDEX(Règles_chevaux_trait[Specificite],MATCH(RationEtéChevauxTrait&amp;$FD121,Règles_chevaux_trait[Ration]&amp;Règles_chevaux_trait[Aliment],0))="s1",IF($FD121=Spécificité1ChevauxTrait,1)),
AND(INDEX(Règles_chevaux_trait[Specificite],MATCH(RationEtéChevauxTrait&amp;$FD121,Règles_chevaux_trait[Ration]&amp;Règles_chevaux_trait[Aliment],0))="s2",IF($FD121=Spécificité2ChevauxTrait,1)),
INDEX(Règles_chevaux_trait[Specificite],MATCH(RationEtéChevauxTrait&amp;$FD121,Règles_chevaux_trait[Ration]&amp;Règles_chevaux_trait[Aliment],0))="c"),
INDEX(Règles_chevaux_trait[Valeur 12-24],MATCH(RationEtéChevauxTrait&amp;$FD121,Règles_chevaux_trait[Ration]&amp;Règles_chevaux_trait[Aliment],0)),0),0)*TotalJeuneJumentTrait_12_24_mois*NbreJoursNourrirChevauxTrait)</f>
        <v>0</v>
      </c>
      <c r="FH121" s="460">
        <f t="array" ref="FH121">IF(OR(ChoixRationComplèteEtéChevauxTrait=OUI,ChoixRationComplèteEtéChevauxTrait="",AND(ChoixChevauxTraitPréHiver=OUI,ChoixChevauxTraitPréEté=OUI)),0,IFERROR(IF(OR(AND(INDEX(Règles_chevaux_trait[Specificite],MATCH(RationEtéChevauxTrait&amp;$FD121,Règles_chevaux_trait[Ration]&amp;Règles_chevaux_trait[Aliment],0))="s1",IF($FD121=Spécificité1ChevauxTrait,1)),
AND(INDEX(Règles_chevaux_trait[Specificite],MATCH(RationEtéChevauxTrait&amp;$FD121,Règles_chevaux_trait[Ration]&amp;Règles_chevaux_trait[Aliment],0))="s2",IF($FD121=Spécificité2ChevauxTrait,1)),
INDEX(Règles_chevaux_trait[Specificite],MATCH(RationEtéChevauxTrait&amp;$FD121,Règles_chevaux_trait[Ration]&amp;Règles_chevaux_trait[Aliment],0))="c"),
INDEX(Règles_chevaux_trait[Valeur 0-12],MATCH(RationEtéChevauxTrait&amp;$FD121,Règles_chevaux_trait[Ration]&amp;Règles_chevaux_trait[Aliment],0)),0),0)*TotalPoulicheTrait_0_12_mois*NbreJoursNourrirChevauxTrait)</f>
        <v>0</v>
      </c>
      <c r="FI121" s="460">
        <f t="shared" si="31"/>
        <v>0</v>
      </c>
      <c r="FJ121" s="298"/>
      <c r="FN121" s="457" t="str">
        <f t="shared" si="32"/>
        <v>Seigle</v>
      </c>
      <c r="FO121" s="458">
        <f t="array" ref="FO121">IF(OR(ChoixRationComplèteEtéPoneys=OUI,ChoixRationComplèteEtéPoneys="",AND(ChoixPoneysPréHiver=OUI,ChoixPoneysPréEté=OUI)),0,IFERROR(IF(OR(AND(INDEX(Règles_poneys[Specificite],MATCH(RationHivernaleAuPréPoneys&amp;$FN121,Règles_poneys[Ration]&amp;Règles_poneys[Aliment],0))="s1",IF($FN121=Spécificité1Poneys,1)),
AND(INDEX(Règles_poneys[Specificite],MATCH(RationHivernaleAuPréPoneys&amp;$FN121,Règles_poneys[Ration]&amp;Règles_poneys[Aliment],0))="s2",IF($FN121=Spécificité2Poneys,1)),
INDEX(Règles_poneys[Specificite],MATCH(RationHivernaleAuPréPoneys&amp;$FN121,Règles_poneys[Ration]&amp;Règles_poneys[Aliment],0))="c"),
INDEX(Règles_poneys[Valeur 36 et plus],MATCH(RationHivernaleAuPréPoneys&amp;$FN121,Règles_poneys[Ration]&amp;Règles_poneys[Aliment],0)),0),0)*SUM(TotalPoneysAdultes)*SUM(AG118:AG142))</f>
        <v>0</v>
      </c>
      <c r="FP121" s="458">
        <f t="array" ref="FP121">IF(OR(ChoixRationComplèteEtéPoneys=OUI,ChoixRationComplèteEtéPoneys="",AND(ChoixPoneysPréHiver=OUI,ChoixPoneysPréEté=OUI)),0,IFERROR(IF(OR(AND(INDEX(Règles_poneys[Specificite],MATCH(RationHivernaleAuPréPoneys&amp;$FN121,Règles_poneys[Ration]&amp;Règles_poneys[Aliment],0))="s1",IF($FN121=Spécificité1Poneys,1)),
AND(INDEX(Règles_poneys[Specificite],MATCH(RationHivernaleAuPréPoneys&amp;$FN121,Règles_poneys[Ration]&amp;Règles_poneys[Aliment],0))="s2",IF($FN121=Spécificité2Poneys,1)),
INDEX(Règles_poneys[Specificite],MATCH(RationHivernaleAuPréPoneys&amp;$FN121,Règles_poneys[Ration]&amp;Règles_poneys[Aliment],0))="c"),
INDEX(Règles_poneys[Valeur 24-36],MATCH(RationHivernaleAuPréPoneys&amp;$FN121,Règles_poneys[Ration]&amp;Règles_poneys[Aliment],0)),0),0)*SUM(TotalPoneys_24_36mois)*SUM(AG118:AG142))</f>
        <v>0</v>
      </c>
      <c r="FQ121" s="458">
        <f t="array" ref="FQ121">IF(OR(ChoixRationComplèteEtéPoneys=OUI,ChoixRationComplèteEtéPoneys="",AND(ChoixPoneysPréHiver=OUI,ChoixPoneysPréEté=OUI)),0,IFERROR(IF(OR(AND(INDEX(Règles_poneys[Specificite],MATCH(RationHivernaleAuPréPoneys&amp;$FN121,Règles_poneys[Ration]&amp;Règles_poneys[Aliment],0))="s1",IF($FN121=Spécificité1Poneys,1)),
AND(INDEX(Règles_poneys[Specificite],MATCH(RationHivernaleAuPréPoneys&amp;$FN121,Règles_poneys[Ration]&amp;Règles_poneys[Aliment],0))="s2",IF($FN121=Spécificité2Poneys,1)),
INDEX(Règles_poneys[Specificite],MATCH(RationHivernaleAuPréPoneys&amp;$FN121,Règles_poneys[Ration]&amp;Règles_poneys[Aliment],0))="c"),
INDEX(Règles_poneys[Valeur 12-24],MATCH(RationHivernaleAuPréPoneys&amp;$FN121,Règles_poneys[Ration]&amp;Règles_poneys[Aliment],0)),0),0)*SUM(TotalPoneys_12_24mois)*SUM(AG118:AG142))</f>
        <v>0</v>
      </c>
      <c r="FR121" s="460">
        <f t="array" ref="FR121">IF(OR(ChoixRationComplèteEtéPoneys=OUI,ChoixRationComplèteEtéPoneys="",AND(ChoixPoneysPréHiver=OUI,ChoixPoneysPréEté=OUI)),0,IFERROR(IF(OR(AND(INDEX(Règles_poneys[Specificite],MATCH(RationHivernaleAuPréPoneys&amp;$FN121,Règles_poneys[Ration]&amp;Règles_poneys[Aliment],0))="s1",IF($FN121=Spécificité1Poneys,1)),
AND(INDEX(Règles_poneys[Specificite],MATCH(RationHivernaleAuPréPoneys&amp;$FN121,Règles_poneys[Ration]&amp;Règles_poneys[Aliment],0))="s2",IF($FN121=Spécificité2Poneys,1)),
INDEX(Règles_poneys[Specificite],MATCH(RationHivernaleAuPréPoneys&amp;$FN121,Règles_poneys[Ration]&amp;Règles_poneys[Aliment],0))="c"),
INDEX(Règles_poneys[Valeur 0-12],MATCH(RationHivernaleAuPréPoneys&amp;$FN121,Règles_poneys[Ration]&amp;Règles_poneys[Aliment],0)),0),0)*SUM(TotalPoulainsPoneys)*SUM(AG118:AG142))</f>
        <v>0</v>
      </c>
      <c r="FS121" s="460">
        <f t="shared" si="29"/>
        <v>0</v>
      </c>
      <c r="FT121" s="298"/>
      <c r="FW121" s="443" t="str">
        <f t="shared" si="27"/>
        <v>Tourteau de tournesol</v>
      </c>
      <c r="FX121" s="450">
        <f t="array" ref="FX121">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21" s="450">
        <f t="array" ref="FY121">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21" s="450">
        <f t="array" ref="FZ121">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21" s="450">
        <f t="array" ref="GA121">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21" s="451">
        <f>SUM(AlimentsGavageCanards[[#This Row],[Valeur 6 et plus]:[Valeur 0-1]])</f>
        <v>0</v>
      </c>
      <c r="GG121" s="276" t="s">
        <v>955</v>
      </c>
      <c r="GH121" s="276" t="s">
        <v>955</v>
      </c>
      <c r="GI121" s="276" t="s">
        <v>955</v>
      </c>
      <c r="GJ121" s="276" t="s">
        <v>955</v>
      </c>
      <c r="GK121" s="276" t="s">
        <v>955</v>
      </c>
      <c r="GL121" s="276" t="s">
        <v>955</v>
      </c>
      <c r="GM121" s="276" t="s">
        <v>955</v>
      </c>
      <c r="GN121" s="276" t="s">
        <v>955</v>
      </c>
      <c r="GO121" s="276" t="s">
        <v>955</v>
      </c>
      <c r="GP121" s="276" t="s">
        <v>955</v>
      </c>
      <c r="GQ121" s="276" t="s">
        <v>955</v>
      </c>
      <c r="GR121" s="276" t="s">
        <v>955</v>
      </c>
      <c r="GS121" s="276" t="s">
        <v>955</v>
      </c>
      <c r="GT121" s="276" t="s">
        <v>955</v>
      </c>
      <c r="GU121" s="276" t="s">
        <v>955</v>
      </c>
      <c r="GV121" s="276" t="s">
        <v>955</v>
      </c>
    </row>
    <row r="122" spans="1:236" ht="12.75" customHeight="1" x14ac:dyDescent="0.2">
      <c r="A122" s="373"/>
      <c r="B122" s="380"/>
      <c r="F122" s="280"/>
      <c r="G122" s="280"/>
      <c r="H122" s="280"/>
      <c r="I122" s="280"/>
      <c r="J122" s="280"/>
      <c r="K122" s="280"/>
      <c r="L122" s="280"/>
      <c r="BB122" s="387" t="s">
        <v>516</v>
      </c>
      <c r="BC122" s="362" t="s">
        <v>269</v>
      </c>
      <c r="BD122" s="362" t="s">
        <v>886</v>
      </c>
      <c r="BE122" s="388">
        <v>42</v>
      </c>
      <c r="BF122" s="388">
        <v>36</v>
      </c>
      <c r="BG122" s="388">
        <v>24</v>
      </c>
      <c r="BH122" s="388">
        <v>18</v>
      </c>
      <c r="BI122" s="388">
        <v>12</v>
      </c>
      <c r="BJ122" s="388">
        <v>6</v>
      </c>
      <c r="BK122" s="389">
        <v>0</v>
      </c>
      <c r="BL122" s="312"/>
      <c r="BM122" s="350" t="str">
        <f t="shared" si="43"/>
        <v>concentré jeunes lapins</v>
      </c>
      <c r="BN122" s="351">
        <f t="array" ref="BN122">SUM((IF(QualitéAlimentsBisonneauxMâles_0_3_mois=BONNE,VLOOKUP("concentré jeunes lapins",AlimentsRationHivernaleBisonsMâles,8,FALSE),0)+(IF(QualitéAlimentsBisonneauxFemelles_0_3_mois=BONNE,VLOOKUP("concentré jeunes lapins",AlimentsRationHivernaleBisonsFemelles,8,FALSE),0)+(IF(QualitéAlimentsBisonneauxMâles_3_6_mois=BONNE,VLOOKUP("concentré jeunes lapins",AlimentsRationHivernaleBisonsMâles,7,FALSE),0)+(IF(QualitéAlimentsBisonneauxFemelles_3_6_mois=BONNE,VLOOKUP("concentré jeunes lapins",AlimentsRationHivernaleBisonsFemelles,7,FALSE),0)+(IF(QualitéAlimentsBisonneauxMâles_6_12_mois=BONNE,VLOOKUP("concentré jeunes lapins",AlimentsRationHivernaleBisonsMâles,6,FALSE),0)+(IF(QualitéAlimentsBisonneauxFemelles_6_12_mois=BONNE,VLOOKUP("concentré jeunes lapins",AlimentsRationHivernaleBisonsFemelles,6,FALSE),0)+(IF(QualitéAlimentsJeunesBisons_12_18_mois=BONNE,VLOOKUP("concentré jeunes lapins",AlimentsRationHivernaleBisonsMâles,5,FALSE),0)+(IF(QualitéAlimentsJeunesBisonnes_12_18_mois=BONNE,VLOOKUP("concentré jeunes lapins",AlimentsRationHivernaleBisonsFemelles,5,FALSE),0)+(IF(QualitéAlimentsJeunesBisons_18_24_mois=BONNE,VLOOKUP("concentré jeunes lapins",AlimentsRationHivernaleBisonsMâles,4,FALSE),0)+(IF(QualitéAlimentsJeunesBisonnes_18_24_mois=BONNE,VLOOKUP("concentré jeunes lapins",AlimentsRationHivernaleBisonsFemelles,4,FALSE),0)+(IF(QualitéAlimentsJeunesBisons_24_36_mois=BONNE,VLOOKUP("concentré jeunes lapins",AlimentsRationHivernaleBisonsMâles,3,FALSE),0)+(IF(QualitéAlimentsJeunesBisonnes_24_36_mois=BONNE,VLOOKUP("concentré jeunes lapins",AlimentsRationHivernaleBisonsFemelles,3,FALSE),0)+(IF(QualitéAlimentsBisons=BONNE,VLOOKUP("concentré jeunes lapins",AlimentsRationHivernaleBisonsMâles,2,FALSE),0)+(IF(QualitéAlimentsBisonnes=BONNE,VLOOKUP("concentré jeunes lapins",AlimentsRationHivernaleBisonsFemelles,2,FALSE),0))))))))))))))))</f>
        <v>0</v>
      </c>
      <c r="BO122" s="351">
        <f t="array" ref="BO122">SUM((IF(QualitéAlimentsBisonneauxMâles_0_3_mois=MOYENNE,VLOOKUP("concentré jeunes lapins",AlimentsRationHivernaleBisonsMâles,8,FALSE),0)+(IF(QualitéAlimentsBisonneauxFemelles_0_3_mois=MOYENNE,VLOOKUP("concentré jeunes lapins",AlimentsRationHivernaleBisonsFemelles,8,FALSE),0)+(IF(QualitéAlimentsBisonneauxMâles_3_6_mois=MOYENNE,VLOOKUP("concentré jeunes lapins",AlimentsRationHivernaleBisonsMâles,7,FALSE),0)+(IF(QualitéAlimentsBisonneauxFemelles_3_6_mois=MOYENNE,VLOOKUP("concentré jeunes lapins",AlimentsRationHivernaleBisonsFemelles,7,FALSE),0)+(IF(QualitéAlimentsBisonneauxMâles_6_12_mois=MOYENNE,VLOOKUP("concentré jeunes lapins",AlimentsRationHivernaleBisonsMâles,6,FALSE),0)+(IF(QualitéAlimentsBisonneauxFemelles_6_12_mois=MOYENNE,VLOOKUP("concentré jeunes lapins",AlimentsRationHivernaleBisonsFemelles,6,FALSE),0)+(IF(QualitéAlimentsJeunesBisons_12_18_mois=MOYENNE,VLOOKUP("concentré jeunes lapins",AlimentsRationHivernaleBisonsMâles,5,FALSE),0)+(IF(QualitéAlimentsJeunesBisonnes_12_18_mois=MOYENNE,VLOOKUP("concentré jeunes lapins",AlimentsRationHivernaleBisonsFemelles,5,FALSE),0)+(IF(QualitéAlimentsJeunesBisons_18_24_mois=MOYENNE,VLOOKUP("concentré jeunes lapins",AlimentsRationHivernaleBisonsMâles,4,FALSE),0)+(IF(QualitéAlimentsJeunesBisonnes_18_24_mois=MOYENNE,VLOOKUP("concentré jeunes lapins",AlimentsRationHivernaleBisonsFemelles,4,FALSE),0)+(IF(QualitéAlimentsJeunesBisons_24_36_mois=MOYENNE,VLOOKUP("concentré jeunes lapins",AlimentsRationHivernaleBisonsMâles,3,FALSE),0)+(IF(QualitéAlimentsJeunesBisonnes_24_36_mois=MOYENNE,VLOOKUP("concentré jeunes lapins",AlimentsRationHivernaleBisonsFemelles,3,FALSE),0)+(IF(QualitéAlimentsBisons=MOYENNE,VLOOKUP("concentré jeunes lapins",AlimentsRationHivernaleBisonsMâles,2,FALSE),0)+(IF(QualitéAlimentsBisonnes=MOYENNE,VLOOKUP("concentré jeunes lapins",AlimentsRationHivernaleBisonsFemelles,2,FALSE),0))))))))))))))))</f>
        <v>0</v>
      </c>
      <c r="BP122" s="351">
        <f t="array" ref="BP122">SUM((IF(QualitéAlimentsBisonneauxMâles_0_3_mois=MAUVAISE,VLOOKUP("concentré jeunes lapins",AlimentsRationHivernaleBisonsMâles,8,FALSE),0)+(IF(QualitéAlimentsBisonneauxFemelles_0_3_mois=MAUVAISE,VLOOKUP("concentré jeunes lapins",AlimentsRationHivernaleBisonsFemelles,8,FALSE),0)+(IF(QualitéAlimentsBisonneauxMâles_3_6_mois=MAUVAISE,VLOOKUP("concentré jeunes lapins",AlimentsRationHivernaleBisonsMâles,7,FALSE),0)+(IF(QualitéAlimentsBisonneauxFemelles_3_6_mois=MAUVAISE,VLOOKUP("concentré jeunes lapins",AlimentsRationHivernaleBisonsFemelles,7,FALSE),0)+(IF(QualitéAlimentsBisonneauxMâles_6_12_mois=MAUVAISE,VLOOKUP("concentré jeunes lapins",AlimentsRationHivernaleBisonsMâles,6,FALSE),0)+(IF(QualitéAlimentsBisonneauxFemelles_6_12_mois=MAUVAISE,VLOOKUP("concentré jeunes lapins",AlimentsRationHivernaleBisonsFemelles,6,FALSE),0)+(IF(QualitéAlimentsJeunesBisons_12_18_mois=MAUVAISE,VLOOKUP("concentré jeunes lapins",AlimentsRationHivernaleBisonsMâles,5,FALSE),0)+(IF(QualitéAlimentsJeunesBisonnes_12_18_mois=MAUVAISE,VLOOKUP("concentré jeunes lapins",AlimentsRationHivernaleBisonsFemelles,5,FALSE),0)+(IF(QualitéAlimentsJeunesBisons_18_24_mois=MAUVAISE,VLOOKUP("concentré jeunes lapins",AlimentsRationHivernaleBisonsMâles,4,FALSE),0)+(IF(QualitéAlimentsJeunesBisonnes_18_24_mois=MAUVAISE,VLOOKUP("concentré jeunes lapins",AlimentsRationHivernaleBisonsFemelles,4,FALSE),0)+(IF(QualitéAlimentsJeunesBisons_24_36_mois=MAUVAISE,VLOOKUP("concentré jeunes lapins",AlimentsRationHivernaleBisonsMâles,3,FALSE),0)+(IF(QualitéAlimentsJeunesBisonnes_24_36_mois=MAUVAISE,VLOOKUP("concentré jeunes lapins",AlimentsRationHivernaleBisonsFemelles,3,FALSE),0)+(IF(QualitéAlimentsBisons=MAUVAISE,VLOOKUP("concentré jeunes lapins",AlimentsRationHivernaleBisonsMâles,2,FALSE),0)+(IF(QualitéAlimentsBisonnes=MAUVAISE,VLOOKUP("concentré jeunes lapins",AlimentsRationHivernaleBisonsFemelles,2,FALSE),0))))))))))))))))</f>
        <v>0</v>
      </c>
      <c r="BQ122" s="282"/>
      <c r="BR122" s="282"/>
      <c r="BS122" s="282"/>
      <c r="BT122" s="282"/>
      <c r="BU122" s="282"/>
      <c r="BX122" s="350" t="s">
        <v>267</v>
      </c>
      <c r="BY122" s="350">
        <f t="array" ref="BY122">IF(ChoixRationComplèteCaprins=OUI,0,IFERROR(IF(OR(AND(INDEX(Règles_caprins[Specificite],MATCH(ChoixRationCaprins&amp;$BX122,Règles_caprins[Ration]&amp;Règles_caprins[Aliment],0))="s1",IF($BX122=Spécificité1Caprins,1)),
INDEX(Règles_caprins[Specificite],MATCH(ChoixRationCaprins&amp;$BX122,Règles_caprins[Ration]&amp;Règles_caprins[Aliment],0))="c"),
INDEX(Règles_caprins[Valeur 12 et plus],MATCH(ChoixRationCaprins&amp;$BX122,Règles_caprins[Ration]&amp;Règles_caprins[Aliment],0)),0),0)*TotalBoucs*NbreJoursNourrirCaprins)</f>
        <v>0</v>
      </c>
      <c r="BZ122" s="350">
        <f t="array" ref="BZ122">IF(ChoixRationComplèteCaprins=OUI,0,IFERROR(IF(OR(AND(INDEX(Règles_caprins[Specificite],MATCH(ChoixRationCaprins&amp;$BX122,Règles_caprins[Ration]&amp;Règles_caprins[Aliment],0))="s1",IF($BX122=Spécificité1Caprins,1)),
INDEX(Règles_caprins[Specificite],MATCH(ChoixRationCaprins&amp;$BX122,Règles_caprins[Ration]&amp;Règles_caprins[Aliment],0))="c"),
INDEX(Règles_caprins[Valeur 6-12],MATCH(ChoixRationCaprins&amp;$BX122,Règles_caprins[Ration]&amp;Règles_caprins[Aliment],0)),0),0)*jeune_bouc_6_12_mois*NbreJoursNourrirCaprins)</f>
        <v>0</v>
      </c>
      <c r="CA122" s="350">
        <f t="array" ref="CA122">IF(ChoixRationComplèteCaprins=OUI,0,IFERROR(IF(OR(AND(INDEX(Règles_caprins[Specificite],MATCH(ChoixRationCaprins&amp;$BX122,Règles_caprins[Ration]&amp;Règles_caprins[Aliment],0))="s1",IF($BX122=Spécificité1Caprins,1)),
INDEX(Règles_caprins[Specificite],MATCH(ChoixRationCaprins&amp;$BX122,Règles_caprins[Ration]&amp;Règles_caprins[Aliment],0))="c"),
INDEX(Règles_caprins[Valeur 3-6],MATCH(ChoixRationCaprins&amp;$BX122,Règles_caprins[Ration]&amp;Règles_caprins[Aliment],0)),0),0)*chevreau_3_6_mois*NbreJoursNourrirCaprins)</f>
        <v>0</v>
      </c>
      <c r="CB122" s="350">
        <f t="array" ref="CB122">IF(ChoixRationComplèteCaprins=OUI,0,IFERROR(IF(OR(AND(INDEX(Règles_caprins[Specificite],MATCH(ChoixRationCaprins&amp;$BX122,Règles_caprins[Ration]&amp;Règles_caprins[Aliment],0))="s1",IF($BX122=Spécificité1Caprins,1)),
INDEX(Règles_caprins[Specificite],MATCH(ChoixRationCaprins&amp;$BX122,Règles_caprins[Ration]&amp;Règles_caprins[Aliment],0))="c"),
INDEX(Règles_caprins[Valeur 0-3],MATCH(ChoixRationCaprins&amp;$BX122,Règles_caprins[Ration]&amp;Règles_caprins[Aliment],0)),0),0)*chevreau_0_3_mois*NbreJoursNourrirCaprins)</f>
        <v>0</v>
      </c>
      <c r="CC122" s="350">
        <f t="shared" si="41"/>
        <v>0</v>
      </c>
      <c r="CH122" s="276"/>
      <c r="CI122" s="277"/>
      <c r="CJ122" s="397">
        <f t="shared" si="25"/>
        <v>0</v>
      </c>
      <c r="CK122" s="429">
        <f t="array" ref="CK12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12 et plus],MATCH(ChoixRationPorcins&amp;AlimentsRationPorcinsMâles[[#This Row],[aliment]],Règles_porcins[Ration]&amp;Règles_porcins[Aliment],0)),0),0)*TotalTruies*NbreJoursNourrirAutres)</f>
        <v>0</v>
      </c>
      <c r="CL122" s="429">
        <f t="array" ref="CL12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6-12],MATCH(ChoixRationPorcins&amp;AlimentsRationPorcinsMâles[[#This Row],[aliment]],Règles_porcins[Ration]&amp;Règles_porcins[Aliment],0)),0),0)*jeune_truie_6_12_mois*NbreJoursNourrirAutres)</f>
        <v>0</v>
      </c>
      <c r="CM122" s="429">
        <f t="array" ref="CM12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3-6],MATCH(ChoixRationPorcins&amp;AlimentsRationPorcinsMâles[[#This Row],[aliment]],Règles_porcins[Ration]&amp;Règles_porcins[Aliment],0)),0),0)*jeune_truie_3_6_mois*NbreJoursNourrirAutres)</f>
        <v>0</v>
      </c>
      <c r="CN122" s="429">
        <f t="array" ref="CN12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1-3],MATCH(ChoixRationPorcins&amp;AlimentsRationPorcinsMâles[[#This Row],[aliment]],Règles_porcins[Ration]&amp;Règles_porcins[Aliment],0)),0),0)*porcelet_femelle_1_3_mois*NbreJoursNourrirAutres)</f>
        <v>0</v>
      </c>
      <c r="CO122" s="429">
        <f t="array" ref="CO122">IF(ChoixRationComplètePorcins=OUI,0,IFERROR(IF(OR(AND(INDEX(Règles_porcins[Specificite],MATCH(ChoixRationPorcins&amp;AlimentsRationPorcinsMâles[[#This Row],[aliment]],Règles_porcins[Ration]&amp;Règles_porcins[Aliment],0))="s1",IF(AlimentsRationPorcinsMâles[[#This Row],[aliment]]=Spécificité1Porcins,1)),
INDEX(Règles_porcins[Specificite],MATCH(ChoixRationPorcins&amp;AlimentsRationPorcinsMâles[[#This Row],[aliment]],Règles_porcins[Ration]&amp;Règles_porcins[Aliment],0))="c"),
INDEX(Règles_porcins[Valeur 0-1],MATCH(ChoixRationPorcins&amp;AlimentsRationPorcinsMâles[[#This Row],[aliment]],Règles_porcins[Ration]&amp;Règles_porcins[Aliment],0)),0),0)*porcelet_femelle_0_1_mois*NbreJoursNourrirAutres)</f>
        <v>0</v>
      </c>
      <c r="CP122" s="430">
        <f>SUM(AlimentsRationPorcinsFemelles[[#This Row],[Valeur 12 et plus]:[Valeur 0-1]])</f>
        <v>0</v>
      </c>
      <c r="CQ122" s="298"/>
      <c r="CS122" s="420" t="str">
        <f t="shared" si="36"/>
        <v>Pomme de terre</v>
      </c>
      <c r="CT122" s="433">
        <f t="array" ref="CT122">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22" s="433">
        <f t="array" ref="CU122">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22" s="433">
        <f t="array" ref="CV122">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22" s="434">
        <f>SUM(AlimentsRationLapinsFemelles[[#This Row],[Valeur 3 et plus]:[Valeur 0-1]])</f>
        <v>0</v>
      </c>
      <c r="CY122" s="277"/>
      <c r="CZ122" s="420" t="str">
        <f t="shared" si="37"/>
        <v>Pomme de terre</v>
      </c>
      <c r="DA122" s="433">
        <f t="array" ref="DA12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22" s="433">
        <f t="array" ref="DB12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22" s="433">
        <f t="array" ref="DC12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22" s="434">
        <f>SUM(AlimentsRationVolaillesFemelles[[#This Row],[Valeur 6 et plus]:[Valeur 0-1]])</f>
        <v>0</v>
      </c>
      <c r="DE122" s="298"/>
      <c r="DG122" s="384" t="str">
        <f t="shared" si="26"/>
        <v>Triticale</v>
      </c>
      <c r="DH122" s="433">
        <f t="array" ref="DH12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22" s="433">
        <f t="array" ref="DI12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22" s="433">
        <f t="array" ref="DJ122">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22" s="437">
        <f>SUM(AlimentsRationPintadesFemelles[[#This Row],[Valeur 6 et plus]:[Valeur 0-1]])</f>
        <v>0</v>
      </c>
      <c r="DN122" s="373" t="s">
        <v>623</v>
      </c>
      <c r="DO122" s="280" t="s">
        <v>70</v>
      </c>
      <c r="DP122" s="280" t="s">
        <v>887</v>
      </c>
      <c r="DQ122" s="310">
        <v>1.6</v>
      </c>
      <c r="DR122" s="310">
        <v>1.4</v>
      </c>
      <c r="DS122" s="310">
        <v>1.2</v>
      </c>
      <c r="DT122" s="439">
        <v>1</v>
      </c>
      <c r="EG122" s="420" t="str">
        <f t="shared" si="30"/>
        <v>Soja</v>
      </c>
      <c r="EH122" s="433">
        <f t="array" ref="EH12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22" s="433">
        <f t="array" ref="EI12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22" s="433">
        <f t="array" ref="EJ12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22" s="434">
        <f>SUM(AlimentsRationOiesFemelles[[#This Row],[Valeur 6 et plus]:[Valeur 0-3]])</f>
        <v>0</v>
      </c>
      <c r="EN122" s="443" t="str">
        <f t="shared" si="28"/>
        <v>Sorgho ensilé</v>
      </c>
      <c r="EO122" s="450">
        <f t="array" ref="EO122">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22" s="450">
        <f t="array" ref="EP122">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22" s="450">
        <f t="array" ref="EQ122">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22" s="451">
        <f>SUM(Ration_canards_Femelles[[#This Row],[Valeur 6 et plus]:[Valeur 0-3]])</f>
        <v>0</v>
      </c>
      <c r="EU122" s="457" t="str">
        <f t="shared" si="40"/>
        <v>Orge</v>
      </c>
      <c r="EV122" s="458">
        <f t="array" ref="EV122">IF(OR(ChoixRationComplèteEtéChevauxSelle=OUI,ChoixRationComplèteEtéChevauxSelle="",AND(ChoixChevauxSellePréHiver=OUI,ChoixChevauxSellePréEté=OUI)),0,IFERROR(IF(OR(AND(INDEX(Règles_chevaux_selle[Specificite],MATCH(RationEtéChevauxSelle&amp;$EU122,Règles_chevaux_selle[Ration]&amp;Règles_chevaux_selle[Aliment],0))="s1",IF($EU122=Spécificité1ChevauxSelle,1)),
AND(INDEX(Règles_chevaux_selle[Specificite],MATCH(RationEtéChevauxSelle&amp;$EU122,Règles_chevaux_selle[Ration]&amp;Règles_chevaux_selle[Aliment],0))="s2",IF($EU122=Spécificité2ChevauxSelle,1)),
INDEX(Règles_chevaux_selle[Specificite],MATCH(RationEtéChevauxSelle&amp;$EU122,Règles_chevaux_selle[Ration]&amp;Règles_chevaux_selle[Aliment],0))="c"),
INDEX(Règles_chevaux_selle[Valeur 36 et plus],MATCH(RationEtéChevauxSelle&amp;$EU122,Règles_chevaux_selle[Ration]&amp;Règles_chevaux_selle[Aliment],0)),0),0)*TotalJumentSelle*NbreJoursNourrirChevauxSelle)</f>
        <v>0</v>
      </c>
      <c r="EW122" s="458">
        <f t="array" ref="EW122">IF(OR(ChoixRationComplèteEtéChevauxSelle=OUI,ChoixRationComplèteEtéChevauxSelle="",AND(ChoixChevauxSellePréHiver=OUI,ChoixChevauxSellePréEté=OUI)),0,IFERROR(IF(OR(AND(INDEX(Règles_chevaux_selle[Specificite],MATCH(RationEtéChevauxSelle&amp;$EU122,Règles_chevaux_selle[Ration]&amp;Règles_chevaux_selle[Aliment],0))="s1",IF($EU122=Spécificité1ChevauxSelle,1)),
AND(INDEX(Règles_chevaux_selle[Specificite],MATCH(RationEtéChevauxSelle&amp;$EU122,Règles_chevaux_selle[Ration]&amp;Règles_chevaux_selle[Aliment],0))="s2",IF($EU122=Spécificité2ChevauxSelle,1)),
INDEX(Règles_chevaux_selle[Specificite],MATCH(RationEtéChevauxSelle&amp;$EU122,Règles_chevaux_selle[Ration]&amp;Règles_chevaux_selle[Aliment],0))="c"),
INDEX(Règles_chevaux_selle[Valeur 24-36],MATCH(RationEtéChevauxSelle&amp;$EU122,Règles_chevaux_selle[Ration]&amp;Règles_chevaux_selle[Aliment],0)),0),0)*TotalJeuneJumentSelle_24_36_mois*NbreJoursNourrirChevauxSelle)</f>
        <v>0</v>
      </c>
      <c r="EX122" s="458">
        <f t="array" ref="EX122">IF(OR(ChoixRationComplèteEtéChevauxSelle=OUI,ChoixRationComplèteEtéChevauxSelle="",AND(ChoixChevauxSellePréHiver=OUI,ChoixChevauxSellePréEté=OUI)),0,IFERROR(IF(OR(AND(INDEX(Règles_chevaux_selle[Specificite],MATCH(RationEtéChevauxSelle&amp;$EU122,Règles_chevaux_selle[Ration]&amp;Règles_chevaux_selle[Aliment],0))="s1",IF($EU122=Spécificité1ChevauxSelle,1)),
AND(INDEX(Règles_chevaux_selle[Specificite],MATCH(RationEtéChevauxSelle&amp;$EU122,Règles_chevaux_selle[Ration]&amp;Règles_chevaux_selle[Aliment],0))="s2",IF($EU122=Spécificité2ChevauxSelle,1)),
INDEX(Règles_chevaux_selle[Specificite],MATCH(RationEtéChevauxSelle&amp;$EU122,Règles_chevaux_selle[Ration]&amp;Règles_chevaux_selle[Aliment],0))="c"),
INDEX(Règles_chevaux_selle[Valeur 12-24],MATCH(RationEtéChevauxSelle&amp;$EU122,Règles_chevaux_selle[Ration]&amp;Règles_chevaux_selle[Aliment],0)),0),0)*TotalJeuneJumentSelle_12_24_mois_12_24_mois*NbreJoursNourrirChevauxSelle)</f>
        <v>0</v>
      </c>
      <c r="EY122" s="460">
        <f t="array" ref="EY122">IF(OR(ChoixRationComplèteEtéChevauxSelle=OUI,ChoixRationComplèteEtéChevauxSelle="",AND(ChoixChevauxSellePréHiver=OUI,ChoixChevauxSellePréEté=OUI)),0,IFERROR(IF(OR(AND(INDEX(Règles_chevaux_selle[Specificite],MATCH(RationEtéChevauxSelle&amp;$EU122,Règles_chevaux_selle[Ration]&amp;Règles_chevaux_selle[Aliment],0))="s1",IF($EU122=Spécificité1ChevauxSelle,1)),
AND(INDEX(Règles_chevaux_selle[Specificite],MATCH(RationEtéChevauxSelle&amp;$EU122,Règles_chevaux_selle[Ration]&amp;Règles_chevaux_selle[Aliment],0))="s2",IF($EU122=Spécificité2ChevauxSelle,1)),
INDEX(Règles_chevaux_selle[Specificite],MATCH(RationEtéChevauxSelle&amp;$EU122,Règles_chevaux_selle[Ration]&amp;Règles_chevaux_selle[Aliment],0))="c"),
INDEX(Règles_chevaux_selle[Valeur 0-12],MATCH(RationEtéChevauxSelle&amp;$EU122,Règles_chevaux_selle[Ration]&amp;Règles_chevaux_selle[Aliment],0)),0),0)*TotalPoulicheSelle_0_12_mois*NbreJoursNourrirChevauxSelle)</f>
        <v>0</v>
      </c>
      <c r="EZ122" s="460">
        <f t="shared" si="39"/>
        <v>0</v>
      </c>
      <c r="FD122" s="457" t="str">
        <f t="shared" si="33"/>
        <v>Seigle</v>
      </c>
      <c r="FE122" s="458">
        <f t="array" ref="FE122">IF(OR(ChoixRationComplèteEtéChevauxTrait=OUI,ChoixRationComplèteEtéChevauxTrait="",AND(ChoixChevauxTraitPréHiver=OUI,ChoixChevauxTraitPréEté=OUI)),0,IFERROR(IF(OR(AND(INDEX(Règles_chevaux_trait[Specificite],MATCH(RationEtéChevauxTrait&amp;$FD122,Règles_chevaux_trait[Ration]&amp;Règles_chevaux_trait[Aliment],0))="s1",IF($FD122=Spécificité1ChevauxTrait,1)),
AND(INDEX(Règles_chevaux_trait[Specificite],MATCH(RationEtéChevauxTrait&amp;$FD122,Règles_chevaux_trait[Ration]&amp;Règles_chevaux_trait[Aliment],0))="s2",IF($FD122=Spécificité2ChevauxTrait,1)),
INDEX(Règles_chevaux_trait[Specificite],MATCH(RationEtéChevauxTrait&amp;$FD122,Règles_chevaux_trait[Ration]&amp;Règles_chevaux_trait[Aliment],0))="c"),
INDEX(Règles_chevaux_trait[Valeur 36 et plus],MATCH(RationEtéChevauxTrait&amp;$FD122,Règles_chevaux_trait[Ration]&amp;Règles_chevaux_trait[Aliment],0)),0),0)*TotalJumentTrait*NbreJoursNourrirChevauxTrait)</f>
        <v>0</v>
      </c>
      <c r="FF122" s="458">
        <f t="array" ref="FF122">IF(OR(ChoixRationComplèteEtéChevauxTrait=OUI,ChoixRationComplèteEtéChevauxTrait="",AND(ChoixChevauxTraitPréHiver=OUI,ChoixChevauxTraitPréEté=OUI)),0,IFERROR(IF(OR(AND(INDEX(Règles_chevaux_trait[Specificite],MATCH(RationEtéChevauxTrait&amp;$FD122,Règles_chevaux_trait[Ration]&amp;Règles_chevaux_trait[Aliment],0))="s1",IF($FD122=Spécificité1ChevauxTrait,1)),
AND(INDEX(Règles_chevaux_trait[Specificite],MATCH(RationEtéChevauxTrait&amp;$FD122,Règles_chevaux_trait[Ration]&amp;Règles_chevaux_trait[Aliment],0))="s2",IF($FD122=Spécificité2ChevauxTrait,1)),
INDEX(Règles_chevaux_trait[Specificite],MATCH(RationEtéChevauxTrait&amp;$FD122,Règles_chevaux_trait[Ration]&amp;Règles_chevaux_trait[Aliment],0))="c"),
INDEX(Règles_chevaux_trait[Valeur 24-36],MATCH(RationEtéChevauxTrait&amp;$FD122,Règles_chevaux_trait[Ration]&amp;Règles_chevaux_trait[Aliment],0)),0),0)*TotalJeuneJumentTrait_24_36_mois*NbreJoursNourrirChevauxTrait)</f>
        <v>0</v>
      </c>
      <c r="FG122" s="458">
        <f t="array" ref="FG122">IF(OR(ChoixRationComplèteEtéChevauxTrait=OUI,ChoixRationComplèteEtéChevauxTrait="",AND(ChoixChevauxTraitPréHiver=OUI,ChoixChevauxTraitPréEté=OUI)),0,IFERROR(IF(OR(AND(INDEX(Règles_chevaux_trait[Specificite],MATCH(RationEtéChevauxTrait&amp;$FD122,Règles_chevaux_trait[Ration]&amp;Règles_chevaux_trait[Aliment],0))="s1",IF($FD122=Spécificité1ChevauxTrait,1)),
AND(INDEX(Règles_chevaux_trait[Specificite],MATCH(RationEtéChevauxTrait&amp;$FD122,Règles_chevaux_trait[Ration]&amp;Règles_chevaux_trait[Aliment],0))="s2",IF($FD122=Spécificité2ChevauxTrait,1)),
INDEX(Règles_chevaux_trait[Specificite],MATCH(RationEtéChevauxTrait&amp;$FD122,Règles_chevaux_trait[Ration]&amp;Règles_chevaux_trait[Aliment],0))="c"),
INDEX(Règles_chevaux_trait[Valeur 12-24],MATCH(RationEtéChevauxTrait&amp;$FD122,Règles_chevaux_trait[Ration]&amp;Règles_chevaux_trait[Aliment],0)),0),0)*TotalJeuneJumentTrait_12_24_mois*NbreJoursNourrirChevauxTrait)</f>
        <v>0</v>
      </c>
      <c r="FH122" s="460">
        <f t="array" ref="FH122">IF(OR(ChoixRationComplèteEtéChevauxTrait=OUI,ChoixRationComplèteEtéChevauxTrait="",AND(ChoixChevauxTraitPréHiver=OUI,ChoixChevauxTraitPréEté=OUI)),0,IFERROR(IF(OR(AND(INDEX(Règles_chevaux_trait[Specificite],MATCH(RationEtéChevauxTrait&amp;$FD122,Règles_chevaux_trait[Ration]&amp;Règles_chevaux_trait[Aliment],0))="s1",IF($FD122=Spécificité1ChevauxTrait,1)),
AND(INDEX(Règles_chevaux_trait[Specificite],MATCH(RationEtéChevauxTrait&amp;$FD122,Règles_chevaux_trait[Ration]&amp;Règles_chevaux_trait[Aliment],0))="s2",IF($FD122=Spécificité2ChevauxTrait,1)),
INDEX(Règles_chevaux_trait[Specificite],MATCH(RationEtéChevauxTrait&amp;$FD122,Règles_chevaux_trait[Ration]&amp;Règles_chevaux_trait[Aliment],0))="c"),
INDEX(Règles_chevaux_trait[Valeur 0-12],MATCH(RationEtéChevauxTrait&amp;$FD122,Règles_chevaux_trait[Ration]&amp;Règles_chevaux_trait[Aliment],0)),0),0)*TotalPoulicheTrait_0_12_mois*NbreJoursNourrirChevauxTrait)</f>
        <v>0</v>
      </c>
      <c r="FI122" s="460">
        <f t="shared" si="31"/>
        <v>0</v>
      </c>
      <c r="FJ122" s="298"/>
      <c r="FN122" s="457" t="str">
        <f t="shared" si="32"/>
        <v>Soja</v>
      </c>
      <c r="FO122" s="458">
        <f t="array" ref="FO122">IF(OR(ChoixRationComplèteEtéPoneys=OUI,ChoixRationComplèteEtéPoneys="",AND(ChoixPoneysPréHiver=OUI,ChoixPoneysPréEté=OUI)),0,IFERROR(IF(OR(AND(INDEX(Règles_poneys[Specificite],MATCH(RationHivernaleAuPréPoneys&amp;$FN122,Règles_poneys[Ration]&amp;Règles_poneys[Aliment],0))="s1",IF($FN122=Spécificité1Poneys,1)),
AND(INDEX(Règles_poneys[Specificite],MATCH(RationHivernaleAuPréPoneys&amp;$FN122,Règles_poneys[Ration]&amp;Règles_poneys[Aliment],0))="s2",IF($FN122=Spécificité2Poneys,1)),
INDEX(Règles_poneys[Specificite],MATCH(RationHivernaleAuPréPoneys&amp;$FN122,Règles_poneys[Ration]&amp;Règles_poneys[Aliment],0))="c"),
INDEX(Règles_poneys[Valeur 36 et plus],MATCH(RationHivernaleAuPréPoneys&amp;$FN122,Règles_poneys[Ration]&amp;Règles_poneys[Aliment],0)),0),0)*SUM(TotalPoneysAdultes)*SUM(AG118:AG142))</f>
        <v>0</v>
      </c>
      <c r="FP122" s="458">
        <f t="array" ref="FP122">IF(OR(ChoixRationComplèteEtéPoneys=OUI,ChoixRationComplèteEtéPoneys="",AND(ChoixPoneysPréHiver=OUI,ChoixPoneysPréEté=OUI)),0,IFERROR(IF(OR(AND(INDEX(Règles_poneys[Specificite],MATCH(RationHivernaleAuPréPoneys&amp;$FN122,Règles_poneys[Ration]&amp;Règles_poneys[Aliment],0))="s1",IF($FN122=Spécificité1Poneys,1)),
AND(INDEX(Règles_poneys[Specificite],MATCH(RationHivernaleAuPréPoneys&amp;$FN122,Règles_poneys[Ration]&amp;Règles_poneys[Aliment],0))="s2",IF($FN122=Spécificité2Poneys,1)),
INDEX(Règles_poneys[Specificite],MATCH(RationHivernaleAuPréPoneys&amp;$FN122,Règles_poneys[Ration]&amp;Règles_poneys[Aliment],0))="c"),
INDEX(Règles_poneys[Valeur 24-36],MATCH(RationHivernaleAuPréPoneys&amp;$FN122,Règles_poneys[Ration]&amp;Règles_poneys[Aliment],0)),0),0)*SUM(TotalPoneys_24_36mois)*SUM(AG118:AG142))</f>
        <v>0</v>
      </c>
      <c r="FQ122" s="458">
        <f t="array" ref="FQ122">IF(OR(ChoixRationComplèteEtéPoneys=OUI,ChoixRationComplèteEtéPoneys="",AND(ChoixPoneysPréHiver=OUI,ChoixPoneysPréEté=OUI)),0,IFERROR(IF(OR(AND(INDEX(Règles_poneys[Specificite],MATCH(RationHivernaleAuPréPoneys&amp;$FN122,Règles_poneys[Ration]&amp;Règles_poneys[Aliment],0))="s1",IF($FN122=Spécificité1Poneys,1)),
AND(INDEX(Règles_poneys[Specificite],MATCH(RationHivernaleAuPréPoneys&amp;$FN122,Règles_poneys[Ration]&amp;Règles_poneys[Aliment],0))="s2",IF($FN122=Spécificité2Poneys,1)),
INDEX(Règles_poneys[Specificite],MATCH(RationHivernaleAuPréPoneys&amp;$FN122,Règles_poneys[Ration]&amp;Règles_poneys[Aliment],0))="c"),
INDEX(Règles_poneys[Valeur 12-24],MATCH(RationHivernaleAuPréPoneys&amp;$FN122,Règles_poneys[Ration]&amp;Règles_poneys[Aliment],0)),0),0)*SUM(TotalPoneys_12_24mois)*SUM(AG118:AG142))</f>
        <v>0</v>
      </c>
      <c r="FR122" s="460">
        <f t="array" ref="FR122">IF(OR(ChoixRationComplèteEtéPoneys=OUI,ChoixRationComplèteEtéPoneys="",AND(ChoixPoneysPréHiver=OUI,ChoixPoneysPréEté=OUI)),0,IFERROR(IF(OR(AND(INDEX(Règles_poneys[Specificite],MATCH(RationHivernaleAuPréPoneys&amp;$FN122,Règles_poneys[Ration]&amp;Règles_poneys[Aliment],0))="s1",IF($FN122=Spécificité1Poneys,1)),
AND(INDEX(Règles_poneys[Specificite],MATCH(RationHivernaleAuPréPoneys&amp;$FN122,Règles_poneys[Ration]&amp;Règles_poneys[Aliment],0))="s2",IF($FN122=Spécificité2Poneys,1)),
INDEX(Règles_poneys[Specificite],MATCH(RationHivernaleAuPréPoneys&amp;$FN122,Règles_poneys[Ration]&amp;Règles_poneys[Aliment],0))="c"),
INDEX(Règles_poneys[Valeur 0-12],MATCH(RationHivernaleAuPréPoneys&amp;$FN122,Règles_poneys[Ration]&amp;Règles_poneys[Aliment],0)),0),0)*SUM(TotalPoulainsPoneys)*SUM(AG118:AG142))</f>
        <v>0</v>
      </c>
      <c r="FS122" s="460">
        <f t="shared" si="29"/>
        <v>0</v>
      </c>
      <c r="FT122" s="298"/>
      <c r="FW122" s="443" t="str">
        <f t="shared" si="27"/>
        <v>Triticale</v>
      </c>
      <c r="FX122" s="450">
        <f t="array" ref="FX122">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22" s="450">
        <f t="array" ref="FY122">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22" s="450">
        <f t="array" ref="FZ122">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22" s="450">
        <f t="array" ref="GA122">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22" s="451">
        <f>SUM(AlimentsGavageCanards[[#This Row],[Valeur 6 et plus]:[Valeur 0-1]])</f>
        <v>0</v>
      </c>
      <c r="GG122" s="276" t="s">
        <v>955</v>
      </c>
      <c r="GH122" s="276" t="s">
        <v>955</v>
      </c>
      <c r="GI122" s="276" t="s">
        <v>955</v>
      </c>
      <c r="GJ122" s="276" t="s">
        <v>955</v>
      </c>
      <c r="GK122" s="276" t="s">
        <v>955</v>
      </c>
      <c r="GL122" s="276" t="s">
        <v>955</v>
      </c>
      <c r="GM122" s="276" t="s">
        <v>955</v>
      </c>
      <c r="GN122" s="276" t="s">
        <v>955</v>
      </c>
      <c r="GO122" s="276" t="s">
        <v>955</v>
      </c>
      <c r="GP122" s="276" t="s">
        <v>955</v>
      </c>
      <c r="GQ122" s="276" t="s">
        <v>955</v>
      </c>
      <c r="GR122" s="276" t="s">
        <v>955</v>
      </c>
      <c r="GS122" s="276" t="s">
        <v>955</v>
      </c>
      <c r="GT122" s="276" t="s">
        <v>955</v>
      </c>
      <c r="GU122" s="276" t="s">
        <v>955</v>
      </c>
      <c r="GV122" s="276" t="s">
        <v>955</v>
      </c>
    </row>
    <row r="123" spans="1:236" ht="12.75" customHeight="1" x14ac:dyDescent="0.2">
      <c r="A123" s="373"/>
      <c r="B123" s="380"/>
      <c r="F123" s="280"/>
      <c r="G123" s="280"/>
      <c r="H123" s="280"/>
      <c r="I123" s="280"/>
      <c r="J123" s="280"/>
      <c r="K123" s="280"/>
      <c r="L123" s="280"/>
      <c r="BB123" s="387" t="s">
        <v>516</v>
      </c>
      <c r="BC123" s="362" t="s">
        <v>488</v>
      </c>
      <c r="BD123" s="362" t="s">
        <v>886</v>
      </c>
      <c r="BE123" s="388">
        <v>42</v>
      </c>
      <c r="BF123" s="388">
        <v>36</v>
      </c>
      <c r="BG123" s="388">
        <v>24</v>
      </c>
      <c r="BH123" s="388">
        <v>18</v>
      </c>
      <c r="BI123" s="388">
        <v>12</v>
      </c>
      <c r="BJ123" s="388">
        <v>6</v>
      </c>
      <c r="BK123" s="389">
        <v>0</v>
      </c>
      <c r="BL123" s="312"/>
      <c r="BM123" s="350" t="str">
        <f t="shared" si="43"/>
        <v>concentré jeunes porcins</v>
      </c>
      <c r="BN123" s="351">
        <f t="array" ref="BN123">SUM((IF(QualitéAlimentsBisonneauxMâles_0_3_mois=BONNE,VLOOKUP("concentré jeunes porcins",AlimentsRationHivernaleBisonsMâles,8,FALSE),0)+(IF(QualitéAlimentsBisonneauxFemelles_0_3_mois=BONNE,VLOOKUP("concentré jeunes porcins",AlimentsRationHivernaleBisonsFemelles,8,FALSE),0)+(IF(QualitéAlimentsBisonneauxMâles_3_6_mois=BONNE,VLOOKUP("concentré jeunes porcins",AlimentsRationHivernaleBisonsMâles,7,FALSE),0)+(IF(QualitéAlimentsBisonneauxFemelles_3_6_mois=BONNE,VLOOKUP("concentré jeunes porcins",AlimentsRationHivernaleBisonsFemelles,7,FALSE),0)+(IF(QualitéAlimentsBisonneauxMâles_6_12_mois=BONNE,VLOOKUP("concentré jeunes porcins",AlimentsRationHivernaleBisonsMâles,6,FALSE),0)+(IF(QualitéAlimentsBisonneauxFemelles_6_12_mois=BONNE,VLOOKUP("concentré jeunes porcins",AlimentsRationHivernaleBisonsFemelles,6,FALSE),0)+(IF(QualitéAlimentsJeunesBisons_12_18_mois=BONNE,VLOOKUP("concentré jeunes porcins",AlimentsRationHivernaleBisonsMâles,5,FALSE),0)+(IF(QualitéAlimentsJeunesBisonnes_12_18_mois=BONNE,VLOOKUP("concentré jeunes porcins",AlimentsRationHivernaleBisonsFemelles,5,FALSE),0)+(IF(QualitéAlimentsJeunesBisons_18_24_mois=BONNE,VLOOKUP("concentré jeunes porcins",AlimentsRationHivernaleBisonsMâles,4,FALSE),0)+(IF(QualitéAlimentsJeunesBisonnes_18_24_mois=BONNE,VLOOKUP("concentré jeunes porcins",AlimentsRationHivernaleBisonsFemelles,4,FALSE),0)+(IF(QualitéAlimentsJeunesBisons_24_36_mois=BONNE,VLOOKUP("concentré jeunes porcins",AlimentsRationHivernaleBisonsMâles,3,FALSE),0)+(IF(QualitéAlimentsJeunesBisonnes_24_36_mois=BONNE,VLOOKUP("concentré jeunes porcins",AlimentsRationHivernaleBisonsFemelles,3,FALSE),0)+(IF(QualitéAlimentsBisons=BONNE,VLOOKUP("concentré jeunes porcins",AlimentsRationHivernaleBisonsMâles,2,FALSE),0)+(IF(QualitéAlimentsBisonnes=BONNE,VLOOKUP("concentré jeunes porcins",AlimentsRationHivernaleBisonsFemelles,2,FALSE),0))))))))))))))))</f>
        <v>0</v>
      </c>
      <c r="BO123" s="351">
        <f t="array" ref="BO123">SUM((IF(QualitéAlimentsBisonneauxMâles_0_3_mois=MOYENNE,VLOOKUP("concentré jeunes porcins",AlimentsRationHivernaleBisonsMâles,8,FALSE),0)+(IF(QualitéAlimentsBisonneauxFemelles_0_3_mois=MOYENNE,VLOOKUP("concentré jeunes porcins",AlimentsRationHivernaleBisonsFemelles,8,FALSE),0)+(IF(QualitéAlimentsBisonneauxMâles_3_6_mois=MOYENNE,VLOOKUP("concentré jeunes porcins",AlimentsRationHivernaleBisonsMâles,7,FALSE),0)+(IF(QualitéAlimentsBisonneauxFemelles_3_6_mois=MOYENNE,VLOOKUP("concentré jeunes porcins",AlimentsRationHivernaleBisonsFemelles,7,FALSE),0)+(IF(QualitéAlimentsBisonneauxMâles_6_12_mois=MOYENNE,VLOOKUP("concentré jeunes porcins",AlimentsRationHivernaleBisonsMâles,6,FALSE),0)+(IF(QualitéAlimentsBisonneauxFemelles_6_12_mois=MOYENNE,VLOOKUP("concentré jeunes porcins",AlimentsRationHivernaleBisonsFemelles,6,FALSE),0)+(IF(QualitéAlimentsJeunesBisons_12_18_mois=MOYENNE,VLOOKUP("concentré jeunes porcins",AlimentsRationHivernaleBisonsMâles,5,FALSE),0)+(IF(QualitéAlimentsJeunesBisonnes_12_18_mois=MOYENNE,VLOOKUP("concentré jeunes porcins",AlimentsRationHivernaleBisonsFemelles,5,FALSE),0)+(IF(QualitéAlimentsJeunesBisons_18_24_mois=MOYENNE,VLOOKUP("concentré jeunes porcins",AlimentsRationHivernaleBisonsMâles,4,FALSE),0)+(IF(QualitéAlimentsJeunesBisonnes_18_24_mois=MOYENNE,VLOOKUP("concentré jeunes porcins",AlimentsRationHivernaleBisonsFemelles,4,FALSE),0)+(IF(QualitéAlimentsJeunesBisons_24_36_mois=MOYENNE,VLOOKUP("concentré jeunes porcins",AlimentsRationHivernaleBisonsMâles,3,FALSE),0)+(IF(QualitéAlimentsJeunesBisonnes_24_36_mois=MOYENNE,VLOOKUP("concentré jeunes porcins",AlimentsRationHivernaleBisonsFemelles,3,FALSE),0)+(IF(QualitéAlimentsBisons=MOYENNE,VLOOKUP("concentré jeunes porcins",AlimentsRationHivernaleBisonsMâles,2,FALSE),0)+(IF(QualitéAlimentsBisonnes=MOYENNE,VLOOKUP("concentré jeunes porcins",AlimentsRationHivernaleBisonsFemelles,2,FALSE),0))))))))))))))))</f>
        <v>0</v>
      </c>
      <c r="BP123" s="351">
        <f t="array" ref="BP123">SUM((IF(QualitéAlimentsBisonneauxMâles_0_3_mois=MAUVAISE,VLOOKUP("concentré jeunes porcins",AlimentsRationHivernaleBisonsMâles,8,FALSE),0)+(IF(QualitéAlimentsBisonneauxFemelles_0_3_mois=MAUVAISE,VLOOKUP("concentré jeunes porcins",AlimentsRationHivernaleBisonsFemelles,8,FALSE),0)+(IF(QualitéAlimentsBisonneauxMâles_3_6_mois=MAUVAISE,VLOOKUP("concentré jeunes porcins",AlimentsRationHivernaleBisonsMâles,7,FALSE),0)+(IF(QualitéAlimentsBisonneauxFemelles_3_6_mois=MAUVAISE,VLOOKUP("concentré jeunes porcins",AlimentsRationHivernaleBisonsFemelles,7,FALSE),0)+(IF(QualitéAlimentsBisonneauxMâles_6_12_mois=MAUVAISE,VLOOKUP("concentré jeunes porcins",AlimentsRationHivernaleBisonsMâles,6,FALSE),0)+(IF(QualitéAlimentsBisonneauxFemelles_6_12_mois=MAUVAISE,VLOOKUP("concentré jeunes porcins",AlimentsRationHivernaleBisonsFemelles,6,FALSE),0)+(IF(QualitéAlimentsJeunesBisons_12_18_mois=MAUVAISE,VLOOKUP("concentré jeunes porcins",AlimentsRationHivernaleBisonsMâles,5,FALSE),0)+(IF(QualitéAlimentsJeunesBisonnes_12_18_mois=MAUVAISE,VLOOKUP("concentré jeunes porcins",AlimentsRationHivernaleBisonsFemelles,5,FALSE),0)+(IF(QualitéAlimentsJeunesBisons_18_24_mois=MAUVAISE,VLOOKUP("concentré jeunes porcins",AlimentsRationHivernaleBisonsMâles,4,FALSE),0)+(IF(QualitéAlimentsJeunesBisonnes_18_24_mois=MAUVAISE,VLOOKUP("concentré jeunes porcins",AlimentsRationHivernaleBisonsFemelles,4,FALSE),0)+(IF(QualitéAlimentsJeunesBisons_24_36_mois=MAUVAISE,VLOOKUP("concentré jeunes porcins",AlimentsRationHivernaleBisonsMâles,3,FALSE),0)+(IF(QualitéAlimentsJeunesBisonnes_24_36_mois=MAUVAISE,VLOOKUP("concentré jeunes porcins",AlimentsRationHivernaleBisonsFemelles,3,FALSE),0)+(IF(QualitéAlimentsBisons=MAUVAISE,VLOOKUP("concentré jeunes porcins",AlimentsRationHivernaleBisonsMâles,2,FALSE),0)+(IF(QualitéAlimentsBisonnes=MAUVAISE,VLOOKUP("concentré jeunes porcins",AlimentsRationHivernaleBisonsFemelles,2,FALSE),0))))))))))))))))</f>
        <v>0</v>
      </c>
      <c r="BQ123" s="282"/>
      <c r="BR123" s="282"/>
      <c r="BS123" s="282"/>
      <c r="BT123" s="282"/>
      <c r="BU123" s="282"/>
      <c r="BX123" s="350" t="s">
        <v>269</v>
      </c>
      <c r="BY123" s="350">
        <f t="array" ref="BY123">IF(ChoixRationComplèteCaprins=OUI,0,IFERROR(IF(OR(AND(INDEX(Règles_caprins[Specificite],MATCH(ChoixRationCaprins&amp;$BX123,Règles_caprins[Ration]&amp;Règles_caprins[Aliment],0))="s1",IF($BX123=Spécificité1Caprins,1)),
INDEX(Règles_caprins[Specificite],MATCH(ChoixRationCaprins&amp;$BX123,Règles_caprins[Ration]&amp;Règles_caprins[Aliment],0))="c"),
INDEX(Règles_caprins[Valeur 12 et plus],MATCH(ChoixRationCaprins&amp;$BX123,Règles_caprins[Ration]&amp;Règles_caprins[Aliment],0)),0),0)*TotalBoucs*NbreJoursNourrirCaprins)</f>
        <v>0</v>
      </c>
      <c r="BZ123" s="350">
        <f t="array" ref="BZ123">IF(ChoixRationComplèteCaprins=OUI,0,IFERROR(IF(OR(AND(INDEX(Règles_caprins[Specificite],MATCH(ChoixRationCaprins&amp;$BX123,Règles_caprins[Ration]&amp;Règles_caprins[Aliment],0))="s1",IF($BX123=Spécificité1Caprins,1)),
INDEX(Règles_caprins[Specificite],MATCH(ChoixRationCaprins&amp;$BX123,Règles_caprins[Ration]&amp;Règles_caprins[Aliment],0))="c"),
INDEX(Règles_caprins[Valeur 6-12],MATCH(ChoixRationCaprins&amp;$BX123,Règles_caprins[Ration]&amp;Règles_caprins[Aliment],0)),0),0)*jeune_bouc_6_12_mois*NbreJoursNourrirCaprins)</f>
        <v>0</v>
      </c>
      <c r="CA123" s="350">
        <f t="array" ref="CA123">IF(ChoixRationComplèteCaprins=OUI,0,IFERROR(IF(OR(AND(INDEX(Règles_caprins[Specificite],MATCH(ChoixRationCaprins&amp;$BX123,Règles_caprins[Ration]&amp;Règles_caprins[Aliment],0))="s1",IF($BX123=Spécificité1Caprins,1)),
INDEX(Règles_caprins[Specificite],MATCH(ChoixRationCaprins&amp;$BX123,Règles_caprins[Ration]&amp;Règles_caprins[Aliment],0))="c"),
INDEX(Règles_caprins[Valeur 3-6],MATCH(ChoixRationCaprins&amp;$BX123,Règles_caprins[Ration]&amp;Règles_caprins[Aliment],0)),0),0)*chevreau_3_6_mois*NbreJoursNourrirCaprins)</f>
        <v>0</v>
      </c>
      <c r="CB123" s="350">
        <f t="array" ref="CB123">IF(ChoixRationComplèteCaprins=OUI,0,IFERROR(IF(OR(AND(INDEX(Règles_caprins[Specificite],MATCH(ChoixRationCaprins&amp;$BX123,Règles_caprins[Ration]&amp;Règles_caprins[Aliment],0))="s1",IF($BX123=Spécificité1Caprins,1)),
INDEX(Règles_caprins[Specificite],MATCH(ChoixRationCaprins&amp;$BX123,Règles_caprins[Ration]&amp;Règles_caprins[Aliment],0))="c"),
INDEX(Règles_caprins[Valeur 0-3],MATCH(ChoixRationCaprins&amp;$BX123,Règles_caprins[Ration]&amp;Règles_caprins[Aliment],0)),0),0)*chevreau_0_3_mois*NbreJoursNourrirCaprins)</f>
        <v>0</v>
      </c>
      <c r="CC123" s="350">
        <f t="shared" si="41"/>
        <v>0</v>
      </c>
      <c r="CH123" s="276"/>
      <c r="CI123" s="277"/>
      <c r="CJ123" s="276"/>
      <c r="CQ123" s="298"/>
      <c r="CS123" s="420" t="str">
        <f t="shared" si="36"/>
        <v>Pulpe déshydratée de betterave</v>
      </c>
      <c r="CT123" s="433">
        <f t="array" ref="CT123">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23" s="433">
        <f t="array" ref="CU123">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23" s="433">
        <f t="array" ref="CV123">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23" s="434">
        <f>SUM(AlimentsRationLapinsFemelles[[#This Row],[Valeur 3 et plus]:[Valeur 0-1]])</f>
        <v>0</v>
      </c>
      <c r="CY123" s="277"/>
      <c r="CZ123" s="420" t="str">
        <f t="shared" si="37"/>
        <v>Pulpe déshydratée de betterave</v>
      </c>
      <c r="DA123" s="433">
        <f t="array" ref="DA12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23" s="433">
        <f t="array" ref="DB12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23" s="433">
        <f t="array" ref="DC12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23" s="434">
        <f>SUM(AlimentsRationVolaillesFemelles[[#This Row],[Valeur 6 et plus]:[Valeur 0-1]])</f>
        <v>0</v>
      </c>
      <c r="DE123" s="298"/>
      <c r="DG123" s="384">
        <f t="shared" si="26"/>
        <v>0</v>
      </c>
      <c r="DH123" s="433">
        <f t="array" ref="DH12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23" s="433">
        <f t="array" ref="DI12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23" s="433">
        <f t="array" ref="DJ123">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23" s="437">
        <f>SUM(AlimentsRationPintadesFemelles[[#This Row],[Valeur 6 et plus]:[Valeur 0-1]])</f>
        <v>0</v>
      </c>
      <c r="DN123" s="373" t="s">
        <v>623</v>
      </c>
      <c r="DO123" s="280" t="s">
        <v>907</v>
      </c>
      <c r="DP123" s="280" t="s">
        <v>886</v>
      </c>
      <c r="DQ123" s="310">
        <v>1.2</v>
      </c>
      <c r="DR123" s="310">
        <v>0.8</v>
      </c>
      <c r="DS123" s="310">
        <v>0.6</v>
      </c>
      <c r="DT123" s="439">
        <v>0.4</v>
      </c>
      <c r="EG123" s="420" t="str">
        <f t="shared" si="30"/>
        <v>Sorgho ensilé</v>
      </c>
      <c r="EH123" s="433">
        <f t="array" ref="EH12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23" s="433">
        <f t="array" ref="EI12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23" s="433">
        <f t="array" ref="EJ12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23" s="434">
        <f>SUM(AlimentsRationOiesFemelles[[#This Row],[Valeur 6 et plus]:[Valeur 0-3]])</f>
        <v>0</v>
      </c>
      <c r="EN123" s="443" t="str">
        <f t="shared" si="28"/>
        <v>Tournesol</v>
      </c>
      <c r="EO123" s="450">
        <f t="array" ref="EO123">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23" s="450">
        <f t="array" ref="EP123">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23" s="450">
        <f t="array" ref="EQ123">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23" s="451">
        <f>SUM(Ration_canards_Femelles[[#This Row],[Valeur 6 et plus]:[Valeur 0-3]])</f>
        <v>0</v>
      </c>
      <c r="EU123" s="457" t="str">
        <f t="shared" si="40"/>
        <v>Paille</v>
      </c>
      <c r="EV123" s="458">
        <f t="array" ref="EV123">IF(OR(ChoixRationComplèteEtéChevauxSelle=OUI,ChoixRationComplèteEtéChevauxSelle="",AND(ChoixChevauxSellePréHiver=OUI,ChoixChevauxSellePréEté=OUI)),0,IFERROR(IF(OR(AND(INDEX(Règles_chevaux_selle[Specificite],MATCH(RationEtéChevauxSelle&amp;$EU123,Règles_chevaux_selle[Ration]&amp;Règles_chevaux_selle[Aliment],0))="s1",IF($EU123=Spécificité1ChevauxSelle,1)),
AND(INDEX(Règles_chevaux_selle[Specificite],MATCH(RationEtéChevauxSelle&amp;$EU123,Règles_chevaux_selle[Ration]&amp;Règles_chevaux_selle[Aliment],0))="s2",IF($EU123=Spécificité2ChevauxSelle,1)),
INDEX(Règles_chevaux_selle[Specificite],MATCH(RationEtéChevauxSelle&amp;$EU123,Règles_chevaux_selle[Ration]&amp;Règles_chevaux_selle[Aliment],0))="c"),
INDEX(Règles_chevaux_selle[Valeur 36 et plus],MATCH(RationEtéChevauxSelle&amp;$EU123,Règles_chevaux_selle[Ration]&amp;Règles_chevaux_selle[Aliment],0)),0),0)*TotalJumentSelle*NbreJoursNourrirChevauxSelle)</f>
        <v>0</v>
      </c>
      <c r="EW123" s="458">
        <f t="array" ref="EW123">IF(OR(ChoixRationComplèteEtéChevauxSelle=OUI,ChoixRationComplèteEtéChevauxSelle="",AND(ChoixChevauxSellePréHiver=OUI,ChoixChevauxSellePréEté=OUI)),0,IFERROR(IF(OR(AND(INDEX(Règles_chevaux_selle[Specificite],MATCH(RationEtéChevauxSelle&amp;$EU123,Règles_chevaux_selle[Ration]&amp;Règles_chevaux_selle[Aliment],0))="s1",IF($EU123=Spécificité1ChevauxSelle,1)),
AND(INDEX(Règles_chevaux_selle[Specificite],MATCH(RationEtéChevauxSelle&amp;$EU123,Règles_chevaux_selle[Ration]&amp;Règles_chevaux_selle[Aliment],0))="s2",IF($EU123=Spécificité2ChevauxSelle,1)),
INDEX(Règles_chevaux_selle[Specificite],MATCH(RationEtéChevauxSelle&amp;$EU123,Règles_chevaux_selle[Ration]&amp;Règles_chevaux_selle[Aliment],0))="c"),
INDEX(Règles_chevaux_selle[Valeur 24-36],MATCH(RationEtéChevauxSelle&amp;$EU123,Règles_chevaux_selle[Ration]&amp;Règles_chevaux_selle[Aliment],0)),0),0)*TotalJeuneJumentSelle_24_36_mois*NbreJoursNourrirChevauxSelle)</f>
        <v>0</v>
      </c>
      <c r="EX123" s="458">
        <f t="array" ref="EX123">IF(OR(ChoixRationComplèteEtéChevauxSelle=OUI,ChoixRationComplèteEtéChevauxSelle="",AND(ChoixChevauxSellePréHiver=OUI,ChoixChevauxSellePréEté=OUI)),0,IFERROR(IF(OR(AND(INDEX(Règles_chevaux_selle[Specificite],MATCH(RationEtéChevauxSelle&amp;$EU123,Règles_chevaux_selle[Ration]&amp;Règles_chevaux_selle[Aliment],0))="s1",IF($EU123=Spécificité1ChevauxSelle,1)),
AND(INDEX(Règles_chevaux_selle[Specificite],MATCH(RationEtéChevauxSelle&amp;$EU123,Règles_chevaux_selle[Ration]&amp;Règles_chevaux_selle[Aliment],0))="s2",IF($EU123=Spécificité2ChevauxSelle,1)),
INDEX(Règles_chevaux_selle[Specificite],MATCH(RationEtéChevauxSelle&amp;$EU123,Règles_chevaux_selle[Ration]&amp;Règles_chevaux_selle[Aliment],0))="c"),
INDEX(Règles_chevaux_selle[Valeur 12-24],MATCH(RationEtéChevauxSelle&amp;$EU123,Règles_chevaux_selle[Ration]&amp;Règles_chevaux_selle[Aliment],0)),0),0)*TotalJeuneJumentSelle_12_24_mois_12_24_mois*NbreJoursNourrirChevauxSelle)</f>
        <v>0</v>
      </c>
      <c r="EY123" s="460">
        <f t="array" ref="EY123">IF(OR(ChoixRationComplèteEtéChevauxSelle=OUI,ChoixRationComplèteEtéChevauxSelle="",AND(ChoixChevauxSellePréHiver=OUI,ChoixChevauxSellePréEté=OUI)),0,IFERROR(IF(OR(AND(INDEX(Règles_chevaux_selle[Specificite],MATCH(RationEtéChevauxSelle&amp;$EU123,Règles_chevaux_selle[Ration]&amp;Règles_chevaux_selle[Aliment],0))="s1",IF($EU123=Spécificité1ChevauxSelle,1)),
AND(INDEX(Règles_chevaux_selle[Specificite],MATCH(RationEtéChevauxSelle&amp;$EU123,Règles_chevaux_selle[Ration]&amp;Règles_chevaux_selle[Aliment],0))="s2",IF($EU123=Spécificité2ChevauxSelle,1)),
INDEX(Règles_chevaux_selle[Specificite],MATCH(RationEtéChevauxSelle&amp;$EU123,Règles_chevaux_selle[Ration]&amp;Règles_chevaux_selle[Aliment],0))="c"),
INDEX(Règles_chevaux_selle[Valeur 0-12],MATCH(RationEtéChevauxSelle&amp;$EU123,Règles_chevaux_selle[Ration]&amp;Règles_chevaux_selle[Aliment],0)),0),0)*TotalPoulicheSelle_0_12_mois*NbreJoursNourrirChevauxSelle)</f>
        <v>0</v>
      </c>
      <c r="EZ123" s="460">
        <f t="shared" si="39"/>
        <v>0</v>
      </c>
      <c r="FD123" s="457" t="str">
        <f t="shared" si="33"/>
        <v>Soja</v>
      </c>
      <c r="FE123" s="458">
        <f t="array" ref="FE123">IF(OR(ChoixRationComplèteEtéChevauxTrait=OUI,ChoixRationComplèteEtéChevauxTrait="",AND(ChoixChevauxTraitPréHiver=OUI,ChoixChevauxTraitPréEté=OUI)),0,IFERROR(IF(OR(AND(INDEX(Règles_chevaux_trait[Specificite],MATCH(RationEtéChevauxTrait&amp;$FD123,Règles_chevaux_trait[Ration]&amp;Règles_chevaux_trait[Aliment],0))="s1",IF($FD123=Spécificité1ChevauxTrait,1)),
AND(INDEX(Règles_chevaux_trait[Specificite],MATCH(RationEtéChevauxTrait&amp;$FD123,Règles_chevaux_trait[Ration]&amp;Règles_chevaux_trait[Aliment],0))="s2",IF($FD123=Spécificité2ChevauxTrait,1)),
INDEX(Règles_chevaux_trait[Specificite],MATCH(RationEtéChevauxTrait&amp;$FD123,Règles_chevaux_trait[Ration]&amp;Règles_chevaux_trait[Aliment],0))="c"),
INDEX(Règles_chevaux_trait[Valeur 36 et plus],MATCH(RationEtéChevauxTrait&amp;$FD123,Règles_chevaux_trait[Ration]&amp;Règles_chevaux_trait[Aliment],0)),0),0)*TotalJumentTrait*NbreJoursNourrirChevauxTrait)</f>
        <v>0</v>
      </c>
      <c r="FF123" s="458">
        <f t="array" ref="FF123">IF(OR(ChoixRationComplèteEtéChevauxTrait=OUI,ChoixRationComplèteEtéChevauxTrait="",AND(ChoixChevauxTraitPréHiver=OUI,ChoixChevauxTraitPréEté=OUI)),0,IFERROR(IF(OR(AND(INDEX(Règles_chevaux_trait[Specificite],MATCH(RationEtéChevauxTrait&amp;$FD123,Règles_chevaux_trait[Ration]&amp;Règles_chevaux_trait[Aliment],0))="s1",IF($FD123=Spécificité1ChevauxTrait,1)),
AND(INDEX(Règles_chevaux_trait[Specificite],MATCH(RationEtéChevauxTrait&amp;$FD123,Règles_chevaux_trait[Ration]&amp;Règles_chevaux_trait[Aliment],0))="s2",IF($FD123=Spécificité2ChevauxTrait,1)),
INDEX(Règles_chevaux_trait[Specificite],MATCH(RationEtéChevauxTrait&amp;$FD123,Règles_chevaux_trait[Ration]&amp;Règles_chevaux_trait[Aliment],0))="c"),
INDEX(Règles_chevaux_trait[Valeur 24-36],MATCH(RationEtéChevauxTrait&amp;$FD123,Règles_chevaux_trait[Ration]&amp;Règles_chevaux_trait[Aliment],0)),0),0)*TotalJeuneJumentTrait_24_36_mois*NbreJoursNourrirChevauxTrait)</f>
        <v>0</v>
      </c>
      <c r="FG123" s="458">
        <f t="array" ref="FG123">IF(OR(ChoixRationComplèteEtéChevauxTrait=OUI,ChoixRationComplèteEtéChevauxTrait="",AND(ChoixChevauxTraitPréHiver=OUI,ChoixChevauxTraitPréEté=OUI)),0,IFERROR(IF(OR(AND(INDEX(Règles_chevaux_trait[Specificite],MATCH(RationEtéChevauxTrait&amp;$FD123,Règles_chevaux_trait[Ration]&amp;Règles_chevaux_trait[Aliment],0))="s1",IF($FD123=Spécificité1ChevauxTrait,1)),
AND(INDEX(Règles_chevaux_trait[Specificite],MATCH(RationEtéChevauxTrait&amp;$FD123,Règles_chevaux_trait[Ration]&amp;Règles_chevaux_trait[Aliment],0))="s2",IF($FD123=Spécificité2ChevauxTrait,1)),
INDEX(Règles_chevaux_trait[Specificite],MATCH(RationEtéChevauxTrait&amp;$FD123,Règles_chevaux_trait[Ration]&amp;Règles_chevaux_trait[Aliment],0))="c"),
INDEX(Règles_chevaux_trait[Valeur 12-24],MATCH(RationEtéChevauxTrait&amp;$FD123,Règles_chevaux_trait[Ration]&amp;Règles_chevaux_trait[Aliment],0)),0),0)*TotalJeuneJumentTrait_12_24_mois*NbreJoursNourrirChevauxTrait)</f>
        <v>0</v>
      </c>
      <c r="FH123" s="460">
        <f t="array" ref="FH123">IF(OR(ChoixRationComplèteEtéChevauxTrait=OUI,ChoixRationComplèteEtéChevauxTrait="",AND(ChoixChevauxTraitPréHiver=OUI,ChoixChevauxTraitPréEté=OUI)),0,IFERROR(IF(OR(AND(INDEX(Règles_chevaux_trait[Specificite],MATCH(RationEtéChevauxTrait&amp;$FD123,Règles_chevaux_trait[Ration]&amp;Règles_chevaux_trait[Aliment],0))="s1",IF($FD123=Spécificité1ChevauxTrait,1)),
AND(INDEX(Règles_chevaux_trait[Specificite],MATCH(RationEtéChevauxTrait&amp;$FD123,Règles_chevaux_trait[Ration]&amp;Règles_chevaux_trait[Aliment],0))="s2",IF($FD123=Spécificité2ChevauxTrait,1)),
INDEX(Règles_chevaux_trait[Specificite],MATCH(RationEtéChevauxTrait&amp;$FD123,Règles_chevaux_trait[Ration]&amp;Règles_chevaux_trait[Aliment],0))="c"),
INDEX(Règles_chevaux_trait[Valeur 0-12],MATCH(RationEtéChevauxTrait&amp;$FD123,Règles_chevaux_trait[Ration]&amp;Règles_chevaux_trait[Aliment],0)),0),0)*TotalPoulicheTrait_0_12_mois*NbreJoursNourrirChevauxTrait)</f>
        <v>0</v>
      </c>
      <c r="FI123" s="460">
        <f t="shared" si="31"/>
        <v>0</v>
      </c>
      <c r="FJ123" s="298"/>
      <c r="FN123" s="457" t="str">
        <f t="shared" si="32"/>
        <v>Sorgho ensilé</v>
      </c>
      <c r="FO123" s="458">
        <f t="array" ref="FO123">IF(OR(ChoixRationComplèteEtéPoneys=OUI,ChoixRationComplèteEtéPoneys="",AND(ChoixPoneysPréHiver=OUI,ChoixPoneysPréEté=OUI)),0,IFERROR(IF(OR(AND(INDEX(Règles_poneys[Specificite],MATCH(RationHivernaleAuPréPoneys&amp;$FN123,Règles_poneys[Ration]&amp;Règles_poneys[Aliment],0))="s1",IF($FN123=Spécificité1Poneys,1)),
AND(INDEX(Règles_poneys[Specificite],MATCH(RationHivernaleAuPréPoneys&amp;$FN123,Règles_poneys[Ration]&amp;Règles_poneys[Aliment],0))="s2",IF($FN123=Spécificité2Poneys,1)),
INDEX(Règles_poneys[Specificite],MATCH(RationHivernaleAuPréPoneys&amp;$FN123,Règles_poneys[Ration]&amp;Règles_poneys[Aliment],0))="c"),
INDEX(Règles_poneys[Valeur 36 et plus],MATCH(RationHivernaleAuPréPoneys&amp;$FN123,Règles_poneys[Ration]&amp;Règles_poneys[Aliment],0)),0),0)*SUM(TotalPoneysAdultes)*SUM(AG118:AG142))</f>
        <v>0</v>
      </c>
      <c r="FP123" s="458">
        <f t="array" ref="FP123">IF(OR(ChoixRationComplèteEtéPoneys=OUI,ChoixRationComplèteEtéPoneys="",AND(ChoixPoneysPréHiver=OUI,ChoixPoneysPréEté=OUI)),0,IFERROR(IF(OR(AND(INDEX(Règles_poneys[Specificite],MATCH(RationHivernaleAuPréPoneys&amp;$FN123,Règles_poneys[Ration]&amp;Règles_poneys[Aliment],0))="s1",IF($FN123=Spécificité1Poneys,1)),
AND(INDEX(Règles_poneys[Specificite],MATCH(RationHivernaleAuPréPoneys&amp;$FN123,Règles_poneys[Ration]&amp;Règles_poneys[Aliment],0))="s2",IF($FN123=Spécificité2Poneys,1)),
INDEX(Règles_poneys[Specificite],MATCH(RationHivernaleAuPréPoneys&amp;$FN123,Règles_poneys[Ration]&amp;Règles_poneys[Aliment],0))="c"),
INDEX(Règles_poneys[Valeur 24-36],MATCH(RationHivernaleAuPréPoneys&amp;$FN123,Règles_poneys[Ration]&amp;Règles_poneys[Aliment],0)),0),0)*SUM(TotalPoneys_24_36mois)*SUM(AG118:AG142))</f>
        <v>0</v>
      </c>
      <c r="FQ123" s="458">
        <f t="array" ref="FQ123">IF(OR(ChoixRationComplèteEtéPoneys=OUI,ChoixRationComplèteEtéPoneys="",AND(ChoixPoneysPréHiver=OUI,ChoixPoneysPréEté=OUI)),0,IFERROR(IF(OR(AND(INDEX(Règles_poneys[Specificite],MATCH(RationHivernaleAuPréPoneys&amp;$FN123,Règles_poneys[Ration]&amp;Règles_poneys[Aliment],0))="s1",IF($FN123=Spécificité1Poneys,1)),
AND(INDEX(Règles_poneys[Specificite],MATCH(RationHivernaleAuPréPoneys&amp;$FN123,Règles_poneys[Ration]&amp;Règles_poneys[Aliment],0))="s2",IF($FN123=Spécificité2Poneys,1)),
INDEX(Règles_poneys[Specificite],MATCH(RationHivernaleAuPréPoneys&amp;$FN123,Règles_poneys[Ration]&amp;Règles_poneys[Aliment],0))="c"),
INDEX(Règles_poneys[Valeur 12-24],MATCH(RationHivernaleAuPréPoneys&amp;$FN123,Règles_poneys[Ration]&amp;Règles_poneys[Aliment],0)),0),0)*SUM(TotalPoneys_12_24mois)*SUM(AG118:AG142))</f>
        <v>0</v>
      </c>
      <c r="FR123" s="460">
        <f t="array" ref="FR123">IF(OR(ChoixRationComplèteEtéPoneys=OUI,ChoixRationComplèteEtéPoneys="",AND(ChoixPoneysPréHiver=OUI,ChoixPoneysPréEté=OUI)),0,IFERROR(IF(OR(AND(INDEX(Règles_poneys[Specificite],MATCH(RationHivernaleAuPréPoneys&amp;$FN123,Règles_poneys[Ration]&amp;Règles_poneys[Aliment],0))="s1",IF($FN123=Spécificité1Poneys,1)),
AND(INDEX(Règles_poneys[Specificite],MATCH(RationHivernaleAuPréPoneys&amp;$FN123,Règles_poneys[Ration]&amp;Règles_poneys[Aliment],0))="s2",IF($FN123=Spécificité2Poneys,1)),
INDEX(Règles_poneys[Specificite],MATCH(RationHivernaleAuPréPoneys&amp;$FN123,Règles_poneys[Ration]&amp;Règles_poneys[Aliment],0))="c"),
INDEX(Règles_poneys[Valeur 0-12],MATCH(RationHivernaleAuPréPoneys&amp;$FN123,Règles_poneys[Ration]&amp;Règles_poneys[Aliment],0)),0),0)*SUM(TotalPoulainsPoneys)*SUM(AG118:AG142))</f>
        <v>0</v>
      </c>
      <c r="FS123" s="460">
        <f t="shared" si="29"/>
        <v>0</v>
      </c>
      <c r="FT123" s="298"/>
      <c r="FW123" s="443">
        <f t="shared" si="27"/>
        <v>0</v>
      </c>
      <c r="FX123" s="450">
        <f t="array" ref="FX123">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23" s="450">
        <f t="array" ref="FY123">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23" s="450">
        <f t="array" ref="FZ123">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23" s="450">
        <f t="array" ref="GA123">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23" s="451">
        <f>SUM(AlimentsGavageCanards[[#This Row],[Valeur 6 et plus]:[Valeur 0-1]])</f>
        <v>0</v>
      </c>
      <c r="GG123" s="276" t="s">
        <v>955</v>
      </c>
      <c r="GH123" s="276" t="s">
        <v>955</v>
      </c>
      <c r="GI123" s="276" t="s">
        <v>955</v>
      </c>
      <c r="GJ123" s="276" t="s">
        <v>955</v>
      </c>
      <c r="GK123" s="276" t="s">
        <v>955</v>
      </c>
      <c r="GL123" s="276" t="s">
        <v>955</v>
      </c>
      <c r="GM123" s="276" t="s">
        <v>955</v>
      </c>
      <c r="GN123" s="276" t="s">
        <v>955</v>
      </c>
      <c r="GO123" s="276" t="s">
        <v>955</v>
      </c>
      <c r="GP123" s="276" t="s">
        <v>955</v>
      </c>
      <c r="GQ123" s="276" t="s">
        <v>955</v>
      </c>
      <c r="GR123" s="276" t="s">
        <v>955</v>
      </c>
      <c r="GS123" s="276" t="s">
        <v>955</v>
      </c>
      <c r="GT123" s="276" t="s">
        <v>955</v>
      </c>
      <c r="GU123" s="276" t="s">
        <v>955</v>
      </c>
      <c r="GV123" s="276" t="s">
        <v>955</v>
      </c>
    </row>
    <row r="124" spans="1:236" ht="12.75" customHeight="1" x14ac:dyDescent="0.2">
      <c r="A124" s="373"/>
      <c r="B124" s="380"/>
      <c r="BB124" s="387" t="s">
        <v>516</v>
      </c>
      <c r="BC124" s="362" t="s">
        <v>489</v>
      </c>
      <c r="BD124" s="362" t="s">
        <v>887</v>
      </c>
      <c r="BE124" s="388">
        <v>7.2</v>
      </c>
      <c r="BF124" s="388">
        <v>6</v>
      </c>
      <c r="BG124" s="388">
        <v>4</v>
      </c>
      <c r="BH124" s="388">
        <v>2</v>
      </c>
      <c r="BI124" s="388">
        <v>1.2</v>
      </c>
      <c r="BJ124" s="388">
        <v>0.6</v>
      </c>
      <c r="BK124" s="389">
        <v>0</v>
      </c>
      <c r="BL124" s="312"/>
      <c r="BM124" s="350" t="str">
        <f t="shared" si="43"/>
        <v>Ensilage d'herbe</v>
      </c>
      <c r="BN124" s="351">
        <f t="array" ref="BN124">SUM((IF(QualitéAlimentsBisonneauxMâles_0_3_mois=BONNE,VLOOKUP("ensilage d'herbe",AlimentsRationHivernaleBisonsMâles,8,FALSE),0)+(IF(QualitéAlimentsBisonneauxFemelles_0_3_mois=BONNE,VLOOKUP("ensilage d'herbe",AlimentsRationHivernaleBisonsFemelles,8,FALSE),0)+(IF(QualitéAlimentsBisonneauxMâles_3_6_mois=BONNE,VLOOKUP("ensilage d'herbe",AlimentsRationHivernaleBisonsMâles,7,FALSE),0)+(IF(QualitéAlimentsBisonneauxFemelles_3_6_mois=BONNE,VLOOKUP("ensilage d'herbe",AlimentsRationHivernaleBisonsFemelles,7,FALSE),0)+(IF(QualitéAlimentsBisonneauxMâles_6_12_mois=BONNE,VLOOKUP("ensilage d'herbe",AlimentsRationHivernaleBisonsMâles,6,FALSE),0)+(IF(QualitéAlimentsBisonneauxFemelles_6_12_mois=BONNE,VLOOKUP("ensilage d'herbe",AlimentsRationHivernaleBisonsFemelles,6,FALSE),0)+(IF(QualitéAlimentsJeunesBisons_12_18_mois=BONNE,VLOOKUP("ensilage d'herbe",AlimentsRationHivernaleBisonsMâles,5,FALSE),0)+(IF(QualitéAlimentsJeunesBisonnes_12_18_mois=BONNE,VLOOKUP("ensilage d'herbe",AlimentsRationHivernaleBisonsFemelles,5,FALSE),0)+(IF(QualitéAlimentsJeunesBisons_18_24_mois=BONNE,VLOOKUP("ensilage d'herbe",AlimentsRationHivernaleBisonsMâles,4,FALSE),0)+(IF(QualitéAlimentsJeunesBisonnes_18_24_mois=BONNE,VLOOKUP("ensilage d'herbe",AlimentsRationHivernaleBisonsFemelles,4,FALSE),0)+(IF(QualitéAlimentsJeunesBisons_24_36_mois=BONNE,VLOOKUP("ensilage d'herbe",AlimentsRationHivernaleBisonsMâles,3,FALSE),0)+(IF(QualitéAlimentsJeunesBisonnes_24_36_mois=BONNE,VLOOKUP("ensilage d'herbe",AlimentsRationHivernaleBisonsFemelles,3,FALSE),0)+(IF(QualitéAlimentsBisons=BONNE,VLOOKUP("ensilage d'herbe",AlimentsRationHivernaleBisonsMâles,2,FALSE),0)+(IF(QualitéAlimentsBisonnes=BONNE,VLOOKUP("ensilage d'herbe",AlimentsRationHivernaleBisonsFemelles,2,FALSE),0))))))))))))))))</f>
        <v>0</v>
      </c>
      <c r="BO124" s="351">
        <f t="array" ref="BO124">SUM((IF(QualitéAlimentsBisonneauxMâles_0_3_mois=MOYENNE,VLOOKUP("ensilage d'herbe",AlimentsRationHivernaleBisonsMâles,8,FALSE),0)+(IF(QualitéAlimentsBisonneauxFemelles_0_3_mois=MOYENNE,VLOOKUP("ensilage d'herbe",AlimentsRationHivernaleBisonsFemelles,8,FALSE),0)+(IF(QualitéAlimentsBisonneauxMâles_3_6_mois=MOYENNE,VLOOKUP("ensilage d'herbe",AlimentsRationHivernaleBisonsMâles,7,FALSE),0)+(IF(QualitéAlimentsBisonneauxFemelles_3_6_mois=MOYENNE,VLOOKUP("ensilage d'herbe",AlimentsRationHivernaleBisonsFemelles,7,FALSE),0)+(IF(QualitéAlimentsBisonneauxMâles_6_12_mois=MOYENNE,VLOOKUP("ensilage d'herbe",AlimentsRationHivernaleBisonsMâles,6,FALSE),0)+(IF(QualitéAlimentsBisonneauxFemelles_6_12_mois=MOYENNE,VLOOKUP("ensilage d'herbe",AlimentsRationHivernaleBisonsFemelles,6,FALSE),0)+(IF(QualitéAlimentsJeunesBisons_12_18_mois=MOYENNE,VLOOKUP("ensilage d'herbe",AlimentsRationHivernaleBisonsMâles,5,FALSE),0)+(IF(QualitéAlimentsJeunesBisonnes_12_18_mois=MOYENNE,VLOOKUP("ensilage d'herbe",AlimentsRationHivernaleBisonsFemelles,5,FALSE),0)+(IF(QualitéAlimentsJeunesBisons_18_24_mois=MOYENNE,VLOOKUP("ensilage d'herbe",AlimentsRationHivernaleBisonsMâles,4,FALSE),0)+(IF(QualitéAlimentsJeunesBisonnes_18_24_mois=MOYENNE,VLOOKUP("ensilage d'herbe",AlimentsRationHivernaleBisonsFemelles,4,FALSE),0)+(IF(QualitéAlimentsJeunesBisons_24_36_mois=MOYENNE,VLOOKUP("ensilage d'herbe",AlimentsRationHivernaleBisonsMâles,3,FALSE),0)+(IF(QualitéAlimentsJeunesBisonnes_24_36_mois=MOYENNE,VLOOKUP("ensilage d'herbe",AlimentsRationHivernaleBisonsFemelles,3,FALSE),0)+(IF(QualitéAlimentsBisons=MOYENNE,VLOOKUP("ensilage d'herbe",AlimentsRationHivernaleBisonsMâles,2,FALSE),0)+(IF(QualitéAlimentsBisonnes=MOYENNE,VLOOKUP("ensilage d'herbe",AlimentsRationHivernaleBisonsFemelles,2,FALSE),0))))))))))))))))</f>
        <v>0</v>
      </c>
      <c r="BP124" s="351">
        <f t="array" ref="BP124">SUM((IF(QualitéAlimentsBisonneauxMâles_0_3_mois=MAUVAISE,VLOOKUP("ensilage d'herbe",AlimentsRationHivernaleBisonsMâles,8,FALSE),0)+(IF(QualitéAlimentsBisonneauxFemelles_0_3_mois=MAUVAISE,VLOOKUP("ensilage d'herbe",AlimentsRationHivernaleBisonsFemelles,8,FALSE),0)+(IF(QualitéAlimentsBisonneauxMâles_3_6_mois=MAUVAISE,VLOOKUP("ensilage d'herbe",AlimentsRationHivernaleBisonsMâles,7,FALSE),0)+(IF(QualitéAlimentsBisonneauxFemelles_3_6_mois=MAUVAISE,VLOOKUP("ensilage d'herbe",AlimentsRationHivernaleBisonsFemelles,7,FALSE),0)+(IF(QualitéAlimentsBisonneauxMâles_6_12_mois=MAUVAISE,VLOOKUP("ensilage d'herbe",AlimentsRationHivernaleBisonsMâles,6,FALSE),0)+(IF(QualitéAlimentsBisonneauxFemelles_6_12_mois=MAUVAISE,VLOOKUP("ensilage d'herbe",AlimentsRationHivernaleBisonsFemelles,6,FALSE),0)+(IF(QualitéAlimentsJeunesBisons_12_18_mois=MAUVAISE,VLOOKUP("ensilage d'herbe",AlimentsRationHivernaleBisonsMâles,5,FALSE),0)+(IF(QualitéAlimentsJeunesBisonnes_12_18_mois=MAUVAISE,VLOOKUP("ensilage d'herbe",AlimentsRationHivernaleBisonsFemelles,5,FALSE),0)+(IF(QualitéAlimentsJeunesBisons_18_24_mois=MAUVAISE,VLOOKUP("ensilage d'herbe",AlimentsRationHivernaleBisonsMâles,4,FALSE),0)+(IF(QualitéAlimentsJeunesBisonnes_18_24_mois=MAUVAISE,VLOOKUP("ensilage d'herbe",AlimentsRationHivernaleBisonsFemelles,4,FALSE),0)+(IF(QualitéAlimentsJeunesBisons_24_36_mois=MAUVAISE,VLOOKUP("ensilage d'herbe",AlimentsRationHivernaleBisonsMâles,3,FALSE),0)+(IF(QualitéAlimentsJeunesBisonnes_24_36_mois=MAUVAISE,VLOOKUP("ensilage d'herbe",AlimentsRationHivernaleBisonsFemelles,3,FALSE),0)+(IF(QualitéAlimentsBisons=MAUVAISE,VLOOKUP("ensilage d'herbe",AlimentsRationHivernaleBisonsMâles,2,FALSE),0)+(IF(QualitéAlimentsBisonnes=MAUVAISE,VLOOKUP("ensilage d'herbe",AlimentsRationHivernaleBisonsFemelles,2,FALSE),0))))))))))))))))</f>
        <v>0</v>
      </c>
      <c r="BQ124" s="282"/>
      <c r="BR124" s="282"/>
      <c r="BS124" s="282"/>
      <c r="BT124" s="282"/>
      <c r="BU124" s="282"/>
      <c r="BX124" s="350" t="s">
        <v>268</v>
      </c>
      <c r="BY124" s="350">
        <f t="array" ref="BY124">IF(ChoixRationComplèteCaprins=OUI,0,IFERROR(IF(OR(AND(INDEX(Règles_caprins[Specificite],MATCH(ChoixRationCaprins&amp;$BX124,Règles_caprins[Ration]&amp;Règles_caprins[Aliment],0))="s1",IF($BX124=Spécificité1Caprins,1)),
INDEX(Règles_caprins[Specificite],MATCH(ChoixRationCaprins&amp;$BX124,Règles_caprins[Ration]&amp;Règles_caprins[Aliment],0))="c"),
INDEX(Règles_caprins[Valeur 12 et plus],MATCH(ChoixRationCaprins&amp;$BX124,Règles_caprins[Ration]&amp;Règles_caprins[Aliment],0)),0),0)*TotalBoucs*NbreJoursNourrirCaprins)</f>
        <v>0</v>
      </c>
      <c r="BZ124" s="350">
        <f t="array" ref="BZ124">IF(ChoixRationComplèteCaprins=OUI,0,IFERROR(IF(OR(AND(INDEX(Règles_caprins[Specificite],MATCH(ChoixRationCaprins&amp;$BX124,Règles_caprins[Ration]&amp;Règles_caprins[Aliment],0))="s1",IF($BX124=Spécificité1Caprins,1)),
INDEX(Règles_caprins[Specificite],MATCH(ChoixRationCaprins&amp;$BX124,Règles_caprins[Ration]&amp;Règles_caprins[Aliment],0))="c"),
INDEX(Règles_caprins[Valeur 6-12],MATCH(ChoixRationCaprins&amp;$BX124,Règles_caprins[Ration]&amp;Règles_caprins[Aliment],0)),0),0)*jeune_bouc_6_12_mois*NbreJoursNourrirCaprins)</f>
        <v>0</v>
      </c>
      <c r="CA124" s="350">
        <f t="array" ref="CA124">IF(ChoixRationComplèteCaprins=OUI,0,IFERROR(IF(OR(AND(INDEX(Règles_caprins[Specificite],MATCH(ChoixRationCaprins&amp;$BX124,Règles_caprins[Ration]&amp;Règles_caprins[Aliment],0))="s1",IF($BX124=Spécificité1Caprins,1)),
INDEX(Règles_caprins[Specificite],MATCH(ChoixRationCaprins&amp;$BX124,Règles_caprins[Ration]&amp;Règles_caprins[Aliment],0))="c"),
INDEX(Règles_caprins[Valeur 3-6],MATCH(ChoixRationCaprins&amp;$BX124,Règles_caprins[Ration]&amp;Règles_caprins[Aliment],0)),0),0)*chevreau_3_6_mois*NbreJoursNourrirCaprins)</f>
        <v>0</v>
      </c>
      <c r="CB124" s="350">
        <f t="array" ref="CB124">IF(ChoixRationComplèteCaprins=OUI,0,IFERROR(IF(OR(AND(INDEX(Règles_caprins[Specificite],MATCH(ChoixRationCaprins&amp;$BX124,Règles_caprins[Ration]&amp;Règles_caprins[Aliment],0))="s1",IF($BX124=Spécificité1Caprins,1)),
INDEX(Règles_caprins[Specificite],MATCH(ChoixRationCaprins&amp;$BX124,Règles_caprins[Ration]&amp;Règles_caprins[Aliment],0))="c"),
INDEX(Règles_caprins[Valeur 0-3],MATCH(ChoixRationCaprins&amp;$BX124,Règles_caprins[Ration]&amp;Règles_caprins[Aliment],0)),0),0)*chevreau_0_3_mois*NbreJoursNourrirCaprins)</f>
        <v>0</v>
      </c>
      <c r="CC124" s="350">
        <f t="shared" si="41"/>
        <v>0</v>
      </c>
      <c r="CH124" s="276"/>
      <c r="CI124" s="277"/>
      <c r="CJ124" s="229" t="s">
        <v>912</v>
      </c>
      <c r="CK124" s="229"/>
      <c r="CL124" s="229"/>
      <c r="CM124" s="229"/>
      <c r="CN124" s="229"/>
      <c r="CO124" s="229"/>
      <c r="CP124" s="229"/>
      <c r="CQ124" s="298"/>
      <c r="CS124" s="420" t="str">
        <f t="shared" si="36"/>
        <v>Ration complète</v>
      </c>
      <c r="CT124" s="433">
        <f t="array" ref="CT124">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24" s="433">
        <f t="array" ref="CU124">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24" s="433">
        <f t="array" ref="CV124">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24" s="434">
        <f>SUM(AlimentsRationLapinsFemelles[[#This Row],[Valeur 3 et plus]:[Valeur 0-1]])</f>
        <v>0</v>
      </c>
      <c r="CY124" s="277"/>
      <c r="CZ124" s="420" t="str">
        <f t="shared" si="37"/>
        <v>Ration complète</v>
      </c>
      <c r="DA124" s="433">
        <f t="array" ref="DA12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24" s="433">
        <f t="array" ref="DB12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24" s="433">
        <f t="array" ref="DC12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24" s="434">
        <f>SUM(AlimentsRationVolaillesFemelles[[#This Row],[Valeur 6 et plus]:[Valeur 0-1]])</f>
        <v>0</v>
      </c>
      <c r="DE124" s="298"/>
      <c r="DG124" s="384">
        <f t="shared" si="26"/>
        <v>0</v>
      </c>
      <c r="DH124" s="433">
        <f t="array" ref="DH12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24" s="433">
        <f t="array" ref="DI12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24" s="433">
        <f t="array" ref="DJ124">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24" s="437">
        <f>SUM(AlimentsRationPintadesFemelles[[#This Row],[Valeur 6 et plus]:[Valeur 0-1]])</f>
        <v>0</v>
      </c>
      <c r="DN124" s="373" t="s">
        <v>623</v>
      </c>
      <c r="DO124" s="280" t="s">
        <v>500</v>
      </c>
      <c r="DP124" s="280" t="s">
        <v>886</v>
      </c>
      <c r="DQ124" s="310">
        <v>1.2</v>
      </c>
      <c r="DR124" s="310">
        <v>0.8</v>
      </c>
      <c r="DS124" s="310">
        <v>0.6</v>
      </c>
      <c r="DT124" s="439">
        <v>0.4</v>
      </c>
      <c r="EG124" s="420" t="str">
        <f t="shared" si="30"/>
        <v>Tournesol</v>
      </c>
      <c r="EH124" s="433">
        <f t="array" ref="EH12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24" s="433">
        <f t="array" ref="EI12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24" s="433">
        <f t="array" ref="EJ124">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24" s="434">
        <f>SUM(AlimentsRationOiesFemelles[[#This Row],[Valeur 6 et plus]:[Valeur 0-3]])</f>
        <v>0</v>
      </c>
      <c r="EN124" s="443" t="str">
        <f t="shared" si="28"/>
        <v>Tourteau de colza</v>
      </c>
      <c r="EO124" s="450">
        <f t="array" ref="EO124">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24" s="450">
        <f t="array" ref="EP124">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24" s="450">
        <f t="array" ref="EQ124">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24" s="451">
        <f>SUM(Ration_canards_Femelles[[#This Row],[Valeur 6 et plus]:[Valeur 0-3]])</f>
        <v>0</v>
      </c>
      <c r="EU124" s="457" t="str">
        <f t="shared" si="40"/>
        <v>Pois</v>
      </c>
      <c r="EV124" s="458">
        <f t="array" ref="EV124">IF(OR(ChoixRationComplèteEtéChevauxSelle=OUI,ChoixRationComplèteEtéChevauxSelle="",AND(ChoixChevauxSellePréHiver=OUI,ChoixChevauxSellePréEté=OUI)),0,IFERROR(IF(OR(AND(INDEX(Règles_chevaux_selle[Specificite],MATCH(RationEtéChevauxSelle&amp;$EU124,Règles_chevaux_selle[Ration]&amp;Règles_chevaux_selle[Aliment],0))="s1",IF($EU124=Spécificité1ChevauxSelle,1)),
AND(INDEX(Règles_chevaux_selle[Specificite],MATCH(RationEtéChevauxSelle&amp;$EU124,Règles_chevaux_selle[Ration]&amp;Règles_chevaux_selle[Aliment],0))="s2",IF($EU124=Spécificité2ChevauxSelle,1)),
INDEX(Règles_chevaux_selle[Specificite],MATCH(RationEtéChevauxSelle&amp;$EU124,Règles_chevaux_selle[Ration]&amp;Règles_chevaux_selle[Aliment],0))="c"),
INDEX(Règles_chevaux_selle[Valeur 36 et plus],MATCH(RationEtéChevauxSelle&amp;$EU124,Règles_chevaux_selle[Ration]&amp;Règles_chevaux_selle[Aliment],0)),0),0)*TotalJumentSelle*NbreJoursNourrirChevauxSelle)</f>
        <v>0</v>
      </c>
      <c r="EW124" s="458">
        <f t="array" ref="EW124">IF(OR(ChoixRationComplèteEtéChevauxSelle=OUI,ChoixRationComplèteEtéChevauxSelle="",AND(ChoixChevauxSellePréHiver=OUI,ChoixChevauxSellePréEté=OUI)),0,IFERROR(IF(OR(AND(INDEX(Règles_chevaux_selle[Specificite],MATCH(RationEtéChevauxSelle&amp;$EU124,Règles_chevaux_selle[Ration]&amp;Règles_chevaux_selle[Aliment],0))="s1",IF($EU124=Spécificité1ChevauxSelle,1)),
AND(INDEX(Règles_chevaux_selle[Specificite],MATCH(RationEtéChevauxSelle&amp;$EU124,Règles_chevaux_selle[Ration]&amp;Règles_chevaux_selle[Aliment],0))="s2",IF($EU124=Spécificité2ChevauxSelle,1)),
INDEX(Règles_chevaux_selle[Specificite],MATCH(RationEtéChevauxSelle&amp;$EU124,Règles_chevaux_selle[Ration]&amp;Règles_chevaux_selle[Aliment],0))="c"),
INDEX(Règles_chevaux_selle[Valeur 24-36],MATCH(RationEtéChevauxSelle&amp;$EU124,Règles_chevaux_selle[Ration]&amp;Règles_chevaux_selle[Aliment],0)),0),0)*TotalJeuneJumentSelle_24_36_mois*NbreJoursNourrirChevauxSelle)</f>
        <v>0</v>
      </c>
      <c r="EX124" s="458">
        <f t="array" ref="EX124">IF(OR(ChoixRationComplèteEtéChevauxSelle=OUI,ChoixRationComplèteEtéChevauxSelle="",AND(ChoixChevauxSellePréHiver=OUI,ChoixChevauxSellePréEté=OUI)),0,IFERROR(IF(OR(AND(INDEX(Règles_chevaux_selle[Specificite],MATCH(RationEtéChevauxSelle&amp;$EU124,Règles_chevaux_selle[Ration]&amp;Règles_chevaux_selle[Aliment],0))="s1",IF($EU124=Spécificité1ChevauxSelle,1)),
AND(INDEX(Règles_chevaux_selle[Specificite],MATCH(RationEtéChevauxSelle&amp;$EU124,Règles_chevaux_selle[Ration]&amp;Règles_chevaux_selle[Aliment],0))="s2",IF($EU124=Spécificité2ChevauxSelle,1)),
INDEX(Règles_chevaux_selle[Specificite],MATCH(RationEtéChevauxSelle&amp;$EU124,Règles_chevaux_selle[Ration]&amp;Règles_chevaux_selle[Aliment],0))="c"),
INDEX(Règles_chevaux_selle[Valeur 12-24],MATCH(RationEtéChevauxSelle&amp;$EU124,Règles_chevaux_selle[Ration]&amp;Règles_chevaux_selle[Aliment],0)),0),0)*TotalJeuneJumentSelle_12_24_mois_12_24_mois*NbreJoursNourrirChevauxSelle)</f>
        <v>0</v>
      </c>
      <c r="EY124" s="460">
        <f t="array" ref="EY124">IF(OR(ChoixRationComplèteEtéChevauxSelle=OUI,ChoixRationComplèteEtéChevauxSelle="",AND(ChoixChevauxSellePréHiver=OUI,ChoixChevauxSellePréEté=OUI)),0,IFERROR(IF(OR(AND(INDEX(Règles_chevaux_selle[Specificite],MATCH(RationEtéChevauxSelle&amp;$EU124,Règles_chevaux_selle[Ration]&amp;Règles_chevaux_selle[Aliment],0))="s1",IF($EU124=Spécificité1ChevauxSelle,1)),
AND(INDEX(Règles_chevaux_selle[Specificite],MATCH(RationEtéChevauxSelle&amp;$EU124,Règles_chevaux_selle[Ration]&amp;Règles_chevaux_selle[Aliment],0))="s2",IF($EU124=Spécificité2ChevauxSelle,1)),
INDEX(Règles_chevaux_selle[Specificite],MATCH(RationEtéChevauxSelle&amp;$EU124,Règles_chevaux_selle[Ration]&amp;Règles_chevaux_selle[Aliment],0))="c"),
INDEX(Règles_chevaux_selle[Valeur 0-12],MATCH(RationEtéChevauxSelle&amp;$EU124,Règles_chevaux_selle[Ration]&amp;Règles_chevaux_selle[Aliment],0)),0),0)*TotalPoulicheSelle_0_12_mois*NbreJoursNourrirChevauxSelle)</f>
        <v>0</v>
      </c>
      <c r="EZ124" s="460">
        <f t="shared" si="39"/>
        <v>0</v>
      </c>
      <c r="FD124" s="457" t="str">
        <f t="shared" si="33"/>
        <v>Sorgho ensilé</v>
      </c>
      <c r="FE124" s="458">
        <f t="array" ref="FE124">IF(OR(ChoixRationComplèteEtéChevauxTrait=OUI,ChoixRationComplèteEtéChevauxTrait="",AND(ChoixChevauxTraitPréHiver=OUI,ChoixChevauxTraitPréEté=OUI)),0,IFERROR(IF(OR(AND(INDEX(Règles_chevaux_trait[Specificite],MATCH(RationEtéChevauxTrait&amp;$FD124,Règles_chevaux_trait[Ration]&amp;Règles_chevaux_trait[Aliment],0))="s1",IF($FD124=Spécificité1ChevauxTrait,1)),
AND(INDEX(Règles_chevaux_trait[Specificite],MATCH(RationEtéChevauxTrait&amp;$FD124,Règles_chevaux_trait[Ration]&amp;Règles_chevaux_trait[Aliment],0))="s2",IF($FD124=Spécificité2ChevauxTrait,1)),
INDEX(Règles_chevaux_trait[Specificite],MATCH(RationEtéChevauxTrait&amp;$FD124,Règles_chevaux_trait[Ration]&amp;Règles_chevaux_trait[Aliment],0))="c"),
INDEX(Règles_chevaux_trait[Valeur 36 et plus],MATCH(RationEtéChevauxTrait&amp;$FD124,Règles_chevaux_trait[Ration]&amp;Règles_chevaux_trait[Aliment],0)),0),0)*TotalJumentTrait*NbreJoursNourrirChevauxTrait)</f>
        <v>0</v>
      </c>
      <c r="FF124" s="458">
        <f t="array" ref="FF124">IF(OR(ChoixRationComplèteEtéChevauxTrait=OUI,ChoixRationComplèteEtéChevauxTrait="",AND(ChoixChevauxTraitPréHiver=OUI,ChoixChevauxTraitPréEté=OUI)),0,IFERROR(IF(OR(AND(INDEX(Règles_chevaux_trait[Specificite],MATCH(RationEtéChevauxTrait&amp;$FD124,Règles_chevaux_trait[Ration]&amp;Règles_chevaux_trait[Aliment],0))="s1",IF($FD124=Spécificité1ChevauxTrait,1)),
AND(INDEX(Règles_chevaux_trait[Specificite],MATCH(RationEtéChevauxTrait&amp;$FD124,Règles_chevaux_trait[Ration]&amp;Règles_chevaux_trait[Aliment],0))="s2",IF($FD124=Spécificité2ChevauxTrait,1)),
INDEX(Règles_chevaux_trait[Specificite],MATCH(RationEtéChevauxTrait&amp;$FD124,Règles_chevaux_trait[Ration]&amp;Règles_chevaux_trait[Aliment],0))="c"),
INDEX(Règles_chevaux_trait[Valeur 24-36],MATCH(RationEtéChevauxTrait&amp;$FD124,Règles_chevaux_trait[Ration]&amp;Règles_chevaux_trait[Aliment],0)),0),0)*TotalJeuneJumentTrait_24_36_mois*NbreJoursNourrirChevauxTrait)</f>
        <v>0</v>
      </c>
      <c r="FG124" s="458">
        <f t="array" ref="FG124">IF(OR(ChoixRationComplèteEtéChevauxTrait=OUI,ChoixRationComplèteEtéChevauxTrait="",AND(ChoixChevauxTraitPréHiver=OUI,ChoixChevauxTraitPréEté=OUI)),0,IFERROR(IF(OR(AND(INDEX(Règles_chevaux_trait[Specificite],MATCH(RationEtéChevauxTrait&amp;$FD124,Règles_chevaux_trait[Ration]&amp;Règles_chevaux_trait[Aliment],0))="s1",IF($FD124=Spécificité1ChevauxTrait,1)),
AND(INDEX(Règles_chevaux_trait[Specificite],MATCH(RationEtéChevauxTrait&amp;$FD124,Règles_chevaux_trait[Ration]&amp;Règles_chevaux_trait[Aliment],0))="s2",IF($FD124=Spécificité2ChevauxTrait,1)),
INDEX(Règles_chevaux_trait[Specificite],MATCH(RationEtéChevauxTrait&amp;$FD124,Règles_chevaux_trait[Ration]&amp;Règles_chevaux_trait[Aliment],0))="c"),
INDEX(Règles_chevaux_trait[Valeur 12-24],MATCH(RationEtéChevauxTrait&amp;$FD124,Règles_chevaux_trait[Ration]&amp;Règles_chevaux_trait[Aliment],0)),0),0)*TotalJeuneJumentTrait_12_24_mois*NbreJoursNourrirChevauxTrait)</f>
        <v>0</v>
      </c>
      <c r="FH124" s="460">
        <f t="array" ref="FH124">IF(OR(ChoixRationComplèteEtéChevauxTrait=OUI,ChoixRationComplèteEtéChevauxTrait="",AND(ChoixChevauxTraitPréHiver=OUI,ChoixChevauxTraitPréEté=OUI)),0,IFERROR(IF(OR(AND(INDEX(Règles_chevaux_trait[Specificite],MATCH(RationEtéChevauxTrait&amp;$FD124,Règles_chevaux_trait[Ration]&amp;Règles_chevaux_trait[Aliment],0))="s1",IF($FD124=Spécificité1ChevauxTrait,1)),
AND(INDEX(Règles_chevaux_trait[Specificite],MATCH(RationEtéChevauxTrait&amp;$FD124,Règles_chevaux_trait[Ration]&amp;Règles_chevaux_trait[Aliment],0))="s2",IF($FD124=Spécificité2ChevauxTrait,1)),
INDEX(Règles_chevaux_trait[Specificite],MATCH(RationEtéChevauxTrait&amp;$FD124,Règles_chevaux_trait[Ration]&amp;Règles_chevaux_trait[Aliment],0))="c"),
INDEX(Règles_chevaux_trait[Valeur 0-12],MATCH(RationEtéChevauxTrait&amp;$FD124,Règles_chevaux_trait[Ration]&amp;Règles_chevaux_trait[Aliment],0)),0),0)*TotalPoulicheTrait_0_12_mois*NbreJoursNourrirChevauxTrait)</f>
        <v>0</v>
      </c>
      <c r="FI124" s="460">
        <f t="shared" si="31"/>
        <v>0</v>
      </c>
      <c r="FJ124" s="298"/>
      <c r="FN124" s="457" t="str">
        <f t="shared" si="32"/>
        <v>Tournesol</v>
      </c>
      <c r="FO124" s="458">
        <f t="array" ref="FO124">IF(OR(ChoixRationComplèteEtéPoneys=OUI,ChoixRationComplèteEtéPoneys="",AND(ChoixPoneysPréHiver=OUI,ChoixPoneysPréEté=OUI)),0,IFERROR(IF(OR(AND(INDEX(Règles_poneys[Specificite],MATCH(RationHivernaleAuPréPoneys&amp;$FN124,Règles_poneys[Ration]&amp;Règles_poneys[Aliment],0))="s1",IF($FN124=Spécificité1Poneys,1)),
AND(INDEX(Règles_poneys[Specificite],MATCH(RationHivernaleAuPréPoneys&amp;$FN124,Règles_poneys[Ration]&amp;Règles_poneys[Aliment],0))="s2",IF($FN124=Spécificité2Poneys,1)),
INDEX(Règles_poneys[Specificite],MATCH(RationHivernaleAuPréPoneys&amp;$FN124,Règles_poneys[Ration]&amp;Règles_poneys[Aliment],0))="c"),
INDEX(Règles_poneys[Valeur 36 et plus],MATCH(RationHivernaleAuPréPoneys&amp;$FN124,Règles_poneys[Ration]&amp;Règles_poneys[Aliment],0)),0),0)*SUM(TotalPoneysAdultes)*SUM(AG118:AG142))</f>
        <v>0</v>
      </c>
      <c r="FP124" s="458">
        <f t="array" ref="FP124">IF(OR(ChoixRationComplèteEtéPoneys=OUI,ChoixRationComplèteEtéPoneys="",AND(ChoixPoneysPréHiver=OUI,ChoixPoneysPréEté=OUI)),0,IFERROR(IF(OR(AND(INDEX(Règles_poneys[Specificite],MATCH(RationHivernaleAuPréPoneys&amp;$FN124,Règles_poneys[Ration]&amp;Règles_poneys[Aliment],0))="s1",IF($FN124=Spécificité1Poneys,1)),
AND(INDEX(Règles_poneys[Specificite],MATCH(RationHivernaleAuPréPoneys&amp;$FN124,Règles_poneys[Ration]&amp;Règles_poneys[Aliment],0))="s2",IF($FN124=Spécificité2Poneys,1)),
INDEX(Règles_poneys[Specificite],MATCH(RationHivernaleAuPréPoneys&amp;$FN124,Règles_poneys[Ration]&amp;Règles_poneys[Aliment],0))="c"),
INDEX(Règles_poneys[Valeur 24-36],MATCH(RationHivernaleAuPréPoneys&amp;$FN124,Règles_poneys[Ration]&amp;Règles_poneys[Aliment],0)),0),0)*SUM(TotalPoneys_24_36mois)*SUM(AG118:AG142))</f>
        <v>0</v>
      </c>
      <c r="FQ124" s="458">
        <f t="array" ref="FQ124">IF(OR(ChoixRationComplèteEtéPoneys=OUI,ChoixRationComplèteEtéPoneys="",AND(ChoixPoneysPréHiver=OUI,ChoixPoneysPréEté=OUI)),0,IFERROR(IF(OR(AND(INDEX(Règles_poneys[Specificite],MATCH(RationHivernaleAuPréPoneys&amp;$FN124,Règles_poneys[Ration]&amp;Règles_poneys[Aliment],0))="s1",IF($FN124=Spécificité1Poneys,1)),
AND(INDEX(Règles_poneys[Specificite],MATCH(RationHivernaleAuPréPoneys&amp;$FN124,Règles_poneys[Ration]&amp;Règles_poneys[Aliment],0))="s2",IF($FN124=Spécificité2Poneys,1)),
INDEX(Règles_poneys[Specificite],MATCH(RationHivernaleAuPréPoneys&amp;$FN124,Règles_poneys[Ration]&amp;Règles_poneys[Aliment],0))="c"),
INDEX(Règles_poneys[Valeur 12-24],MATCH(RationHivernaleAuPréPoneys&amp;$FN124,Règles_poneys[Ration]&amp;Règles_poneys[Aliment],0)),0),0)*SUM(TotalPoneys_12_24mois)*SUM(AG118:AG142))</f>
        <v>0</v>
      </c>
      <c r="FR124" s="460">
        <f t="array" ref="FR124">IF(OR(ChoixRationComplèteEtéPoneys=OUI,ChoixRationComplèteEtéPoneys="",AND(ChoixPoneysPréHiver=OUI,ChoixPoneysPréEté=OUI)),0,IFERROR(IF(OR(AND(INDEX(Règles_poneys[Specificite],MATCH(RationHivernaleAuPréPoneys&amp;$FN124,Règles_poneys[Ration]&amp;Règles_poneys[Aliment],0))="s1",IF($FN124=Spécificité1Poneys,1)),
AND(INDEX(Règles_poneys[Specificite],MATCH(RationHivernaleAuPréPoneys&amp;$FN124,Règles_poneys[Ration]&amp;Règles_poneys[Aliment],0))="s2",IF($FN124=Spécificité2Poneys,1)),
INDEX(Règles_poneys[Specificite],MATCH(RationHivernaleAuPréPoneys&amp;$FN124,Règles_poneys[Ration]&amp;Règles_poneys[Aliment],0))="c"),
INDEX(Règles_poneys[Valeur 0-12],MATCH(RationHivernaleAuPréPoneys&amp;$FN124,Règles_poneys[Ration]&amp;Règles_poneys[Aliment],0)),0),0)*SUM(TotalPoulainsPoneys)*SUM(AG118:AG142))</f>
        <v>0</v>
      </c>
      <c r="FS124" s="460">
        <f t="shared" si="29"/>
        <v>0</v>
      </c>
      <c r="FT124" s="298"/>
      <c r="FW124" s="443">
        <f t="shared" si="27"/>
        <v>0</v>
      </c>
      <c r="FX124" s="450">
        <f t="array" ref="FX124">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24" s="450">
        <f t="array" ref="FY124">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24" s="450">
        <f t="array" ref="FZ124">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24" s="450">
        <f t="array" ref="GA124">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24" s="451">
        <f>SUM(AlimentsGavageCanards[[#This Row],[Valeur 6 et plus]:[Valeur 0-1]])</f>
        <v>0</v>
      </c>
      <c r="GG124" s="276" t="s">
        <v>955</v>
      </c>
      <c r="GH124" s="276" t="s">
        <v>955</v>
      </c>
      <c r="GI124" s="276" t="s">
        <v>955</v>
      </c>
      <c r="GJ124" s="276" t="s">
        <v>955</v>
      </c>
      <c r="GK124" s="276" t="s">
        <v>955</v>
      </c>
      <c r="GL124" s="276" t="s">
        <v>955</v>
      </c>
      <c r="GM124" s="276" t="s">
        <v>955</v>
      </c>
      <c r="GN124" s="276" t="s">
        <v>955</v>
      </c>
      <c r="GO124" s="276" t="s">
        <v>955</v>
      </c>
      <c r="GP124" s="276" t="s">
        <v>955</v>
      </c>
      <c r="GQ124" s="276" t="s">
        <v>955</v>
      </c>
      <c r="GR124" s="276" t="s">
        <v>955</v>
      </c>
      <c r="GS124" s="276" t="s">
        <v>955</v>
      </c>
      <c r="GT124" s="276" t="s">
        <v>955</v>
      </c>
      <c r="GU124" s="276" t="s">
        <v>955</v>
      </c>
      <c r="GV124" s="276" t="s">
        <v>955</v>
      </c>
    </row>
    <row r="125" spans="1:236" ht="12.75" customHeight="1" x14ac:dyDescent="0.2">
      <c r="A125" s="373"/>
      <c r="B125" s="380"/>
      <c r="BB125" s="387" t="s">
        <v>516</v>
      </c>
      <c r="BC125" s="362" t="s">
        <v>220</v>
      </c>
      <c r="BD125" s="362" t="s">
        <v>887</v>
      </c>
      <c r="BE125" s="388">
        <v>7.2</v>
      </c>
      <c r="BF125" s="388">
        <v>6</v>
      </c>
      <c r="BG125" s="388">
        <v>4</v>
      </c>
      <c r="BH125" s="388">
        <v>2</v>
      </c>
      <c r="BI125" s="388">
        <v>1.2</v>
      </c>
      <c r="BJ125" s="388">
        <v>0.6</v>
      </c>
      <c r="BK125" s="389">
        <v>0</v>
      </c>
      <c r="BL125" s="312"/>
      <c r="BM125" s="350" t="str">
        <f t="shared" si="43"/>
        <v>Eau</v>
      </c>
      <c r="BN125" s="351">
        <f t="array" ref="BN125">SUM((IF(QualitéAlimentsBisonneauxMâles_0_3_mois=BONNE,VLOOKUP("eau",AlimentsRationHivernaleBisonsMâles,8,FALSE),0)+(IF(QualitéAlimentsBisonneauxFemelles_0_3_mois=BONNE,VLOOKUP("eau",AlimentsRationHivernaleBisonsFemelles,8,FALSE),0)+(IF(QualitéAlimentsBisonneauxMâles_3_6_mois=BONNE,VLOOKUP("eau",AlimentsRationHivernaleBisonsMâles,7,FALSE),0)+(IF(QualitéAlimentsBisonneauxFemelles_3_6_mois=BONNE,VLOOKUP("eau",AlimentsRationHivernaleBisonsFemelles,7,FALSE),0)+(IF(QualitéAlimentsBisonneauxMâles_6_12_mois=BONNE,VLOOKUP("eau",AlimentsRationHivernaleBisonsMâles,6,FALSE),0)+(IF(QualitéAlimentsBisonneauxFemelles_6_12_mois=BONNE,VLOOKUP("eau",AlimentsRationHivernaleBisonsFemelles,6,FALSE),0)+(IF(QualitéAlimentsJeunesBisons_12_18_mois=BONNE,VLOOKUP("eau",AlimentsRationHivernaleBisonsMâles,5,FALSE),0)+(IF(QualitéAlimentsJeunesBisonnes_12_18_mois=BONNE,VLOOKUP("eau",AlimentsRationHivernaleBisonsFemelles,5,FALSE),0)+(IF(QualitéAlimentsJeunesBisons_18_24_mois=BONNE,VLOOKUP("eau",AlimentsRationHivernaleBisonsMâles,4,FALSE),0)+(IF(QualitéAlimentsJeunesBisonnes_18_24_mois=BONNE,VLOOKUP("eau",AlimentsRationHivernaleBisonsFemelles,4,FALSE),0)+(IF(QualitéAlimentsJeunesBisons_24_36_mois=BONNE,VLOOKUP("eau",AlimentsRationHivernaleBisonsMâles,3,FALSE),0)+(IF(QualitéAlimentsJeunesBisonnes_24_36_mois=BONNE,VLOOKUP("eau",AlimentsRationHivernaleBisonsFemelles,3,FALSE),0)+(IF(QualitéAlimentsBisons=BONNE,VLOOKUP("eau",AlimentsRationHivernaleBisonsMâles,2,FALSE),0)+(IF(QualitéAlimentsBisonnes=BONNE,VLOOKUP("eau",AlimentsRationHivernaleBisonsFemelles,2,FALSE),0))))))))))))))))</f>
        <v>0</v>
      </c>
      <c r="BO125" s="351">
        <f t="array" ref="BO125">SUM((IF(QualitéAlimentsBisonneauxMâles_0_3_mois=MOYENNE,VLOOKUP("eau",AlimentsRationHivernaleBisonsMâles,8,FALSE),0)+(IF(QualitéAlimentsBisonneauxFemelles_0_3_mois=MOYENNE,VLOOKUP("eau",AlimentsRationHivernaleBisonsFemelles,8,FALSE),0)+(IF(QualitéAlimentsBisonneauxMâles_3_6_mois=MOYENNE,VLOOKUP("eau",AlimentsRationHivernaleBisonsMâles,7,FALSE),0)+(IF(QualitéAlimentsBisonneauxFemelles_3_6_mois=MOYENNE,VLOOKUP("eau",AlimentsRationHivernaleBisonsFemelles,7,FALSE),0)+(IF(QualitéAlimentsBisonneauxMâles_6_12_mois=MOYENNE,VLOOKUP("eau",AlimentsRationHivernaleBisonsMâles,6,FALSE),0)+(IF(QualitéAlimentsBisonneauxFemelles_6_12_mois=MOYENNE,VLOOKUP("eau",AlimentsRationHivernaleBisonsFemelles,6,FALSE),0)+(IF(QualitéAlimentsJeunesBisons_12_18_mois=MOYENNE,VLOOKUP("eau",AlimentsRationHivernaleBisonsMâles,5,FALSE),0)+(IF(QualitéAlimentsJeunesBisonnes_12_18_mois=MOYENNE,VLOOKUP("eau",AlimentsRationHivernaleBisonsFemelles,5,FALSE),0)+(IF(QualitéAlimentsJeunesBisons_18_24_mois=MOYENNE,VLOOKUP("eau",AlimentsRationHivernaleBisonsMâles,4,FALSE),0)+(IF(QualitéAlimentsJeunesBisonnes_18_24_mois=MOYENNE,VLOOKUP("eau",AlimentsRationHivernaleBisonsFemelles,4,FALSE),0)+(IF(QualitéAlimentsJeunesBisons_24_36_mois=MOYENNE,VLOOKUP("eau",AlimentsRationHivernaleBisonsMâles,3,FALSE),0)+(IF(QualitéAlimentsJeunesBisonnes_24_36_mois=MOYENNE,VLOOKUP("eau",AlimentsRationHivernaleBisonsFemelles,3,FALSE),0)+(IF(QualitéAlimentsBisons=MOYENNE,VLOOKUP("eau",AlimentsRationHivernaleBisonsMâles,2,FALSE),0)+(IF(QualitéAlimentsBisonnes=MOYENNE,VLOOKUP("eau",AlimentsRationHivernaleBisonsFemelles,2,FALSE),0))))))))))))))))</f>
        <v>0</v>
      </c>
      <c r="BP125" s="351">
        <f t="array" ref="BP125">SUM((IF(QualitéAlimentsBisonneauxMâles_0_3_mois=MAUVAISE,VLOOKUP("eau",AlimentsRationHivernaleBisonsMâles,8,FALSE),0)+(IF(QualitéAlimentsBisonneauxFemelles_0_3_mois=MAUVAISE,VLOOKUP("eau",AlimentsRationHivernaleBisonsFemelles,8,FALSE),0)+(IF(QualitéAlimentsBisonneauxMâles_3_6_mois=MAUVAISE,VLOOKUP("eau",AlimentsRationHivernaleBisonsMâles,7,FALSE),0)+(IF(QualitéAlimentsBisonneauxFemelles_3_6_mois=MAUVAISE,VLOOKUP("eau",AlimentsRationHivernaleBisonsFemelles,7,FALSE),0)+(IF(QualitéAlimentsBisonneauxMâles_6_12_mois=MAUVAISE,VLOOKUP("eau",AlimentsRationHivernaleBisonsMâles,6,FALSE),0)+(IF(QualitéAlimentsBisonneauxFemelles_6_12_mois=MAUVAISE,VLOOKUP("eau",AlimentsRationHivernaleBisonsFemelles,6,FALSE),0)+(IF(QualitéAlimentsJeunesBisons_12_18_mois=MAUVAISE,VLOOKUP("eau",AlimentsRationHivernaleBisonsMâles,5,FALSE),0)+(IF(QualitéAlimentsJeunesBisonnes_12_18_mois=MAUVAISE,VLOOKUP("eau",AlimentsRationHivernaleBisonsFemelles,5,FALSE),0)+(IF(QualitéAlimentsJeunesBisons_18_24_mois=MAUVAISE,VLOOKUP("eau",AlimentsRationHivernaleBisonsMâles,4,FALSE),0)+(IF(QualitéAlimentsJeunesBisonnes_18_24_mois=MAUVAISE,VLOOKUP("eau",AlimentsRationHivernaleBisonsFemelles,4,FALSE),0)+(IF(QualitéAlimentsJeunesBisons_24_36_mois=MAUVAISE,VLOOKUP("eau",AlimentsRationHivernaleBisonsMâles,3,FALSE),0)+(IF(QualitéAlimentsJeunesBisonnes_24_36_mois=MAUVAISE,VLOOKUP("eau",AlimentsRationHivernaleBisonsFemelles,3,FALSE),0)+(IF(QualitéAlimentsBisons=MAUVAISE,VLOOKUP("eau",AlimentsRationHivernaleBisonsMâles,2,FALSE),0)+(IF(QualitéAlimentsBisonnes=MAUVAISE,VLOOKUP("eau",AlimentsRationHivernaleBisonsFemelles,2,FALSE),0))))))))))))))))</f>
        <v>0</v>
      </c>
      <c r="BQ125" s="282"/>
      <c r="BR125" s="282"/>
      <c r="BS125" s="282"/>
      <c r="BT125" s="282"/>
      <c r="BU125" s="282"/>
      <c r="BX125" s="350" t="s">
        <v>905</v>
      </c>
      <c r="BY125" s="350">
        <f t="array" ref="BY125">IF(ChoixRationComplèteCaprins=OUI,0,IFERROR(IF(OR(AND(INDEX(Règles_caprins[Specificite],MATCH(ChoixRationCaprins&amp;$BX125,Règles_caprins[Ration]&amp;Règles_caprins[Aliment],0))="s1",IF($BX125=Spécificité1Caprins,1)),
INDEX(Règles_caprins[Specificite],MATCH(ChoixRationCaprins&amp;$BX125,Règles_caprins[Ration]&amp;Règles_caprins[Aliment],0))="c"),
INDEX(Règles_caprins[Valeur 12 et plus],MATCH(ChoixRationCaprins&amp;$BX125,Règles_caprins[Ration]&amp;Règles_caprins[Aliment],0)),0),0)*TotalBoucs*NbreJoursNourrirCaprins)</f>
        <v>1.04</v>
      </c>
      <c r="BZ125" s="350">
        <f t="array" ref="BZ125">IF(ChoixRationComplèteCaprins=OUI,0,IFERROR(IF(OR(AND(INDEX(Règles_caprins[Specificite],MATCH(ChoixRationCaprins&amp;$BX125,Règles_caprins[Ration]&amp;Règles_caprins[Aliment],0))="s1",IF($BX125=Spécificité1Caprins,1)),
INDEX(Règles_caprins[Specificite],MATCH(ChoixRationCaprins&amp;$BX125,Règles_caprins[Ration]&amp;Règles_caprins[Aliment],0))="c"),
INDEX(Règles_caprins[Valeur 6-12],MATCH(ChoixRationCaprins&amp;$BX125,Règles_caprins[Ration]&amp;Règles_caprins[Aliment],0)),0),0)*jeune_bouc_6_12_mois*NbreJoursNourrirCaprins)</f>
        <v>3.08</v>
      </c>
      <c r="CA125" s="350">
        <f t="array" ref="CA125">IF(ChoixRationComplèteCaprins=OUI,0,IFERROR(IF(OR(AND(INDEX(Règles_caprins[Specificite],MATCH(ChoixRationCaprins&amp;$BX125,Règles_caprins[Ration]&amp;Règles_caprins[Aliment],0))="s1",IF($BX125=Spécificité1Caprins,1)),
INDEX(Règles_caprins[Specificite],MATCH(ChoixRationCaprins&amp;$BX125,Règles_caprins[Ration]&amp;Règles_caprins[Aliment],0))="c"),
INDEX(Règles_caprins[Valeur 3-6],MATCH(ChoixRationCaprins&amp;$BX125,Règles_caprins[Ration]&amp;Règles_caprins[Aliment],0)),0),0)*chevreau_3_6_mois*NbreJoursNourrirCaprins)</f>
        <v>1.24</v>
      </c>
      <c r="CB125" s="350">
        <f t="array" ref="CB125">IF(ChoixRationComplèteCaprins=OUI,0,IFERROR(IF(OR(AND(INDEX(Règles_caprins[Specificite],MATCH(ChoixRationCaprins&amp;$BX125,Règles_caprins[Ration]&amp;Règles_caprins[Aliment],0))="s1",IF($BX125=Spécificité1Caprins,1)),
INDEX(Règles_caprins[Specificite],MATCH(ChoixRationCaprins&amp;$BX125,Règles_caprins[Ration]&amp;Règles_caprins[Aliment],0))="c"),
INDEX(Règles_caprins[Valeur 0-3],MATCH(ChoixRationCaprins&amp;$BX125,Règles_caprins[Ration]&amp;Règles_caprins[Aliment],0)),0),0)*chevreau_0_3_mois*NbreJoursNourrirCaprins)</f>
        <v>2.64</v>
      </c>
      <c r="CC125" s="350">
        <f t="shared" si="41"/>
        <v>8</v>
      </c>
      <c r="CH125" s="276"/>
      <c r="CI125" s="277"/>
      <c r="CJ125" s="394" t="s">
        <v>910</v>
      </c>
      <c r="CK125" s="395" t="s">
        <v>914</v>
      </c>
      <c r="CL125" s="395" t="s">
        <v>891</v>
      </c>
      <c r="CM125" s="395" t="s">
        <v>890</v>
      </c>
      <c r="CN125" s="395" t="s">
        <v>917</v>
      </c>
      <c r="CO125" s="395" t="s">
        <v>918</v>
      </c>
      <c r="CP125" s="396" t="s">
        <v>903</v>
      </c>
      <c r="CQ125" s="298"/>
      <c r="CS125" s="420" t="str">
        <f t="shared" si="36"/>
        <v>Seigle</v>
      </c>
      <c r="CT125" s="433">
        <f t="array" ref="CT125">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25" s="433">
        <f t="array" ref="CU125">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25" s="433">
        <f t="array" ref="CV125">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25" s="434">
        <f>SUM(AlimentsRationLapinsFemelles[[#This Row],[Valeur 3 et plus]:[Valeur 0-1]])</f>
        <v>0</v>
      </c>
      <c r="CY125" s="277"/>
      <c r="CZ125" s="420" t="str">
        <f t="shared" si="37"/>
        <v>Seigle</v>
      </c>
      <c r="DA125" s="433">
        <f t="array" ref="DA12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25" s="433">
        <f t="array" ref="DB12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25" s="433">
        <f t="array" ref="DC12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25" s="434">
        <f>SUM(AlimentsRationVolaillesFemelles[[#This Row],[Valeur 6 et plus]:[Valeur 0-1]])</f>
        <v>0</v>
      </c>
      <c r="DE125" s="298"/>
      <c r="DG125" s="384">
        <f t="shared" si="26"/>
        <v>0</v>
      </c>
      <c r="DH125" s="433">
        <f t="array" ref="DH12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25" s="433">
        <f t="array" ref="DI12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25" s="433">
        <f t="array" ref="DJ125">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25" s="437">
        <f>SUM(AlimentsRationPintadesFemelles[[#This Row],[Valeur 6 et plus]:[Valeur 0-1]])</f>
        <v>0</v>
      </c>
      <c r="DN125" s="373" t="s">
        <v>623</v>
      </c>
      <c r="DO125" s="280" t="s">
        <v>905</v>
      </c>
      <c r="DP125" s="280" t="s">
        <v>886</v>
      </c>
      <c r="DQ125" s="310">
        <v>0.14000000000000001</v>
      </c>
      <c r="DR125" s="310">
        <v>0.08</v>
      </c>
      <c r="DS125" s="310">
        <v>0.04</v>
      </c>
      <c r="DT125" s="439">
        <v>0.04</v>
      </c>
      <c r="EG125" s="420" t="str">
        <f t="shared" si="30"/>
        <v>Tourteau de colza</v>
      </c>
      <c r="EH125" s="433">
        <f t="array" ref="EH12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25" s="433">
        <f t="array" ref="EI12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25" s="433">
        <f t="array" ref="EJ125">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25" s="434">
        <f>SUM(AlimentsRationOiesFemelles[[#This Row],[Valeur 6 et plus]:[Valeur 0-3]])</f>
        <v>0</v>
      </c>
      <c r="EN125" s="443" t="str">
        <f t="shared" si="28"/>
        <v>Tourteau de tournesol</v>
      </c>
      <c r="EO125" s="450">
        <f t="array" ref="EO125">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25" s="450">
        <f t="array" ref="EP125">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25" s="450">
        <f t="array" ref="EQ125">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25" s="451">
        <f>SUM(Ration_canards_Femelles[[#This Row],[Valeur 6 et plus]:[Valeur 0-3]])</f>
        <v>0</v>
      </c>
      <c r="EU125" s="457" t="str">
        <f t="shared" si="40"/>
        <v>Pomme de terre</v>
      </c>
      <c r="EV125" s="458">
        <f t="array" ref="EV125">IF(OR(ChoixRationComplèteEtéChevauxSelle=OUI,ChoixRationComplèteEtéChevauxSelle="",AND(ChoixChevauxSellePréHiver=OUI,ChoixChevauxSellePréEté=OUI)),0,IFERROR(IF(OR(AND(INDEX(Règles_chevaux_selle[Specificite],MATCH(RationEtéChevauxSelle&amp;$EU125,Règles_chevaux_selle[Ration]&amp;Règles_chevaux_selle[Aliment],0))="s1",IF($EU125=Spécificité1ChevauxSelle,1)),
AND(INDEX(Règles_chevaux_selle[Specificite],MATCH(RationEtéChevauxSelle&amp;$EU125,Règles_chevaux_selle[Ration]&amp;Règles_chevaux_selle[Aliment],0))="s2",IF($EU125=Spécificité2ChevauxSelle,1)),
INDEX(Règles_chevaux_selle[Specificite],MATCH(RationEtéChevauxSelle&amp;$EU125,Règles_chevaux_selle[Ration]&amp;Règles_chevaux_selle[Aliment],0))="c"),
INDEX(Règles_chevaux_selle[Valeur 36 et plus],MATCH(RationEtéChevauxSelle&amp;$EU125,Règles_chevaux_selle[Ration]&amp;Règles_chevaux_selle[Aliment],0)),0),0)*TotalJumentSelle*NbreJoursNourrirChevauxSelle)</f>
        <v>0</v>
      </c>
      <c r="EW125" s="458">
        <f t="array" ref="EW125">IF(OR(ChoixRationComplèteEtéChevauxSelle=OUI,ChoixRationComplèteEtéChevauxSelle="",AND(ChoixChevauxSellePréHiver=OUI,ChoixChevauxSellePréEté=OUI)),0,IFERROR(IF(OR(AND(INDEX(Règles_chevaux_selle[Specificite],MATCH(RationEtéChevauxSelle&amp;$EU125,Règles_chevaux_selle[Ration]&amp;Règles_chevaux_selle[Aliment],0))="s1",IF($EU125=Spécificité1ChevauxSelle,1)),
AND(INDEX(Règles_chevaux_selle[Specificite],MATCH(RationEtéChevauxSelle&amp;$EU125,Règles_chevaux_selle[Ration]&amp;Règles_chevaux_selle[Aliment],0))="s2",IF($EU125=Spécificité2ChevauxSelle,1)),
INDEX(Règles_chevaux_selle[Specificite],MATCH(RationEtéChevauxSelle&amp;$EU125,Règles_chevaux_selle[Ration]&amp;Règles_chevaux_selle[Aliment],0))="c"),
INDEX(Règles_chevaux_selle[Valeur 24-36],MATCH(RationEtéChevauxSelle&amp;$EU125,Règles_chevaux_selle[Ration]&amp;Règles_chevaux_selle[Aliment],0)),0),0)*TotalJeuneJumentSelle_24_36_mois*NbreJoursNourrirChevauxSelle)</f>
        <v>0</v>
      </c>
      <c r="EX125" s="458">
        <f t="array" ref="EX125">IF(OR(ChoixRationComplèteEtéChevauxSelle=OUI,ChoixRationComplèteEtéChevauxSelle="",AND(ChoixChevauxSellePréHiver=OUI,ChoixChevauxSellePréEté=OUI)),0,IFERROR(IF(OR(AND(INDEX(Règles_chevaux_selle[Specificite],MATCH(RationEtéChevauxSelle&amp;$EU125,Règles_chevaux_selle[Ration]&amp;Règles_chevaux_selle[Aliment],0))="s1",IF($EU125=Spécificité1ChevauxSelle,1)),
AND(INDEX(Règles_chevaux_selle[Specificite],MATCH(RationEtéChevauxSelle&amp;$EU125,Règles_chevaux_selle[Ration]&amp;Règles_chevaux_selle[Aliment],0))="s2",IF($EU125=Spécificité2ChevauxSelle,1)),
INDEX(Règles_chevaux_selle[Specificite],MATCH(RationEtéChevauxSelle&amp;$EU125,Règles_chevaux_selle[Ration]&amp;Règles_chevaux_selle[Aliment],0))="c"),
INDEX(Règles_chevaux_selle[Valeur 12-24],MATCH(RationEtéChevauxSelle&amp;$EU125,Règles_chevaux_selle[Ration]&amp;Règles_chevaux_selle[Aliment],0)),0),0)*TotalJeuneJumentSelle_12_24_mois_12_24_mois*NbreJoursNourrirChevauxSelle)</f>
        <v>0</v>
      </c>
      <c r="EY125" s="460">
        <f t="array" ref="EY125">IF(OR(ChoixRationComplèteEtéChevauxSelle=OUI,ChoixRationComplèteEtéChevauxSelle="",AND(ChoixChevauxSellePréHiver=OUI,ChoixChevauxSellePréEté=OUI)),0,IFERROR(IF(OR(AND(INDEX(Règles_chevaux_selle[Specificite],MATCH(RationEtéChevauxSelle&amp;$EU125,Règles_chevaux_selle[Ration]&amp;Règles_chevaux_selle[Aliment],0))="s1",IF($EU125=Spécificité1ChevauxSelle,1)),
AND(INDEX(Règles_chevaux_selle[Specificite],MATCH(RationEtéChevauxSelle&amp;$EU125,Règles_chevaux_selle[Ration]&amp;Règles_chevaux_selle[Aliment],0))="s2",IF($EU125=Spécificité2ChevauxSelle,1)),
INDEX(Règles_chevaux_selle[Specificite],MATCH(RationEtéChevauxSelle&amp;$EU125,Règles_chevaux_selle[Ration]&amp;Règles_chevaux_selle[Aliment],0))="c"),
INDEX(Règles_chevaux_selle[Valeur 0-12],MATCH(RationEtéChevauxSelle&amp;$EU125,Règles_chevaux_selle[Ration]&amp;Règles_chevaux_selle[Aliment],0)),0),0)*TotalPoulicheSelle_0_12_mois*NbreJoursNourrirChevauxSelle)</f>
        <v>0</v>
      </c>
      <c r="EZ125" s="460">
        <f t="shared" si="39"/>
        <v>0</v>
      </c>
      <c r="FD125" s="457" t="str">
        <f t="shared" si="33"/>
        <v>Tournesol</v>
      </c>
      <c r="FE125" s="458">
        <f t="array" ref="FE125">IF(OR(ChoixRationComplèteEtéChevauxTrait=OUI,ChoixRationComplèteEtéChevauxTrait="",AND(ChoixChevauxTraitPréHiver=OUI,ChoixChevauxTraitPréEté=OUI)),0,IFERROR(IF(OR(AND(INDEX(Règles_chevaux_trait[Specificite],MATCH(RationEtéChevauxTrait&amp;$FD125,Règles_chevaux_trait[Ration]&amp;Règles_chevaux_trait[Aliment],0))="s1",IF($FD125=Spécificité1ChevauxTrait,1)),
AND(INDEX(Règles_chevaux_trait[Specificite],MATCH(RationEtéChevauxTrait&amp;$FD125,Règles_chevaux_trait[Ration]&amp;Règles_chevaux_trait[Aliment],0))="s2",IF($FD125=Spécificité2ChevauxTrait,1)),
INDEX(Règles_chevaux_trait[Specificite],MATCH(RationEtéChevauxTrait&amp;$FD125,Règles_chevaux_trait[Ration]&amp;Règles_chevaux_trait[Aliment],0))="c"),
INDEX(Règles_chevaux_trait[Valeur 36 et plus],MATCH(RationEtéChevauxTrait&amp;$FD125,Règles_chevaux_trait[Ration]&amp;Règles_chevaux_trait[Aliment],0)),0),0)*TotalJumentTrait*NbreJoursNourrirChevauxTrait)</f>
        <v>0</v>
      </c>
      <c r="FF125" s="458">
        <f t="array" ref="FF125">IF(OR(ChoixRationComplèteEtéChevauxTrait=OUI,ChoixRationComplèteEtéChevauxTrait="",AND(ChoixChevauxTraitPréHiver=OUI,ChoixChevauxTraitPréEté=OUI)),0,IFERROR(IF(OR(AND(INDEX(Règles_chevaux_trait[Specificite],MATCH(RationEtéChevauxTrait&amp;$FD125,Règles_chevaux_trait[Ration]&amp;Règles_chevaux_trait[Aliment],0))="s1",IF($FD125=Spécificité1ChevauxTrait,1)),
AND(INDEX(Règles_chevaux_trait[Specificite],MATCH(RationEtéChevauxTrait&amp;$FD125,Règles_chevaux_trait[Ration]&amp;Règles_chevaux_trait[Aliment],0))="s2",IF($FD125=Spécificité2ChevauxTrait,1)),
INDEX(Règles_chevaux_trait[Specificite],MATCH(RationEtéChevauxTrait&amp;$FD125,Règles_chevaux_trait[Ration]&amp;Règles_chevaux_trait[Aliment],0))="c"),
INDEX(Règles_chevaux_trait[Valeur 24-36],MATCH(RationEtéChevauxTrait&amp;$FD125,Règles_chevaux_trait[Ration]&amp;Règles_chevaux_trait[Aliment],0)),0),0)*TotalJeuneJumentTrait_24_36_mois*NbreJoursNourrirChevauxTrait)</f>
        <v>0</v>
      </c>
      <c r="FG125" s="458">
        <f t="array" ref="FG125">IF(OR(ChoixRationComplèteEtéChevauxTrait=OUI,ChoixRationComplèteEtéChevauxTrait="",AND(ChoixChevauxTraitPréHiver=OUI,ChoixChevauxTraitPréEté=OUI)),0,IFERROR(IF(OR(AND(INDEX(Règles_chevaux_trait[Specificite],MATCH(RationEtéChevauxTrait&amp;$FD125,Règles_chevaux_trait[Ration]&amp;Règles_chevaux_trait[Aliment],0))="s1",IF($FD125=Spécificité1ChevauxTrait,1)),
AND(INDEX(Règles_chevaux_trait[Specificite],MATCH(RationEtéChevauxTrait&amp;$FD125,Règles_chevaux_trait[Ration]&amp;Règles_chevaux_trait[Aliment],0))="s2",IF($FD125=Spécificité2ChevauxTrait,1)),
INDEX(Règles_chevaux_trait[Specificite],MATCH(RationEtéChevauxTrait&amp;$FD125,Règles_chevaux_trait[Ration]&amp;Règles_chevaux_trait[Aliment],0))="c"),
INDEX(Règles_chevaux_trait[Valeur 12-24],MATCH(RationEtéChevauxTrait&amp;$FD125,Règles_chevaux_trait[Ration]&amp;Règles_chevaux_trait[Aliment],0)),0),0)*TotalJeuneJumentTrait_12_24_mois*NbreJoursNourrirChevauxTrait)</f>
        <v>0</v>
      </c>
      <c r="FH125" s="460">
        <f t="array" ref="FH125">IF(OR(ChoixRationComplèteEtéChevauxTrait=OUI,ChoixRationComplèteEtéChevauxTrait="",AND(ChoixChevauxTraitPréHiver=OUI,ChoixChevauxTraitPréEté=OUI)),0,IFERROR(IF(OR(AND(INDEX(Règles_chevaux_trait[Specificite],MATCH(RationEtéChevauxTrait&amp;$FD125,Règles_chevaux_trait[Ration]&amp;Règles_chevaux_trait[Aliment],0))="s1",IF($FD125=Spécificité1ChevauxTrait,1)),
AND(INDEX(Règles_chevaux_trait[Specificite],MATCH(RationEtéChevauxTrait&amp;$FD125,Règles_chevaux_trait[Ration]&amp;Règles_chevaux_trait[Aliment],0))="s2",IF($FD125=Spécificité2ChevauxTrait,1)),
INDEX(Règles_chevaux_trait[Specificite],MATCH(RationEtéChevauxTrait&amp;$FD125,Règles_chevaux_trait[Ration]&amp;Règles_chevaux_trait[Aliment],0))="c"),
INDEX(Règles_chevaux_trait[Valeur 0-12],MATCH(RationEtéChevauxTrait&amp;$FD125,Règles_chevaux_trait[Ration]&amp;Règles_chevaux_trait[Aliment],0)),0),0)*TotalPoulicheTrait_0_12_mois*NbreJoursNourrirChevauxTrait)</f>
        <v>0</v>
      </c>
      <c r="FI125" s="460">
        <f t="shared" si="31"/>
        <v>0</v>
      </c>
      <c r="FJ125" s="298"/>
      <c r="FN125" s="457" t="str">
        <f t="shared" si="32"/>
        <v>Tourteau de colza</v>
      </c>
      <c r="FO125" s="458">
        <f t="array" ref="FO125">IF(OR(ChoixRationComplèteEtéPoneys=OUI,ChoixRationComplèteEtéPoneys="",AND(ChoixPoneysPréHiver=OUI,ChoixPoneysPréEté=OUI)),0,IFERROR(IF(OR(AND(INDEX(Règles_poneys[Specificite],MATCH(RationHivernaleAuPréPoneys&amp;$FN125,Règles_poneys[Ration]&amp;Règles_poneys[Aliment],0))="s1",IF($FN125=Spécificité1Poneys,1)),
AND(INDEX(Règles_poneys[Specificite],MATCH(RationHivernaleAuPréPoneys&amp;$FN125,Règles_poneys[Ration]&amp;Règles_poneys[Aliment],0))="s2",IF($FN125=Spécificité2Poneys,1)),
INDEX(Règles_poneys[Specificite],MATCH(RationHivernaleAuPréPoneys&amp;$FN125,Règles_poneys[Ration]&amp;Règles_poneys[Aliment],0))="c"),
INDEX(Règles_poneys[Valeur 36 et plus],MATCH(RationHivernaleAuPréPoneys&amp;$FN125,Règles_poneys[Ration]&amp;Règles_poneys[Aliment],0)),0),0)*SUM(TotalPoneysAdultes)*SUM(AG118:AG142))</f>
        <v>0</v>
      </c>
      <c r="FP125" s="458">
        <f t="array" ref="FP125">IF(OR(ChoixRationComplèteEtéPoneys=OUI,ChoixRationComplèteEtéPoneys="",AND(ChoixPoneysPréHiver=OUI,ChoixPoneysPréEté=OUI)),0,IFERROR(IF(OR(AND(INDEX(Règles_poneys[Specificite],MATCH(RationHivernaleAuPréPoneys&amp;$FN125,Règles_poneys[Ration]&amp;Règles_poneys[Aliment],0))="s1",IF($FN125=Spécificité1Poneys,1)),
AND(INDEX(Règles_poneys[Specificite],MATCH(RationHivernaleAuPréPoneys&amp;$FN125,Règles_poneys[Ration]&amp;Règles_poneys[Aliment],0))="s2",IF($FN125=Spécificité2Poneys,1)),
INDEX(Règles_poneys[Specificite],MATCH(RationHivernaleAuPréPoneys&amp;$FN125,Règles_poneys[Ration]&amp;Règles_poneys[Aliment],0))="c"),
INDEX(Règles_poneys[Valeur 24-36],MATCH(RationHivernaleAuPréPoneys&amp;$FN125,Règles_poneys[Ration]&amp;Règles_poneys[Aliment],0)),0),0)*SUM(TotalPoneys_24_36mois)*SUM(AG118:AG142))</f>
        <v>0</v>
      </c>
      <c r="FQ125" s="458">
        <f t="array" ref="FQ125">IF(OR(ChoixRationComplèteEtéPoneys=OUI,ChoixRationComplèteEtéPoneys="",AND(ChoixPoneysPréHiver=OUI,ChoixPoneysPréEté=OUI)),0,IFERROR(IF(OR(AND(INDEX(Règles_poneys[Specificite],MATCH(RationHivernaleAuPréPoneys&amp;$FN125,Règles_poneys[Ration]&amp;Règles_poneys[Aliment],0))="s1",IF($FN125=Spécificité1Poneys,1)),
AND(INDEX(Règles_poneys[Specificite],MATCH(RationHivernaleAuPréPoneys&amp;$FN125,Règles_poneys[Ration]&amp;Règles_poneys[Aliment],0))="s2",IF($FN125=Spécificité2Poneys,1)),
INDEX(Règles_poneys[Specificite],MATCH(RationHivernaleAuPréPoneys&amp;$FN125,Règles_poneys[Ration]&amp;Règles_poneys[Aliment],0))="c"),
INDEX(Règles_poneys[Valeur 12-24],MATCH(RationHivernaleAuPréPoneys&amp;$FN125,Règles_poneys[Ration]&amp;Règles_poneys[Aliment],0)),0),0)*SUM(TotalPoneys_12_24mois)*SUM(AG118:AG142))</f>
        <v>0</v>
      </c>
      <c r="FR125" s="460">
        <f t="array" ref="FR125">IF(OR(ChoixRationComplèteEtéPoneys=OUI,ChoixRationComplèteEtéPoneys="",AND(ChoixPoneysPréHiver=OUI,ChoixPoneysPréEté=OUI)),0,IFERROR(IF(OR(AND(INDEX(Règles_poneys[Specificite],MATCH(RationHivernaleAuPréPoneys&amp;$FN125,Règles_poneys[Ration]&amp;Règles_poneys[Aliment],0))="s1",IF($FN125=Spécificité1Poneys,1)),
AND(INDEX(Règles_poneys[Specificite],MATCH(RationHivernaleAuPréPoneys&amp;$FN125,Règles_poneys[Ration]&amp;Règles_poneys[Aliment],0))="s2",IF($FN125=Spécificité2Poneys,1)),
INDEX(Règles_poneys[Specificite],MATCH(RationHivernaleAuPréPoneys&amp;$FN125,Règles_poneys[Ration]&amp;Règles_poneys[Aliment],0))="c"),
INDEX(Règles_poneys[Valeur 0-12],MATCH(RationHivernaleAuPréPoneys&amp;$FN125,Règles_poneys[Ration]&amp;Règles_poneys[Aliment],0)),0),0)*SUM(TotalPoulainsPoneys)*SUM(AG118:AG142))</f>
        <v>0</v>
      </c>
      <c r="FS125" s="460">
        <f t="shared" si="29"/>
        <v>0</v>
      </c>
      <c r="FT125" s="298"/>
      <c r="FW125" s="443">
        <f t="shared" si="27"/>
        <v>0</v>
      </c>
      <c r="FX125" s="450">
        <f t="array" ref="FX125">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25" s="450">
        <f t="array" ref="FY125">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25" s="450">
        <f t="array" ref="FZ125">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25" s="450">
        <f t="array" ref="GA125">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25" s="451">
        <f>SUM(AlimentsGavageCanards[[#This Row],[Valeur 6 et plus]:[Valeur 0-1]])</f>
        <v>0</v>
      </c>
      <c r="GG125" s="276" t="s">
        <v>955</v>
      </c>
      <c r="GH125" s="276" t="s">
        <v>955</v>
      </c>
      <c r="GI125" s="276" t="s">
        <v>955</v>
      </c>
      <c r="GJ125" s="276" t="s">
        <v>955</v>
      </c>
      <c r="GK125" s="276" t="s">
        <v>955</v>
      </c>
      <c r="GL125" s="276" t="s">
        <v>955</v>
      </c>
      <c r="GM125" s="276" t="s">
        <v>955</v>
      </c>
      <c r="GN125" s="276" t="s">
        <v>955</v>
      </c>
      <c r="GO125" s="276" t="s">
        <v>955</v>
      </c>
      <c r="GP125" s="276" t="s">
        <v>955</v>
      </c>
      <c r="GQ125" s="276" t="s">
        <v>955</v>
      </c>
      <c r="GR125" s="276" t="s">
        <v>955</v>
      </c>
      <c r="GS125" s="276" t="s">
        <v>955</v>
      </c>
      <c r="GT125" s="276" t="s">
        <v>955</v>
      </c>
      <c r="GU125" s="276" t="s">
        <v>955</v>
      </c>
      <c r="GV125" s="276" t="s">
        <v>955</v>
      </c>
    </row>
    <row r="126" spans="1:236" ht="12.75" customHeight="1" x14ac:dyDescent="0.2">
      <c r="A126" s="373"/>
      <c r="B126" s="380"/>
      <c r="BB126" s="387" t="s">
        <v>516</v>
      </c>
      <c r="BC126" s="362" t="s">
        <v>70</v>
      </c>
      <c r="BD126" s="362" t="s">
        <v>887</v>
      </c>
      <c r="BE126" s="388">
        <v>7.2</v>
      </c>
      <c r="BF126" s="388">
        <v>6</v>
      </c>
      <c r="BG126" s="388">
        <v>4</v>
      </c>
      <c r="BH126" s="388">
        <v>2</v>
      </c>
      <c r="BI126" s="388">
        <v>1.2</v>
      </c>
      <c r="BJ126" s="388">
        <v>0.6</v>
      </c>
      <c r="BK126" s="389">
        <v>0</v>
      </c>
      <c r="BL126" s="312"/>
      <c r="BM126" s="350" t="str">
        <f t="shared" si="43"/>
        <v>Epinard</v>
      </c>
      <c r="BN126" s="351">
        <f t="array" ref="BN126">SUM((IF(QualitéAlimentsBisonneauxMâles_0_3_mois=BONNE,VLOOKUP("Epinard",AlimentsRationHivernaleBisonsMâles,8,FALSE),0)+(IF(QualitéAlimentsBisonneauxFemelles_0_3_mois=BONNE,VLOOKUP("Epinard",AlimentsRationHivernaleBisonsFemelles,8,FALSE),0)+(IF(QualitéAlimentsBisonneauxMâles_3_6_mois=BONNE,VLOOKUP("Epinard",AlimentsRationHivernaleBisonsMâles,7,FALSE),0)+(IF(QualitéAlimentsBisonneauxFemelles_3_6_mois=BONNE,VLOOKUP("Epinard",AlimentsRationHivernaleBisonsFemelles,7,FALSE),0)+(IF(QualitéAlimentsBisonneauxMâles_6_12_mois=BONNE,VLOOKUP("Epinard",AlimentsRationHivernaleBisonsMâles,6,FALSE),0)+(IF(QualitéAlimentsBisonneauxFemelles_6_12_mois=BONNE,VLOOKUP("Epinard",AlimentsRationHivernaleBisonsFemelles,6,FALSE),0)+(IF(QualitéAlimentsJeunesBisons_12_18_mois=BONNE,VLOOKUP("Epinard",AlimentsRationHivernaleBisonsMâles,5,FALSE),0)+(IF(QualitéAlimentsJeunesBisonnes_12_18_mois=BONNE,VLOOKUP("Epinard",AlimentsRationHivernaleBisonsFemelles,5,FALSE),0)+(IF(QualitéAlimentsJeunesBisons_18_24_mois=BONNE,VLOOKUP("Epinard",AlimentsRationHivernaleBisonsMâles,4,FALSE),0)+(IF(QualitéAlimentsJeunesBisonnes_18_24_mois=BONNE,VLOOKUP("Epinard",AlimentsRationHivernaleBisonsFemelles,4,FALSE),0)+(IF(QualitéAlimentsJeunesBisons_24_36_mois=BONNE,VLOOKUP("Epinard",AlimentsRationHivernaleBisonsMâles,3,FALSE),0)+(IF(QualitéAlimentsJeunesBisonnes_24_36_mois=BONNE,VLOOKUP("Epinard",AlimentsRationHivernaleBisonsFemelles,3,FALSE),0)+(IF(QualitéAlimentsBisons=BONNE,VLOOKUP("Epinard",AlimentsRationHivernaleBisonsMâles,2,FALSE),0)+(IF(QualitéAlimentsBisonnes=BONNE,VLOOKUP("Epinard",AlimentsRationHivernaleBisonsFemelles,2,FALSE),0))))))))))))))))</f>
        <v>0</v>
      </c>
      <c r="BO126" s="351">
        <f t="array" ref="BO126">SUM((IF(QualitéAlimentsBisonneauxMâles_0_3_mois=MOYENNE,VLOOKUP("Epinard",AlimentsRationHivernaleBisonsMâles,8,FALSE),0)+(IF(QualitéAlimentsBisonneauxFemelles_0_3_mois=MOYENNE,VLOOKUP("Epinard",AlimentsRationHivernaleBisonsFemelles,8,FALSE),0)+(IF(QualitéAlimentsBisonneauxMâles_3_6_mois=MOYENNE,VLOOKUP("Epinard",AlimentsRationHivernaleBisonsMâles,7,FALSE),0)+(IF(QualitéAlimentsBisonneauxFemelles_3_6_mois=MOYENNE,VLOOKUP("Epinard",AlimentsRationHivernaleBisonsFemelles,7,FALSE),0)+(IF(QualitéAlimentsBisonneauxMâles_6_12_mois=MOYENNE,VLOOKUP("Epinard",AlimentsRationHivernaleBisonsMâles,6,FALSE),0)+(IF(QualitéAlimentsBisonneauxFemelles_6_12_mois=MOYENNE,VLOOKUP("Epinard",AlimentsRationHivernaleBisonsFemelles,6,FALSE),0)+(IF(QualitéAlimentsJeunesBisons_12_18_mois=MOYENNE,VLOOKUP("Epinard",AlimentsRationHivernaleBisonsMâles,5,FALSE),0)+(IF(QualitéAlimentsJeunesBisonnes_12_18_mois=MOYENNE,VLOOKUP("Epinard",AlimentsRationHivernaleBisonsFemelles,5,FALSE),0)+(IF(QualitéAlimentsJeunesBisons_18_24_mois=MOYENNE,VLOOKUP("Epinard",AlimentsRationHivernaleBisonsMâles,4,FALSE),0)+(IF(QualitéAlimentsJeunesBisonnes_18_24_mois=MOYENNE,VLOOKUP("Epinard",AlimentsRationHivernaleBisonsFemelles,4,FALSE),0)+(IF(QualitéAlimentsJeunesBisons_24_36_mois=MOYENNE,VLOOKUP("Epinard",AlimentsRationHivernaleBisonsMâles,3,FALSE),0)+(IF(QualitéAlimentsJeunesBisonnes_24_36_mois=MOYENNE,VLOOKUP("Epinard",AlimentsRationHivernaleBisonsFemelles,3,FALSE),0)+(IF(QualitéAlimentsBisons=MOYENNE,VLOOKUP("Epinard",AlimentsRationHivernaleBisonsMâles,2,FALSE),0)+(IF(QualitéAlimentsBisonnes=MOYENNE,VLOOKUP("Epinard",AlimentsRationHivernaleBisonsFemelles,2,FALSE),0))))))))))))))))</f>
        <v>0</v>
      </c>
      <c r="BP126" s="351">
        <f t="array" ref="BP126">SUM((IF(QualitéAlimentsBisonneauxMâles_0_3_mois=MAUVAISE,VLOOKUP("Epinard",AlimentsRationHivernaleBisonsMâles,8,FALSE),0)+(IF(QualitéAlimentsBisonneauxFemelles_0_3_mois=MAUVAISE,VLOOKUP("Epinard",AlimentsRationHivernaleBisonsFemelles,8,FALSE),0)+(IF(QualitéAlimentsBisonneauxMâles_3_6_mois=MAUVAISE,VLOOKUP("Epinard",AlimentsRationHivernaleBisonsMâles,7,FALSE),0)+(IF(QualitéAlimentsBisonneauxFemelles_3_6_mois=MAUVAISE,VLOOKUP("Epinard",AlimentsRationHivernaleBisonsFemelles,7,FALSE),0)+(IF(QualitéAlimentsBisonneauxMâles_6_12_mois=MAUVAISE,VLOOKUP("Epinard",AlimentsRationHivernaleBisonsMâles,6,FALSE),0)+(IF(QualitéAlimentsBisonneauxFemelles_6_12_mois=MAUVAISE,VLOOKUP("Epinard",AlimentsRationHivernaleBisonsFemelles,6,FALSE),0)+(IF(QualitéAlimentsJeunesBisons_12_18_mois=MAUVAISE,VLOOKUP("Epinard",AlimentsRationHivernaleBisonsMâles,5,FALSE),0)+(IF(QualitéAlimentsJeunesBisonnes_12_18_mois=MAUVAISE,VLOOKUP("Epinard",AlimentsRationHivernaleBisonsFemelles,5,FALSE),0)+(IF(QualitéAlimentsJeunesBisons_18_24_mois=MAUVAISE,VLOOKUP("Epinard",AlimentsRationHivernaleBisonsMâles,4,FALSE),0)+(IF(QualitéAlimentsJeunesBisonnes_18_24_mois=MAUVAISE,VLOOKUP("Epinard",AlimentsRationHivernaleBisonsFemelles,4,FALSE),0)+(IF(QualitéAlimentsJeunesBisons_24_36_mois=MAUVAISE,VLOOKUP("Epinard",AlimentsRationHivernaleBisonsMâles,3,FALSE),0)+(IF(QualitéAlimentsJeunesBisonnes_24_36_mois=MAUVAISE,VLOOKUP("Epinard",AlimentsRationHivernaleBisonsFemelles,3,FALSE),0)+(IF(QualitéAlimentsBisons=MAUVAISE,VLOOKUP("Epinard",AlimentsRationHivernaleBisonsMâles,2,FALSE),0)+(IF(QualitéAlimentsBisonnes=MAUVAISE,VLOOKUP("Epinard",AlimentsRationHivernaleBisonsFemelles,2,FALSE),0))))))))))))))))</f>
        <v>0</v>
      </c>
      <c r="BQ126" s="282"/>
      <c r="BR126" s="282"/>
      <c r="BS126" s="282"/>
      <c r="BT126" s="282"/>
      <c r="BU126" s="282"/>
      <c r="BX126" s="350" t="s">
        <v>489</v>
      </c>
      <c r="BY126" s="350">
        <f t="array" ref="BY126">IF(ChoixRationComplèteCaprins=OUI,0,IFERROR(IF(OR(AND(INDEX(Règles_caprins[Specificite],MATCH(ChoixRationCaprins&amp;$BX126,Règles_caprins[Ration]&amp;Règles_caprins[Aliment],0))="s1",IF($BX126=Spécificité1Caprins,1)),
INDEX(Règles_caprins[Specificite],MATCH(ChoixRationCaprins&amp;$BX126,Règles_caprins[Ration]&amp;Règles_caprins[Aliment],0))="c"),
INDEX(Règles_caprins[Valeur 12 et plus],MATCH(ChoixRationCaprins&amp;$BX126,Règles_caprins[Ration]&amp;Règles_caprins[Aliment],0)),0),0)*TotalBoucs*NbreJoursNourrirCaprins)</f>
        <v>20.8</v>
      </c>
      <c r="BZ126" s="350">
        <f t="array" ref="BZ126">IF(ChoixRationComplèteCaprins=OUI,0,IFERROR(IF(OR(AND(INDEX(Règles_caprins[Specificite],MATCH(ChoixRationCaprins&amp;$BX126,Règles_caprins[Ration]&amp;Règles_caprins[Aliment],0))="s1",IF($BX126=Spécificité1Caprins,1)),
INDEX(Règles_caprins[Specificite],MATCH(ChoixRationCaprins&amp;$BX126,Règles_caprins[Ration]&amp;Règles_caprins[Aliment],0))="c"),
INDEX(Règles_caprins[Valeur 6-12],MATCH(ChoixRationCaprins&amp;$BX126,Règles_caprins[Ration]&amp;Règles_caprins[Aliment],0)),0),0)*jeune_bouc_6_12_mois*NbreJoursNourrirCaprins)</f>
        <v>107.8</v>
      </c>
      <c r="CA126" s="350">
        <f t="array" ref="CA126">IF(ChoixRationComplèteCaprins=OUI,0,IFERROR(IF(OR(AND(INDEX(Règles_caprins[Specificite],MATCH(ChoixRationCaprins&amp;$BX126,Règles_caprins[Ration]&amp;Règles_caprins[Aliment],0))="s1",IF($BX126=Spécificité1Caprins,1)),
INDEX(Règles_caprins[Specificite],MATCH(ChoixRationCaprins&amp;$BX126,Règles_caprins[Ration]&amp;Règles_caprins[Aliment],0))="c"),
INDEX(Règles_caprins[Valeur 3-6],MATCH(ChoixRationCaprins&amp;$BX126,Règles_caprins[Ration]&amp;Règles_caprins[Aliment],0)),0),0)*chevreau_3_6_mois*NbreJoursNourrirCaprins)</f>
        <v>37.199999999999996</v>
      </c>
      <c r="CB126" s="350">
        <f t="array" ref="CB126">IF(ChoixRationComplèteCaprins=OUI,0,IFERROR(IF(OR(AND(INDEX(Règles_caprins[Specificite],MATCH(ChoixRationCaprins&amp;$BX126,Règles_caprins[Ration]&amp;Règles_caprins[Aliment],0))="s1",IF($BX126=Spécificité1Caprins,1)),
INDEX(Règles_caprins[Specificite],MATCH(ChoixRationCaprins&amp;$BX126,Règles_caprins[Ration]&amp;Règles_caprins[Aliment],0))="c"),
INDEX(Règles_caprins[Valeur 0-3],MATCH(ChoixRationCaprins&amp;$BX126,Règles_caprins[Ration]&amp;Règles_caprins[Aliment],0)),0),0)*chevreau_0_3_mois*NbreJoursNourrirCaprins)</f>
        <v>66</v>
      </c>
      <c r="CC126" s="350">
        <f t="shared" si="41"/>
        <v>231.79999999999998</v>
      </c>
      <c r="CH126" s="276"/>
      <c r="CI126" s="277"/>
      <c r="CJ126" s="397" t="s">
        <v>508</v>
      </c>
      <c r="CK126" s="417">
        <f t="array" ref="CK126">IF(ChoixRationComplètePorcins=NON,0,IFERROR(IF(OR(AND(INDEX(Règles_porcins[Specificite],MATCH(ChoixRationPorcins&amp;Ration_complète_porcins[[#This Row],[aliment]],Règles_porcins[Ration]&amp;Règles_porcins[Aliment],0))="s1",IF(Ration_complète_porcins[[#This Row],[aliment]]=Spécificité1Porcins,1)),
INDEX(Règles_porcins[Specificite],MATCH(ChoixRationPorcins&amp;Ration_complète_porcins[[#This Row],[aliment]],Règles_porcins[Ration]&amp;Règles_porcins[Aliment],0))="c",INDEX(Règles_porcins[Specificite],MATCH(ChoixRationPorcins&amp;Ration_complète_porcins[[#This Row],[aliment]],Règles_porcins[Ration]&amp;Règles_porcins[Aliment],0))="complet"),
INDEX(Règles_porcins[Valeur 12 et plus],MATCH(ChoixRationPorcins&amp;Ration_complète_porcins[[#This Row],[aliment]],Règles_porcins[Ration]&amp;Règles_porcins[Aliment],0)),0),0)*SUM(TotalPorcinsAdultes)*SUM(Z76:Z100))</f>
        <v>0</v>
      </c>
      <c r="CL126" s="417">
        <f t="array" ref="CL126">IF(ChoixRationComplètePorcins=NON,0,IFERROR(IF(OR(AND(INDEX(Règles_porcins[Specificite],MATCH(ChoixRationPorcins&amp;Ration_complète_porcins[[#This Row],[aliment]],Règles_porcins[Ration]&amp;Règles_porcins[Aliment],0))="s1",IF(Ration_complète_porcins[[#This Row],[aliment]]=Spécificité1Porcins,1)),
INDEX(Règles_porcins[Specificite],MATCH(ChoixRationPorcins&amp;Ration_complète_porcins[[#This Row],[aliment]],Règles_porcins[Ration]&amp;Règles_porcins[Aliment],0))="c",INDEX(Règles_porcins[Specificite],MATCH(ChoixRationPorcins&amp;Ration_complète_porcins[[#This Row],[aliment]],Règles_porcins[Ration]&amp;Règles_porcins[Aliment],0))="complet"),
INDEX(Règles_porcins[Valeur 6-12],MATCH(ChoixRationPorcins&amp;Ration_complète_porcins[[#This Row],[aliment]],Règles_porcins[Ration]&amp;Règles_porcins[Aliment],0)),0),0)*SUM(TotalPorcins_6_12Mois)*SUM(Z76:Z100))</f>
        <v>0</v>
      </c>
      <c r="CM126" s="417">
        <f t="array" ref="CM126">IF(ChoixRationComplètePorcins=NON,0,IFERROR(IF(OR(AND(INDEX(Règles_porcins[Specificite],MATCH(ChoixRationPorcins&amp;Ration_complète_porcins[[#This Row],[aliment]],Règles_porcins[Ration]&amp;Règles_porcins[Aliment],0))="s1",IF(Ration_complète_porcins[[#This Row],[aliment]]=Spécificité1Porcins,1)),
INDEX(Règles_porcins[Specificite],MATCH(ChoixRationPorcins&amp;Ration_complète_porcins[[#This Row],[aliment]],Règles_porcins[Ration]&amp;Règles_porcins[Aliment],0))="c",INDEX(Règles_porcins[Specificite],MATCH(ChoixRationPorcins&amp;Ration_complète_porcins[[#This Row],[aliment]],Règles_porcins[Ration]&amp;Règles_porcins[Aliment],0))="complet"),
INDEX(Règles_porcins[Valeur 3-6],MATCH(ChoixRationPorcins&amp;Ration_complète_porcins[[#This Row],[aliment]],Règles_porcins[Ration]&amp;Règles_porcins[Aliment],0)),0),0)*SUM(TotalPorcins_3_6Mois)*SUM(Z76:Z100))</f>
        <v>0</v>
      </c>
      <c r="CN126" s="417">
        <f t="array" ref="CN126">IF(ChoixRationComplètePorcins=NON,0,IFERROR(IF(OR(AND(INDEX(Règles_porcins[Specificite],MATCH(ChoixRationPorcins&amp;Ration_complète_porcins[[#This Row],[aliment]],Règles_porcins[Ration]&amp;Règles_porcins[Aliment],0))="s1",IF(Ration_complète_porcins[[#This Row],[aliment]]=Spécificité1Porcins,1)),
INDEX(Règles_porcins[Specificite],MATCH(ChoixRationPorcins&amp;Ration_complète_porcins[[#This Row],[aliment]],Règles_porcins[Ration]&amp;Règles_porcins[Aliment],0))="c",INDEX(Règles_porcins[Specificite],MATCH(ChoixRationPorcins&amp;Ration_complète_porcins[[#This Row],[aliment]],Règles_porcins[Ration]&amp;Règles_porcins[Aliment],0))="complet"),
INDEX(Règles_porcins[Valeur 1-3],MATCH(ChoixRationPorcins&amp;Ration_complète_porcins[[#This Row],[aliment]],Règles_porcins[Ration]&amp;Règles_porcins[Aliment],0)),0),0)*SUM(TotalPorcins_1_3Mois)*SUM(Z76:Z100))</f>
        <v>0</v>
      </c>
      <c r="CO126" s="417">
        <f t="array" ref="CO126">IF(ChoixRationComplètePorcins=NON,0,IFERROR(IF(OR(AND(INDEX(Règles_porcins[Specificite],MATCH(ChoixRationPorcins&amp;Ration_complète_porcins[[#This Row],[aliment]],Règles_porcins[Ration]&amp;Règles_porcins[Aliment],0))="s1",IF(Ration_complète_porcins[[#This Row],[aliment]]=Spécificité1Porcins,1)),
INDEX(Règles_porcins[Specificite],MATCH(ChoixRationPorcins&amp;Ration_complète_porcins[[#This Row],[aliment]],Règles_porcins[Ration]&amp;Règles_porcins[Aliment],0))="c",INDEX(Règles_porcins[Specificite],MATCH(ChoixRationPorcins&amp;Ration_complète_porcins[[#This Row],[aliment]],Règles_porcins[Ration]&amp;Règles_porcins[Aliment],0))="complet"),
INDEX(Règles_porcins[Valeur 0-1],MATCH(ChoixRationPorcins&amp;Ration_complète_porcins[[#This Row],[aliment]],Règles_porcins[Ration]&amp;Règles_porcins[Aliment],0)),0),0)*SUM(TotalPorcins_0_1Mois)*SUM(Z76:Z100))</f>
        <v>0</v>
      </c>
      <c r="CP126" s="419">
        <f>SUM(Ration_complète_porcins[[Valeur 12 et plus]:[Valeur 1-3]])</f>
        <v>0</v>
      </c>
      <c r="CQ126" s="277"/>
      <c r="CS126" s="420" t="str">
        <f t="shared" si="36"/>
        <v>Soja</v>
      </c>
      <c r="CT126" s="433">
        <f t="array" ref="CT126">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26" s="433">
        <f t="array" ref="CU126">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26" s="433">
        <f t="array" ref="CV126">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26" s="434">
        <f>SUM(AlimentsRationLapinsFemelles[[#This Row],[Valeur 3 et plus]:[Valeur 0-1]])</f>
        <v>0</v>
      </c>
      <c r="CY126" s="277"/>
      <c r="CZ126" s="420" t="str">
        <f t="shared" si="37"/>
        <v>Soja</v>
      </c>
      <c r="DA126" s="433">
        <f t="array" ref="DA12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26" s="433">
        <f t="array" ref="DB12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26" s="433">
        <f t="array" ref="DC12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26" s="434">
        <f>SUM(AlimentsRationVolaillesFemelles[[#This Row],[Valeur 6 et plus]:[Valeur 0-1]])</f>
        <v>0</v>
      </c>
      <c r="DE126" s="298"/>
      <c r="DG126" s="384">
        <f t="shared" si="26"/>
        <v>0</v>
      </c>
      <c r="DH126" s="433">
        <f t="array" ref="DH12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26" s="433">
        <f t="array" ref="DI12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26" s="433">
        <f t="array" ref="DJ126">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26" s="437">
        <f>SUM(AlimentsRationPintadesFemelles[[#This Row],[Valeur 6 et plus]:[Valeur 0-1]])</f>
        <v>0</v>
      </c>
      <c r="DN126" s="373" t="s">
        <v>623</v>
      </c>
      <c r="DO126" s="280" t="s">
        <v>518</v>
      </c>
      <c r="DP126" s="280" t="s">
        <v>886</v>
      </c>
      <c r="DQ126" s="310">
        <v>20</v>
      </c>
      <c r="DR126" s="310">
        <v>12</v>
      </c>
      <c r="DS126" s="310">
        <v>8</v>
      </c>
      <c r="DT126" s="439">
        <v>4</v>
      </c>
      <c r="EG126" s="420" t="str">
        <f t="shared" si="30"/>
        <v>Tourteau de tournesol</v>
      </c>
      <c r="EH126" s="433">
        <f t="array" ref="EH12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26" s="433">
        <f t="array" ref="EI12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26" s="433">
        <f t="array" ref="EJ126">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26" s="434">
        <f>SUM(AlimentsRationOiesFemelles[[#This Row],[Valeur 6 et plus]:[Valeur 0-3]])</f>
        <v>0</v>
      </c>
      <c r="EN126" s="443" t="str">
        <f t="shared" si="28"/>
        <v>Triticale</v>
      </c>
      <c r="EO126" s="450">
        <f t="array" ref="EO126">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26" s="450">
        <f t="array" ref="EP126">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26" s="450">
        <f t="array" ref="EQ126">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26" s="451">
        <f>SUM(Ration_canards_Femelles[[#This Row],[Valeur 6 et plus]:[Valeur 0-3]])</f>
        <v>0</v>
      </c>
      <c r="EU126" s="457" t="str">
        <f t="shared" si="40"/>
        <v>Pulpe déshydratée de betterave</v>
      </c>
      <c r="EV126" s="458">
        <f t="array" ref="EV126">IF(OR(ChoixRationComplèteEtéChevauxSelle=OUI,ChoixRationComplèteEtéChevauxSelle="",AND(ChoixChevauxSellePréHiver=OUI,ChoixChevauxSellePréEté=OUI)),0,IFERROR(IF(OR(AND(INDEX(Règles_chevaux_selle[Specificite],MATCH(RationEtéChevauxSelle&amp;$EU126,Règles_chevaux_selle[Ration]&amp;Règles_chevaux_selle[Aliment],0))="s1",IF($EU126=Spécificité1ChevauxSelle,1)),
AND(INDEX(Règles_chevaux_selle[Specificite],MATCH(RationEtéChevauxSelle&amp;$EU126,Règles_chevaux_selle[Ration]&amp;Règles_chevaux_selle[Aliment],0))="s2",IF($EU126=Spécificité2ChevauxSelle,1)),
INDEX(Règles_chevaux_selle[Specificite],MATCH(RationEtéChevauxSelle&amp;$EU126,Règles_chevaux_selle[Ration]&amp;Règles_chevaux_selle[Aliment],0))="c"),
INDEX(Règles_chevaux_selle[Valeur 36 et plus],MATCH(RationEtéChevauxSelle&amp;$EU126,Règles_chevaux_selle[Ration]&amp;Règles_chevaux_selle[Aliment],0)),0),0)*TotalJumentSelle*NbreJoursNourrirChevauxSelle)</f>
        <v>0</v>
      </c>
      <c r="EW126" s="458">
        <f t="array" ref="EW126">IF(OR(ChoixRationComplèteEtéChevauxSelle=OUI,ChoixRationComplèteEtéChevauxSelle="",AND(ChoixChevauxSellePréHiver=OUI,ChoixChevauxSellePréEté=OUI)),0,IFERROR(IF(OR(AND(INDEX(Règles_chevaux_selle[Specificite],MATCH(RationEtéChevauxSelle&amp;$EU126,Règles_chevaux_selle[Ration]&amp;Règles_chevaux_selle[Aliment],0))="s1",IF($EU126=Spécificité1ChevauxSelle,1)),
AND(INDEX(Règles_chevaux_selle[Specificite],MATCH(RationEtéChevauxSelle&amp;$EU126,Règles_chevaux_selle[Ration]&amp;Règles_chevaux_selle[Aliment],0))="s2",IF($EU126=Spécificité2ChevauxSelle,1)),
INDEX(Règles_chevaux_selle[Specificite],MATCH(RationEtéChevauxSelle&amp;$EU126,Règles_chevaux_selle[Ration]&amp;Règles_chevaux_selle[Aliment],0))="c"),
INDEX(Règles_chevaux_selle[Valeur 24-36],MATCH(RationEtéChevauxSelle&amp;$EU126,Règles_chevaux_selle[Ration]&amp;Règles_chevaux_selle[Aliment],0)),0),0)*TotalJeuneJumentSelle_24_36_mois*NbreJoursNourrirChevauxSelle)</f>
        <v>0</v>
      </c>
      <c r="EX126" s="458">
        <f t="array" ref="EX126">IF(OR(ChoixRationComplèteEtéChevauxSelle=OUI,ChoixRationComplèteEtéChevauxSelle="",AND(ChoixChevauxSellePréHiver=OUI,ChoixChevauxSellePréEté=OUI)),0,IFERROR(IF(OR(AND(INDEX(Règles_chevaux_selle[Specificite],MATCH(RationEtéChevauxSelle&amp;$EU126,Règles_chevaux_selle[Ration]&amp;Règles_chevaux_selle[Aliment],0))="s1",IF($EU126=Spécificité1ChevauxSelle,1)),
AND(INDEX(Règles_chevaux_selle[Specificite],MATCH(RationEtéChevauxSelle&amp;$EU126,Règles_chevaux_selle[Ration]&amp;Règles_chevaux_selle[Aliment],0))="s2",IF($EU126=Spécificité2ChevauxSelle,1)),
INDEX(Règles_chevaux_selle[Specificite],MATCH(RationEtéChevauxSelle&amp;$EU126,Règles_chevaux_selle[Ration]&amp;Règles_chevaux_selle[Aliment],0))="c"),
INDEX(Règles_chevaux_selle[Valeur 12-24],MATCH(RationEtéChevauxSelle&amp;$EU126,Règles_chevaux_selle[Ration]&amp;Règles_chevaux_selle[Aliment],0)),0),0)*TotalJeuneJumentSelle_12_24_mois_12_24_mois*NbreJoursNourrirChevauxSelle)</f>
        <v>0</v>
      </c>
      <c r="EY126" s="460">
        <f t="array" ref="EY126">IF(OR(ChoixRationComplèteEtéChevauxSelle=OUI,ChoixRationComplèteEtéChevauxSelle="",AND(ChoixChevauxSellePréHiver=OUI,ChoixChevauxSellePréEté=OUI)),0,IFERROR(IF(OR(AND(INDEX(Règles_chevaux_selle[Specificite],MATCH(RationEtéChevauxSelle&amp;$EU126,Règles_chevaux_selle[Ration]&amp;Règles_chevaux_selle[Aliment],0))="s1",IF($EU126=Spécificité1ChevauxSelle,1)),
AND(INDEX(Règles_chevaux_selle[Specificite],MATCH(RationEtéChevauxSelle&amp;$EU126,Règles_chevaux_selle[Ration]&amp;Règles_chevaux_selle[Aliment],0))="s2",IF($EU126=Spécificité2ChevauxSelle,1)),
INDEX(Règles_chevaux_selle[Specificite],MATCH(RationEtéChevauxSelle&amp;$EU126,Règles_chevaux_selle[Ration]&amp;Règles_chevaux_selle[Aliment],0))="c"),
INDEX(Règles_chevaux_selle[Valeur 0-12],MATCH(RationEtéChevauxSelle&amp;$EU126,Règles_chevaux_selle[Ration]&amp;Règles_chevaux_selle[Aliment],0)),0),0)*TotalPoulicheSelle_0_12_mois*NbreJoursNourrirChevauxSelle)</f>
        <v>0</v>
      </c>
      <c r="EZ126" s="460">
        <f t="shared" si="39"/>
        <v>0</v>
      </c>
      <c r="FD126" s="457" t="str">
        <f t="shared" si="33"/>
        <v>Tourteau de colza</v>
      </c>
      <c r="FE126" s="458">
        <f t="array" ref="FE126">IF(OR(ChoixRationComplèteEtéChevauxTrait=OUI,ChoixRationComplèteEtéChevauxTrait="",AND(ChoixChevauxTraitPréHiver=OUI,ChoixChevauxTraitPréEté=OUI)),0,IFERROR(IF(OR(AND(INDEX(Règles_chevaux_trait[Specificite],MATCH(RationEtéChevauxTrait&amp;$FD126,Règles_chevaux_trait[Ration]&amp;Règles_chevaux_trait[Aliment],0))="s1",IF($FD126=Spécificité1ChevauxTrait,1)),
AND(INDEX(Règles_chevaux_trait[Specificite],MATCH(RationEtéChevauxTrait&amp;$FD126,Règles_chevaux_trait[Ration]&amp;Règles_chevaux_trait[Aliment],0))="s2",IF($FD126=Spécificité2ChevauxTrait,1)),
INDEX(Règles_chevaux_trait[Specificite],MATCH(RationEtéChevauxTrait&amp;$FD126,Règles_chevaux_trait[Ration]&amp;Règles_chevaux_trait[Aliment],0))="c"),
INDEX(Règles_chevaux_trait[Valeur 36 et plus],MATCH(RationEtéChevauxTrait&amp;$FD126,Règles_chevaux_trait[Ration]&amp;Règles_chevaux_trait[Aliment],0)),0),0)*TotalJumentTrait*NbreJoursNourrirChevauxTrait)</f>
        <v>0</v>
      </c>
      <c r="FF126" s="458">
        <f t="array" ref="FF126">IF(OR(ChoixRationComplèteEtéChevauxTrait=OUI,ChoixRationComplèteEtéChevauxTrait="",AND(ChoixChevauxTraitPréHiver=OUI,ChoixChevauxTraitPréEté=OUI)),0,IFERROR(IF(OR(AND(INDEX(Règles_chevaux_trait[Specificite],MATCH(RationEtéChevauxTrait&amp;$FD126,Règles_chevaux_trait[Ration]&amp;Règles_chevaux_trait[Aliment],0))="s1",IF($FD126=Spécificité1ChevauxTrait,1)),
AND(INDEX(Règles_chevaux_trait[Specificite],MATCH(RationEtéChevauxTrait&amp;$FD126,Règles_chevaux_trait[Ration]&amp;Règles_chevaux_trait[Aliment],0))="s2",IF($FD126=Spécificité2ChevauxTrait,1)),
INDEX(Règles_chevaux_trait[Specificite],MATCH(RationEtéChevauxTrait&amp;$FD126,Règles_chevaux_trait[Ration]&amp;Règles_chevaux_trait[Aliment],0))="c"),
INDEX(Règles_chevaux_trait[Valeur 24-36],MATCH(RationEtéChevauxTrait&amp;$FD126,Règles_chevaux_trait[Ration]&amp;Règles_chevaux_trait[Aliment],0)),0),0)*TotalJeuneJumentTrait_24_36_mois*NbreJoursNourrirChevauxTrait)</f>
        <v>0</v>
      </c>
      <c r="FG126" s="458">
        <f t="array" ref="FG126">IF(OR(ChoixRationComplèteEtéChevauxTrait=OUI,ChoixRationComplèteEtéChevauxTrait="",AND(ChoixChevauxTraitPréHiver=OUI,ChoixChevauxTraitPréEté=OUI)),0,IFERROR(IF(OR(AND(INDEX(Règles_chevaux_trait[Specificite],MATCH(RationEtéChevauxTrait&amp;$FD126,Règles_chevaux_trait[Ration]&amp;Règles_chevaux_trait[Aliment],0))="s1",IF($FD126=Spécificité1ChevauxTrait,1)),
AND(INDEX(Règles_chevaux_trait[Specificite],MATCH(RationEtéChevauxTrait&amp;$FD126,Règles_chevaux_trait[Ration]&amp;Règles_chevaux_trait[Aliment],0))="s2",IF($FD126=Spécificité2ChevauxTrait,1)),
INDEX(Règles_chevaux_trait[Specificite],MATCH(RationEtéChevauxTrait&amp;$FD126,Règles_chevaux_trait[Ration]&amp;Règles_chevaux_trait[Aliment],0))="c"),
INDEX(Règles_chevaux_trait[Valeur 12-24],MATCH(RationEtéChevauxTrait&amp;$FD126,Règles_chevaux_trait[Ration]&amp;Règles_chevaux_trait[Aliment],0)),0),0)*TotalJeuneJumentTrait_12_24_mois*NbreJoursNourrirChevauxTrait)</f>
        <v>0</v>
      </c>
      <c r="FH126" s="460">
        <f t="array" ref="FH126">IF(OR(ChoixRationComplèteEtéChevauxTrait=OUI,ChoixRationComplèteEtéChevauxTrait="",AND(ChoixChevauxTraitPréHiver=OUI,ChoixChevauxTraitPréEté=OUI)),0,IFERROR(IF(OR(AND(INDEX(Règles_chevaux_trait[Specificite],MATCH(RationEtéChevauxTrait&amp;$FD126,Règles_chevaux_trait[Ration]&amp;Règles_chevaux_trait[Aliment],0))="s1",IF($FD126=Spécificité1ChevauxTrait,1)),
AND(INDEX(Règles_chevaux_trait[Specificite],MATCH(RationEtéChevauxTrait&amp;$FD126,Règles_chevaux_trait[Ration]&amp;Règles_chevaux_trait[Aliment],0))="s2",IF($FD126=Spécificité2ChevauxTrait,1)),
INDEX(Règles_chevaux_trait[Specificite],MATCH(RationEtéChevauxTrait&amp;$FD126,Règles_chevaux_trait[Ration]&amp;Règles_chevaux_trait[Aliment],0))="c"),
INDEX(Règles_chevaux_trait[Valeur 0-12],MATCH(RationEtéChevauxTrait&amp;$FD126,Règles_chevaux_trait[Ration]&amp;Règles_chevaux_trait[Aliment],0)),0),0)*TotalPoulicheTrait_0_12_mois*NbreJoursNourrirChevauxTrait)</f>
        <v>0</v>
      </c>
      <c r="FI126" s="460">
        <f t="shared" si="31"/>
        <v>0</v>
      </c>
      <c r="FJ126" s="298"/>
      <c r="FN126" s="457" t="str">
        <f t="shared" si="32"/>
        <v>Tourteau de tournesol</v>
      </c>
      <c r="FO126" s="458">
        <f t="array" ref="FO126">IF(OR(ChoixRationComplèteEtéPoneys=OUI,ChoixRationComplèteEtéPoneys="",AND(ChoixPoneysPréHiver=OUI,ChoixPoneysPréEté=OUI)),0,IFERROR(IF(OR(AND(INDEX(Règles_poneys[Specificite],MATCH(RationHivernaleAuPréPoneys&amp;$FN126,Règles_poneys[Ration]&amp;Règles_poneys[Aliment],0))="s1",IF($FN126=Spécificité1Poneys,1)),
AND(INDEX(Règles_poneys[Specificite],MATCH(RationHivernaleAuPréPoneys&amp;$FN126,Règles_poneys[Ration]&amp;Règles_poneys[Aliment],0))="s2",IF($FN126=Spécificité2Poneys,1)),
INDEX(Règles_poneys[Specificite],MATCH(RationHivernaleAuPréPoneys&amp;$FN126,Règles_poneys[Ration]&amp;Règles_poneys[Aliment],0))="c"),
INDEX(Règles_poneys[Valeur 36 et plus],MATCH(RationHivernaleAuPréPoneys&amp;$FN126,Règles_poneys[Ration]&amp;Règles_poneys[Aliment],0)),0),0)*SUM(TotalPoneysAdultes)*SUM(AG118:AG142))</f>
        <v>0</v>
      </c>
      <c r="FP126" s="458">
        <f t="array" ref="FP126">IF(OR(ChoixRationComplèteEtéPoneys=OUI,ChoixRationComplèteEtéPoneys="",AND(ChoixPoneysPréHiver=OUI,ChoixPoneysPréEté=OUI)),0,IFERROR(IF(OR(AND(INDEX(Règles_poneys[Specificite],MATCH(RationHivernaleAuPréPoneys&amp;$FN126,Règles_poneys[Ration]&amp;Règles_poneys[Aliment],0))="s1",IF($FN126=Spécificité1Poneys,1)),
AND(INDEX(Règles_poneys[Specificite],MATCH(RationHivernaleAuPréPoneys&amp;$FN126,Règles_poneys[Ration]&amp;Règles_poneys[Aliment],0))="s2",IF($FN126=Spécificité2Poneys,1)),
INDEX(Règles_poneys[Specificite],MATCH(RationHivernaleAuPréPoneys&amp;$FN126,Règles_poneys[Ration]&amp;Règles_poneys[Aliment],0))="c"),
INDEX(Règles_poneys[Valeur 24-36],MATCH(RationHivernaleAuPréPoneys&amp;$FN126,Règles_poneys[Ration]&amp;Règles_poneys[Aliment],0)),0),0)*SUM(TotalPoneys_24_36mois)*SUM(AG118:AG142))</f>
        <v>0</v>
      </c>
      <c r="FQ126" s="458">
        <f t="array" ref="FQ126">IF(OR(ChoixRationComplèteEtéPoneys=OUI,ChoixRationComplèteEtéPoneys="",AND(ChoixPoneysPréHiver=OUI,ChoixPoneysPréEté=OUI)),0,IFERROR(IF(OR(AND(INDEX(Règles_poneys[Specificite],MATCH(RationHivernaleAuPréPoneys&amp;$FN126,Règles_poneys[Ration]&amp;Règles_poneys[Aliment],0))="s1",IF($FN126=Spécificité1Poneys,1)),
AND(INDEX(Règles_poneys[Specificite],MATCH(RationHivernaleAuPréPoneys&amp;$FN126,Règles_poneys[Ration]&amp;Règles_poneys[Aliment],0))="s2",IF($FN126=Spécificité2Poneys,1)),
INDEX(Règles_poneys[Specificite],MATCH(RationHivernaleAuPréPoneys&amp;$FN126,Règles_poneys[Ration]&amp;Règles_poneys[Aliment],0))="c"),
INDEX(Règles_poneys[Valeur 12-24],MATCH(RationHivernaleAuPréPoneys&amp;$FN126,Règles_poneys[Ration]&amp;Règles_poneys[Aliment],0)),0),0)*SUM(TotalPoneys_12_24mois)*SUM(AG118:AG142))</f>
        <v>0</v>
      </c>
      <c r="FR126" s="460">
        <f t="array" ref="FR126">IF(OR(ChoixRationComplèteEtéPoneys=OUI,ChoixRationComplèteEtéPoneys="",AND(ChoixPoneysPréHiver=OUI,ChoixPoneysPréEté=OUI)),0,IFERROR(IF(OR(AND(INDEX(Règles_poneys[Specificite],MATCH(RationHivernaleAuPréPoneys&amp;$FN126,Règles_poneys[Ration]&amp;Règles_poneys[Aliment],0))="s1",IF($FN126=Spécificité1Poneys,1)),
AND(INDEX(Règles_poneys[Specificite],MATCH(RationHivernaleAuPréPoneys&amp;$FN126,Règles_poneys[Ration]&amp;Règles_poneys[Aliment],0))="s2",IF($FN126=Spécificité2Poneys,1)),
INDEX(Règles_poneys[Specificite],MATCH(RationHivernaleAuPréPoneys&amp;$FN126,Règles_poneys[Ration]&amp;Règles_poneys[Aliment],0))="c"),
INDEX(Règles_poneys[Valeur 0-12],MATCH(RationHivernaleAuPréPoneys&amp;$FN126,Règles_poneys[Ration]&amp;Règles_poneys[Aliment],0)),0),0)*SUM(TotalPoulainsPoneys)*SUM(AG118:AG142))</f>
        <v>0</v>
      </c>
      <c r="FS126" s="460">
        <f t="shared" si="29"/>
        <v>0</v>
      </c>
      <c r="FT126" s="298"/>
      <c r="FW126" s="443">
        <f t="shared" si="27"/>
        <v>0</v>
      </c>
      <c r="FX126" s="450">
        <f t="array" ref="FX126">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26" s="450">
        <f t="array" ref="FY126">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26" s="450">
        <f t="array" ref="FZ126">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26" s="450">
        <f t="array" ref="GA126">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26" s="451">
        <f>SUM(AlimentsGavageCanards[[#This Row],[Valeur 6 et plus]:[Valeur 0-1]])</f>
        <v>0</v>
      </c>
      <c r="GG126" s="276" t="s">
        <v>955</v>
      </c>
      <c r="GH126" s="276" t="s">
        <v>955</v>
      </c>
      <c r="GI126" s="276" t="s">
        <v>955</v>
      </c>
      <c r="GJ126" s="276" t="s">
        <v>955</v>
      </c>
      <c r="GK126" s="276" t="s">
        <v>955</v>
      </c>
      <c r="GL126" s="276" t="s">
        <v>955</v>
      </c>
      <c r="GM126" s="276" t="s">
        <v>955</v>
      </c>
      <c r="GN126" s="276" t="s">
        <v>955</v>
      </c>
      <c r="GO126" s="276" t="s">
        <v>955</v>
      </c>
      <c r="GP126" s="276" t="s">
        <v>955</v>
      </c>
      <c r="GQ126" s="276" t="s">
        <v>955</v>
      </c>
      <c r="GR126" s="276" t="s">
        <v>955</v>
      </c>
      <c r="GS126" s="276" t="s">
        <v>955</v>
      </c>
      <c r="GT126" s="276" t="s">
        <v>955</v>
      </c>
      <c r="GU126" s="276" t="s">
        <v>955</v>
      </c>
      <c r="GV126" s="276" t="s">
        <v>955</v>
      </c>
    </row>
    <row r="127" spans="1:236" ht="12.75" customHeight="1" x14ac:dyDescent="0.2">
      <c r="A127" s="373"/>
      <c r="B127" s="380"/>
      <c r="BB127" s="387" t="s">
        <v>516</v>
      </c>
      <c r="BC127" s="362" t="s">
        <v>907</v>
      </c>
      <c r="BD127" s="362" t="s">
        <v>888</v>
      </c>
      <c r="BE127" s="388">
        <v>4.8</v>
      </c>
      <c r="BF127" s="388">
        <v>4</v>
      </c>
      <c r="BG127" s="388">
        <v>4</v>
      </c>
      <c r="BH127" s="388">
        <v>4</v>
      </c>
      <c r="BI127" s="388">
        <v>2</v>
      </c>
      <c r="BJ127" s="388">
        <v>1.2</v>
      </c>
      <c r="BK127" s="389">
        <v>0</v>
      </c>
      <c r="BL127" s="312"/>
      <c r="BM127" s="350" t="str">
        <f t="shared" si="43"/>
        <v>Féverole</v>
      </c>
      <c r="BN127" s="351">
        <f t="array" ref="BN127">SUM((IF(QualitéAlimentsBisonneauxMâles_0_3_mois=BONNE,VLOOKUP("Féverole",AlimentsRationHivernaleBisonsMâles,8,FALSE),0)+(IF(QualitéAlimentsBisonneauxFemelles_0_3_mois=BONNE,VLOOKUP("Féverole",AlimentsRationHivernaleBisonsFemelles,8,FALSE),0)+(IF(QualitéAlimentsBisonneauxMâles_3_6_mois=BONNE,VLOOKUP("Féverole",AlimentsRationHivernaleBisonsMâles,7,FALSE),0)+(IF(QualitéAlimentsBisonneauxFemelles_3_6_mois=BONNE,VLOOKUP("Féverole",AlimentsRationHivernaleBisonsFemelles,7,FALSE),0)+(IF(QualitéAlimentsBisonneauxMâles_6_12_mois=BONNE,VLOOKUP("Féverole",AlimentsRationHivernaleBisonsMâles,6,FALSE),0)+(IF(QualitéAlimentsBisonneauxFemelles_6_12_mois=BONNE,VLOOKUP("Féverole",AlimentsRationHivernaleBisonsFemelles,6,FALSE),0)+(IF(QualitéAlimentsJeunesBisons_12_18_mois=BONNE,VLOOKUP("Féverole",AlimentsRationHivernaleBisonsMâles,5,FALSE),0)+(IF(QualitéAlimentsJeunesBisonnes_12_18_mois=BONNE,VLOOKUP("Féverole",AlimentsRationHivernaleBisonsFemelles,5,FALSE),0)+(IF(QualitéAlimentsJeunesBisons_18_24_mois=BONNE,VLOOKUP("Féverole",AlimentsRationHivernaleBisonsMâles,4,FALSE),0)+(IF(QualitéAlimentsJeunesBisonnes_18_24_mois=BONNE,VLOOKUP("Féverole",AlimentsRationHivernaleBisonsFemelles,4,FALSE),0)+(IF(QualitéAlimentsJeunesBisons_24_36_mois=BONNE,VLOOKUP("Féverole",AlimentsRationHivernaleBisonsMâles,3,FALSE),0)+(IF(QualitéAlimentsJeunesBisonnes_24_36_mois=BONNE,VLOOKUP("Féverole",AlimentsRationHivernaleBisonsFemelles,3,FALSE),0)+(IF(QualitéAlimentsBisons=BONNE,VLOOKUP("Féverole",AlimentsRationHivernaleBisonsMâles,2,FALSE),0)+(IF(QualitéAlimentsBisonnes=BONNE,VLOOKUP("Féverole",AlimentsRationHivernaleBisonsFemelles,2,FALSE),0))))))))))))))))</f>
        <v>0</v>
      </c>
      <c r="BO127" s="351">
        <f t="array" ref="BO127">SUM((IF(QualitéAlimentsBisonneauxMâles_0_3_mois=MOYENNE,VLOOKUP("Féverole",AlimentsRationHivernaleBisonsMâles,8,FALSE),0)+(IF(QualitéAlimentsBisonneauxFemelles_0_3_mois=MOYENNE,VLOOKUP("Féverole",AlimentsRationHivernaleBisonsFemelles,8,FALSE),0)+(IF(QualitéAlimentsBisonneauxMâles_3_6_mois=MOYENNE,VLOOKUP("Féverole",AlimentsRationHivernaleBisonsMâles,7,FALSE),0)+(IF(QualitéAlimentsBisonneauxFemelles_3_6_mois=MOYENNE,VLOOKUP("Féverole",AlimentsRationHivernaleBisonsFemelles,7,FALSE),0)+(IF(QualitéAlimentsBisonneauxMâles_6_12_mois=MOYENNE,VLOOKUP("Féverole",AlimentsRationHivernaleBisonsMâles,6,FALSE),0)+(IF(QualitéAlimentsBisonneauxFemelles_6_12_mois=MOYENNE,VLOOKUP("Féverole",AlimentsRationHivernaleBisonsFemelles,6,FALSE),0)+(IF(QualitéAlimentsJeunesBisons_12_18_mois=MOYENNE,VLOOKUP("Féverole",AlimentsRationHivernaleBisonsMâles,5,FALSE),0)+(IF(QualitéAlimentsJeunesBisonnes_12_18_mois=MOYENNE,VLOOKUP("Féverole",AlimentsRationHivernaleBisonsFemelles,5,FALSE),0)+(IF(QualitéAlimentsJeunesBisons_18_24_mois=MOYENNE,VLOOKUP("Féverole",AlimentsRationHivernaleBisonsMâles,4,FALSE),0)+(IF(QualitéAlimentsJeunesBisonnes_18_24_mois=MOYENNE,VLOOKUP("Féverole",AlimentsRationHivernaleBisonsFemelles,4,FALSE),0)+(IF(QualitéAlimentsJeunesBisons_24_36_mois=MOYENNE,VLOOKUP("Féverole",AlimentsRationHivernaleBisonsMâles,3,FALSE),0)+(IF(QualitéAlimentsJeunesBisonnes_24_36_mois=MOYENNE,VLOOKUP("Féverole",AlimentsRationHivernaleBisonsFemelles,3,FALSE),0)+(IF(QualitéAlimentsBisons=MOYENNE,VLOOKUP("Féverole",AlimentsRationHivernaleBisonsMâles,2,FALSE),0)+(IF(QualitéAlimentsBisonnes=MOYENNE,VLOOKUP("Féverole",AlimentsRationHivernaleBisonsFemelles,2,FALSE),0))))))))))))))))</f>
        <v>0</v>
      </c>
      <c r="BP127" s="351">
        <f t="array" ref="BP127">SUM((IF(QualitéAlimentsBisonneauxMâles_0_3_mois=MAUVAISE,VLOOKUP("Féverole",AlimentsRationHivernaleBisonsMâles,8,FALSE),0)+(IF(QualitéAlimentsBisonneauxFemelles_0_3_mois=MAUVAISE,VLOOKUP("Féverole",AlimentsRationHivernaleBisonsFemelles,8,FALSE),0)+(IF(QualitéAlimentsBisonneauxMâles_3_6_mois=MAUVAISE,VLOOKUP("Féverole",AlimentsRationHivernaleBisonsMâles,7,FALSE),0)+(IF(QualitéAlimentsBisonneauxFemelles_3_6_mois=MAUVAISE,VLOOKUP("Féverole",AlimentsRationHivernaleBisonsFemelles,7,FALSE),0)+(IF(QualitéAlimentsBisonneauxMâles_6_12_mois=MAUVAISE,VLOOKUP("Féverole",AlimentsRationHivernaleBisonsMâles,6,FALSE),0)+(IF(QualitéAlimentsBisonneauxFemelles_6_12_mois=MAUVAISE,VLOOKUP("Féverole",AlimentsRationHivernaleBisonsFemelles,6,FALSE),0)+(IF(QualitéAlimentsJeunesBisons_12_18_mois=MAUVAISE,VLOOKUP("Féverole",AlimentsRationHivernaleBisonsMâles,5,FALSE),0)+(IF(QualitéAlimentsJeunesBisonnes_12_18_mois=MAUVAISE,VLOOKUP("Féverole",AlimentsRationHivernaleBisonsFemelles,5,FALSE),0)+(IF(QualitéAlimentsJeunesBisons_18_24_mois=MAUVAISE,VLOOKUP("Féverole",AlimentsRationHivernaleBisonsMâles,4,FALSE),0)+(IF(QualitéAlimentsJeunesBisonnes_18_24_mois=MAUVAISE,VLOOKUP("Féverole",AlimentsRationHivernaleBisonsFemelles,4,FALSE),0)+(IF(QualitéAlimentsJeunesBisons_24_36_mois=MAUVAISE,VLOOKUP("Féverole",AlimentsRationHivernaleBisonsMâles,3,FALSE),0)+(IF(QualitéAlimentsJeunesBisonnes_24_36_mois=MAUVAISE,VLOOKUP("Féverole",AlimentsRationHivernaleBisonsFemelles,3,FALSE),0)+(IF(QualitéAlimentsBisons=MAUVAISE,VLOOKUP("Féverole",AlimentsRationHivernaleBisonsMâles,2,FALSE),0)+(IF(QualitéAlimentsBisonnes=MAUVAISE,VLOOKUP("Féverole",AlimentsRationHivernaleBisonsFemelles,2,FALSE),0))))))))))))))))</f>
        <v>0</v>
      </c>
      <c r="BQ127" s="282"/>
      <c r="BR127" s="282"/>
      <c r="BS127" s="282"/>
      <c r="BT127" s="282"/>
      <c r="BU127" s="282"/>
      <c r="BX127" s="350" t="s">
        <v>510</v>
      </c>
      <c r="BY127" s="350">
        <f t="array" ref="BY127">IF(ChoixRationComplèteCaprins=OUI,0,IFERROR(IF(OR(AND(INDEX(Règles_caprins[Specificite],MATCH(ChoixRationCaprins&amp;$BX127,Règles_caprins[Ration]&amp;Règles_caprins[Aliment],0))="s1",IF($BX127=Spécificité1Caprins,1)),
INDEX(Règles_caprins[Specificite],MATCH(ChoixRationCaprins&amp;$BX127,Règles_caprins[Ration]&amp;Règles_caprins[Aliment],0))="c"),
INDEX(Règles_caprins[Valeur 12 et plus],MATCH(ChoixRationCaprins&amp;$BX127,Règles_caprins[Ration]&amp;Règles_caprins[Aliment],0)),0),0)*TotalBoucs*NbreJoursNourrirCaprins)</f>
        <v>0</v>
      </c>
      <c r="BZ127" s="350">
        <f t="array" ref="BZ127">IF(ChoixRationComplèteCaprins=OUI,0,IFERROR(IF(OR(AND(INDEX(Règles_caprins[Specificite],MATCH(ChoixRationCaprins&amp;$BX127,Règles_caprins[Ration]&amp;Règles_caprins[Aliment],0))="s1",IF($BX127=Spécificité1Caprins,1)),
INDEX(Règles_caprins[Specificite],MATCH(ChoixRationCaprins&amp;$BX127,Règles_caprins[Ration]&amp;Règles_caprins[Aliment],0))="c"),
INDEX(Règles_caprins[Valeur 6-12],MATCH(ChoixRationCaprins&amp;$BX127,Règles_caprins[Ration]&amp;Règles_caprins[Aliment],0)),0),0)*jeune_bouc_6_12_mois*NbreJoursNourrirCaprins)</f>
        <v>0</v>
      </c>
      <c r="CA127" s="350">
        <f t="array" ref="CA127">IF(ChoixRationComplèteCaprins=OUI,0,IFERROR(IF(OR(AND(INDEX(Règles_caprins[Specificite],MATCH(ChoixRationCaprins&amp;$BX127,Règles_caprins[Ration]&amp;Règles_caprins[Aliment],0))="s1",IF($BX127=Spécificité1Caprins,1)),
INDEX(Règles_caprins[Specificite],MATCH(ChoixRationCaprins&amp;$BX127,Règles_caprins[Ration]&amp;Règles_caprins[Aliment],0))="c"),
INDEX(Règles_caprins[Valeur 3-6],MATCH(ChoixRationCaprins&amp;$BX127,Règles_caprins[Ration]&amp;Règles_caprins[Aliment],0)),0),0)*chevreau_3_6_mois*NbreJoursNourrirCaprins)</f>
        <v>0</v>
      </c>
      <c r="CB127" s="350">
        <f t="array" ref="CB127">IF(ChoixRationComplèteCaprins=OUI,0,IFERROR(IF(OR(AND(INDEX(Règles_caprins[Specificite],MATCH(ChoixRationCaprins&amp;$BX127,Règles_caprins[Ration]&amp;Règles_caprins[Aliment],0))="s1",IF($BX127=Spécificité1Caprins,1)),
INDEX(Règles_caprins[Specificite],MATCH(ChoixRationCaprins&amp;$BX127,Règles_caprins[Ration]&amp;Règles_caprins[Aliment],0))="c"),
INDEX(Règles_caprins[Valeur 0-3],MATCH(ChoixRationCaprins&amp;$BX127,Règles_caprins[Ration]&amp;Règles_caprins[Aliment],0)),0),0)*chevreau_0_3_mois*NbreJoursNourrirCaprins)</f>
        <v>0</v>
      </c>
      <c r="CC127" s="350">
        <f t="shared" si="41"/>
        <v>0</v>
      </c>
      <c r="CH127" s="276"/>
      <c r="CI127" s="277"/>
      <c r="CJ127" s="276"/>
      <c r="CM127" s="277"/>
      <c r="CS127" s="420" t="str">
        <f t="shared" si="36"/>
        <v>Sorgho ensilé</v>
      </c>
      <c r="CT127" s="433">
        <f t="array" ref="CT127">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27" s="433">
        <f t="array" ref="CU127">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27" s="433">
        <f t="array" ref="CV127">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27" s="434">
        <f>SUM(AlimentsRationLapinsFemelles[[#This Row],[Valeur 3 et plus]:[Valeur 0-1]])</f>
        <v>0</v>
      </c>
      <c r="CY127" s="277"/>
      <c r="CZ127" s="420" t="str">
        <f t="shared" si="37"/>
        <v>Sorgho ensilé</v>
      </c>
      <c r="DA127" s="433">
        <f t="array" ref="DA12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27" s="433">
        <f t="array" ref="DB12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27" s="433">
        <f t="array" ref="DC12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27" s="434">
        <f>SUM(AlimentsRationVolaillesFemelles[[#This Row],[Valeur 6 et plus]:[Valeur 0-1]])</f>
        <v>0</v>
      </c>
      <c r="DE127" s="298"/>
      <c r="DG127" s="384">
        <f t="shared" si="26"/>
        <v>0</v>
      </c>
      <c r="DH127" s="433">
        <f t="array" ref="DH12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27" s="433">
        <f t="array" ref="DI12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27" s="433">
        <f t="array" ref="DJ127">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27" s="437">
        <f>SUM(AlimentsRationPintadesFemelles[[#This Row],[Valeur 6 et plus]:[Valeur 0-1]])</f>
        <v>0</v>
      </c>
      <c r="DN127" s="373" t="s">
        <v>551</v>
      </c>
      <c r="DO127" s="280" t="s">
        <v>508</v>
      </c>
      <c r="DP127" s="280" t="s">
        <v>886</v>
      </c>
      <c r="DQ127" s="310"/>
      <c r="DR127" s="310"/>
      <c r="DS127" s="310"/>
      <c r="DT127" s="439"/>
      <c r="EG127" s="420" t="str">
        <f t="shared" si="30"/>
        <v>Triticale</v>
      </c>
      <c r="EH127" s="433">
        <f t="array" ref="EH12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27" s="433">
        <f t="array" ref="EI12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27" s="433">
        <f t="array" ref="EJ127">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27" s="434">
        <f>SUM(AlimentsRationOiesFemelles[[#This Row],[Valeur 6 et plus]:[Valeur 0-3]])</f>
        <v>0</v>
      </c>
      <c r="EN127" s="443">
        <f t="shared" si="28"/>
        <v>0</v>
      </c>
      <c r="EO127" s="450">
        <f t="array" ref="EO127">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27" s="450">
        <f t="array" ref="EP127">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27" s="450">
        <f t="array" ref="EQ127">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27" s="451">
        <f>SUM(Ration_canards_Femelles[[#This Row],[Valeur 6 et plus]:[Valeur 0-3]])</f>
        <v>0</v>
      </c>
      <c r="EU127" s="457" t="str">
        <f t="shared" si="40"/>
        <v>Ration complète</v>
      </c>
      <c r="EV127" s="458">
        <f t="array" ref="EV127">IF(OR(ChoixRationComplèteEtéChevauxSelle=OUI,ChoixRationComplèteEtéChevauxSelle="",AND(ChoixChevauxSellePréHiver=OUI,ChoixChevauxSellePréEté=OUI)),0,IFERROR(IF(OR(AND(INDEX(Règles_chevaux_selle[Specificite],MATCH(RationEtéChevauxSelle&amp;$EU127,Règles_chevaux_selle[Ration]&amp;Règles_chevaux_selle[Aliment],0))="s1",IF($EU127=Spécificité1ChevauxSelle,1)),
AND(INDEX(Règles_chevaux_selle[Specificite],MATCH(RationEtéChevauxSelle&amp;$EU127,Règles_chevaux_selle[Ration]&amp;Règles_chevaux_selle[Aliment],0))="s2",IF($EU127=Spécificité2ChevauxSelle,1)),
INDEX(Règles_chevaux_selle[Specificite],MATCH(RationEtéChevauxSelle&amp;$EU127,Règles_chevaux_selle[Ration]&amp;Règles_chevaux_selle[Aliment],0))="c"),
INDEX(Règles_chevaux_selle[Valeur 36 et plus],MATCH(RationEtéChevauxSelle&amp;$EU127,Règles_chevaux_selle[Ration]&amp;Règles_chevaux_selle[Aliment],0)),0),0)*TotalJumentSelle*NbreJoursNourrirChevauxSelle)</f>
        <v>0</v>
      </c>
      <c r="EW127" s="458">
        <f t="array" ref="EW127">IF(OR(ChoixRationComplèteEtéChevauxSelle=OUI,ChoixRationComplèteEtéChevauxSelle="",AND(ChoixChevauxSellePréHiver=OUI,ChoixChevauxSellePréEté=OUI)),0,IFERROR(IF(OR(AND(INDEX(Règles_chevaux_selle[Specificite],MATCH(RationEtéChevauxSelle&amp;$EU127,Règles_chevaux_selle[Ration]&amp;Règles_chevaux_selle[Aliment],0))="s1",IF($EU127=Spécificité1ChevauxSelle,1)),
AND(INDEX(Règles_chevaux_selle[Specificite],MATCH(RationEtéChevauxSelle&amp;$EU127,Règles_chevaux_selle[Ration]&amp;Règles_chevaux_selle[Aliment],0))="s2",IF($EU127=Spécificité2ChevauxSelle,1)),
INDEX(Règles_chevaux_selle[Specificite],MATCH(RationEtéChevauxSelle&amp;$EU127,Règles_chevaux_selle[Ration]&amp;Règles_chevaux_selle[Aliment],0))="c"),
INDEX(Règles_chevaux_selle[Valeur 24-36],MATCH(RationEtéChevauxSelle&amp;$EU127,Règles_chevaux_selle[Ration]&amp;Règles_chevaux_selle[Aliment],0)),0),0)*TotalJeuneJumentSelle_24_36_mois*NbreJoursNourrirChevauxSelle)</f>
        <v>0</v>
      </c>
      <c r="EX127" s="458">
        <f t="array" ref="EX127">IF(OR(ChoixRationComplèteEtéChevauxSelle=OUI,ChoixRationComplèteEtéChevauxSelle="",AND(ChoixChevauxSellePréHiver=OUI,ChoixChevauxSellePréEté=OUI)),0,IFERROR(IF(OR(AND(INDEX(Règles_chevaux_selle[Specificite],MATCH(RationEtéChevauxSelle&amp;$EU127,Règles_chevaux_selle[Ration]&amp;Règles_chevaux_selle[Aliment],0))="s1",IF($EU127=Spécificité1ChevauxSelle,1)),
AND(INDEX(Règles_chevaux_selle[Specificite],MATCH(RationEtéChevauxSelle&amp;$EU127,Règles_chevaux_selle[Ration]&amp;Règles_chevaux_selle[Aliment],0))="s2",IF($EU127=Spécificité2ChevauxSelle,1)),
INDEX(Règles_chevaux_selle[Specificite],MATCH(RationEtéChevauxSelle&amp;$EU127,Règles_chevaux_selle[Ration]&amp;Règles_chevaux_selle[Aliment],0))="c"),
INDEX(Règles_chevaux_selle[Valeur 12-24],MATCH(RationEtéChevauxSelle&amp;$EU127,Règles_chevaux_selle[Ration]&amp;Règles_chevaux_selle[Aliment],0)),0),0)*TotalJeuneJumentSelle_12_24_mois_12_24_mois*NbreJoursNourrirChevauxSelle)</f>
        <v>0</v>
      </c>
      <c r="EY127" s="460">
        <f t="array" ref="EY127">IF(OR(ChoixRationComplèteEtéChevauxSelle=OUI,ChoixRationComplèteEtéChevauxSelle="",AND(ChoixChevauxSellePréHiver=OUI,ChoixChevauxSellePréEté=OUI)),0,IFERROR(IF(OR(AND(INDEX(Règles_chevaux_selle[Specificite],MATCH(RationEtéChevauxSelle&amp;$EU127,Règles_chevaux_selle[Ration]&amp;Règles_chevaux_selle[Aliment],0))="s1",IF($EU127=Spécificité1ChevauxSelle,1)),
AND(INDEX(Règles_chevaux_selle[Specificite],MATCH(RationEtéChevauxSelle&amp;$EU127,Règles_chevaux_selle[Ration]&amp;Règles_chevaux_selle[Aliment],0))="s2",IF($EU127=Spécificité2ChevauxSelle,1)),
INDEX(Règles_chevaux_selle[Specificite],MATCH(RationEtéChevauxSelle&amp;$EU127,Règles_chevaux_selle[Ration]&amp;Règles_chevaux_selle[Aliment],0))="c"),
INDEX(Règles_chevaux_selle[Valeur 0-12],MATCH(RationEtéChevauxSelle&amp;$EU127,Règles_chevaux_selle[Ration]&amp;Règles_chevaux_selle[Aliment],0)),0),0)*TotalPoulicheSelle_0_12_mois*NbreJoursNourrirChevauxSelle)</f>
        <v>0</v>
      </c>
      <c r="EZ127" s="460">
        <f t="shared" si="39"/>
        <v>0</v>
      </c>
      <c r="FD127" s="457" t="str">
        <f t="shared" si="33"/>
        <v>Tourteau de tournesol</v>
      </c>
      <c r="FE127" s="458">
        <f t="array" ref="FE127">IF(OR(ChoixRationComplèteEtéChevauxTrait=OUI,ChoixRationComplèteEtéChevauxTrait="",AND(ChoixChevauxTraitPréHiver=OUI,ChoixChevauxTraitPréEté=OUI)),0,IFERROR(IF(OR(AND(INDEX(Règles_chevaux_trait[Specificite],MATCH(RationEtéChevauxTrait&amp;$FD127,Règles_chevaux_trait[Ration]&amp;Règles_chevaux_trait[Aliment],0))="s1",IF($FD127=Spécificité1ChevauxTrait,1)),
AND(INDEX(Règles_chevaux_trait[Specificite],MATCH(RationEtéChevauxTrait&amp;$FD127,Règles_chevaux_trait[Ration]&amp;Règles_chevaux_trait[Aliment],0))="s2",IF($FD127=Spécificité2ChevauxTrait,1)),
INDEX(Règles_chevaux_trait[Specificite],MATCH(RationEtéChevauxTrait&amp;$FD127,Règles_chevaux_trait[Ration]&amp;Règles_chevaux_trait[Aliment],0))="c"),
INDEX(Règles_chevaux_trait[Valeur 36 et plus],MATCH(RationEtéChevauxTrait&amp;$FD127,Règles_chevaux_trait[Ration]&amp;Règles_chevaux_trait[Aliment],0)),0),0)*TotalJumentTrait*NbreJoursNourrirChevauxTrait)</f>
        <v>0</v>
      </c>
      <c r="FF127" s="458">
        <f t="array" ref="FF127">IF(OR(ChoixRationComplèteEtéChevauxTrait=OUI,ChoixRationComplèteEtéChevauxTrait="",AND(ChoixChevauxTraitPréHiver=OUI,ChoixChevauxTraitPréEté=OUI)),0,IFERROR(IF(OR(AND(INDEX(Règles_chevaux_trait[Specificite],MATCH(RationEtéChevauxTrait&amp;$FD127,Règles_chevaux_trait[Ration]&amp;Règles_chevaux_trait[Aliment],0))="s1",IF($FD127=Spécificité1ChevauxTrait,1)),
AND(INDEX(Règles_chevaux_trait[Specificite],MATCH(RationEtéChevauxTrait&amp;$FD127,Règles_chevaux_trait[Ration]&amp;Règles_chevaux_trait[Aliment],0))="s2",IF($FD127=Spécificité2ChevauxTrait,1)),
INDEX(Règles_chevaux_trait[Specificite],MATCH(RationEtéChevauxTrait&amp;$FD127,Règles_chevaux_trait[Ration]&amp;Règles_chevaux_trait[Aliment],0))="c"),
INDEX(Règles_chevaux_trait[Valeur 24-36],MATCH(RationEtéChevauxTrait&amp;$FD127,Règles_chevaux_trait[Ration]&amp;Règles_chevaux_trait[Aliment],0)),0),0)*TotalJeuneJumentTrait_24_36_mois*NbreJoursNourrirChevauxTrait)</f>
        <v>0</v>
      </c>
      <c r="FG127" s="458">
        <f t="array" ref="FG127">IF(OR(ChoixRationComplèteEtéChevauxTrait=OUI,ChoixRationComplèteEtéChevauxTrait="",AND(ChoixChevauxTraitPréHiver=OUI,ChoixChevauxTraitPréEté=OUI)),0,IFERROR(IF(OR(AND(INDEX(Règles_chevaux_trait[Specificite],MATCH(RationEtéChevauxTrait&amp;$FD127,Règles_chevaux_trait[Ration]&amp;Règles_chevaux_trait[Aliment],0))="s1",IF($FD127=Spécificité1ChevauxTrait,1)),
AND(INDEX(Règles_chevaux_trait[Specificite],MATCH(RationEtéChevauxTrait&amp;$FD127,Règles_chevaux_trait[Ration]&amp;Règles_chevaux_trait[Aliment],0))="s2",IF($FD127=Spécificité2ChevauxTrait,1)),
INDEX(Règles_chevaux_trait[Specificite],MATCH(RationEtéChevauxTrait&amp;$FD127,Règles_chevaux_trait[Ration]&amp;Règles_chevaux_trait[Aliment],0))="c"),
INDEX(Règles_chevaux_trait[Valeur 12-24],MATCH(RationEtéChevauxTrait&amp;$FD127,Règles_chevaux_trait[Ration]&amp;Règles_chevaux_trait[Aliment],0)),0),0)*TotalJeuneJumentTrait_12_24_mois*NbreJoursNourrirChevauxTrait)</f>
        <v>0</v>
      </c>
      <c r="FH127" s="460">
        <f t="array" ref="FH127">IF(OR(ChoixRationComplèteEtéChevauxTrait=OUI,ChoixRationComplèteEtéChevauxTrait="",AND(ChoixChevauxTraitPréHiver=OUI,ChoixChevauxTraitPréEté=OUI)),0,IFERROR(IF(OR(AND(INDEX(Règles_chevaux_trait[Specificite],MATCH(RationEtéChevauxTrait&amp;$FD127,Règles_chevaux_trait[Ration]&amp;Règles_chevaux_trait[Aliment],0))="s1",IF($FD127=Spécificité1ChevauxTrait,1)),
AND(INDEX(Règles_chevaux_trait[Specificite],MATCH(RationEtéChevauxTrait&amp;$FD127,Règles_chevaux_trait[Ration]&amp;Règles_chevaux_trait[Aliment],0))="s2",IF($FD127=Spécificité2ChevauxTrait,1)),
INDEX(Règles_chevaux_trait[Specificite],MATCH(RationEtéChevauxTrait&amp;$FD127,Règles_chevaux_trait[Ration]&amp;Règles_chevaux_trait[Aliment],0))="c"),
INDEX(Règles_chevaux_trait[Valeur 0-12],MATCH(RationEtéChevauxTrait&amp;$FD127,Règles_chevaux_trait[Ration]&amp;Règles_chevaux_trait[Aliment],0)),0),0)*TotalPoulicheTrait_0_12_mois*NbreJoursNourrirChevauxTrait)</f>
        <v>0</v>
      </c>
      <c r="FI127" s="460">
        <f t="shared" si="31"/>
        <v>0</v>
      </c>
      <c r="FJ127" s="298"/>
      <c r="FN127" s="457" t="str">
        <f t="shared" si="32"/>
        <v>Triticale</v>
      </c>
      <c r="FO127" s="458">
        <f t="array" ref="FO127">IF(OR(ChoixRationComplèteEtéPoneys=OUI,ChoixRationComplèteEtéPoneys="",AND(ChoixPoneysPréHiver=OUI,ChoixPoneysPréEté=OUI)),0,IFERROR(IF(OR(AND(INDEX(Règles_poneys[Specificite],MATCH(RationHivernaleAuPréPoneys&amp;$FN127,Règles_poneys[Ration]&amp;Règles_poneys[Aliment],0))="s1",IF($FN127=Spécificité1Poneys,1)),
AND(INDEX(Règles_poneys[Specificite],MATCH(RationHivernaleAuPréPoneys&amp;$FN127,Règles_poneys[Ration]&amp;Règles_poneys[Aliment],0))="s2",IF($FN127=Spécificité2Poneys,1)),
INDEX(Règles_poneys[Specificite],MATCH(RationHivernaleAuPréPoneys&amp;$FN127,Règles_poneys[Ration]&amp;Règles_poneys[Aliment],0))="c"),
INDEX(Règles_poneys[Valeur 36 et plus],MATCH(RationHivernaleAuPréPoneys&amp;$FN127,Règles_poneys[Ration]&amp;Règles_poneys[Aliment],0)),0),0)*SUM(TotalPoneysAdultes)*SUM(AG118:AG142))</f>
        <v>0</v>
      </c>
      <c r="FP127" s="458">
        <f t="array" ref="FP127">IF(OR(ChoixRationComplèteEtéPoneys=OUI,ChoixRationComplèteEtéPoneys="",AND(ChoixPoneysPréHiver=OUI,ChoixPoneysPréEté=OUI)),0,IFERROR(IF(OR(AND(INDEX(Règles_poneys[Specificite],MATCH(RationHivernaleAuPréPoneys&amp;$FN127,Règles_poneys[Ration]&amp;Règles_poneys[Aliment],0))="s1",IF($FN127=Spécificité1Poneys,1)),
AND(INDEX(Règles_poneys[Specificite],MATCH(RationHivernaleAuPréPoneys&amp;$FN127,Règles_poneys[Ration]&amp;Règles_poneys[Aliment],0))="s2",IF($FN127=Spécificité2Poneys,1)),
INDEX(Règles_poneys[Specificite],MATCH(RationHivernaleAuPréPoneys&amp;$FN127,Règles_poneys[Ration]&amp;Règles_poneys[Aliment],0))="c"),
INDEX(Règles_poneys[Valeur 24-36],MATCH(RationHivernaleAuPréPoneys&amp;$FN127,Règles_poneys[Ration]&amp;Règles_poneys[Aliment],0)),0),0)*SUM(TotalPoneys_24_36mois)*SUM(AG118:AG142))</f>
        <v>0</v>
      </c>
      <c r="FQ127" s="458">
        <f t="array" ref="FQ127">IF(OR(ChoixRationComplèteEtéPoneys=OUI,ChoixRationComplèteEtéPoneys="",AND(ChoixPoneysPréHiver=OUI,ChoixPoneysPréEté=OUI)),0,IFERROR(IF(OR(AND(INDEX(Règles_poneys[Specificite],MATCH(RationHivernaleAuPréPoneys&amp;$FN127,Règles_poneys[Ration]&amp;Règles_poneys[Aliment],0))="s1",IF($FN127=Spécificité1Poneys,1)),
AND(INDEX(Règles_poneys[Specificite],MATCH(RationHivernaleAuPréPoneys&amp;$FN127,Règles_poneys[Ration]&amp;Règles_poneys[Aliment],0))="s2",IF($FN127=Spécificité2Poneys,1)),
INDEX(Règles_poneys[Specificite],MATCH(RationHivernaleAuPréPoneys&amp;$FN127,Règles_poneys[Ration]&amp;Règles_poneys[Aliment],0))="c"),
INDEX(Règles_poneys[Valeur 12-24],MATCH(RationHivernaleAuPréPoneys&amp;$FN127,Règles_poneys[Ration]&amp;Règles_poneys[Aliment],0)),0),0)*SUM(TotalPoneys_12_24mois)*SUM(AG118:AG142))</f>
        <v>0</v>
      </c>
      <c r="FR127" s="460">
        <f t="array" ref="FR127">IF(OR(ChoixRationComplèteEtéPoneys=OUI,ChoixRationComplèteEtéPoneys="",AND(ChoixPoneysPréHiver=OUI,ChoixPoneysPréEté=OUI)),0,IFERROR(IF(OR(AND(INDEX(Règles_poneys[Specificite],MATCH(RationHivernaleAuPréPoneys&amp;$FN127,Règles_poneys[Ration]&amp;Règles_poneys[Aliment],0))="s1",IF($FN127=Spécificité1Poneys,1)),
AND(INDEX(Règles_poneys[Specificite],MATCH(RationHivernaleAuPréPoneys&amp;$FN127,Règles_poneys[Ration]&amp;Règles_poneys[Aliment],0))="s2",IF($FN127=Spécificité2Poneys,1)),
INDEX(Règles_poneys[Specificite],MATCH(RationHivernaleAuPréPoneys&amp;$FN127,Règles_poneys[Ration]&amp;Règles_poneys[Aliment],0))="c"),
INDEX(Règles_poneys[Valeur 0-12],MATCH(RationHivernaleAuPréPoneys&amp;$FN127,Règles_poneys[Ration]&amp;Règles_poneys[Aliment],0)),0),0)*SUM(TotalPoulainsPoneys)*SUM(AG118:AG142))</f>
        <v>0</v>
      </c>
      <c r="FS127" s="460">
        <f t="shared" si="29"/>
        <v>0</v>
      </c>
      <c r="FT127" s="298"/>
      <c r="FW127" s="443">
        <f t="shared" si="27"/>
        <v>0</v>
      </c>
      <c r="FX127" s="450">
        <f t="array" ref="FX127">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27" s="450">
        <f t="array" ref="FY127">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27" s="450">
        <f t="array" ref="FZ127">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27" s="450">
        <f t="array" ref="GA127">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27" s="451">
        <f>SUM(AlimentsGavageCanards[[#This Row],[Valeur 6 et plus]:[Valeur 0-1]])</f>
        <v>0</v>
      </c>
      <c r="GG127" s="276" t="s">
        <v>955</v>
      </c>
      <c r="GH127" s="276" t="s">
        <v>955</v>
      </c>
      <c r="GI127" s="276" t="s">
        <v>955</v>
      </c>
      <c r="GJ127" s="276" t="s">
        <v>955</v>
      </c>
      <c r="GK127" s="276" t="s">
        <v>955</v>
      </c>
      <c r="GL127" s="276" t="s">
        <v>955</v>
      </c>
      <c r="GM127" s="276" t="s">
        <v>955</v>
      </c>
      <c r="GN127" s="276" t="s">
        <v>955</v>
      </c>
      <c r="GO127" s="276" t="s">
        <v>955</v>
      </c>
      <c r="GP127" s="276" t="s">
        <v>955</v>
      </c>
      <c r="GQ127" s="276" t="s">
        <v>955</v>
      </c>
      <c r="GR127" s="276" t="s">
        <v>955</v>
      </c>
      <c r="GS127" s="276" t="s">
        <v>955</v>
      </c>
      <c r="GT127" s="276" t="s">
        <v>955</v>
      </c>
      <c r="GU127" s="276" t="s">
        <v>955</v>
      </c>
      <c r="GV127" s="276" t="s">
        <v>955</v>
      </c>
    </row>
    <row r="128" spans="1:236" ht="12.75" customHeight="1" x14ac:dyDescent="0.2">
      <c r="A128" s="373"/>
      <c r="B128" s="380"/>
      <c r="BB128" s="387" t="s">
        <v>516</v>
      </c>
      <c r="BC128" s="362" t="s">
        <v>500</v>
      </c>
      <c r="BD128" s="362" t="s">
        <v>888</v>
      </c>
      <c r="BE128" s="388">
        <v>4.8</v>
      </c>
      <c r="BF128" s="388">
        <v>4</v>
      </c>
      <c r="BG128" s="388">
        <v>4</v>
      </c>
      <c r="BH128" s="388">
        <v>4</v>
      </c>
      <c r="BI128" s="388">
        <v>2</v>
      </c>
      <c r="BJ128" s="388">
        <v>1.2</v>
      </c>
      <c r="BK128" s="389">
        <v>0</v>
      </c>
      <c r="BL128" s="312"/>
      <c r="BM128" s="350" t="str">
        <f t="shared" si="43"/>
        <v>Foin</v>
      </c>
      <c r="BN128" s="351">
        <f t="array" ref="BN128">SUM((IF(QualitéAlimentsBisonneauxMâles_0_3_mois=BONNE,VLOOKUP("Foin",AlimentsRationHivernaleBisonsMâles,8,FALSE),0)+(IF(QualitéAlimentsBisonneauxFemelles_0_3_mois=BONNE,VLOOKUP("Foin",AlimentsRationHivernaleBisonsFemelles,8,FALSE),0)+(IF(QualitéAlimentsBisonneauxMâles_3_6_mois=BONNE,VLOOKUP("Foin",AlimentsRationHivernaleBisonsMâles,7,FALSE),0)+(IF(QualitéAlimentsBisonneauxFemelles_3_6_mois=BONNE,VLOOKUP("Foin",AlimentsRationHivernaleBisonsFemelles,7,FALSE),0)+(IF(QualitéAlimentsBisonneauxMâles_6_12_mois=BONNE,VLOOKUP("Foin",AlimentsRationHivernaleBisonsMâles,6,FALSE),0)+(IF(QualitéAlimentsBisonneauxFemelles_6_12_mois=BONNE,VLOOKUP("Foin",AlimentsRationHivernaleBisonsFemelles,6,FALSE),0)+(IF(QualitéAlimentsJeunesBisons_12_18_mois=BONNE,VLOOKUP("Foin",AlimentsRationHivernaleBisonsMâles,5,FALSE),0)+(IF(QualitéAlimentsJeunesBisonnes_12_18_mois=BONNE,VLOOKUP("Foin",AlimentsRationHivernaleBisonsFemelles,5,FALSE),0)+(IF(QualitéAlimentsJeunesBisons_18_24_mois=BONNE,VLOOKUP("Foin",AlimentsRationHivernaleBisonsMâles,4,FALSE),0)+(IF(QualitéAlimentsJeunesBisonnes_18_24_mois=BONNE,VLOOKUP("Foin",AlimentsRationHivernaleBisonsFemelles,4,FALSE),0)+(IF(QualitéAlimentsJeunesBisons_24_36_mois=BONNE,VLOOKUP("Foin",AlimentsRationHivernaleBisonsMâles,3,FALSE),0)+(IF(QualitéAlimentsJeunesBisonnes_24_36_mois=BONNE,VLOOKUP("Foin",AlimentsRationHivernaleBisonsFemelles,3,FALSE),0)+(IF(QualitéAlimentsBisons=BONNE,VLOOKUP("Foin",AlimentsRationHivernaleBisonsMâles,2,FALSE),0)+(IF(QualitéAlimentsBisonnes=BONNE,VLOOKUP("Foin",AlimentsRationHivernaleBisonsFemelles,2,FALSE),0))))))))))))))))</f>
        <v>0</v>
      </c>
      <c r="BO128" s="351">
        <f t="array" ref="BO128">SUM((IF(QualitéAlimentsBisonneauxMâles_0_3_mois=MOYENNE,VLOOKUP("Foin",AlimentsRationHivernaleBisonsMâles,8,FALSE),0)+(IF(QualitéAlimentsBisonneauxFemelles_0_3_mois=MOYENNE,VLOOKUP("Foin",AlimentsRationHivernaleBisonsFemelles,8,FALSE),0)+(IF(QualitéAlimentsBisonneauxMâles_3_6_mois=MOYENNE,VLOOKUP("Foin",AlimentsRationHivernaleBisonsMâles,7,FALSE),0)+(IF(QualitéAlimentsBisonneauxFemelles_3_6_mois=MOYENNE,VLOOKUP("Foin",AlimentsRationHivernaleBisonsFemelles,7,FALSE),0)+(IF(QualitéAlimentsBisonneauxMâles_6_12_mois=MOYENNE,VLOOKUP("Foin",AlimentsRationHivernaleBisonsMâles,6,FALSE),0)+(IF(QualitéAlimentsBisonneauxFemelles_6_12_mois=MOYENNE,VLOOKUP("Foin",AlimentsRationHivernaleBisonsFemelles,6,FALSE),0)+(IF(QualitéAlimentsJeunesBisons_12_18_mois=MOYENNE,VLOOKUP("Foin",AlimentsRationHivernaleBisonsMâles,5,FALSE),0)+(IF(QualitéAlimentsJeunesBisonnes_12_18_mois=MOYENNE,VLOOKUP("Foin",AlimentsRationHivernaleBisonsFemelles,5,FALSE),0)+(IF(QualitéAlimentsJeunesBisons_18_24_mois=MOYENNE,VLOOKUP("Foin",AlimentsRationHivernaleBisonsMâles,4,FALSE),0)+(IF(QualitéAlimentsJeunesBisonnes_18_24_mois=MOYENNE,VLOOKUP("Foin",AlimentsRationHivernaleBisonsFemelles,4,FALSE),0)+(IF(QualitéAlimentsJeunesBisons_24_36_mois=MOYENNE,VLOOKUP("Foin",AlimentsRationHivernaleBisonsMâles,3,FALSE),0)+(IF(QualitéAlimentsJeunesBisonnes_24_36_mois=MOYENNE,VLOOKUP("Foin",AlimentsRationHivernaleBisonsFemelles,3,FALSE),0)+(IF(QualitéAlimentsBisons=MOYENNE,VLOOKUP("Foin",AlimentsRationHivernaleBisonsMâles,2,FALSE),0)+(IF(QualitéAlimentsBisonnes=MOYENNE,VLOOKUP("Foin",AlimentsRationHivernaleBisonsFemelles,2,FALSE),0))))))))))))))))</f>
        <v>0</v>
      </c>
      <c r="BP128" s="351">
        <f t="array" ref="BP128">SUM((IF(QualitéAlimentsBisonneauxMâles_0_3_mois=MAUVAISE,VLOOKUP("Foin",AlimentsRationHivernaleBisonsMâles,8,FALSE),0)+(IF(QualitéAlimentsBisonneauxFemelles_0_3_mois=MAUVAISE,VLOOKUP("Foin",AlimentsRationHivernaleBisonsFemelles,8,FALSE),0)+(IF(QualitéAlimentsBisonneauxMâles_3_6_mois=MAUVAISE,VLOOKUP("Foin",AlimentsRationHivernaleBisonsMâles,7,FALSE),0)+(IF(QualitéAlimentsBisonneauxFemelles_3_6_mois=MAUVAISE,VLOOKUP("Foin",AlimentsRationHivernaleBisonsFemelles,7,FALSE),0)+(IF(QualitéAlimentsBisonneauxMâles_6_12_mois=MAUVAISE,VLOOKUP("Foin",AlimentsRationHivernaleBisonsMâles,6,FALSE),0)+(IF(QualitéAlimentsBisonneauxFemelles_6_12_mois=MAUVAISE,VLOOKUP("Foin",AlimentsRationHivernaleBisonsFemelles,6,FALSE),0)+(IF(QualitéAlimentsJeunesBisons_12_18_mois=MAUVAISE,VLOOKUP("Foin",AlimentsRationHivernaleBisonsMâles,5,FALSE),0)+(IF(QualitéAlimentsJeunesBisonnes_12_18_mois=MAUVAISE,VLOOKUP("Foin",AlimentsRationHivernaleBisonsFemelles,5,FALSE),0)+(IF(QualitéAlimentsJeunesBisons_18_24_mois=MAUVAISE,VLOOKUP("Foin",AlimentsRationHivernaleBisonsMâles,4,FALSE),0)+(IF(QualitéAlimentsJeunesBisonnes_18_24_mois=MAUVAISE,VLOOKUP("Foin",AlimentsRationHivernaleBisonsFemelles,4,FALSE),0)+(IF(QualitéAlimentsJeunesBisons_24_36_mois=MAUVAISE,VLOOKUP("Foin",AlimentsRationHivernaleBisonsMâles,3,FALSE),0)+(IF(QualitéAlimentsJeunesBisonnes_24_36_mois=MAUVAISE,VLOOKUP("Foin",AlimentsRationHivernaleBisonsFemelles,3,FALSE),0)+(IF(QualitéAlimentsBisons=MAUVAISE,VLOOKUP("Foin",AlimentsRationHivernaleBisonsMâles,2,FALSE),0)+(IF(QualitéAlimentsBisonnes=MAUVAISE,VLOOKUP("Foin",AlimentsRationHivernaleBisonsFemelles,2,FALSE),0))))))))))))))))</f>
        <v>0</v>
      </c>
      <c r="BQ128" s="282"/>
      <c r="BR128" s="282"/>
      <c r="BS128" s="282"/>
      <c r="BT128" s="282"/>
      <c r="BU128" s="282"/>
      <c r="BX128" s="350" t="s">
        <v>232</v>
      </c>
      <c r="BY128" s="350">
        <f t="array" ref="BY128">IF(ChoixRationComplèteCaprins=OUI,0,IFERROR(IF(OR(AND(INDEX(Règles_caprins[Specificite],MATCH(ChoixRationCaprins&amp;$BX128,Règles_caprins[Ration]&amp;Règles_caprins[Aliment],0))="s1",IF($BX128=Spécificité1Caprins,1)),
INDEX(Règles_caprins[Specificite],MATCH(ChoixRationCaprins&amp;$BX128,Règles_caprins[Ration]&amp;Règles_caprins[Aliment],0))="c"),
INDEX(Règles_caprins[Valeur 12 et plus],MATCH(ChoixRationCaprins&amp;$BX128,Règles_caprins[Ration]&amp;Règles_caprins[Aliment],0)),0),0)*TotalBoucs*NbreJoursNourrirCaprins)</f>
        <v>0</v>
      </c>
      <c r="BZ128" s="350">
        <f t="array" ref="BZ128">IF(ChoixRationComplèteCaprins=OUI,0,IFERROR(IF(OR(AND(INDEX(Règles_caprins[Specificite],MATCH(ChoixRationCaprins&amp;$BX128,Règles_caprins[Ration]&amp;Règles_caprins[Aliment],0))="s1",IF($BX128=Spécificité1Caprins,1)),
INDEX(Règles_caprins[Specificite],MATCH(ChoixRationCaprins&amp;$BX128,Règles_caprins[Ration]&amp;Règles_caprins[Aliment],0))="c"),
INDEX(Règles_caprins[Valeur 6-12],MATCH(ChoixRationCaprins&amp;$BX128,Règles_caprins[Ration]&amp;Règles_caprins[Aliment],0)),0),0)*jeune_bouc_6_12_mois*NbreJoursNourrirCaprins)</f>
        <v>0</v>
      </c>
      <c r="CA128" s="350">
        <f t="array" ref="CA128">IF(ChoixRationComplèteCaprins=OUI,0,IFERROR(IF(OR(AND(INDEX(Règles_caprins[Specificite],MATCH(ChoixRationCaprins&amp;$BX128,Règles_caprins[Ration]&amp;Règles_caprins[Aliment],0))="s1",IF($BX128=Spécificité1Caprins,1)),
INDEX(Règles_caprins[Specificite],MATCH(ChoixRationCaprins&amp;$BX128,Règles_caprins[Ration]&amp;Règles_caprins[Aliment],0))="c"),
INDEX(Règles_caprins[Valeur 3-6],MATCH(ChoixRationCaprins&amp;$BX128,Règles_caprins[Ration]&amp;Règles_caprins[Aliment],0)),0),0)*chevreau_3_6_mois*NbreJoursNourrirCaprins)</f>
        <v>0</v>
      </c>
      <c r="CB128" s="350">
        <f t="array" ref="CB128">IF(ChoixRationComplèteCaprins=OUI,0,IFERROR(IF(OR(AND(INDEX(Règles_caprins[Specificite],MATCH(ChoixRationCaprins&amp;$BX128,Règles_caprins[Ration]&amp;Règles_caprins[Aliment],0))="s1",IF($BX128=Spécificité1Caprins,1)),
INDEX(Règles_caprins[Specificite],MATCH(ChoixRationCaprins&amp;$BX128,Règles_caprins[Ration]&amp;Règles_caprins[Aliment],0))="c"),
INDEX(Règles_caprins[Valeur 0-3],MATCH(ChoixRationCaprins&amp;$BX128,Règles_caprins[Ration]&amp;Règles_caprins[Aliment],0)),0),0)*chevreau_0_3_mois*NbreJoursNourrirCaprins)</f>
        <v>0</v>
      </c>
      <c r="CC128" s="350">
        <f t="shared" si="41"/>
        <v>0</v>
      </c>
      <c r="CH128" s="276"/>
      <c r="CI128" s="277"/>
      <c r="CJ128" s="347" t="s">
        <v>1019</v>
      </c>
      <c r="CK128" s="229"/>
      <c r="CM128" s="229" t="s">
        <v>1021</v>
      </c>
      <c r="CN128" s="229"/>
      <c r="CS128" s="420" t="str">
        <f t="shared" si="36"/>
        <v>Tournesol</v>
      </c>
      <c r="CT128" s="433">
        <f t="array" ref="CT128">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28" s="433">
        <f t="array" ref="CU128">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28" s="433">
        <f t="array" ref="CV128">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28" s="434">
        <f>SUM(AlimentsRationLapinsFemelles[[#This Row],[Valeur 3 et plus]:[Valeur 0-1]])</f>
        <v>0</v>
      </c>
      <c r="CY128" s="277"/>
      <c r="CZ128" s="420" t="str">
        <f t="shared" si="37"/>
        <v>Tournesol</v>
      </c>
      <c r="DA128" s="433">
        <f t="array" ref="DA12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28" s="433">
        <f t="array" ref="DB12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28" s="433">
        <f t="array" ref="DC128">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28" s="434">
        <f>SUM(AlimentsRationVolaillesFemelles[[#This Row],[Valeur 6 et plus]:[Valeur 0-1]])</f>
        <v>0</v>
      </c>
      <c r="DE128" s="277"/>
      <c r="DG128" s="384">
        <f t="shared" si="26"/>
        <v>0</v>
      </c>
      <c r="DH128" s="433">
        <f t="array" ref="DH12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6 et plus],MATCH(ChoixRationPintades&amp;AlimentsRationPintadesMâles[[#This Row],[aliment]],Règles_pintades[Ration]&amp;Règles_pintades[Aliment],0)),0),0)*TotalPintadeFemelle*NbreJoursNourrirAutres)</f>
        <v>0</v>
      </c>
      <c r="DI128" s="433">
        <f t="array" ref="DI12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1-6],MATCH(ChoixRationPintades&amp;AlimentsRationPintadesMâles[[#This Row],[aliment]],Règles_pintades[Ration]&amp;Règles_pintades[Aliment],0)),0),0)*JeunePintadeFemelle_1_9_mois*NbreJoursNourrirAutres)</f>
        <v>0</v>
      </c>
      <c r="DJ128" s="433">
        <f t="array" ref="DJ128">IF(ChoixRationComplètePintades=OUI,0,IFERROR(IF(OR(AND(INDEX(Règles_pintades[Specificite],MATCH(ChoixRationPintades&amp;AlimentsRationPintadesMâles[[#This Row],[aliment]],Règles_pintades[Ration]&amp;Règles_pintades[Aliment],0))="s1",IF(AlimentsRationPintadesMâles[[#This Row],[aliment]]=Spécificité1Pintades,1)),
AND(INDEX(Règles_pintades[Specificite],MATCH(ChoixRationPintades&amp;AlimentsRationPintadesMâles[[#This Row],[aliment]],Règles_pintades[Ration]&amp;Règles_pintades[Aliment],0))="s2",IF(AlimentsRationPintadesMâles[[#This Row],[aliment]]=Spécificité2Pintades,1)),
INDEX(Règles_pintades[Specificite],MATCH(ChoixRationPintades&amp;AlimentsRationPintadesMâles[[#This Row],[aliment]],Règles_pintades[Ration]&amp;Règles_pintades[Aliment],0))="c"),
INDEX(Règles_pintades[Valeur 0-1],MATCH(ChoixRationPintades&amp;AlimentsRationPintadesMâles[[#This Row],[aliment]],Règles_pintades[Ration]&amp;Règles_pintades[Aliment],0)),0),0)*PintadeauFemelle_0_1_mois*NbreJoursNourrirAutres)</f>
        <v>0</v>
      </c>
      <c r="DK128" s="437">
        <f>SUM(AlimentsRationPintadesFemelles[[#This Row],[Valeur 6 et plus]:[Valeur 0-1]])</f>
        <v>0</v>
      </c>
      <c r="DN128" s="373" t="s">
        <v>551</v>
      </c>
      <c r="DO128" s="280" t="s">
        <v>168</v>
      </c>
      <c r="DP128" s="280" t="s">
        <v>886</v>
      </c>
      <c r="DQ128" s="310">
        <v>10</v>
      </c>
      <c r="DR128" s="310">
        <v>8</v>
      </c>
      <c r="DS128" s="310">
        <v>6</v>
      </c>
      <c r="DT128" s="439">
        <v>0</v>
      </c>
      <c r="EG128" s="420">
        <f t="shared" si="30"/>
        <v>0</v>
      </c>
      <c r="EH128" s="433">
        <f t="array" ref="EH12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28" s="433">
        <f t="array" ref="EI12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28" s="433">
        <f t="array" ref="EJ128">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28" s="434">
        <f>SUM(AlimentsRationOiesFemelles[[#This Row],[Valeur 6 et plus]:[Valeur 0-3]])</f>
        <v>0</v>
      </c>
      <c r="EN128" s="443">
        <f t="shared" si="28"/>
        <v>0</v>
      </c>
      <c r="EO128" s="450">
        <f t="array" ref="EO128">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28" s="450">
        <f t="array" ref="EP128">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28" s="450">
        <f t="array" ref="EQ128">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28" s="451">
        <f>SUM(Ration_canards_Femelles[[#This Row],[Valeur 6 et plus]:[Valeur 0-3]])</f>
        <v>0</v>
      </c>
      <c r="EU128" s="457" t="str">
        <f t="shared" si="40"/>
        <v>Seigle</v>
      </c>
      <c r="EV128" s="458">
        <f t="array" ref="EV128">IF(OR(ChoixRationComplèteEtéChevauxSelle=OUI,ChoixRationComplèteEtéChevauxSelle="",AND(ChoixChevauxSellePréHiver=OUI,ChoixChevauxSellePréEté=OUI)),0,IFERROR(IF(OR(AND(INDEX(Règles_chevaux_selle[Specificite],MATCH(RationEtéChevauxSelle&amp;$EU128,Règles_chevaux_selle[Ration]&amp;Règles_chevaux_selle[Aliment],0))="s1",IF($EU128=Spécificité1ChevauxSelle,1)),
AND(INDEX(Règles_chevaux_selle[Specificite],MATCH(RationEtéChevauxSelle&amp;$EU128,Règles_chevaux_selle[Ration]&amp;Règles_chevaux_selle[Aliment],0))="s2",IF($EU128=Spécificité2ChevauxSelle,1)),
INDEX(Règles_chevaux_selle[Specificite],MATCH(RationEtéChevauxSelle&amp;$EU128,Règles_chevaux_selle[Ration]&amp;Règles_chevaux_selle[Aliment],0))="c"),
INDEX(Règles_chevaux_selle[Valeur 36 et plus],MATCH(RationEtéChevauxSelle&amp;$EU128,Règles_chevaux_selle[Ration]&amp;Règles_chevaux_selle[Aliment],0)),0),0)*TotalJumentSelle*NbreJoursNourrirChevauxSelle)</f>
        <v>0</v>
      </c>
      <c r="EW128" s="458">
        <f t="array" ref="EW128">IF(OR(ChoixRationComplèteEtéChevauxSelle=OUI,ChoixRationComplèteEtéChevauxSelle="",AND(ChoixChevauxSellePréHiver=OUI,ChoixChevauxSellePréEté=OUI)),0,IFERROR(IF(OR(AND(INDEX(Règles_chevaux_selle[Specificite],MATCH(RationEtéChevauxSelle&amp;$EU128,Règles_chevaux_selle[Ration]&amp;Règles_chevaux_selle[Aliment],0))="s1",IF($EU128=Spécificité1ChevauxSelle,1)),
AND(INDEX(Règles_chevaux_selle[Specificite],MATCH(RationEtéChevauxSelle&amp;$EU128,Règles_chevaux_selle[Ration]&amp;Règles_chevaux_selle[Aliment],0))="s2",IF($EU128=Spécificité2ChevauxSelle,1)),
INDEX(Règles_chevaux_selle[Specificite],MATCH(RationEtéChevauxSelle&amp;$EU128,Règles_chevaux_selle[Ration]&amp;Règles_chevaux_selle[Aliment],0))="c"),
INDEX(Règles_chevaux_selle[Valeur 24-36],MATCH(RationEtéChevauxSelle&amp;$EU128,Règles_chevaux_selle[Ration]&amp;Règles_chevaux_selle[Aliment],0)),0),0)*TotalJeuneJumentSelle_24_36_mois*NbreJoursNourrirChevauxSelle)</f>
        <v>0</v>
      </c>
      <c r="EX128" s="458">
        <f t="array" ref="EX128">IF(OR(ChoixRationComplèteEtéChevauxSelle=OUI,ChoixRationComplèteEtéChevauxSelle="",AND(ChoixChevauxSellePréHiver=OUI,ChoixChevauxSellePréEté=OUI)),0,IFERROR(IF(OR(AND(INDEX(Règles_chevaux_selle[Specificite],MATCH(RationEtéChevauxSelle&amp;$EU128,Règles_chevaux_selle[Ration]&amp;Règles_chevaux_selle[Aliment],0))="s1",IF($EU128=Spécificité1ChevauxSelle,1)),
AND(INDEX(Règles_chevaux_selle[Specificite],MATCH(RationEtéChevauxSelle&amp;$EU128,Règles_chevaux_selle[Ration]&amp;Règles_chevaux_selle[Aliment],0))="s2",IF($EU128=Spécificité2ChevauxSelle,1)),
INDEX(Règles_chevaux_selle[Specificite],MATCH(RationEtéChevauxSelle&amp;$EU128,Règles_chevaux_selle[Ration]&amp;Règles_chevaux_selle[Aliment],0))="c"),
INDEX(Règles_chevaux_selle[Valeur 12-24],MATCH(RationEtéChevauxSelle&amp;$EU128,Règles_chevaux_selle[Ration]&amp;Règles_chevaux_selle[Aliment],0)),0),0)*TotalJeuneJumentSelle_12_24_mois_12_24_mois*NbreJoursNourrirChevauxSelle)</f>
        <v>0</v>
      </c>
      <c r="EY128" s="460">
        <f t="array" ref="EY128">IF(OR(ChoixRationComplèteEtéChevauxSelle=OUI,ChoixRationComplèteEtéChevauxSelle="",AND(ChoixChevauxSellePréHiver=OUI,ChoixChevauxSellePréEté=OUI)),0,IFERROR(IF(OR(AND(INDEX(Règles_chevaux_selle[Specificite],MATCH(RationEtéChevauxSelle&amp;$EU128,Règles_chevaux_selle[Ration]&amp;Règles_chevaux_selle[Aliment],0))="s1",IF($EU128=Spécificité1ChevauxSelle,1)),
AND(INDEX(Règles_chevaux_selle[Specificite],MATCH(RationEtéChevauxSelle&amp;$EU128,Règles_chevaux_selle[Ration]&amp;Règles_chevaux_selle[Aliment],0))="s2",IF($EU128=Spécificité2ChevauxSelle,1)),
INDEX(Règles_chevaux_selle[Specificite],MATCH(RationEtéChevauxSelle&amp;$EU128,Règles_chevaux_selle[Ration]&amp;Règles_chevaux_selle[Aliment],0))="c"),
INDEX(Règles_chevaux_selle[Valeur 0-12],MATCH(RationEtéChevauxSelle&amp;$EU128,Règles_chevaux_selle[Ration]&amp;Règles_chevaux_selle[Aliment],0)),0),0)*TotalPoulicheSelle_0_12_mois*NbreJoursNourrirChevauxSelle)</f>
        <v>0</v>
      </c>
      <c r="EZ128" s="460">
        <f t="shared" si="39"/>
        <v>0</v>
      </c>
      <c r="FD128" s="457" t="str">
        <f t="shared" si="33"/>
        <v>Triticale</v>
      </c>
      <c r="FE128" s="458">
        <f t="array" ref="FE128">IF(OR(ChoixRationComplèteEtéChevauxTrait=OUI,ChoixRationComplèteEtéChevauxTrait="",AND(ChoixChevauxTraitPréHiver=OUI,ChoixChevauxTraitPréEté=OUI)),0,IFERROR(IF(OR(AND(INDEX(Règles_chevaux_trait[Specificite],MATCH(RationEtéChevauxTrait&amp;$FD128,Règles_chevaux_trait[Ration]&amp;Règles_chevaux_trait[Aliment],0))="s1",IF($FD128=Spécificité1ChevauxTrait,1)),
AND(INDEX(Règles_chevaux_trait[Specificite],MATCH(RationEtéChevauxTrait&amp;$FD128,Règles_chevaux_trait[Ration]&amp;Règles_chevaux_trait[Aliment],0))="s2",IF($FD128=Spécificité2ChevauxTrait,1)),
INDEX(Règles_chevaux_trait[Specificite],MATCH(RationEtéChevauxTrait&amp;$FD128,Règles_chevaux_trait[Ration]&amp;Règles_chevaux_trait[Aliment],0))="c"),
INDEX(Règles_chevaux_trait[Valeur 36 et plus],MATCH(RationEtéChevauxTrait&amp;$FD128,Règles_chevaux_trait[Ration]&amp;Règles_chevaux_trait[Aliment],0)),0),0)*TotalJumentTrait*NbreJoursNourrirChevauxTrait)</f>
        <v>0</v>
      </c>
      <c r="FF128" s="458">
        <f t="array" ref="FF128">IF(OR(ChoixRationComplèteEtéChevauxTrait=OUI,ChoixRationComplèteEtéChevauxTrait="",AND(ChoixChevauxTraitPréHiver=OUI,ChoixChevauxTraitPréEté=OUI)),0,IFERROR(IF(OR(AND(INDEX(Règles_chevaux_trait[Specificite],MATCH(RationEtéChevauxTrait&amp;$FD128,Règles_chevaux_trait[Ration]&amp;Règles_chevaux_trait[Aliment],0))="s1",IF($FD128=Spécificité1ChevauxTrait,1)),
AND(INDEX(Règles_chevaux_trait[Specificite],MATCH(RationEtéChevauxTrait&amp;$FD128,Règles_chevaux_trait[Ration]&amp;Règles_chevaux_trait[Aliment],0))="s2",IF($FD128=Spécificité2ChevauxTrait,1)),
INDEX(Règles_chevaux_trait[Specificite],MATCH(RationEtéChevauxTrait&amp;$FD128,Règles_chevaux_trait[Ration]&amp;Règles_chevaux_trait[Aliment],0))="c"),
INDEX(Règles_chevaux_trait[Valeur 24-36],MATCH(RationEtéChevauxTrait&amp;$FD128,Règles_chevaux_trait[Ration]&amp;Règles_chevaux_trait[Aliment],0)),0),0)*TotalJeuneJumentTrait_24_36_mois*NbreJoursNourrirChevauxTrait)</f>
        <v>0</v>
      </c>
      <c r="FG128" s="458">
        <f t="array" ref="FG128">IF(OR(ChoixRationComplèteEtéChevauxTrait=OUI,ChoixRationComplèteEtéChevauxTrait="",AND(ChoixChevauxTraitPréHiver=OUI,ChoixChevauxTraitPréEté=OUI)),0,IFERROR(IF(OR(AND(INDEX(Règles_chevaux_trait[Specificite],MATCH(RationEtéChevauxTrait&amp;$FD128,Règles_chevaux_trait[Ration]&amp;Règles_chevaux_trait[Aliment],0))="s1",IF($FD128=Spécificité1ChevauxTrait,1)),
AND(INDEX(Règles_chevaux_trait[Specificite],MATCH(RationEtéChevauxTrait&amp;$FD128,Règles_chevaux_trait[Ration]&amp;Règles_chevaux_trait[Aliment],0))="s2",IF($FD128=Spécificité2ChevauxTrait,1)),
INDEX(Règles_chevaux_trait[Specificite],MATCH(RationEtéChevauxTrait&amp;$FD128,Règles_chevaux_trait[Ration]&amp;Règles_chevaux_trait[Aliment],0))="c"),
INDEX(Règles_chevaux_trait[Valeur 12-24],MATCH(RationEtéChevauxTrait&amp;$FD128,Règles_chevaux_trait[Ration]&amp;Règles_chevaux_trait[Aliment],0)),0),0)*TotalJeuneJumentTrait_12_24_mois*NbreJoursNourrirChevauxTrait)</f>
        <v>0</v>
      </c>
      <c r="FH128" s="460">
        <f t="array" ref="FH128">IF(OR(ChoixRationComplèteEtéChevauxTrait=OUI,ChoixRationComplèteEtéChevauxTrait="",AND(ChoixChevauxTraitPréHiver=OUI,ChoixChevauxTraitPréEté=OUI)),0,IFERROR(IF(OR(AND(INDEX(Règles_chevaux_trait[Specificite],MATCH(RationEtéChevauxTrait&amp;$FD128,Règles_chevaux_trait[Ration]&amp;Règles_chevaux_trait[Aliment],0))="s1",IF($FD128=Spécificité1ChevauxTrait,1)),
AND(INDEX(Règles_chevaux_trait[Specificite],MATCH(RationEtéChevauxTrait&amp;$FD128,Règles_chevaux_trait[Ration]&amp;Règles_chevaux_trait[Aliment],0))="s2",IF($FD128=Spécificité2ChevauxTrait,1)),
INDEX(Règles_chevaux_trait[Specificite],MATCH(RationEtéChevauxTrait&amp;$FD128,Règles_chevaux_trait[Ration]&amp;Règles_chevaux_trait[Aliment],0))="c"),
INDEX(Règles_chevaux_trait[Valeur 0-12],MATCH(RationEtéChevauxTrait&amp;$FD128,Règles_chevaux_trait[Ration]&amp;Règles_chevaux_trait[Aliment],0)),0),0)*TotalPoulicheTrait_0_12_mois*NbreJoursNourrirChevauxTrait)</f>
        <v>0</v>
      </c>
      <c r="FI128" s="460">
        <f t="shared" si="31"/>
        <v>0</v>
      </c>
      <c r="FJ128" s="298"/>
      <c r="FN128" s="457">
        <f t="shared" si="32"/>
        <v>0</v>
      </c>
      <c r="FO128" s="458">
        <f t="array" ref="FO128">IF(OR(ChoixRationComplèteEtéPoneys=OUI,ChoixRationComplèteEtéPoneys="",AND(ChoixPoneysPréHiver=OUI,ChoixPoneysPréEté=OUI)),0,IFERROR(IF(OR(AND(INDEX(Règles_poneys[Specificite],MATCH(RationHivernaleAuPréPoneys&amp;$FN128,Règles_poneys[Ration]&amp;Règles_poneys[Aliment],0))="s1",IF($FN128=Spécificité1Poneys,1)),
AND(INDEX(Règles_poneys[Specificite],MATCH(RationHivernaleAuPréPoneys&amp;$FN128,Règles_poneys[Ration]&amp;Règles_poneys[Aliment],0))="s2",IF($FN128=Spécificité2Poneys,1)),
INDEX(Règles_poneys[Specificite],MATCH(RationHivernaleAuPréPoneys&amp;$FN128,Règles_poneys[Ration]&amp;Règles_poneys[Aliment],0))="c"),
INDEX(Règles_poneys[Valeur 36 et plus],MATCH(RationHivernaleAuPréPoneys&amp;$FN128,Règles_poneys[Ration]&amp;Règles_poneys[Aliment],0)),0),0)*SUM(TotalPoneysAdultes)*SUM(AG118:AG142))</f>
        <v>0</v>
      </c>
      <c r="FP128" s="458">
        <f t="array" ref="FP128">IF(OR(ChoixRationComplèteEtéPoneys=OUI,ChoixRationComplèteEtéPoneys="",AND(ChoixPoneysPréHiver=OUI,ChoixPoneysPréEté=OUI)),0,IFERROR(IF(OR(AND(INDEX(Règles_poneys[Specificite],MATCH(RationHivernaleAuPréPoneys&amp;$FN128,Règles_poneys[Ration]&amp;Règles_poneys[Aliment],0))="s1",IF($FN128=Spécificité1Poneys,1)),
AND(INDEX(Règles_poneys[Specificite],MATCH(RationHivernaleAuPréPoneys&amp;$FN128,Règles_poneys[Ration]&amp;Règles_poneys[Aliment],0))="s2",IF($FN128=Spécificité2Poneys,1)),
INDEX(Règles_poneys[Specificite],MATCH(RationHivernaleAuPréPoneys&amp;$FN128,Règles_poneys[Ration]&amp;Règles_poneys[Aliment],0))="c"),
INDEX(Règles_poneys[Valeur 24-36],MATCH(RationHivernaleAuPréPoneys&amp;$FN128,Règles_poneys[Ration]&amp;Règles_poneys[Aliment],0)),0),0)*SUM(TotalPoneys_24_36mois)*SUM(AG118:AG142))</f>
        <v>0</v>
      </c>
      <c r="FQ128" s="458">
        <f t="array" ref="FQ128">IF(OR(ChoixRationComplèteEtéPoneys=OUI,ChoixRationComplèteEtéPoneys="",AND(ChoixPoneysPréHiver=OUI,ChoixPoneysPréEté=OUI)),0,IFERROR(IF(OR(AND(INDEX(Règles_poneys[Specificite],MATCH(RationHivernaleAuPréPoneys&amp;$FN128,Règles_poneys[Ration]&amp;Règles_poneys[Aliment],0))="s1",IF($FN128=Spécificité1Poneys,1)),
AND(INDEX(Règles_poneys[Specificite],MATCH(RationHivernaleAuPréPoneys&amp;$FN128,Règles_poneys[Ration]&amp;Règles_poneys[Aliment],0))="s2",IF($FN128=Spécificité2Poneys,1)),
INDEX(Règles_poneys[Specificite],MATCH(RationHivernaleAuPréPoneys&amp;$FN128,Règles_poneys[Ration]&amp;Règles_poneys[Aliment],0))="c"),
INDEX(Règles_poneys[Valeur 12-24],MATCH(RationHivernaleAuPréPoneys&amp;$FN128,Règles_poneys[Ration]&amp;Règles_poneys[Aliment],0)),0),0)*SUM(TotalPoneys_12_24mois)*SUM(AG118:AG142))</f>
        <v>0</v>
      </c>
      <c r="FR128" s="460">
        <f t="array" ref="FR128">IF(OR(ChoixRationComplèteEtéPoneys=OUI,ChoixRationComplèteEtéPoneys="",AND(ChoixPoneysPréHiver=OUI,ChoixPoneysPréEté=OUI)),0,IFERROR(IF(OR(AND(INDEX(Règles_poneys[Specificite],MATCH(RationHivernaleAuPréPoneys&amp;$FN128,Règles_poneys[Ration]&amp;Règles_poneys[Aliment],0))="s1",IF($FN128=Spécificité1Poneys,1)),
AND(INDEX(Règles_poneys[Specificite],MATCH(RationHivernaleAuPréPoneys&amp;$FN128,Règles_poneys[Ration]&amp;Règles_poneys[Aliment],0))="s2",IF($FN128=Spécificité2Poneys,1)),
INDEX(Règles_poneys[Specificite],MATCH(RationHivernaleAuPréPoneys&amp;$FN128,Règles_poneys[Ration]&amp;Règles_poneys[Aliment],0))="c"),
INDEX(Règles_poneys[Valeur 0-12],MATCH(RationHivernaleAuPréPoneys&amp;$FN128,Règles_poneys[Ration]&amp;Règles_poneys[Aliment],0)),0),0)*SUM(TotalPoulainsPoneys)*SUM(AG118:AG142))</f>
        <v>0</v>
      </c>
      <c r="FS128" s="460">
        <f t="shared" si="29"/>
        <v>0</v>
      </c>
      <c r="FT128" s="298"/>
      <c r="FW128" s="421">
        <f t="shared" si="27"/>
        <v>0</v>
      </c>
      <c r="FX128" s="452">
        <f t="array" ref="FX128">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6 et plus],MATCH(ChoixRationFoieGrasCanards&amp;AlimentsGavageCanards[[#This Row],[aliment]],Règles_gavage[Ration]&amp;Règles_gavage[Aliment],0)),0),0)*TotalJeunesCanards_3moisEtPlus*DuréePhaseGavageCanards)</f>
        <v>0</v>
      </c>
      <c r="FY128" s="452">
        <f t="array" ref="FY128">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2-3],MATCH(ChoixRationFoieGrasCanards&amp;AlimentsGavageCanards[[#This Row],[aliment]],Règles_gavage[Ration]&amp;Règles_gavage[Aliment],0)),0),0)*FoieGrasCanetons_2_3mois*DuréePhaseElevage2_3)</f>
        <v>0</v>
      </c>
      <c r="FZ128" s="452">
        <f t="array" ref="FZ128">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1-2],MATCH(ChoixRationFoieGrasCanards&amp;AlimentsGavageCanards[[#This Row],[aliment]],Règles_gavage[Ration]&amp;Règles_gavage[Aliment],0)),0),0)*FoieGrasCanetons_1_2mois*DuréePhaseElevage1_2)</f>
        <v>0</v>
      </c>
      <c r="GA128" s="452">
        <f t="array" ref="GA128">IF(ChoixRationComplèteFoieGrasCanards=OUI,0,IFERROR(IF(OR(AND(INDEX(Règles_gavage[Specificite],MATCH(ChoixRationFoieGrasCanards&amp;AlimentsGavageCanards[[#This Row],[aliment]],Règles_gavage[Ration]&amp;Règles_gavage[Aliment],0))="s1",IF(AlimentsGavageCanards[[#This Row],[aliment]]=ChoixSpécificité1FoieGrasCanards,1)),
AND(INDEX(Règles_gavage[Specificite],MATCH(ChoixRationFoieGrasCanards&amp;AlimentsGavageCanards[[#This Row],[aliment]],Règles_gavage[Ration]&amp;Règles_gavage[Aliment],0))="s2",IF(AlimentsGavageCanards[[#This Row],[aliment]]=ChoixSpécificité2FoieGrasCanards,1)),
INDEX(Règles_gavage[Specificite],MATCH(ChoixRationFoieGrasCanards&amp;AlimentsGavageCanards[[#This Row],[aliment]],Règles_gavage[Ration]&amp;Règles_gavage[Aliment],0))="c"),
INDEX(Règles_gavage[Valeur 0-1],MATCH(ChoixRationFoieGrasCanards&amp;AlimentsGavageCanards[[#This Row],[aliment]],Règles_gavage[Ration]&amp;Règles_gavage[Aliment],0)),0),0)*FoieGrasCanetons_0_1mois*DuréePhaseElevage0_1)</f>
        <v>0</v>
      </c>
      <c r="GB128" s="453">
        <f>SUM(AlimentsGavageCanards[[#This Row],[Valeur 6 et plus]:[Valeur 0-1]])</f>
        <v>0</v>
      </c>
      <c r="GG128" s="276" t="s">
        <v>955</v>
      </c>
      <c r="GH128" s="276" t="s">
        <v>955</v>
      </c>
      <c r="GI128" s="276" t="s">
        <v>955</v>
      </c>
      <c r="GJ128" s="276" t="s">
        <v>955</v>
      </c>
      <c r="GK128" s="276" t="s">
        <v>955</v>
      </c>
      <c r="GL128" s="276" t="s">
        <v>955</v>
      </c>
      <c r="GM128" s="276" t="s">
        <v>955</v>
      </c>
      <c r="GN128" s="276" t="s">
        <v>955</v>
      </c>
      <c r="GO128" s="276" t="s">
        <v>955</v>
      </c>
      <c r="GP128" s="276" t="s">
        <v>955</v>
      </c>
      <c r="GQ128" s="276" t="s">
        <v>955</v>
      </c>
      <c r="GR128" s="276" t="s">
        <v>955</v>
      </c>
      <c r="GS128" s="276" t="s">
        <v>955</v>
      </c>
      <c r="GT128" s="276" t="s">
        <v>955</v>
      </c>
      <c r="GU128" s="276" t="s">
        <v>955</v>
      </c>
      <c r="GV128" s="276" t="s">
        <v>955</v>
      </c>
    </row>
    <row r="129" spans="1:204" ht="12.75" customHeight="1" x14ac:dyDescent="0.2">
      <c r="A129" s="373"/>
      <c r="B129" s="380"/>
      <c r="BB129" s="387" t="s">
        <v>516</v>
      </c>
      <c r="BC129" s="362" t="s">
        <v>57</v>
      </c>
      <c r="BD129" s="362" t="s">
        <v>888</v>
      </c>
      <c r="BE129" s="388">
        <v>4.8</v>
      </c>
      <c r="BF129" s="388">
        <v>4</v>
      </c>
      <c r="BG129" s="388">
        <v>4</v>
      </c>
      <c r="BH129" s="388">
        <v>4</v>
      </c>
      <c r="BI129" s="388">
        <v>2</v>
      </c>
      <c r="BJ129" s="388">
        <v>1.2</v>
      </c>
      <c r="BK129" s="389">
        <v>0</v>
      </c>
      <c r="BL129" s="312"/>
      <c r="BM129" s="350" t="str">
        <f t="shared" si="43"/>
        <v>Haricot vert</v>
      </c>
      <c r="BN129" s="351">
        <f t="array" ref="BN129">SUM((IF(QualitéAlimentsBisonneauxMâles_0_3_mois=BONNE,VLOOKUP("Haricot vert",AlimentsRationHivernaleBisonsMâles,8,FALSE),0)+(IF(QualitéAlimentsBisonneauxFemelles_0_3_mois=BONNE,VLOOKUP("Haricot vert",AlimentsRationHivernaleBisonsFemelles,8,FALSE),0)+(IF(QualitéAlimentsBisonneauxMâles_3_6_mois=BONNE,VLOOKUP("Haricot vert",AlimentsRationHivernaleBisonsMâles,7,FALSE),0)+(IF(QualitéAlimentsBisonneauxFemelles_3_6_mois=BONNE,VLOOKUP("Haricot vert",AlimentsRationHivernaleBisonsFemelles,7,FALSE),0)+(IF(QualitéAlimentsBisonneauxMâles_6_12_mois=BONNE,VLOOKUP("Haricot vert",AlimentsRationHivernaleBisonsMâles,6,FALSE),0)+(IF(QualitéAlimentsBisonneauxFemelles_6_12_mois=BONNE,VLOOKUP("Haricot vert",AlimentsRationHivernaleBisonsFemelles,6,FALSE),0)+(IF(QualitéAlimentsJeunesBisons_12_18_mois=BONNE,VLOOKUP("Haricot vert",AlimentsRationHivernaleBisonsMâles,5,FALSE),0)+(IF(QualitéAlimentsJeunesBisonnes_12_18_mois=BONNE,VLOOKUP("Haricot vert",AlimentsRationHivernaleBisonsFemelles,5,FALSE),0)+(IF(QualitéAlimentsJeunesBisons_18_24_mois=BONNE,VLOOKUP("Haricot vert",AlimentsRationHivernaleBisonsMâles,4,FALSE),0)+(IF(QualitéAlimentsJeunesBisonnes_18_24_mois=BONNE,VLOOKUP("Haricot vert",AlimentsRationHivernaleBisonsFemelles,4,FALSE),0)+(IF(QualitéAlimentsJeunesBisons_24_36_mois=BONNE,VLOOKUP("Haricot vert",AlimentsRationHivernaleBisonsMâles,3,FALSE),0)+(IF(QualitéAlimentsJeunesBisonnes_24_36_mois=BONNE,VLOOKUP("Haricot vert",AlimentsRationHivernaleBisonsFemelles,3,FALSE),0)+(IF(QualitéAlimentsBisons=BONNE,VLOOKUP("Haricot vert",AlimentsRationHivernaleBisonsMâles,2,FALSE),0)+(IF(QualitéAlimentsBisonnes=BONNE,VLOOKUP("Haricot vert",AlimentsRationHivernaleBisonsFemelles,2,FALSE),0))))))))))))))))</f>
        <v>0</v>
      </c>
      <c r="BO129" s="351">
        <f t="array" ref="BO129">SUM((IF(QualitéAlimentsBisonneauxMâles_0_3_mois=MOYENNE,VLOOKUP("Haricot vert",AlimentsRationHivernaleBisonsMâles,8,FALSE),0)+(IF(QualitéAlimentsBisonneauxFemelles_0_3_mois=MOYENNE,VLOOKUP("Haricot vert",AlimentsRationHivernaleBisonsFemelles,8,FALSE),0)+(IF(QualitéAlimentsBisonneauxMâles_3_6_mois=MOYENNE,VLOOKUP("Haricot vert",AlimentsRationHivernaleBisonsMâles,7,FALSE),0)+(IF(QualitéAlimentsBisonneauxFemelles_3_6_mois=MOYENNE,VLOOKUP("Haricot vert",AlimentsRationHivernaleBisonsFemelles,7,FALSE),0)+(IF(QualitéAlimentsBisonneauxMâles_6_12_mois=MOYENNE,VLOOKUP("Haricot vert",AlimentsRationHivernaleBisonsMâles,6,FALSE),0)+(IF(QualitéAlimentsBisonneauxFemelles_6_12_mois=MOYENNE,VLOOKUP("Haricot vert",AlimentsRationHivernaleBisonsFemelles,6,FALSE),0)+(IF(QualitéAlimentsJeunesBisons_12_18_mois=MOYENNE,VLOOKUP("Haricot vert",AlimentsRationHivernaleBisonsMâles,5,FALSE),0)+(IF(QualitéAlimentsJeunesBisonnes_12_18_mois=MOYENNE,VLOOKUP("Haricot vert",AlimentsRationHivernaleBisonsFemelles,5,FALSE),0)+(IF(QualitéAlimentsJeunesBisons_18_24_mois=MOYENNE,VLOOKUP("Haricot vert",AlimentsRationHivernaleBisonsMâles,4,FALSE),0)+(IF(QualitéAlimentsJeunesBisonnes_18_24_mois=MOYENNE,VLOOKUP("Haricot vert",AlimentsRationHivernaleBisonsFemelles,4,FALSE),0)+(IF(QualitéAlimentsJeunesBisons_24_36_mois=MOYENNE,VLOOKUP("Haricot vert",AlimentsRationHivernaleBisonsMâles,3,FALSE),0)+(IF(QualitéAlimentsJeunesBisonnes_24_36_mois=MOYENNE,VLOOKUP("Haricot vert",AlimentsRationHivernaleBisonsFemelles,3,FALSE),0)+(IF(QualitéAlimentsBisons=MOYENNE,VLOOKUP("Haricot vert",AlimentsRationHivernaleBisonsMâles,2,FALSE),0)+(IF(QualitéAlimentsBisonnes=MOYENNE,VLOOKUP("Haricot vert",AlimentsRationHivernaleBisonsFemelles,2,FALSE),0))))))))))))))))</f>
        <v>0</v>
      </c>
      <c r="BP129" s="351">
        <f t="array" ref="BP129">SUM((IF(QualitéAlimentsBisonneauxMâles_0_3_mois=MAUVAISE,VLOOKUP("Haricot vert",AlimentsRationHivernaleBisonsMâles,8,FALSE),0)+(IF(QualitéAlimentsBisonneauxFemelles_0_3_mois=MAUVAISE,VLOOKUP("Haricot vert",AlimentsRationHivernaleBisonsFemelles,8,FALSE),0)+(IF(QualitéAlimentsBisonneauxMâles_3_6_mois=MAUVAISE,VLOOKUP("Haricot vert",AlimentsRationHivernaleBisonsMâles,7,FALSE),0)+(IF(QualitéAlimentsBisonneauxFemelles_3_6_mois=MAUVAISE,VLOOKUP("Haricot vert",AlimentsRationHivernaleBisonsFemelles,7,FALSE),0)+(IF(QualitéAlimentsBisonneauxMâles_6_12_mois=MAUVAISE,VLOOKUP("Haricot vert",AlimentsRationHivernaleBisonsMâles,6,FALSE),0)+(IF(QualitéAlimentsBisonneauxFemelles_6_12_mois=MAUVAISE,VLOOKUP("Haricot vert",AlimentsRationHivernaleBisonsFemelles,6,FALSE),0)+(IF(QualitéAlimentsJeunesBisons_12_18_mois=MAUVAISE,VLOOKUP("Haricot vert",AlimentsRationHivernaleBisonsMâles,5,FALSE),0)+(IF(QualitéAlimentsJeunesBisonnes_12_18_mois=MAUVAISE,VLOOKUP("Haricot vert",AlimentsRationHivernaleBisonsFemelles,5,FALSE),0)+(IF(QualitéAlimentsJeunesBisons_18_24_mois=MAUVAISE,VLOOKUP("Haricot vert",AlimentsRationHivernaleBisonsMâles,4,FALSE),0)+(IF(QualitéAlimentsJeunesBisonnes_18_24_mois=MAUVAISE,VLOOKUP("Haricot vert",AlimentsRationHivernaleBisonsFemelles,4,FALSE),0)+(IF(QualitéAlimentsJeunesBisons_24_36_mois=MAUVAISE,VLOOKUP("Haricot vert",AlimentsRationHivernaleBisonsMâles,3,FALSE),0)+(IF(QualitéAlimentsJeunesBisonnes_24_36_mois=MAUVAISE,VLOOKUP("Haricot vert",AlimentsRationHivernaleBisonsFemelles,3,FALSE),0)+(IF(QualitéAlimentsBisons=MAUVAISE,VLOOKUP("Haricot vert",AlimentsRationHivernaleBisonsMâles,2,FALSE),0)+(IF(QualitéAlimentsBisonnes=MAUVAISE,VLOOKUP("Haricot vert",AlimentsRationHivernaleBisonsFemelles,2,FALSE),0))))))))))))))))</f>
        <v>0</v>
      </c>
      <c r="BQ129" s="282"/>
      <c r="BR129" s="282"/>
      <c r="BS129" s="282"/>
      <c r="BT129" s="282"/>
      <c r="BU129" s="282"/>
      <c r="BX129" s="350" t="s">
        <v>59</v>
      </c>
      <c r="BY129" s="350">
        <f t="array" ref="BY129">IF(ChoixRationComplèteCaprins=OUI,0,IFERROR(IF(OR(AND(INDEX(Règles_caprins[Specificite],MATCH(ChoixRationCaprins&amp;$BX129,Règles_caprins[Ration]&amp;Règles_caprins[Aliment],0))="s1",IF($BX129=Spécificité1Caprins,1)),
INDEX(Règles_caprins[Specificite],MATCH(ChoixRationCaprins&amp;$BX129,Règles_caprins[Ration]&amp;Règles_caprins[Aliment],0))="c"),
INDEX(Règles_caprins[Valeur 12 et plus],MATCH(ChoixRationCaprins&amp;$BX129,Règles_caprins[Ration]&amp;Règles_caprins[Aliment],0)),0),0)*TotalBoucs*NbreJoursNourrirCaprins)</f>
        <v>0</v>
      </c>
      <c r="BZ129" s="350">
        <f t="array" ref="BZ129">IF(ChoixRationComplèteCaprins=OUI,0,IFERROR(IF(OR(AND(INDEX(Règles_caprins[Specificite],MATCH(ChoixRationCaprins&amp;$BX129,Règles_caprins[Ration]&amp;Règles_caprins[Aliment],0))="s1",IF($BX129=Spécificité1Caprins,1)),
INDEX(Règles_caprins[Specificite],MATCH(ChoixRationCaprins&amp;$BX129,Règles_caprins[Ration]&amp;Règles_caprins[Aliment],0))="c"),
INDEX(Règles_caprins[Valeur 6-12],MATCH(ChoixRationCaprins&amp;$BX129,Règles_caprins[Ration]&amp;Règles_caprins[Aliment],0)),0),0)*jeune_bouc_6_12_mois*NbreJoursNourrirCaprins)</f>
        <v>0</v>
      </c>
      <c r="CA129" s="350">
        <f t="array" ref="CA129">IF(ChoixRationComplèteCaprins=OUI,0,IFERROR(IF(OR(AND(INDEX(Règles_caprins[Specificite],MATCH(ChoixRationCaprins&amp;$BX129,Règles_caprins[Ration]&amp;Règles_caprins[Aliment],0))="s1",IF($BX129=Spécificité1Caprins,1)),
INDEX(Règles_caprins[Specificite],MATCH(ChoixRationCaprins&amp;$BX129,Règles_caprins[Ration]&amp;Règles_caprins[Aliment],0))="c"),
INDEX(Règles_caprins[Valeur 3-6],MATCH(ChoixRationCaprins&amp;$BX129,Règles_caprins[Ration]&amp;Règles_caprins[Aliment],0)),0),0)*chevreau_3_6_mois*NbreJoursNourrirCaprins)</f>
        <v>0</v>
      </c>
      <c r="CB129" s="350">
        <f t="array" ref="CB129">IF(ChoixRationComplèteCaprins=OUI,0,IFERROR(IF(OR(AND(INDEX(Règles_caprins[Specificite],MATCH(ChoixRationCaprins&amp;$BX129,Règles_caprins[Ration]&amp;Règles_caprins[Aliment],0))="s1",IF($BX129=Spécificité1Caprins,1)),
INDEX(Règles_caprins[Specificite],MATCH(ChoixRationCaprins&amp;$BX129,Règles_caprins[Ration]&amp;Règles_caprins[Aliment],0))="c"),
INDEX(Règles_caprins[Valeur 0-3],MATCH(ChoixRationCaprins&amp;$BX129,Règles_caprins[Ration]&amp;Règles_caprins[Aliment],0)),0),0)*chevreau_0_3_mois*NbreJoursNourrirCaprins)</f>
        <v>0</v>
      </c>
      <c r="CC129" s="350">
        <f t="shared" si="41"/>
        <v>0</v>
      </c>
      <c r="CH129" s="276"/>
      <c r="CI129" s="277"/>
      <c r="CJ129" s="394" t="s">
        <v>976</v>
      </c>
      <c r="CK129" s="396" t="s">
        <v>127</v>
      </c>
      <c r="CM129" s="394" t="s">
        <v>976</v>
      </c>
      <c r="CN129" s="396" t="s">
        <v>977</v>
      </c>
      <c r="CS129" s="420" t="str">
        <f t="shared" si="36"/>
        <v>Tourteau de colza</v>
      </c>
      <c r="CT129" s="433">
        <f t="array" ref="CT129">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29" s="433">
        <f t="array" ref="CU129">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29" s="433">
        <f t="array" ref="CV129">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29" s="434">
        <f>SUM(AlimentsRationLapinsFemelles[[#This Row],[Valeur 3 et plus]:[Valeur 0-1]])</f>
        <v>0</v>
      </c>
      <c r="CZ129" s="420" t="str">
        <f t="shared" si="37"/>
        <v>Tourteau de colza</v>
      </c>
      <c r="DA129" s="433">
        <f t="array" ref="DA12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29" s="433">
        <f t="array" ref="DB12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29" s="433">
        <f t="array" ref="DC129">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29" s="434">
        <f>SUM(AlimentsRationVolaillesFemelles[[#This Row],[Valeur 6 et plus]:[Valeur 0-1]])</f>
        <v>0</v>
      </c>
      <c r="DN129" s="373" t="s">
        <v>551</v>
      </c>
      <c r="DO129" s="280" t="s">
        <v>488</v>
      </c>
      <c r="DP129" s="280" t="s">
        <v>886</v>
      </c>
      <c r="DQ129" s="310">
        <v>8</v>
      </c>
      <c r="DR129" s="310">
        <v>6</v>
      </c>
      <c r="DS129" s="310">
        <v>4</v>
      </c>
      <c r="DT129" s="439">
        <v>0</v>
      </c>
      <c r="EG129" s="420">
        <f t="shared" si="30"/>
        <v>0</v>
      </c>
      <c r="EH129" s="433">
        <f t="array" ref="EH12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29" s="433">
        <f t="array" ref="EI12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29" s="433">
        <f t="array" ref="EJ129">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29" s="434">
        <f>SUM(AlimentsRationOiesFemelles[[#This Row],[Valeur 6 et plus]:[Valeur 0-3]])</f>
        <v>0</v>
      </c>
      <c r="EN129" s="443">
        <f t="shared" si="28"/>
        <v>0</v>
      </c>
      <c r="EO129" s="450">
        <f t="array" ref="EO129">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29" s="450">
        <f t="array" ref="EP129">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29" s="450">
        <f t="array" ref="EQ129">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29" s="451">
        <f>SUM(Ration_canards_Femelles[[#This Row],[Valeur 6 et plus]:[Valeur 0-3]])</f>
        <v>0</v>
      </c>
      <c r="EU129" s="457" t="str">
        <f t="shared" si="40"/>
        <v>Soja</v>
      </c>
      <c r="EV129" s="458">
        <f t="array" ref="EV129">IF(OR(ChoixRationComplèteEtéChevauxSelle=OUI,ChoixRationComplèteEtéChevauxSelle="",AND(ChoixChevauxSellePréHiver=OUI,ChoixChevauxSellePréEté=OUI)),0,IFERROR(IF(OR(AND(INDEX(Règles_chevaux_selle[Specificite],MATCH(RationEtéChevauxSelle&amp;$EU129,Règles_chevaux_selle[Ration]&amp;Règles_chevaux_selle[Aliment],0))="s1",IF($EU129=Spécificité1ChevauxSelle,1)),
AND(INDEX(Règles_chevaux_selle[Specificite],MATCH(RationEtéChevauxSelle&amp;$EU129,Règles_chevaux_selle[Ration]&amp;Règles_chevaux_selle[Aliment],0))="s2",IF($EU129=Spécificité2ChevauxSelle,1)),
INDEX(Règles_chevaux_selle[Specificite],MATCH(RationEtéChevauxSelle&amp;$EU129,Règles_chevaux_selle[Ration]&amp;Règles_chevaux_selle[Aliment],0))="c"),
INDEX(Règles_chevaux_selle[Valeur 36 et plus],MATCH(RationEtéChevauxSelle&amp;$EU129,Règles_chevaux_selle[Ration]&amp;Règles_chevaux_selle[Aliment],0)),0),0)*TotalJumentSelle*NbreJoursNourrirChevauxSelle)</f>
        <v>0</v>
      </c>
      <c r="EW129" s="458">
        <f t="array" ref="EW129">IF(OR(ChoixRationComplèteEtéChevauxSelle=OUI,ChoixRationComplèteEtéChevauxSelle="",AND(ChoixChevauxSellePréHiver=OUI,ChoixChevauxSellePréEté=OUI)),0,IFERROR(IF(OR(AND(INDEX(Règles_chevaux_selle[Specificite],MATCH(RationEtéChevauxSelle&amp;$EU129,Règles_chevaux_selle[Ration]&amp;Règles_chevaux_selle[Aliment],0))="s1",IF($EU129=Spécificité1ChevauxSelle,1)),
AND(INDEX(Règles_chevaux_selle[Specificite],MATCH(RationEtéChevauxSelle&amp;$EU129,Règles_chevaux_selle[Ration]&amp;Règles_chevaux_selle[Aliment],0))="s2",IF($EU129=Spécificité2ChevauxSelle,1)),
INDEX(Règles_chevaux_selle[Specificite],MATCH(RationEtéChevauxSelle&amp;$EU129,Règles_chevaux_selle[Ration]&amp;Règles_chevaux_selle[Aliment],0))="c"),
INDEX(Règles_chevaux_selle[Valeur 24-36],MATCH(RationEtéChevauxSelle&amp;$EU129,Règles_chevaux_selle[Ration]&amp;Règles_chevaux_selle[Aliment],0)),0),0)*TotalJeuneJumentSelle_24_36_mois*NbreJoursNourrirChevauxSelle)</f>
        <v>0</v>
      </c>
      <c r="EX129" s="458">
        <f t="array" ref="EX129">IF(OR(ChoixRationComplèteEtéChevauxSelle=OUI,ChoixRationComplèteEtéChevauxSelle="",AND(ChoixChevauxSellePréHiver=OUI,ChoixChevauxSellePréEté=OUI)),0,IFERROR(IF(OR(AND(INDEX(Règles_chevaux_selle[Specificite],MATCH(RationEtéChevauxSelle&amp;$EU129,Règles_chevaux_selle[Ration]&amp;Règles_chevaux_selle[Aliment],0))="s1",IF($EU129=Spécificité1ChevauxSelle,1)),
AND(INDEX(Règles_chevaux_selle[Specificite],MATCH(RationEtéChevauxSelle&amp;$EU129,Règles_chevaux_selle[Ration]&amp;Règles_chevaux_selle[Aliment],0))="s2",IF($EU129=Spécificité2ChevauxSelle,1)),
INDEX(Règles_chevaux_selle[Specificite],MATCH(RationEtéChevauxSelle&amp;$EU129,Règles_chevaux_selle[Ration]&amp;Règles_chevaux_selle[Aliment],0))="c"),
INDEX(Règles_chevaux_selle[Valeur 12-24],MATCH(RationEtéChevauxSelle&amp;$EU129,Règles_chevaux_selle[Ration]&amp;Règles_chevaux_selle[Aliment],0)),0),0)*TotalJeuneJumentSelle_12_24_mois_12_24_mois*NbreJoursNourrirChevauxSelle)</f>
        <v>0</v>
      </c>
      <c r="EY129" s="460">
        <f t="array" ref="EY129">IF(OR(ChoixRationComplèteEtéChevauxSelle=OUI,ChoixRationComplèteEtéChevauxSelle="",AND(ChoixChevauxSellePréHiver=OUI,ChoixChevauxSellePréEté=OUI)),0,IFERROR(IF(OR(AND(INDEX(Règles_chevaux_selle[Specificite],MATCH(RationEtéChevauxSelle&amp;$EU129,Règles_chevaux_selle[Ration]&amp;Règles_chevaux_selle[Aliment],0))="s1",IF($EU129=Spécificité1ChevauxSelle,1)),
AND(INDEX(Règles_chevaux_selle[Specificite],MATCH(RationEtéChevauxSelle&amp;$EU129,Règles_chevaux_selle[Ration]&amp;Règles_chevaux_selle[Aliment],0))="s2",IF($EU129=Spécificité2ChevauxSelle,1)),
INDEX(Règles_chevaux_selle[Specificite],MATCH(RationEtéChevauxSelle&amp;$EU129,Règles_chevaux_selle[Ration]&amp;Règles_chevaux_selle[Aliment],0))="c"),
INDEX(Règles_chevaux_selle[Valeur 0-12],MATCH(RationEtéChevauxSelle&amp;$EU129,Règles_chevaux_selle[Ration]&amp;Règles_chevaux_selle[Aliment],0)),0),0)*TotalPoulicheSelle_0_12_mois*NbreJoursNourrirChevauxSelle)</f>
        <v>0</v>
      </c>
      <c r="EZ129" s="460">
        <f t="shared" si="39"/>
        <v>0</v>
      </c>
      <c r="FD129" s="457">
        <f t="shared" si="33"/>
        <v>0</v>
      </c>
      <c r="FE129" s="458">
        <f t="array" ref="FE129">IF(OR(ChoixRationComplèteEtéChevauxTrait=OUI,ChoixRationComplèteEtéChevauxTrait="",AND(ChoixChevauxTraitPréHiver=OUI,ChoixChevauxTraitPréEté=OUI)),0,IFERROR(IF(OR(AND(INDEX(Règles_chevaux_trait[Specificite],MATCH(RationEtéChevauxTrait&amp;$FD129,Règles_chevaux_trait[Ration]&amp;Règles_chevaux_trait[Aliment],0))="s1",IF($FD129=Spécificité1ChevauxTrait,1)),
AND(INDEX(Règles_chevaux_trait[Specificite],MATCH(RationEtéChevauxTrait&amp;$FD129,Règles_chevaux_trait[Ration]&amp;Règles_chevaux_trait[Aliment],0))="s2",IF($FD129=Spécificité2ChevauxTrait,1)),
INDEX(Règles_chevaux_trait[Specificite],MATCH(RationEtéChevauxTrait&amp;$FD129,Règles_chevaux_trait[Ration]&amp;Règles_chevaux_trait[Aliment],0))="c"),
INDEX(Règles_chevaux_trait[Valeur 36 et plus],MATCH(RationEtéChevauxTrait&amp;$FD129,Règles_chevaux_trait[Ration]&amp;Règles_chevaux_trait[Aliment],0)),0),0)*TotalJumentTrait*NbreJoursNourrirChevauxTrait)</f>
        <v>0</v>
      </c>
      <c r="FF129" s="458">
        <f t="array" ref="FF129">IF(OR(ChoixRationComplèteEtéChevauxTrait=OUI,ChoixRationComplèteEtéChevauxTrait="",AND(ChoixChevauxTraitPréHiver=OUI,ChoixChevauxTraitPréEté=OUI)),0,IFERROR(IF(OR(AND(INDEX(Règles_chevaux_trait[Specificite],MATCH(RationEtéChevauxTrait&amp;$FD129,Règles_chevaux_trait[Ration]&amp;Règles_chevaux_trait[Aliment],0))="s1",IF($FD129=Spécificité1ChevauxTrait,1)),
AND(INDEX(Règles_chevaux_trait[Specificite],MATCH(RationEtéChevauxTrait&amp;$FD129,Règles_chevaux_trait[Ration]&amp;Règles_chevaux_trait[Aliment],0))="s2",IF($FD129=Spécificité2ChevauxTrait,1)),
INDEX(Règles_chevaux_trait[Specificite],MATCH(RationEtéChevauxTrait&amp;$FD129,Règles_chevaux_trait[Ration]&amp;Règles_chevaux_trait[Aliment],0))="c"),
INDEX(Règles_chevaux_trait[Valeur 24-36],MATCH(RationEtéChevauxTrait&amp;$FD129,Règles_chevaux_trait[Ration]&amp;Règles_chevaux_trait[Aliment],0)),0),0)*TotalJeuneJumentTrait_24_36_mois*NbreJoursNourrirChevauxTrait)</f>
        <v>0</v>
      </c>
      <c r="FG129" s="458">
        <f t="array" ref="FG129">IF(OR(ChoixRationComplèteEtéChevauxTrait=OUI,ChoixRationComplèteEtéChevauxTrait="",AND(ChoixChevauxTraitPréHiver=OUI,ChoixChevauxTraitPréEté=OUI)),0,IFERROR(IF(OR(AND(INDEX(Règles_chevaux_trait[Specificite],MATCH(RationEtéChevauxTrait&amp;$FD129,Règles_chevaux_trait[Ration]&amp;Règles_chevaux_trait[Aliment],0))="s1",IF($FD129=Spécificité1ChevauxTrait,1)),
AND(INDEX(Règles_chevaux_trait[Specificite],MATCH(RationEtéChevauxTrait&amp;$FD129,Règles_chevaux_trait[Ration]&amp;Règles_chevaux_trait[Aliment],0))="s2",IF($FD129=Spécificité2ChevauxTrait,1)),
INDEX(Règles_chevaux_trait[Specificite],MATCH(RationEtéChevauxTrait&amp;$FD129,Règles_chevaux_trait[Ration]&amp;Règles_chevaux_trait[Aliment],0))="c"),
INDEX(Règles_chevaux_trait[Valeur 12-24],MATCH(RationEtéChevauxTrait&amp;$FD129,Règles_chevaux_trait[Ration]&amp;Règles_chevaux_trait[Aliment],0)),0),0)*TotalJeuneJumentTrait_12_24_mois*NbreJoursNourrirChevauxTrait)</f>
        <v>0</v>
      </c>
      <c r="FH129" s="460">
        <f t="array" ref="FH129">IF(OR(ChoixRationComplèteEtéChevauxTrait=OUI,ChoixRationComplèteEtéChevauxTrait="",AND(ChoixChevauxTraitPréHiver=OUI,ChoixChevauxTraitPréEté=OUI)),0,IFERROR(IF(OR(AND(INDEX(Règles_chevaux_trait[Specificite],MATCH(RationEtéChevauxTrait&amp;$FD129,Règles_chevaux_trait[Ration]&amp;Règles_chevaux_trait[Aliment],0))="s1",IF($FD129=Spécificité1ChevauxTrait,1)),
AND(INDEX(Règles_chevaux_trait[Specificite],MATCH(RationEtéChevauxTrait&amp;$FD129,Règles_chevaux_trait[Ration]&amp;Règles_chevaux_trait[Aliment],0))="s2",IF($FD129=Spécificité2ChevauxTrait,1)),
INDEX(Règles_chevaux_trait[Specificite],MATCH(RationEtéChevauxTrait&amp;$FD129,Règles_chevaux_trait[Ration]&amp;Règles_chevaux_trait[Aliment],0))="c"),
INDEX(Règles_chevaux_trait[Valeur 0-12],MATCH(RationEtéChevauxTrait&amp;$FD129,Règles_chevaux_trait[Ration]&amp;Règles_chevaux_trait[Aliment],0)),0),0)*TotalPoulicheTrait_0_12_mois*NbreJoursNourrirChevauxTrait)</f>
        <v>0</v>
      </c>
      <c r="FI129" s="460">
        <f t="shared" si="31"/>
        <v>0</v>
      </c>
      <c r="FJ129" s="298"/>
      <c r="FN129" s="457">
        <f t="shared" si="32"/>
        <v>0</v>
      </c>
      <c r="FO129" s="458">
        <f t="array" ref="FO129">IF(OR(ChoixRationComplèteEtéPoneys=OUI,ChoixRationComplèteEtéPoneys="",AND(ChoixPoneysPréHiver=OUI,ChoixPoneysPréEté=OUI)),0,IFERROR(IF(OR(AND(INDEX(Règles_poneys[Specificite],MATCH(RationHivernaleAuPréPoneys&amp;$FN129,Règles_poneys[Ration]&amp;Règles_poneys[Aliment],0))="s1",IF($FN129=Spécificité1Poneys,1)),
AND(INDEX(Règles_poneys[Specificite],MATCH(RationHivernaleAuPréPoneys&amp;$FN129,Règles_poneys[Ration]&amp;Règles_poneys[Aliment],0))="s2",IF($FN129=Spécificité2Poneys,1)),
INDEX(Règles_poneys[Specificite],MATCH(RationHivernaleAuPréPoneys&amp;$FN129,Règles_poneys[Ration]&amp;Règles_poneys[Aliment],0))="c"),
INDEX(Règles_poneys[Valeur 36 et plus],MATCH(RationHivernaleAuPréPoneys&amp;$FN129,Règles_poneys[Ration]&amp;Règles_poneys[Aliment],0)),0),0)*SUM(TotalPoneysAdultes)*SUM(AG118:AG142))</f>
        <v>0</v>
      </c>
      <c r="FP129" s="458">
        <f t="array" ref="FP129">IF(OR(ChoixRationComplèteEtéPoneys=OUI,ChoixRationComplèteEtéPoneys="",AND(ChoixPoneysPréHiver=OUI,ChoixPoneysPréEté=OUI)),0,IFERROR(IF(OR(AND(INDEX(Règles_poneys[Specificite],MATCH(RationHivernaleAuPréPoneys&amp;$FN129,Règles_poneys[Ration]&amp;Règles_poneys[Aliment],0))="s1",IF($FN129=Spécificité1Poneys,1)),
AND(INDEX(Règles_poneys[Specificite],MATCH(RationHivernaleAuPréPoneys&amp;$FN129,Règles_poneys[Ration]&amp;Règles_poneys[Aliment],0))="s2",IF($FN129=Spécificité2Poneys,1)),
INDEX(Règles_poneys[Specificite],MATCH(RationHivernaleAuPréPoneys&amp;$FN129,Règles_poneys[Ration]&amp;Règles_poneys[Aliment],0))="c"),
INDEX(Règles_poneys[Valeur 24-36],MATCH(RationHivernaleAuPréPoneys&amp;$FN129,Règles_poneys[Ration]&amp;Règles_poneys[Aliment],0)),0),0)*SUM(TotalPoneys_24_36mois)*SUM(AG118:AG142))</f>
        <v>0</v>
      </c>
      <c r="FQ129" s="458">
        <f t="array" ref="FQ129">IF(OR(ChoixRationComplèteEtéPoneys=OUI,ChoixRationComplèteEtéPoneys="",AND(ChoixPoneysPréHiver=OUI,ChoixPoneysPréEté=OUI)),0,IFERROR(IF(OR(AND(INDEX(Règles_poneys[Specificite],MATCH(RationHivernaleAuPréPoneys&amp;$FN129,Règles_poneys[Ration]&amp;Règles_poneys[Aliment],0))="s1",IF($FN129=Spécificité1Poneys,1)),
AND(INDEX(Règles_poneys[Specificite],MATCH(RationHivernaleAuPréPoneys&amp;$FN129,Règles_poneys[Ration]&amp;Règles_poneys[Aliment],0))="s2",IF($FN129=Spécificité2Poneys,1)),
INDEX(Règles_poneys[Specificite],MATCH(RationHivernaleAuPréPoneys&amp;$FN129,Règles_poneys[Ration]&amp;Règles_poneys[Aliment],0))="c"),
INDEX(Règles_poneys[Valeur 12-24],MATCH(RationHivernaleAuPréPoneys&amp;$FN129,Règles_poneys[Ration]&amp;Règles_poneys[Aliment],0)),0),0)*SUM(TotalPoneys_12_24mois)*SUM(AG118:AG142))</f>
        <v>0</v>
      </c>
      <c r="FR129" s="460">
        <f t="array" ref="FR129">IF(OR(ChoixRationComplèteEtéPoneys=OUI,ChoixRationComplèteEtéPoneys="",AND(ChoixPoneysPréHiver=OUI,ChoixPoneysPréEté=OUI)),0,IFERROR(IF(OR(AND(INDEX(Règles_poneys[Specificite],MATCH(RationHivernaleAuPréPoneys&amp;$FN129,Règles_poneys[Ration]&amp;Règles_poneys[Aliment],0))="s1",IF($FN129=Spécificité1Poneys,1)),
AND(INDEX(Règles_poneys[Specificite],MATCH(RationHivernaleAuPréPoneys&amp;$FN129,Règles_poneys[Ration]&amp;Règles_poneys[Aliment],0))="s2",IF($FN129=Spécificité2Poneys,1)),
INDEX(Règles_poneys[Specificite],MATCH(RationHivernaleAuPréPoneys&amp;$FN129,Règles_poneys[Ration]&amp;Règles_poneys[Aliment],0))="c"),
INDEX(Règles_poneys[Valeur 0-12],MATCH(RationHivernaleAuPréPoneys&amp;$FN129,Règles_poneys[Ration]&amp;Règles_poneys[Aliment],0)),0),0)*SUM(TotalPoulainsPoneys)*SUM(AG118:AG142))</f>
        <v>0</v>
      </c>
      <c r="FS129" s="460">
        <f t="shared" si="29"/>
        <v>0</v>
      </c>
      <c r="FT129" s="298"/>
      <c r="GA129" s="276"/>
      <c r="GG129" s="276" t="s">
        <v>955</v>
      </c>
      <c r="GH129" s="276" t="s">
        <v>955</v>
      </c>
      <c r="GI129" s="276" t="s">
        <v>955</v>
      </c>
      <c r="GJ129" s="276" t="s">
        <v>955</v>
      </c>
      <c r="GK129" s="276" t="s">
        <v>955</v>
      </c>
      <c r="GL129" s="276" t="s">
        <v>955</v>
      </c>
      <c r="GM129" s="276" t="s">
        <v>955</v>
      </c>
      <c r="GN129" s="276" t="s">
        <v>955</v>
      </c>
      <c r="GO129" s="276" t="s">
        <v>955</v>
      </c>
      <c r="GP129" s="276" t="s">
        <v>955</v>
      </c>
      <c r="GQ129" s="276" t="s">
        <v>955</v>
      </c>
      <c r="GR129" s="276" t="s">
        <v>955</v>
      </c>
      <c r="GS129" s="276" t="s">
        <v>955</v>
      </c>
      <c r="GT129" s="276" t="s">
        <v>955</v>
      </c>
      <c r="GU129" s="276" t="s">
        <v>955</v>
      </c>
      <c r="GV129" s="276" t="s">
        <v>955</v>
      </c>
    </row>
    <row r="130" spans="1:204" ht="12.75" customHeight="1" x14ac:dyDescent="0.2">
      <c r="A130" s="373"/>
      <c r="B130" s="380"/>
      <c r="BB130" s="387" t="s">
        <v>516</v>
      </c>
      <c r="BC130" s="362" t="s">
        <v>905</v>
      </c>
      <c r="BD130" s="362" t="s">
        <v>886</v>
      </c>
      <c r="BE130" s="388">
        <v>1</v>
      </c>
      <c r="BF130" s="388">
        <v>0.8</v>
      </c>
      <c r="BG130" s="388">
        <v>0.6</v>
      </c>
      <c r="BH130" s="388">
        <v>0.4</v>
      </c>
      <c r="BI130" s="388">
        <v>0.4</v>
      </c>
      <c r="BJ130" s="388">
        <v>0.4</v>
      </c>
      <c r="BK130" s="389">
        <v>0</v>
      </c>
      <c r="BL130" s="312"/>
      <c r="BM130" s="350" t="str">
        <f t="shared" si="43"/>
        <v>Lentille</v>
      </c>
      <c r="BN130" s="351">
        <f t="array" ref="BN130">SUM((IF(QualitéAlimentsBisonneauxMâles_0_3_mois=BONNE,VLOOKUP("Lentille",AlimentsRationHivernaleBisonsMâles,8,FALSE),0)+(IF(QualitéAlimentsBisonneauxFemelles_0_3_mois=BONNE,VLOOKUP("Lentille",AlimentsRationHivernaleBisonsFemelles,8,FALSE),0)+(IF(QualitéAlimentsBisonneauxMâles_3_6_mois=BONNE,VLOOKUP("Lentille",AlimentsRationHivernaleBisonsMâles,7,FALSE),0)+(IF(QualitéAlimentsBisonneauxFemelles_3_6_mois=BONNE,VLOOKUP("Lentille",AlimentsRationHivernaleBisonsFemelles,7,FALSE),0)+(IF(QualitéAlimentsBisonneauxMâles_6_12_mois=BONNE,VLOOKUP("Lentille",AlimentsRationHivernaleBisonsMâles,6,FALSE),0)+(IF(QualitéAlimentsBisonneauxFemelles_6_12_mois=BONNE,VLOOKUP("Lentille",AlimentsRationHivernaleBisonsFemelles,6,FALSE),0)+(IF(QualitéAlimentsJeunesBisons_12_18_mois=BONNE,VLOOKUP("Lentille",AlimentsRationHivernaleBisonsMâles,5,FALSE),0)+(IF(QualitéAlimentsJeunesBisonnes_12_18_mois=BONNE,VLOOKUP("Lentille",AlimentsRationHivernaleBisonsFemelles,5,FALSE),0)+(IF(QualitéAlimentsJeunesBisons_18_24_mois=BONNE,VLOOKUP("Lentille",AlimentsRationHivernaleBisonsMâles,4,FALSE),0)+(IF(QualitéAlimentsJeunesBisonnes_18_24_mois=BONNE,VLOOKUP("Lentille",AlimentsRationHivernaleBisonsFemelles,4,FALSE),0)+(IF(QualitéAlimentsJeunesBisons_24_36_mois=BONNE,VLOOKUP("Lentille",AlimentsRationHivernaleBisonsMâles,3,FALSE),0)+(IF(QualitéAlimentsJeunesBisonnes_24_36_mois=BONNE,VLOOKUP("Lentille",AlimentsRationHivernaleBisonsFemelles,3,FALSE),0)+(IF(QualitéAlimentsBisons=BONNE,VLOOKUP("Lentille",AlimentsRationHivernaleBisonsMâles,2,FALSE),0)+(IF(QualitéAlimentsBisonnes=BONNE,VLOOKUP("Lentille",AlimentsRationHivernaleBisonsFemelles,2,FALSE),0))))))))))))))))</f>
        <v>0</v>
      </c>
      <c r="BO130" s="351">
        <f t="array" ref="BO130">SUM((IF(QualitéAlimentsBisonneauxMâles_0_3_mois=MOYENNE,VLOOKUP("Lentille",AlimentsRationHivernaleBisonsMâles,8,FALSE),0)+(IF(QualitéAlimentsBisonneauxFemelles_0_3_mois=MOYENNE,VLOOKUP("Lentille",AlimentsRationHivernaleBisonsFemelles,8,FALSE),0)+(IF(QualitéAlimentsBisonneauxMâles_3_6_mois=MOYENNE,VLOOKUP("Lentille",AlimentsRationHivernaleBisonsMâles,7,FALSE),0)+(IF(QualitéAlimentsBisonneauxFemelles_3_6_mois=MOYENNE,VLOOKUP("Lentille",AlimentsRationHivernaleBisonsFemelles,7,FALSE),0)+(IF(QualitéAlimentsBisonneauxMâles_6_12_mois=MOYENNE,VLOOKUP("Lentille",AlimentsRationHivernaleBisonsMâles,6,FALSE),0)+(IF(QualitéAlimentsBisonneauxFemelles_6_12_mois=MOYENNE,VLOOKUP("Lentille",AlimentsRationHivernaleBisonsFemelles,6,FALSE),0)+(IF(QualitéAlimentsJeunesBisons_12_18_mois=MOYENNE,VLOOKUP("Lentille",AlimentsRationHivernaleBisonsMâles,5,FALSE),0)+(IF(QualitéAlimentsJeunesBisonnes_12_18_mois=MOYENNE,VLOOKUP("Lentille",AlimentsRationHivernaleBisonsFemelles,5,FALSE),0)+(IF(QualitéAlimentsJeunesBisons_18_24_mois=MOYENNE,VLOOKUP("Lentille",AlimentsRationHivernaleBisonsMâles,4,FALSE),0)+(IF(QualitéAlimentsJeunesBisonnes_18_24_mois=MOYENNE,VLOOKUP("Lentille",AlimentsRationHivernaleBisonsFemelles,4,FALSE),0)+(IF(QualitéAlimentsJeunesBisons_24_36_mois=MOYENNE,VLOOKUP("Lentille",AlimentsRationHivernaleBisonsMâles,3,FALSE),0)+(IF(QualitéAlimentsJeunesBisonnes_24_36_mois=MOYENNE,VLOOKUP("Lentille",AlimentsRationHivernaleBisonsFemelles,3,FALSE),0)+(IF(QualitéAlimentsBisons=MOYENNE,VLOOKUP("Lentille",AlimentsRationHivernaleBisonsMâles,2,FALSE),0)+(IF(QualitéAlimentsBisonnes=MOYENNE,VLOOKUP("Lentille",AlimentsRationHivernaleBisonsFemelles,2,FALSE),0))))))))))))))))</f>
        <v>0</v>
      </c>
      <c r="BP130" s="351">
        <f t="array" ref="BP130">SUM((IF(QualitéAlimentsBisonneauxMâles_0_3_mois=MAUVAISE,VLOOKUP("Lentille",AlimentsRationHivernaleBisonsMâles,8,FALSE),0)+(IF(QualitéAlimentsBisonneauxFemelles_0_3_mois=MAUVAISE,VLOOKUP("Lentille",AlimentsRationHivernaleBisonsFemelles,8,FALSE),0)+(IF(QualitéAlimentsBisonneauxMâles_3_6_mois=MAUVAISE,VLOOKUP("Lentille",AlimentsRationHivernaleBisonsMâles,7,FALSE),0)+(IF(QualitéAlimentsBisonneauxFemelles_3_6_mois=MAUVAISE,VLOOKUP("Lentille",AlimentsRationHivernaleBisonsFemelles,7,FALSE),0)+(IF(QualitéAlimentsBisonneauxMâles_6_12_mois=MAUVAISE,VLOOKUP("Lentille",AlimentsRationHivernaleBisonsMâles,6,FALSE),0)+(IF(QualitéAlimentsBisonneauxFemelles_6_12_mois=MAUVAISE,VLOOKUP("Lentille",AlimentsRationHivernaleBisonsFemelles,6,FALSE),0)+(IF(QualitéAlimentsJeunesBisons_12_18_mois=MAUVAISE,VLOOKUP("Lentille",AlimentsRationHivernaleBisonsMâles,5,FALSE),0)+(IF(QualitéAlimentsJeunesBisonnes_12_18_mois=MAUVAISE,VLOOKUP("Lentille",AlimentsRationHivernaleBisonsFemelles,5,FALSE),0)+(IF(QualitéAlimentsJeunesBisons_18_24_mois=MAUVAISE,VLOOKUP("Lentille",AlimentsRationHivernaleBisonsMâles,4,FALSE),0)+(IF(QualitéAlimentsJeunesBisonnes_18_24_mois=MAUVAISE,VLOOKUP("Lentille",AlimentsRationHivernaleBisonsFemelles,4,FALSE),0)+(IF(QualitéAlimentsJeunesBisons_24_36_mois=MAUVAISE,VLOOKUP("Lentille",AlimentsRationHivernaleBisonsMâles,3,FALSE),0)+(IF(QualitéAlimentsJeunesBisonnes_24_36_mois=MAUVAISE,VLOOKUP("Lentille",AlimentsRationHivernaleBisonsFemelles,3,FALSE),0)+(IF(QualitéAlimentsBisons=MAUVAISE,VLOOKUP("Lentille",AlimentsRationHivernaleBisonsMâles,2,FALSE),0)+(IF(QualitéAlimentsBisonnes=MAUVAISE,VLOOKUP("Lentille",AlimentsRationHivernaleBisonsFemelles,2,FALSE),0))))))))))))))))</f>
        <v>0</v>
      </c>
      <c r="BQ130" s="282"/>
      <c r="BR130" s="282"/>
      <c r="BS130" s="282"/>
      <c r="BT130" s="282"/>
      <c r="BU130" s="282"/>
      <c r="BX130" s="350" t="s">
        <v>906</v>
      </c>
      <c r="BY130" s="350">
        <f t="array" ref="BY130">IF(ChoixRationComplèteCaprins=OUI,0,IFERROR(IF(OR(AND(INDEX(Règles_caprins[Specificite],MATCH(ChoixRationCaprins&amp;$BX130,Règles_caprins[Ration]&amp;Règles_caprins[Aliment],0))="s1",IF($BX130=Spécificité1Caprins,1)),
INDEX(Règles_caprins[Specificite],MATCH(ChoixRationCaprins&amp;$BX130,Règles_caprins[Ration]&amp;Règles_caprins[Aliment],0))="c"),
INDEX(Règles_caprins[Valeur 12 et plus],MATCH(ChoixRationCaprins&amp;$BX130,Règles_caprins[Ration]&amp;Règles_caprins[Aliment],0)),0),0)*TotalBoucs*NbreJoursNourrirCaprins)</f>
        <v>0</v>
      </c>
      <c r="BZ130" s="350">
        <f t="array" ref="BZ130">IF(ChoixRationComplèteCaprins=OUI,0,IFERROR(IF(OR(AND(INDEX(Règles_caprins[Specificite],MATCH(ChoixRationCaprins&amp;$BX130,Règles_caprins[Ration]&amp;Règles_caprins[Aliment],0))="s1",IF($BX130=Spécificité1Caprins,1)),
INDEX(Règles_caprins[Specificite],MATCH(ChoixRationCaprins&amp;$BX130,Règles_caprins[Ration]&amp;Règles_caprins[Aliment],0))="c"),
INDEX(Règles_caprins[Valeur 6-12],MATCH(ChoixRationCaprins&amp;$BX130,Règles_caprins[Ration]&amp;Règles_caprins[Aliment],0)),0),0)*jeune_bouc_6_12_mois*NbreJoursNourrirCaprins)</f>
        <v>0</v>
      </c>
      <c r="CA130" s="350">
        <f t="array" ref="CA130">IF(ChoixRationComplèteCaprins=OUI,0,IFERROR(IF(OR(AND(INDEX(Règles_caprins[Specificite],MATCH(ChoixRationCaprins&amp;$BX130,Règles_caprins[Ration]&amp;Règles_caprins[Aliment],0))="s1",IF($BX130=Spécificité1Caprins,1)),
INDEX(Règles_caprins[Specificite],MATCH(ChoixRationCaprins&amp;$BX130,Règles_caprins[Ration]&amp;Règles_caprins[Aliment],0))="c"),
INDEX(Règles_caprins[Valeur 3-6],MATCH(ChoixRationCaprins&amp;$BX130,Règles_caprins[Ration]&amp;Règles_caprins[Aliment],0)),0),0)*chevreau_3_6_mois*NbreJoursNourrirCaprins)</f>
        <v>0</v>
      </c>
      <c r="CB130" s="350">
        <f t="array" ref="CB130">IF(ChoixRationComplèteCaprins=OUI,0,IFERROR(IF(OR(AND(INDEX(Règles_caprins[Specificite],MATCH(ChoixRationCaprins&amp;$BX130,Règles_caprins[Ration]&amp;Règles_caprins[Aliment],0))="s1",IF($BX130=Spécificité1Caprins,1)),
INDEX(Règles_caprins[Specificite],MATCH(ChoixRationCaprins&amp;$BX130,Règles_caprins[Ration]&amp;Règles_caprins[Aliment],0))="c"),
INDEX(Règles_caprins[Valeur 0-3],MATCH(ChoixRationCaprins&amp;$BX130,Règles_caprins[Ration]&amp;Règles_caprins[Aliment],0)),0),0)*chevreau_0_3_mois*NbreJoursNourrirCaprins)</f>
        <v>0</v>
      </c>
      <c r="CC130" s="350">
        <f t="shared" si="41"/>
        <v>0</v>
      </c>
      <c r="CH130" s="276"/>
      <c r="CI130" s="277"/>
      <c r="CJ130" s="420" t="s">
        <v>565</v>
      </c>
      <c r="CK130" s="408">
        <f>CK17*TotalVerrats*SUM(Z76:Z100)</f>
        <v>0</v>
      </c>
      <c r="CM130" s="420" t="s">
        <v>565</v>
      </c>
      <c r="CN130" s="408">
        <f>CN17*TotalVerrats*SUM(Z76:Z100)</f>
        <v>0</v>
      </c>
      <c r="CO130" s="277"/>
      <c r="CP130" s="277"/>
      <c r="CS130" s="420" t="str">
        <f t="shared" si="36"/>
        <v>Tourteau de tournesol</v>
      </c>
      <c r="CT130" s="433">
        <f t="array" ref="CT130">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30" s="433">
        <f t="array" ref="CU130">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30" s="433">
        <f t="array" ref="CV130">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30" s="434">
        <f>SUM(AlimentsRationLapinsFemelles[[#This Row],[Valeur 3 et plus]:[Valeur 0-1]])</f>
        <v>0</v>
      </c>
      <c r="CZ130" s="420" t="str">
        <f t="shared" si="37"/>
        <v>Tourteau de tournesol</v>
      </c>
      <c r="DA130" s="433">
        <f t="array" ref="DA13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30" s="433">
        <f t="array" ref="DB13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30" s="433">
        <f t="array" ref="DC130">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30" s="434">
        <f>SUM(AlimentsRationVolaillesFemelles[[#This Row],[Valeur 6 et plus]:[Valeur 0-1]])</f>
        <v>0</v>
      </c>
      <c r="DG130" s="229" t="s">
        <v>912</v>
      </c>
      <c r="DH130" s="344"/>
      <c r="DI130" s="344"/>
      <c r="DJ130" s="344"/>
      <c r="DK130" s="229"/>
      <c r="DN130" s="373" t="s">
        <v>551</v>
      </c>
      <c r="DO130" s="280" t="s">
        <v>513</v>
      </c>
      <c r="DP130" s="280" t="s">
        <v>886</v>
      </c>
      <c r="DQ130" s="310">
        <v>6</v>
      </c>
      <c r="DR130" s="310">
        <v>4</v>
      </c>
      <c r="DS130" s="310">
        <v>2</v>
      </c>
      <c r="DT130" s="439">
        <v>0</v>
      </c>
      <c r="EG130" s="420">
        <f t="shared" si="30"/>
        <v>0</v>
      </c>
      <c r="EH130" s="433">
        <f t="array" ref="EH13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30" s="433">
        <f t="array" ref="EI13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30" s="433">
        <f t="array" ref="EJ130">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30" s="434">
        <f>SUM(AlimentsRationOiesFemelles[[#This Row],[Valeur 6 et plus]:[Valeur 0-3]])</f>
        <v>0</v>
      </c>
      <c r="EN130" s="443">
        <f t="shared" si="28"/>
        <v>0</v>
      </c>
      <c r="EO130" s="450">
        <f t="array" ref="EO130">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30" s="450">
        <f t="array" ref="EP130">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30" s="450">
        <f t="array" ref="EQ130">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30" s="451">
        <f>SUM(Ration_canards_Femelles[[#This Row],[Valeur 6 et plus]:[Valeur 0-3]])</f>
        <v>0</v>
      </c>
      <c r="EU130" s="457" t="str">
        <f t="shared" si="40"/>
        <v>Sorgho ensilé</v>
      </c>
      <c r="EV130" s="458">
        <f t="array" ref="EV130">IF(OR(ChoixRationComplèteEtéChevauxSelle=OUI,ChoixRationComplèteEtéChevauxSelle="",AND(ChoixChevauxSellePréHiver=OUI,ChoixChevauxSellePréEté=OUI)),0,IFERROR(IF(OR(AND(INDEX(Règles_chevaux_selle[Specificite],MATCH(RationEtéChevauxSelle&amp;$EU130,Règles_chevaux_selle[Ration]&amp;Règles_chevaux_selle[Aliment],0))="s1",IF($EU130=Spécificité1ChevauxSelle,1)),
AND(INDEX(Règles_chevaux_selle[Specificite],MATCH(RationEtéChevauxSelle&amp;$EU130,Règles_chevaux_selle[Ration]&amp;Règles_chevaux_selle[Aliment],0))="s2",IF($EU130=Spécificité2ChevauxSelle,1)),
INDEX(Règles_chevaux_selle[Specificite],MATCH(RationEtéChevauxSelle&amp;$EU130,Règles_chevaux_selle[Ration]&amp;Règles_chevaux_selle[Aliment],0))="c"),
INDEX(Règles_chevaux_selle[Valeur 36 et plus],MATCH(RationEtéChevauxSelle&amp;$EU130,Règles_chevaux_selle[Ration]&amp;Règles_chevaux_selle[Aliment],0)),0),0)*TotalJumentSelle*NbreJoursNourrirChevauxSelle)</f>
        <v>0</v>
      </c>
      <c r="EW130" s="458">
        <f t="array" ref="EW130">IF(OR(ChoixRationComplèteEtéChevauxSelle=OUI,ChoixRationComplèteEtéChevauxSelle="",AND(ChoixChevauxSellePréHiver=OUI,ChoixChevauxSellePréEté=OUI)),0,IFERROR(IF(OR(AND(INDEX(Règles_chevaux_selle[Specificite],MATCH(RationEtéChevauxSelle&amp;$EU130,Règles_chevaux_selle[Ration]&amp;Règles_chevaux_selle[Aliment],0))="s1",IF($EU130=Spécificité1ChevauxSelle,1)),
AND(INDEX(Règles_chevaux_selle[Specificite],MATCH(RationEtéChevauxSelle&amp;$EU130,Règles_chevaux_selle[Ration]&amp;Règles_chevaux_selle[Aliment],0))="s2",IF($EU130=Spécificité2ChevauxSelle,1)),
INDEX(Règles_chevaux_selle[Specificite],MATCH(RationEtéChevauxSelle&amp;$EU130,Règles_chevaux_selle[Ration]&amp;Règles_chevaux_selle[Aliment],0))="c"),
INDEX(Règles_chevaux_selle[Valeur 24-36],MATCH(RationEtéChevauxSelle&amp;$EU130,Règles_chevaux_selle[Ration]&amp;Règles_chevaux_selle[Aliment],0)),0),0)*TotalJeuneJumentSelle_24_36_mois*NbreJoursNourrirChevauxSelle)</f>
        <v>0</v>
      </c>
      <c r="EX130" s="458">
        <f t="array" ref="EX130">IF(OR(ChoixRationComplèteEtéChevauxSelle=OUI,ChoixRationComplèteEtéChevauxSelle="",AND(ChoixChevauxSellePréHiver=OUI,ChoixChevauxSellePréEté=OUI)),0,IFERROR(IF(OR(AND(INDEX(Règles_chevaux_selle[Specificite],MATCH(RationEtéChevauxSelle&amp;$EU130,Règles_chevaux_selle[Ration]&amp;Règles_chevaux_selle[Aliment],0))="s1",IF($EU130=Spécificité1ChevauxSelle,1)),
AND(INDEX(Règles_chevaux_selle[Specificite],MATCH(RationEtéChevauxSelle&amp;$EU130,Règles_chevaux_selle[Ration]&amp;Règles_chevaux_selle[Aliment],0))="s2",IF($EU130=Spécificité2ChevauxSelle,1)),
INDEX(Règles_chevaux_selle[Specificite],MATCH(RationEtéChevauxSelle&amp;$EU130,Règles_chevaux_selle[Ration]&amp;Règles_chevaux_selle[Aliment],0))="c"),
INDEX(Règles_chevaux_selle[Valeur 12-24],MATCH(RationEtéChevauxSelle&amp;$EU130,Règles_chevaux_selle[Ration]&amp;Règles_chevaux_selle[Aliment],0)),0),0)*TotalJeuneJumentSelle_12_24_mois_12_24_mois*NbreJoursNourrirChevauxSelle)</f>
        <v>0</v>
      </c>
      <c r="EY130" s="460">
        <f t="array" ref="EY130">IF(OR(ChoixRationComplèteEtéChevauxSelle=OUI,ChoixRationComplèteEtéChevauxSelle="",AND(ChoixChevauxSellePréHiver=OUI,ChoixChevauxSellePréEté=OUI)),0,IFERROR(IF(OR(AND(INDEX(Règles_chevaux_selle[Specificite],MATCH(RationEtéChevauxSelle&amp;$EU130,Règles_chevaux_selle[Ration]&amp;Règles_chevaux_selle[Aliment],0))="s1",IF($EU130=Spécificité1ChevauxSelle,1)),
AND(INDEX(Règles_chevaux_selle[Specificite],MATCH(RationEtéChevauxSelle&amp;$EU130,Règles_chevaux_selle[Ration]&amp;Règles_chevaux_selle[Aliment],0))="s2",IF($EU130=Spécificité2ChevauxSelle,1)),
INDEX(Règles_chevaux_selle[Specificite],MATCH(RationEtéChevauxSelle&amp;$EU130,Règles_chevaux_selle[Ration]&amp;Règles_chevaux_selle[Aliment],0))="c"),
INDEX(Règles_chevaux_selle[Valeur 0-12],MATCH(RationEtéChevauxSelle&amp;$EU130,Règles_chevaux_selle[Ration]&amp;Règles_chevaux_selle[Aliment],0)),0),0)*TotalPoulicheSelle_0_12_mois*NbreJoursNourrirChevauxSelle)</f>
        <v>0</v>
      </c>
      <c r="EZ130" s="460">
        <f t="shared" si="39"/>
        <v>0</v>
      </c>
      <c r="FD130" s="457">
        <f t="shared" si="33"/>
        <v>0</v>
      </c>
      <c r="FE130" s="458">
        <f t="array" ref="FE130">IF(OR(ChoixRationComplèteEtéChevauxTrait=OUI,ChoixRationComplèteEtéChevauxTrait="",AND(ChoixChevauxTraitPréHiver=OUI,ChoixChevauxTraitPréEté=OUI)),0,IFERROR(IF(OR(AND(INDEX(Règles_chevaux_trait[Specificite],MATCH(RationEtéChevauxTrait&amp;$FD130,Règles_chevaux_trait[Ration]&amp;Règles_chevaux_trait[Aliment],0))="s1",IF($FD130=Spécificité1ChevauxTrait,1)),
AND(INDEX(Règles_chevaux_trait[Specificite],MATCH(RationEtéChevauxTrait&amp;$FD130,Règles_chevaux_trait[Ration]&amp;Règles_chevaux_trait[Aliment],0))="s2",IF($FD130=Spécificité2ChevauxTrait,1)),
INDEX(Règles_chevaux_trait[Specificite],MATCH(RationEtéChevauxTrait&amp;$FD130,Règles_chevaux_trait[Ration]&amp;Règles_chevaux_trait[Aliment],0))="c"),
INDEX(Règles_chevaux_trait[Valeur 36 et plus],MATCH(RationEtéChevauxTrait&amp;$FD130,Règles_chevaux_trait[Ration]&amp;Règles_chevaux_trait[Aliment],0)),0),0)*TotalJumentTrait*NbreJoursNourrirChevauxTrait)</f>
        <v>0</v>
      </c>
      <c r="FF130" s="458">
        <f t="array" ref="FF130">IF(OR(ChoixRationComplèteEtéChevauxTrait=OUI,ChoixRationComplèteEtéChevauxTrait="",AND(ChoixChevauxTraitPréHiver=OUI,ChoixChevauxTraitPréEté=OUI)),0,IFERROR(IF(OR(AND(INDEX(Règles_chevaux_trait[Specificite],MATCH(RationEtéChevauxTrait&amp;$FD130,Règles_chevaux_trait[Ration]&amp;Règles_chevaux_trait[Aliment],0))="s1",IF($FD130=Spécificité1ChevauxTrait,1)),
AND(INDEX(Règles_chevaux_trait[Specificite],MATCH(RationEtéChevauxTrait&amp;$FD130,Règles_chevaux_trait[Ration]&amp;Règles_chevaux_trait[Aliment],0))="s2",IF($FD130=Spécificité2ChevauxTrait,1)),
INDEX(Règles_chevaux_trait[Specificite],MATCH(RationEtéChevauxTrait&amp;$FD130,Règles_chevaux_trait[Ration]&amp;Règles_chevaux_trait[Aliment],0))="c"),
INDEX(Règles_chevaux_trait[Valeur 24-36],MATCH(RationEtéChevauxTrait&amp;$FD130,Règles_chevaux_trait[Ration]&amp;Règles_chevaux_trait[Aliment],0)),0),0)*TotalJeuneJumentTrait_24_36_mois*NbreJoursNourrirChevauxTrait)</f>
        <v>0</v>
      </c>
      <c r="FG130" s="458">
        <f t="array" ref="FG130">IF(OR(ChoixRationComplèteEtéChevauxTrait=OUI,ChoixRationComplèteEtéChevauxTrait="",AND(ChoixChevauxTraitPréHiver=OUI,ChoixChevauxTraitPréEté=OUI)),0,IFERROR(IF(OR(AND(INDEX(Règles_chevaux_trait[Specificite],MATCH(RationEtéChevauxTrait&amp;$FD130,Règles_chevaux_trait[Ration]&amp;Règles_chevaux_trait[Aliment],0))="s1",IF($FD130=Spécificité1ChevauxTrait,1)),
AND(INDEX(Règles_chevaux_trait[Specificite],MATCH(RationEtéChevauxTrait&amp;$FD130,Règles_chevaux_trait[Ration]&amp;Règles_chevaux_trait[Aliment],0))="s2",IF($FD130=Spécificité2ChevauxTrait,1)),
INDEX(Règles_chevaux_trait[Specificite],MATCH(RationEtéChevauxTrait&amp;$FD130,Règles_chevaux_trait[Ration]&amp;Règles_chevaux_trait[Aliment],0))="c"),
INDEX(Règles_chevaux_trait[Valeur 12-24],MATCH(RationEtéChevauxTrait&amp;$FD130,Règles_chevaux_trait[Ration]&amp;Règles_chevaux_trait[Aliment],0)),0),0)*TotalJeuneJumentTrait_12_24_mois*NbreJoursNourrirChevauxTrait)</f>
        <v>0</v>
      </c>
      <c r="FH130" s="460">
        <f t="array" ref="FH130">IF(OR(ChoixRationComplèteEtéChevauxTrait=OUI,ChoixRationComplèteEtéChevauxTrait="",AND(ChoixChevauxTraitPréHiver=OUI,ChoixChevauxTraitPréEté=OUI)),0,IFERROR(IF(OR(AND(INDEX(Règles_chevaux_trait[Specificite],MATCH(RationEtéChevauxTrait&amp;$FD130,Règles_chevaux_trait[Ration]&amp;Règles_chevaux_trait[Aliment],0))="s1",IF($FD130=Spécificité1ChevauxTrait,1)),
AND(INDEX(Règles_chevaux_trait[Specificite],MATCH(RationEtéChevauxTrait&amp;$FD130,Règles_chevaux_trait[Ration]&amp;Règles_chevaux_trait[Aliment],0))="s2",IF($FD130=Spécificité2ChevauxTrait,1)),
INDEX(Règles_chevaux_trait[Specificite],MATCH(RationEtéChevauxTrait&amp;$FD130,Règles_chevaux_trait[Ration]&amp;Règles_chevaux_trait[Aliment],0))="c"),
INDEX(Règles_chevaux_trait[Valeur 0-12],MATCH(RationEtéChevauxTrait&amp;$FD130,Règles_chevaux_trait[Ration]&amp;Règles_chevaux_trait[Aliment],0)),0),0)*TotalPoulicheTrait_0_12_mois*NbreJoursNourrirChevauxTrait)</f>
        <v>0</v>
      </c>
      <c r="FI130" s="460">
        <f t="shared" si="31"/>
        <v>0</v>
      </c>
      <c r="FJ130" s="298"/>
      <c r="FN130" s="457">
        <f t="shared" si="32"/>
        <v>0</v>
      </c>
      <c r="FO130" s="458">
        <f t="array" ref="FO130">IF(OR(ChoixRationComplèteEtéPoneys=OUI,ChoixRationComplèteEtéPoneys="",AND(ChoixPoneysPréHiver=OUI,ChoixPoneysPréEté=OUI)),0,IFERROR(IF(OR(AND(INDEX(Règles_poneys[Specificite],MATCH(RationHivernaleAuPréPoneys&amp;$FN130,Règles_poneys[Ration]&amp;Règles_poneys[Aliment],0))="s1",IF($FN130=Spécificité1Poneys,1)),
AND(INDEX(Règles_poneys[Specificite],MATCH(RationHivernaleAuPréPoneys&amp;$FN130,Règles_poneys[Ration]&amp;Règles_poneys[Aliment],0))="s2",IF($FN130=Spécificité2Poneys,1)),
INDEX(Règles_poneys[Specificite],MATCH(RationHivernaleAuPréPoneys&amp;$FN130,Règles_poneys[Ration]&amp;Règles_poneys[Aliment],0))="c"),
INDEX(Règles_poneys[Valeur 36 et plus],MATCH(RationHivernaleAuPréPoneys&amp;$FN130,Règles_poneys[Ration]&amp;Règles_poneys[Aliment],0)),0),0)*SUM(TotalPoneysAdultes)*SUM(AG118:AG142))</f>
        <v>0</v>
      </c>
      <c r="FP130" s="458">
        <f t="array" ref="FP130">IF(OR(ChoixRationComplèteEtéPoneys=OUI,ChoixRationComplèteEtéPoneys="",AND(ChoixPoneysPréHiver=OUI,ChoixPoneysPréEté=OUI)),0,IFERROR(IF(OR(AND(INDEX(Règles_poneys[Specificite],MATCH(RationHivernaleAuPréPoneys&amp;$FN130,Règles_poneys[Ration]&amp;Règles_poneys[Aliment],0))="s1",IF($FN130=Spécificité1Poneys,1)),
AND(INDEX(Règles_poneys[Specificite],MATCH(RationHivernaleAuPréPoneys&amp;$FN130,Règles_poneys[Ration]&amp;Règles_poneys[Aliment],0))="s2",IF($FN130=Spécificité2Poneys,1)),
INDEX(Règles_poneys[Specificite],MATCH(RationHivernaleAuPréPoneys&amp;$FN130,Règles_poneys[Ration]&amp;Règles_poneys[Aliment],0))="c"),
INDEX(Règles_poneys[Valeur 24-36],MATCH(RationHivernaleAuPréPoneys&amp;$FN130,Règles_poneys[Ration]&amp;Règles_poneys[Aliment],0)),0),0)*SUM(TotalPoneys_24_36mois)*SUM(AG118:AG142))</f>
        <v>0</v>
      </c>
      <c r="FQ130" s="458">
        <f t="array" ref="FQ130">IF(OR(ChoixRationComplèteEtéPoneys=OUI,ChoixRationComplèteEtéPoneys="",AND(ChoixPoneysPréHiver=OUI,ChoixPoneysPréEté=OUI)),0,IFERROR(IF(OR(AND(INDEX(Règles_poneys[Specificite],MATCH(RationHivernaleAuPréPoneys&amp;$FN130,Règles_poneys[Ration]&amp;Règles_poneys[Aliment],0))="s1",IF($FN130=Spécificité1Poneys,1)),
AND(INDEX(Règles_poneys[Specificite],MATCH(RationHivernaleAuPréPoneys&amp;$FN130,Règles_poneys[Ration]&amp;Règles_poneys[Aliment],0))="s2",IF($FN130=Spécificité2Poneys,1)),
INDEX(Règles_poneys[Specificite],MATCH(RationHivernaleAuPréPoneys&amp;$FN130,Règles_poneys[Ration]&amp;Règles_poneys[Aliment],0))="c"),
INDEX(Règles_poneys[Valeur 12-24],MATCH(RationHivernaleAuPréPoneys&amp;$FN130,Règles_poneys[Ration]&amp;Règles_poneys[Aliment],0)),0),0)*SUM(TotalPoneys_12_24mois)*SUM(AG118:AG142))</f>
        <v>0</v>
      </c>
      <c r="FR130" s="460">
        <f t="array" ref="FR130">IF(OR(ChoixRationComplèteEtéPoneys=OUI,ChoixRationComplèteEtéPoneys="",AND(ChoixPoneysPréHiver=OUI,ChoixPoneysPréEté=OUI)),0,IFERROR(IF(OR(AND(INDEX(Règles_poneys[Specificite],MATCH(RationHivernaleAuPréPoneys&amp;$FN130,Règles_poneys[Ration]&amp;Règles_poneys[Aliment],0))="s1",IF($FN130=Spécificité1Poneys,1)),
AND(INDEX(Règles_poneys[Specificite],MATCH(RationHivernaleAuPréPoneys&amp;$FN130,Règles_poneys[Ration]&amp;Règles_poneys[Aliment],0))="s2",IF($FN130=Spécificité2Poneys,1)),
INDEX(Règles_poneys[Specificite],MATCH(RationHivernaleAuPréPoneys&amp;$FN130,Règles_poneys[Ration]&amp;Règles_poneys[Aliment],0))="c"),
INDEX(Règles_poneys[Valeur 0-12],MATCH(RationHivernaleAuPréPoneys&amp;$FN130,Règles_poneys[Ration]&amp;Règles_poneys[Aliment],0)),0),0)*SUM(TotalPoulainsPoneys)*SUM(AG118:AG142))</f>
        <v>0</v>
      </c>
      <c r="FS130" s="460">
        <f t="shared" si="29"/>
        <v>0</v>
      </c>
      <c r="FT130" s="298"/>
      <c r="FW130" s="335" t="s">
        <v>944</v>
      </c>
      <c r="FX130" s="343"/>
      <c r="FY130" s="343"/>
      <c r="FZ130" s="343"/>
      <c r="GA130" s="335"/>
      <c r="GB130" s="335"/>
      <c r="GG130" s="276" t="s">
        <v>955</v>
      </c>
      <c r="GH130" s="276" t="s">
        <v>955</v>
      </c>
      <c r="GI130" s="276" t="s">
        <v>955</v>
      </c>
      <c r="GJ130" s="276" t="s">
        <v>955</v>
      </c>
      <c r="GK130" s="276" t="s">
        <v>955</v>
      </c>
      <c r="GL130" s="276" t="s">
        <v>955</v>
      </c>
      <c r="GM130" s="276" t="s">
        <v>955</v>
      </c>
      <c r="GN130" s="276" t="s">
        <v>955</v>
      </c>
      <c r="GO130" s="276" t="s">
        <v>955</v>
      </c>
      <c r="GP130" s="276" t="s">
        <v>955</v>
      </c>
      <c r="GQ130" s="276" t="s">
        <v>955</v>
      </c>
      <c r="GR130" s="276" t="s">
        <v>955</v>
      </c>
      <c r="GS130" s="276" t="s">
        <v>955</v>
      </c>
      <c r="GT130" s="276" t="s">
        <v>955</v>
      </c>
      <c r="GU130" s="276" t="s">
        <v>955</v>
      </c>
      <c r="GV130" s="276" t="s">
        <v>955</v>
      </c>
    </row>
    <row r="131" spans="1:204" ht="12.75" customHeight="1" x14ac:dyDescent="0.2">
      <c r="A131" s="373"/>
      <c r="B131" s="382"/>
      <c r="BB131" s="387" t="s">
        <v>516</v>
      </c>
      <c r="BC131" s="362" t="s">
        <v>1166</v>
      </c>
      <c r="BD131" s="362" t="s">
        <v>886</v>
      </c>
      <c r="BE131" s="388">
        <v>0</v>
      </c>
      <c r="BF131" s="388">
        <v>0</v>
      </c>
      <c r="BG131" s="388">
        <v>0</v>
      </c>
      <c r="BH131" s="388">
        <v>0</v>
      </c>
      <c r="BI131" s="388">
        <v>0</v>
      </c>
      <c r="BJ131" s="388">
        <v>0</v>
      </c>
      <c r="BK131" s="389">
        <v>8</v>
      </c>
      <c r="BL131" s="312"/>
      <c r="BM131" s="350" t="str">
        <f t="shared" si="43"/>
        <v>Maïs ensilé</v>
      </c>
      <c r="BN131" s="351">
        <f t="array" ref="BN131">SUM((IF(QualitéAlimentsBisonneauxMâles_0_3_mois=BONNE,VLOOKUP("Maïs ensilé",AlimentsRationHivernaleBisonsMâles,8,FALSE),0)+(IF(QualitéAlimentsBisonneauxFemelles_0_3_mois=BONNE,VLOOKUP("Maïs ensilé",AlimentsRationHivernaleBisonsFemelles,8,FALSE),0)+(IF(QualitéAlimentsBisonneauxMâles_3_6_mois=BONNE,VLOOKUP("Maïs ensilé",AlimentsRationHivernaleBisonsMâles,7,FALSE),0)+(IF(QualitéAlimentsBisonneauxFemelles_3_6_mois=BONNE,VLOOKUP("Maïs ensilé",AlimentsRationHivernaleBisonsFemelles,7,FALSE),0)+(IF(QualitéAlimentsBisonneauxMâles_6_12_mois=BONNE,VLOOKUP("Maïs ensilé",AlimentsRationHivernaleBisonsMâles,6,FALSE),0)+(IF(QualitéAlimentsBisonneauxFemelles_6_12_mois=BONNE,VLOOKUP("Maïs ensilé",AlimentsRationHivernaleBisonsFemelles,6,FALSE),0)+(IF(QualitéAlimentsJeunesBisons_12_18_mois=BONNE,VLOOKUP("Maïs ensilé",AlimentsRationHivernaleBisonsMâles,5,FALSE),0)+(IF(QualitéAlimentsJeunesBisonnes_12_18_mois=BONNE,VLOOKUP("Maïs ensilé",AlimentsRationHivernaleBisonsFemelles,5,FALSE),0)+(IF(QualitéAlimentsJeunesBisons_18_24_mois=BONNE,VLOOKUP("Maïs ensilé",AlimentsRationHivernaleBisonsMâles,4,FALSE),0)+(IF(QualitéAlimentsJeunesBisonnes_18_24_mois=BONNE,VLOOKUP("Maïs ensilé",AlimentsRationHivernaleBisonsFemelles,4,FALSE),0)+(IF(QualitéAlimentsJeunesBisons_24_36_mois=BONNE,VLOOKUP("Maïs ensilé",AlimentsRationHivernaleBisonsMâles,3,FALSE),0)+(IF(QualitéAlimentsJeunesBisonnes_24_36_mois=BONNE,VLOOKUP("Maïs ensilé",AlimentsRationHivernaleBisonsFemelles,3,FALSE),0)+(IF(QualitéAlimentsBisons=BONNE,VLOOKUP("Maïs ensilé",AlimentsRationHivernaleBisonsMâles,2,FALSE),0)+(IF(QualitéAlimentsBisonnes=BONNE,VLOOKUP("Maïs ensilé",AlimentsRationHivernaleBisonsFemelles,2,FALSE),0))))))))))))))))</f>
        <v>0</v>
      </c>
      <c r="BO131" s="351">
        <f t="array" ref="BO131">SUM((IF(QualitéAlimentsBisonneauxMâles_0_3_mois=MOYENNE,VLOOKUP("Maïs ensilé",AlimentsRationHivernaleBisonsMâles,8,FALSE),0)+(IF(QualitéAlimentsBisonneauxFemelles_0_3_mois=MOYENNE,VLOOKUP("Maïs ensilé",AlimentsRationHivernaleBisonsFemelles,8,FALSE),0)+(IF(QualitéAlimentsBisonneauxMâles_3_6_mois=MOYENNE,VLOOKUP("Maïs ensilé",AlimentsRationHivernaleBisonsMâles,7,FALSE),0)+(IF(QualitéAlimentsBisonneauxFemelles_3_6_mois=MOYENNE,VLOOKUP("Maïs ensilé",AlimentsRationHivernaleBisonsFemelles,7,FALSE),0)+(IF(QualitéAlimentsBisonneauxMâles_6_12_mois=MOYENNE,VLOOKUP("Maïs ensilé",AlimentsRationHivernaleBisonsMâles,6,FALSE),0)+(IF(QualitéAlimentsBisonneauxFemelles_6_12_mois=MOYENNE,VLOOKUP("Maïs ensilé",AlimentsRationHivernaleBisonsFemelles,6,FALSE),0)+(IF(QualitéAlimentsJeunesBisons_12_18_mois=MOYENNE,VLOOKUP("Maïs ensilé",AlimentsRationHivernaleBisonsMâles,5,FALSE),0)+(IF(QualitéAlimentsJeunesBisonnes_12_18_mois=MOYENNE,VLOOKUP("Maïs ensilé",AlimentsRationHivernaleBisonsFemelles,5,FALSE),0)+(IF(QualitéAlimentsJeunesBisons_18_24_mois=MOYENNE,VLOOKUP("Maïs ensilé",AlimentsRationHivernaleBisonsMâles,4,FALSE),0)+(IF(QualitéAlimentsJeunesBisonnes_18_24_mois=MOYENNE,VLOOKUP("Maïs ensilé",AlimentsRationHivernaleBisonsFemelles,4,FALSE),0)+(IF(QualitéAlimentsJeunesBisons_24_36_mois=MOYENNE,VLOOKUP("Maïs ensilé",AlimentsRationHivernaleBisonsMâles,3,FALSE),0)+(IF(QualitéAlimentsJeunesBisonnes_24_36_mois=MOYENNE,VLOOKUP("Maïs ensilé",AlimentsRationHivernaleBisonsFemelles,3,FALSE),0)+(IF(QualitéAlimentsBisons=MOYENNE,VLOOKUP("Maïs ensilé",AlimentsRationHivernaleBisonsMâles,2,FALSE),0)+(IF(QualitéAlimentsBisonnes=MOYENNE,VLOOKUP("Maïs ensilé",AlimentsRationHivernaleBisonsFemelles,2,FALSE),0))))))))))))))))</f>
        <v>0</v>
      </c>
      <c r="BP131" s="351">
        <f t="array" ref="BP131">SUM((IF(QualitéAlimentsBisonneauxMâles_0_3_mois=MAUVAISE,VLOOKUP("Maïs ensilé",AlimentsRationHivernaleBisonsMâles,8,FALSE),0)+(IF(QualitéAlimentsBisonneauxFemelles_0_3_mois=MAUVAISE,VLOOKUP("Maïs ensilé",AlimentsRationHivernaleBisonsFemelles,8,FALSE),0)+(IF(QualitéAlimentsBisonneauxMâles_3_6_mois=MAUVAISE,VLOOKUP("Maïs ensilé",AlimentsRationHivernaleBisonsMâles,7,FALSE),0)+(IF(QualitéAlimentsBisonneauxFemelles_3_6_mois=MAUVAISE,VLOOKUP("Maïs ensilé",AlimentsRationHivernaleBisonsFemelles,7,FALSE),0)+(IF(QualitéAlimentsBisonneauxMâles_6_12_mois=MAUVAISE,VLOOKUP("Maïs ensilé",AlimentsRationHivernaleBisonsMâles,6,FALSE),0)+(IF(QualitéAlimentsBisonneauxFemelles_6_12_mois=MAUVAISE,VLOOKUP("Maïs ensilé",AlimentsRationHivernaleBisonsFemelles,6,FALSE),0)+(IF(QualitéAlimentsJeunesBisons_12_18_mois=MAUVAISE,VLOOKUP("Maïs ensilé",AlimentsRationHivernaleBisonsMâles,5,FALSE),0)+(IF(QualitéAlimentsJeunesBisonnes_12_18_mois=MAUVAISE,VLOOKUP("Maïs ensilé",AlimentsRationHivernaleBisonsFemelles,5,FALSE),0)+(IF(QualitéAlimentsJeunesBisons_18_24_mois=MAUVAISE,VLOOKUP("Maïs ensilé",AlimentsRationHivernaleBisonsMâles,4,FALSE),0)+(IF(QualitéAlimentsJeunesBisonnes_18_24_mois=MAUVAISE,VLOOKUP("Maïs ensilé",AlimentsRationHivernaleBisonsFemelles,4,FALSE),0)+(IF(QualitéAlimentsJeunesBisons_24_36_mois=MAUVAISE,VLOOKUP("Maïs ensilé",AlimentsRationHivernaleBisonsMâles,3,FALSE),0)+(IF(QualitéAlimentsJeunesBisonnes_24_36_mois=MAUVAISE,VLOOKUP("Maïs ensilé",AlimentsRationHivernaleBisonsFemelles,3,FALSE),0)+(IF(QualitéAlimentsBisons=MAUVAISE,VLOOKUP("Maïs ensilé",AlimentsRationHivernaleBisonsMâles,2,FALSE),0)+(IF(QualitéAlimentsBisonnes=MAUVAISE,VLOOKUP("Maïs ensilé",AlimentsRationHivernaleBisonsFemelles,2,FALSE),0))))))))))))))))</f>
        <v>0</v>
      </c>
      <c r="BQ131" s="282"/>
      <c r="BR131" s="282"/>
      <c r="BS131" s="282"/>
      <c r="BT131" s="282"/>
      <c r="BU131" s="282"/>
      <c r="BX131" s="350" t="s">
        <v>508</v>
      </c>
      <c r="BY131" s="350">
        <f t="array" ref="BY131">IF(ChoixRationComplèteCaprins=OUI,0,IFERROR(IF(OR(AND(INDEX(Règles_caprins[Specificite],MATCH(ChoixRationCaprins&amp;$BX131,Règles_caprins[Ration]&amp;Règles_caprins[Aliment],0))="s1",IF($BX131=Spécificité1Caprins,1)),
INDEX(Règles_caprins[Specificite],MATCH(ChoixRationCaprins&amp;$BX131,Règles_caprins[Ration]&amp;Règles_caprins[Aliment],0))="c"),
INDEX(Règles_caprins[Valeur 12 et plus],MATCH(ChoixRationCaprins&amp;$BX131,Règles_caprins[Ration]&amp;Règles_caprins[Aliment],0)),0),0)*TotalBoucs*NbreJoursNourrirCaprins)</f>
        <v>0</v>
      </c>
      <c r="BZ131" s="350">
        <f t="array" ref="BZ131">IF(ChoixRationComplèteCaprins=OUI,0,IFERROR(IF(OR(AND(INDEX(Règles_caprins[Specificite],MATCH(ChoixRationCaprins&amp;$BX131,Règles_caprins[Ration]&amp;Règles_caprins[Aliment],0))="s1",IF($BX131=Spécificité1Caprins,1)),
INDEX(Règles_caprins[Specificite],MATCH(ChoixRationCaprins&amp;$BX131,Règles_caprins[Ration]&amp;Règles_caprins[Aliment],0))="c"),
INDEX(Règles_caprins[Valeur 6-12],MATCH(ChoixRationCaprins&amp;$BX131,Règles_caprins[Ration]&amp;Règles_caprins[Aliment],0)),0),0)*jeune_bouc_6_12_mois*NbreJoursNourrirCaprins)</f>
        <v>0</v>
      </c>
      <c r="CA131" s="350">
        <f t="array" ref="CA131">IF(ChoixRationComplèteCaprins=OUI,0,IFERROR(IF(OR(AND(INDEX(Règles_caprins[Specificite],MATCH(ChoixRationCaprins&amp;$BX131,Règles_caprins[Ration]&amp;Règles_caprins[Aliment],0))="s1",IF($BX131=Spécificité1Caprins,1)),
INDEX(Règles_caprins[Specificite],MATCH(ChoixRationCaprins&amp;$BX131,Règles_caprins[Ration]&amp;Règles_caprins[Aliment],0))="c"),
INDEX(Règles_caprins[Valeur 3-6],MATCH(ChoixRationCaprins&amp;$BX131,Règles_caprins[Ration]&amp;Règles_caprins[Aliment],0)),0),0)*chevreau_3_6_mois*NbreJoursNourrirCaprins)</f>
        <v>0</v>
      </c>
      <c r="CB131" s="350">
        <f t="array" ref="CB131">IF(ChoixRationComplèteCaprins=OUI,0,IFERROR(IF(OR(AND(INDEX(Règles_caprins[Specificite],MATCH(ChoixRationCaprins&amp;$BX131,Règles_caprins[Ration]&amp;Règles_caprins[Aliment],0))="s1",IF($BX131=Spécificité1Caprins,1)),
INDEX(Règles_caprins[Specificite],MATCH(ChoixRationCaprins&amp;$BX131,Règles_caprins[Ration]&amp;Règles_caprins[Aliment],0))="c"),
INDEX(Règles_caprins[Valeur 0-3],MATCH(ChoixRationCaprins&amp;$BX131,Règles_caprins[Ration]&amp;Règles_caprins[Aliment],0)),0),0)*chevreau_0_3_mois*NbreJoursNourrirCaprins)</f>
        <v>0</v>
      </c>
      <c r="CC131" s="350">
        <f t="shared" si="41"/>
        <v>0</v>
      </c>
      <c r="CH131" s="276"/>
      <c r="CI131" s="277"/>
      <c r="CJ131" s="420" t="s">
        <v>566</v>
      </c>
      <c r="CK131" s="408">
        <f>CK18*TotalTruies*SUM(Z76:Z100)</f>
        <v>0</v>
      </c>
      <c r="CM131" s="420" t="s">
        <v>566</v>
      </c>
      <c r="CN131" s="408">
        <f>CN18*TotalTruies*SUM(Z76:Z100)</f>
        <v>0</v>
      </c>
      <c r="CO131" s="277"/>
      <c r="CP131" s="277"/>
      <c r="CS131" s="420" t="str">
        <f t="shared" si="36"/>
        <v>Triticale</v>
      </c>
      <c r="CT131" s="433">
        <f t="array" ref="CT131">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31" s="433">
        <f t="array" ref="CU131">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31" s="433">
        <f t="array" ref="CV131">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31" s="434">
        <f>SUM(AlimentsRationLapinsFemelles[[#This Row],[Valeur 3 et plus]:[Valeur 0-1]])</f>
        <v>0</v>
      </c>
      <c r="CZ131" s="420" t="str">
        <f t="shared" si="37"/>
        <v>Triticale</v>
      </c>
      <c r="DA131" s="433">
        <f t="array" ref="DA13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31" s="433">
        <f t="array" ref="DB13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31" s="433">
        <f t="array" ref="DC131">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31" s="434">
        <f>SUM(AlimentsRationVolaillesFemelles[[#This Row],[Valeur 6 et plus]:[Valeur 0-1]])</f>
        <v>0</v>
      </c>
      <c r="DG131" s="394" t="s">
        <v>910</v>
      </c>
      <c r="DH131" s="395" t="s">
        <v>929</v>
      </c>
      <c r="DI131" s="395" t="s">
        <v>930</v>
      </c>
      <c r="DJ131" s="395" t="s">
        <v>918</v>
      </c>
      <c r="DK131" s="396" t="s">
        <v>903</v>
      </c>
      <c r="DN131" s="373" t="s">
        <v>551</v>
      </c>
      <c r="DO131" s="280" t="s">
        <v>489</v>
      </c>
      <c r="DP131" s="280" t="s">
        <v>887</v>
      </c>
      <c r="DQ131" s="310">
        <v>1.6</v>
      </c>
      <c r="DR131" s="310">
        <v>1.4</v>
      </c>
      <c r="DS131" s="310">
        <v>1.2</v>
      </c>
      <c r="DT131" s="439">
        <v>1</v>
      </c>
      <c r="EG131" s="420">
        <f t="shared" si="30"/>
        <v>0</v>
      </c>
      <c r="EH131" s="433">
        <f t="array" ref="EH13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31" s="433">
        <f t="array" ref="EI13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31" s="433">
        <f t="array" ref="EJ131">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31" s="434">
        <f>SUM(AlimentsRationOiesFemelles[[#This Row],[Valeur 6 et plus]:[Valeur 0-3]])</f>
        <v>0</v>
      </c>
      <c r="EN131" s="443">
        <f t="shared" si="28"/>
        <v>0</v>
      </c>
      <c r="EO131" s="450">
        <f t="array" ref="EO131">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31" s="450">
        <f t="array" ref="EP131">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31" s="450">
        <f t="array" ref="EQ131">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31" s="451">
        <f>SUM(Ration_canards_Femelles[[#This Row],[Valeur 6 et plus]:[Valeur 0-3]])</f>
        <v>0</v>
      </c>
      <c r="EU131" s="457" t="str">
        <f t="shared" si="40"/>
        <v>Tournesol</v>
      </c>
      <c r="EV131" s="458">
        <f t="array" ref="EV131">IF(OR(ChoixRationComplèteEtéChevauxSelle=OUI,ChoixRationComplèteEtéChevauxSelle="",AND(ChoixChevauxSellePréHiver=OUI,ChoixChevauxSellePréEté=OUI)),0,IFERROR(IF(OR(AND(INDEX(Règles_chevaux_selle[Specificite],MATCH(RationEtéChevauxSelle&amp;$EU131,Règles_chevaux_selle[Ration]&amp;Règles_chevaux_selle[Aliment],0))="s1",IF($EU131=Spécificité1ChevauxSelle,1)),
AND(INDEX(Règles_chevaux_selle[Specificite],MATCH(RationEtéChevauxSelle&amp;$EU131,Règles_chevaux_selle[Ration]&amp;Règles_chevaux_selle[Aliment],0))="s2",IF($EU131=Spécificité2ChevauxSelle,1)),
INDEX(Règles_chevaux_selle[Specificite],MATCH(RationEtéChevauxSelle&amp;$EU131,Règles_chevaux_selle[Ration]&amp;Règles_chevaux_selle[Aliment],0))="c"),
INDEX(Règles_chevaux_selle[Valeur 36 et plus],MATCH(RationEtéChevauxSelle&amp;$EU131,Règles_chevaux_selle[Ration]&amp;Règles_chevaux_selle[Aliment],0)),0),0)*TotalJumentSelle*NbreJoursNourrirChevauxSelle)</f>
        <v>0</v>
      </c>
      <c r="EW131" s="458">
        <f t="array" ref="EW131">IF(OR(ChoixRationComplèteEtéChevauxSelle=OUI,ChoixRationComplèteEtéChevauxSelle="",AND(ChoixChevauxSellePréHiver=OUI,ChoixChevauxSellePréEté=OUI)),0,IFERROR(IF(OR(AND(INDEX(Règles_chevaux_selle[Specificite],MATCH(RationEtéChevauxSelle&amp;$EU131,Règles_chevaux_selle[Ration]&amp;Règles_chevaux_selle[Aliment],0))="s1",IF($EU131=Spécificité1ChevauxSelle,1)),
AND(INDEX(Règles_chevaux_selle[Specificite],MATCH(RationEtéChevauxSelle&amp;$EU131,Règles_chevaux_selle[Ration]&amp;Règles_chevaux_selle[Aliment],0))="s2",IF($EU131=Spécificité2ChevauxSelle,1)),
INDEX(Règles_chevaux_selle[Specificite],MATCH(RationEtéChevauxSelle&amp;$EU131,Règles_chevaux_selle[Ration]&amp;Règles_chevaux_selle[Aliment],0))="c"),
INDEX(Règles_chevaux_selle[Valeur 24-36],MATCH(RationEtéChevauxSelle&amp;$EU131,Règles_chevaux_selle[Ration]&amp;Règles_chevaux_selle[Aliment],0)),0),0)*TotalJeuneJumentSelle_24_36_mois*NbreJoursNourrirChevauxSelle)</f>
        <v>0</v>
      </c>
      <c r="EX131" s="458">
        <f t="array" ref="EX131">IF(OR(ChoixRationComplèteEtéChevauxSelle=OUI,ChoixRationComplèteEtéChevauxSelle="",AND(ChoixChevauxSellePréHiver=OUI,ChoixChevauxSellePréEté=OUI)),0,IFERROR(IF(OR(AND(INDEX(Règles_chevaux_selle[Specificite],MATCH(RationEtéChevauxSelle&amp;$EU131,Règles_chevaux_selle[Ration]&amp;Règles_chevaux_selle[Aliment],0))="s1",IF($EU131=Spécificité1ChevauxSelle,1)),
AND(INDEX(Règles_chevaux_selle[Specificite],MATCH(RationEtéChevauxSelle&amp;$EU131,Règles_chevaux_selle[Ration]&amp;Règles_chevaux_selle[Aliment],0))="s2",IF($EU131=Spécificité2ChevauxSelle,1)),
INDEX(Règles_chevaux_selle[Specificite],MATCH(RationEtéChevauxSelle&amp;$EU131,Règles_chevaux_selle[Ration]&amp;Règles_chevaux_selle[Aliment],0))="c"),
INDEX(Règles_chevaux_selle[Valeur 12-24],MATCH(RationEtéChevauxSelle&amp;$EU131,Règles_chevaux_selle[Ration]&amp;Règles_chevaux_selle[Aliment],0)),0),0)*TotalJeuneJumentSelle_12_24_mois_12_24_mois*NbreJoursNourrirChevauxSelle)</f>
        <v>0</v>
      </c>
      <c r="EY131" s="460">
        <f t="array" ref="EY131">IF(OR(ChoixRationComplèteEtéChevauxSelle=OUI,ChoixRationComplèteEtéChevauxSelle="",AND(ChoixChevauxSellePréHiver=OUI,ChoixChevauxSellePréEté=OUI)),0,IFERROR(IF(OR(AND(INDEX(Règles_chevaux_selle[Specificite],MATCH(RationEtéChevauxSelle&amp;$EU131,Règles_chevaux_selle[Ration]&amp;Règles_chevaux_selle[Aliment],0))="s1",IF($EU131=Spécificité1ChevauxSelle,1)),
AND(INDEX(Règles_chevaux_selle[Specificite],MATCH(RationEtéChevauxSelle&amp;$EU131,Règles_chevaux_selle[Ration]&amp;Règles_chevaux_selle[Aliment],0))="s2",IF($EU131=Spécificité2ChevauxSelle,1)),
INDEX(Règles_chevaux_selle[Specificite],MATCH(RationEtéChevauxSelle&amp;$EU131,Règles_chevaux_selle[Ration]&amp;Règles_chevaux_selle[Aliment],0))="c"),
INDEX(Règles_chevaux_selle[Valeur 0-12],MATCH(RationEtéChevauxSelle&amp;$EU131,Règles_chevaux_selle[Ration]&amp;Règles_chevaux_selle[Aliment],0)),0),0)*TotalPoulicheSelle_0_12_mois*NbreJoursNourrirChevauxSelle)</f>
        <v>0</v>
      </c>
      <c r="EZ131" s="460">
        <f t="shared" si="39"/>
        <v>0</v>
      </c>
      <c r="FD131" s="457">
        <f t="shared" si="33"/>
        <v>0</v>
      </c>
      <c r="FE131" s="458">
        <f t="array" ref="FE131">IF(OR(ChoixRationComplèteEtéChevauxTrait=OUI,ChoixRationComplèteEtéChevauxTrait="",AND(ChoixChevauxTraitPréHiver=OUI,ChoixChevauxTraitPréEté=OUI)),0,IFERROR(IF(OR(AND(INDEX(Règles_chevaux_trait[Specificite],MATCH(RationEtéChevauxTrait&amp;$FD131,Règles_chevaux_trait[Ration]&amp;Règles_chevaux_trait[Aliment],0))="s1",IF($FD131=Spécificité1ChevauxTrait,1)),
AND(INDEX(Règles_chevaux_trait[Specificite],MATCH(RationEtéChevauxTrait&amp;$FD131,Règles_chevaux_trait[Ration]&amp;Règles_chevaux_trait[Aliment],0))="s2",IF($FD131=Spécificité2ChevauxTrait,1)),
INDEX(Règles_chevaux_trait[Specificite],MATCH(RationEtéChevauxTrait&amp;$FD131,Règles_chevaux_trait[Ration]&amp;Règles_chevaux_trait[Aliment],0))="c"),
INDEX(Règles_chevaux_trait[Valeur 36 et plus],MATCH(RationEtéChevauxTrait&amp;$FD131,Règles_chevaux_trait[Ration]&amp;Règles_chevaux_trait[Aliment],0)),0),0)*TotalJumentTrait*NbreJoursNourrirChevauxTrait)</f>
        <v>0</v>
      </c>
      <c r="FF131" s="458">
        <f t="array" ref="FF131">IF(OR(ChoixRationComplèteEtéChevauxTrait=OUI,ChoixRationComplèteEtéChevauxTrait="",AND(ChoixChevauxTraitPréHiver=OUI,ChoixChevauxTraitPréEté=OUI)),0,IFERROR(IF(OR(AND(INDEX(Règles_chevaux_trait[Specificite],MATCH(RationEtéChevauxTrait&amp;$FD131,Règles_chevaux_trait[Ration]&amp;Règles_chevaux_trait[Aliment],0))="s1",IF($FD131=Spécificité1ChevauxTrait,1)),
AND(INDEX(Règles_chevaux_trait[Specificite],MATCH(RationEtéChevauxTrait&amp;$FD131,Règles_chevaux_trait[Ration]&amp;Règles_chevaux_trait[Aliment],0))="s2",IF($FD131=Spécificité2ChevauxTrait,1)),
INDEX(Règles_chevaux_trait[Specificite],MATCH(RationEtéChevauxTrait&amp;$FD131,Règles_chevaux_trait[Ration]&amp;Règles_chevaux_trait[Aliment],0))="c"),
INDEX(Règles_chevaux_trait[Valeur 24-36],MATCH(RationEtéChevauxTrait&amp;$FD131,Règles_chevaux_trait[Ration]&amp;Règles_chevaux_trait[Aliment],0)),0),0)*TotalJeuneJumentTrait_24_36_mois*NbreJoursNourrirChevauxTrait)</f>
        <v>0</v>
      </c>
      <c r="FG131" s="458">
        <f t="array" ref="FG131">IF(OR(ChoixRationComplèteEtéChevauxTrait=OUI,ChoixRationComplèteEtéChevauxTrait="",AND(ChoixChevauxTraitPréHiver=OUI,ChoixChevauxTraitPréEté=OUI)),0,IFERROR(IF(OR(AND(INDEX(Règles_chevaux_trait[Specificite],MATCH(RationEtéChevauxTrait&amp;$FD131,Règles_chevaux_trait[Ration]&amp;Règles_chevaux_trait[Aliment],0))="s1",IF($FD131=Spécificité1ChevauxTrait,1)),
AND(INDEX(Règles_chevaux_trait[Specificite],MATCH(RationEtéChevauxTrait&amp;$FD131,Règles_chevaux_trait[Ration]&amp;Règles_chevaux_trait[Aliment],0))="s2",IF($FD131=Spécificité2ChevauxTrait,1)),
INDEX(Règles_chevaux_trait[Specificite],MATCH(RationEtéChevauxTrait&amp;$FD131,Règles_chevaux_trait[Ration]&amp;Règles_chevaux_trait[Aliment],0))="c"),
INDEX(Règles_chevaux_trait[Valeur 12-24],MATCH(RationEtéChevauxTrait&amp;$FD131,Règles_chevaux_trait[Ration]&amp;Règles_chevaux_trait[Aliment],0)),0),0)*TotalJeuneJumentTrait_12_24_mois*NbreJoursNourrirChevauxTrait)</f>
        <v>0</v>
      </c>
      <c r="FH131" s="460">
        <f t="array" ref="FH131">IF(OR(ChoixRationComplèteEtéChevauxTrait=OUI,ChoixRationComplèteEtéChevauxTrait="",AND(ChoixChevauxTraitPréHiver=OUI,ChoixChevauxTraitPréEté=OUI)),0,IFERROR(IF(OR(AND(INDEX(Règles_chevaux_trait[Specificite],MATCH(RationEtéChevauxTrait&amp;$FD131,Règles_chevaux_trait[Ration]&amp;Règles_chevaux_trait[Aliment],0))="s1",IF($FD131=Spécificité1ChevauxTrait,1)),
AND(INDEX(Règles_chevaux_trait[Specificite],MATCH(RationEtéChevauxTrait&amp;$FD131,Règles_chevaux_trait[Ration]&amp;Règles_chevaux_trait[Aliment],0))="s2",IF($FD131=Spécificité2ChevauxTrait,1)),
INDEX(Règles_chevaux_trait[Specificite],MATCH(RationEtéChevauxTrait&amp;$FD131,Règles_chevaux_trait[Ration]&amp;Règles_chevaux_trait[Aliment],0))="c"),
INDEX(Règles_chevaux_trait[Valeur 0-12],MATCH(RationEtéChevauxTrait&amp;$FD131,Règles_chevaux_trait[Ration]&amp;Règles_chevaux_trait[Aliment],0)),0),0)*TotalPoulicheTrait_0_12_mois*NbreJoursNourrirChevauxTrait)</f>
        <v>0</v>
      </c>
      <c r="FI131" s="460">
        <f t="shared" si="31"/>
        <v>0</v>
      </c>
      <c r="FJ131" s="298"/>
      <c r="FN131" s="457">
        <f t="shared" si="32"/>
        <v>0</v>
      </c>
      <c r="FO131" s="458">
        <f t="array" ref="FO131">IF(OR(ChoixRationComplèteEtéPoneys=OUI,ChoixRationComplèteEtéPoneys="",AND(ChoixPoneysPréHiver=OUI,ChoixPoneysPréEté=OUI)),0,IFERROR(IF(OR(AND(INDEX(Règles_poneys[Specificite],MATCH(RationHivernaleAuPréPoneys&amp;$FN131,Règles_poneys[Ration]&amp;Règles_poneys[Aliment],0))="s1",IF($FN131=Spécificité1Poneys,1)),
AND(INDEX(Règles_poneys[Specificite],MATCH(RationHivernaleAuPréPoneys&amp;$FN131,Règles_poneys[Ration]&amp;Règles_poneys[Aliment],0))="s2",IF($FN131=Spécificité2Poneys,1)),
INDEX(Règles_poneys[Specificite],MATCH(RationHivernaleAuPréPoneys&amp;$FN131,Règles_poneys[Ration]&amp;Règles_poneys[Aliment],0))="c"),
INDEX(Règles_poneys[Valeur 36 et plus],MATCH(RationHivernaleAuPréPoneys&amp;$FN131,Règles_poneys[Ration]&amp;Règles_poneys[Aliment],0)),0),0)*SUM(TotalPoneysAdultes)*SUM(AG118:AG142))</f>
        <v>0</v>
      </c>
      <c r="FP131" s="458">
        <f t="array" ref="FP131">IF(OR(ChoixRationComplèteEtéPoneys=OUI,ChoixRationComplèteEtéPoneys="",AND(ChoixPoneysPréHiver=OUI,ChoixPoneysPréEté=OUI)),0,IFERROR(IF(OR(AND(INDEX(Règles_poneys[Specificite],MATCH(RationHivernaleAuPréPoneys&amp;$FN131,Règles_poneys[Ration]&amp;Règles_poneys[Aliment],0))="s1",IF($FN131=Spécificité1Poneys,1)),
AND(INDEX(Règles_poneys[Specificite],MATCH(RationHivernaleAuPréPoneys&amp;$FN131,Règles_poneys[Ration]&amp;Règles_poneys[Aliment],0))="s2",IF($FN131=Spécificité2Poneys,1)),
INDEX(Règles_poneys[Specificite],MATCH(RationHivernaleAuPréPoneys&amp;$FN131,Règles_poneys[Ration]&amp;Règles_poneys[Aliment],0))="c"),
INDEX(Règles_poneys[Valeur 24-36],MATCH(RationHivernaleAuPréPoneys&amp;$FN131,Règles_poneys[Ration]&amp;Règles_poneys[Aliment],0)),0),0)*SUM(TotalPoneys_24_36mois)*SUM(AG118:AG142))</f>
        <v>0</v>
      </c>
      <c r="FQ131" s="458">
        <f t="array" ref="FQ131">IF(OR(ChoixRationComplèteEtéPoneys=OUI,ChoixRationComplèteEtéPoneys="",AND(ChoixPoneysPréHiver=OUI,ChoixPoneysPréEté=OUI)),0,IFERROR(IF(OR(AND(INDEX(Règles_poneys[Specificite],MATCH(RationHivernaleAuPréPoneys&amp;$FN131,Règles_poneys[Ration]&amp;Règles_poneys[Aliment],0))="s1",IF($FN131=Spécificité1Poneys,1)),
AND(INDEX(Règles_poneys[Specificite],MATCH(RationHivernaleAuPréPoneys&amp;$FN131,Règles_poneys[Ration]&amp;Règles_poneys[Aliment],0))="s2",IF($FN131=Spécificité2Poneys,1)),
INDEX(Règles_poneys[Specificite],MATCH(RationHivernaleAuPréPoneys&amp;$FN131,Règles_poneys[Ration]&amp;Règles_poneys[Aliment],0))="c"),
INDEX(Règles_poneys[Valeur 12-24],MATCH(RationHivernaleAuPréPoneys&amp;$FN131,Règles_poneys[Ration]&amp;Règles_poneys[Aliment],0)),0),0)*SUM(TotalPoneys_12_24mois)*SUM(AG118:AG142))</f>
        <v>0</v>
      </c>
      <c r="FR131" s="460">
        <f t="array" ref="FR131">IF(OR(ChoixRationComplèteEtéPoneys=OUI,ChoixRationComplèteEtéPoneys="",AND(ChoixPoneysPréHiver=OUI,ChoixPoneysPréEté=OUI)),0,IFERROR(IF(OR(AND(INDEX(Règles_poneys[Specificite],MATCH(RationHivernaleAuPréPoneys&amp;$FN131,Règles_poneys[Ration]&amp;Règles_poneys[Aliment],0))="s1",IF($FN131=Spécificité1Poneys,1)),
AND(INDEX(Règles_poneys[Specificite],MATCH(RationHivernaleAuPréPoneys&amp;$FN131,Règles_poneys[Ration]&amp;Règles_poneys[Aliment],0))="s2",IF($FN131=Spécificité2Poneys,1)),
INDEX(Règles_poneys[Specificite],MATCH(RationHivernaleAuPréPoneys&amp;$FN131,Règles_poneys[Ration]&amp;Règles_poneys[Aliment],0))="c"),
INDEX(Règles_poneys[Valeur 0-12],MATCH(RationHivernaleAuPréPoneys&amp;$FN131,Règles_poneys[Ration]&amp;Règles_poneys[Aliment],0)),0),0)*SUM(TotalPoulainsPoneys)*SUM(AG118:AG142))</f>
        <v>0</v>
      </c>
      <c r="FS131" s="460">
        <f t="shared" si="29"/>
        <v>0</v>
      </c>
      <c r="FT131" s="298"/>
      <c r="FW131" s="394" t="s">
        <v>910</v>
      </c>
      <c r="FX131" s="461" t="s">
        <v>929</v>
      </c>
      <c r="FY131" s="395" t="s">
        <v>946</v>
      </c>
      <c r="FZ131" s="395" t="s">
        <v>945</v>
      </c>
      <c r="GA131" s="395" t="s">
        <v>918</v>
      </c>
      <c r="GB131" s="396" t="s">
        <v>903</v>
      </c>
      <c r="GG131" s="276" t="s">
        <v>955</v>
      </c>
      <c r="GH131" s="276" t="s">
        <v>955</v>
      </c>
      <c r="GI131" s="276" t="s">
        <v>955</v>
      </c>
      <c r="GJ131" s="276" t="s">
        <v>955</v>
      </c>
      <c r="GK131" s="276" t="s">
        <v>955</v>
      </c>
      <c r="GL131" s="276" t="s">
        <v>955</v>
      </c>
      <c r="GM131" s="276" t="s">
        <v>955</v>
      </c>
      <c r="GN131" s="276" t="s">
        <v>955</v>
      </c>
      <c r="GO131" s="276" t="s">
        <v>955</v>
      </c>
      <c r="GP131" s="276" t="s">
        <v>955</v>
      </c>
      <c r="GQ131" s="276" t="s">
        <v>955</v>
      </c>
      <c r="GR131" s="276" t="s">
        <v>955</v>
      </c>
      <c r="GS131" s="276" t="s">
        <v>955</v>
      </c>
      <c r="GT131" s="276" t="s">
        <v>955</v>
      </c>
      <c r="GU131" s="276" t="s">
        <v>955</v>
      </c>
      <c r="GV131" s="276" t="s">
        <v>955</v>
      </c>
    </row>
    <row r="132" spans="1:204" ht="12.75" customHeight="1" x14ac:dyDescent="0.2">
      <c r="A132" s="373"/>
      <c r="B132" s="382"/>
      <c r="BB132" s="387" t="s">
        <v>516</v>
      </c>
      <c r="BC132" s="362" t="s">
        <v>518</v>
      </c>
      <c r="BD132" s="362" t="s">
        <v>886</v>
      </c>
      <c r="BE132" s="388">
        <v>200</v>
      </c>
      <c r="BF132" s="388">
        <v>100</v>
      </c>
      <c r="BG132" s="388">
        <v>80</v>
      </c>
      <c r="BH132" s="388">
        <v>60</v>
      </c>
      <c r="BI132" s="388">
        <v>40</v>
      </c>
      <c r="BJ132" s="388">
        <v>28</v>
      </c>
      <c r="BK132" s="389">
        <v>12</v>
      </c>
      <c r="BL132" s="312"/>
      <c r="BM132" s="350" t="str">
        <f t="shared" si="43"/>
        <v>Maïs grain</v>
      </c>
      <c r="BN132" s="351">
        <f t="array" ref="BN132">SUM((IF(QualitéAlimentsBisonneauxMâles_0_3_mois=BONNE,VLOOKUP("Maïs grain",AlimentsRationHivernaleBisonsMâles,8,FALSE),0)+(IF(QualitéAlimentsBisonneauxFemelles_0_3_mois=BONNE,VLOOKUP("Maïs grain",AlimentsRationHivernaleBisonsFemelles,8,FALSE),0)+(IF(QualitéAlimentsBisonneauxMâles_3_6_mois=BONNE,VLOOKUP("Maïs grain",AlimentsRationHivernaleBisonsMâles,7,FALSE),0)+(IF(QualitéAlimentsBisonneauxFemelles_3_6_mois=BONNE,VLOOKUP("Maïs grain",AlimentsRationHivernaleBisonsFemelles,7,FALSE),0)+(IF(QualitéAlimentsBisonneauxMâles_6_12_mois=BONNE,VLOOKUP("Maïs grain",AlimentsRationHivernaleBisonsMâles,6,FALSE),0)+(IF(QualitéAlimentsBisonneauxFemelles_6_12_mois=BONNE,VLOOKUP("Maïs grain",AlimentsRationHivernaleBisonsFemelles,6,FALSE),0)+(IF(QualitéAlimentsJeunesBisons_12_18_mois=BONNE,VLOOKUP("Maïs grain",AlimentsRationHivernaleBisonsMâles,5,FALSE),0)+(IF(QualitéAlimentsJeunesBisonnes_12_18_mois=BONNE,VLOOKUP("Maïs grain",AlimentsRationHivernaleBisonsFemelles,5,FALSE),0)+(IF(QualitéAlimentsJeunesBisons_18_24_mois=BONNE,VLOOKUP("Maïs grain",AlimentsRationHivernaleBisonsMâles,4,FALSE),0)+(IF(QualitéAlimentsJeunesBisonnes_18_24_mois=BONNE,VLOOKUP("Maïs grain",AlimentsRationHivernaleBisonsFemelles,4,FALSE),0)+(IF(QualitéAlimentsJeunesBisons_24_36_mois=BONNE,VLOOKUP("Maïs grain",AlimentsRationHivernaleBisonsMâles,3,FALSE),0)+(IF(QualitéAlimentsJeunesBisonnes_24_36_mois=BONNE,VLOOKUP("Maïs grain",AlimentsRationHivernaleBisonsFemelles,3,FALSE),0)+(IF(QualitéAlimentsBisons=BONNE,VLOOKUP("Maïs grain",AlimentsRationHivernaleBisonsMâles,2,FALSE),0)+(IF(QualitéAlimentsBisonnes=BONNE,VLOOKUP("Maïs grain",AlimentsRationHivernaleBisonsFemelles,2,FALSE),0))))))))))))))))</f>
        <v>0</v>
      </c>
      <c r="BO132" s="351">
        <f t="array" ref="BO132">SUM((IF(QualitéAlimentsBisonneauxMâles_0_3_mois=MOYENNE,VLOOKUP("Maïs grain",AlimentsRationHivernaleBisonsMâles,8,FALSE),0)+(IF(QualitéAlimentsBisonneauxFemelles_0_3_mois=MOYENNE,VLOOKUP("Maïs grain",AlimentsRationHivernaleBisonsFemelles,8,FALSE),0)+(IF(QualitéAlimentsBisonneauxMâles_3_6_mois=MOYENNE,VLOOKUP("Maïs grain",AlimentsRationHivernaleBisonsMâles,7,FALSE),0)+(IF(QualitéAlimentsBisonneauxFemelles_3_6_mois=MOYENNE,VLOOKUP("Maïs grain",AlimentsRationHivernaleBisonsFemelles,7,FALSE),0)+(IF(QualitéAlimentsBisonneauxMâles_6_12_mois=MOYENNE,VLOOKUP("Maïs grain",AlimentsRationHivernaleBisonsMâles,6,FALSE),0)+(IF(QualitéAlimentsBisonneauxFemelles_6_12_mois=MOYENNE,VLOOKUP("Maïs grain",AlimentsRationHivernaleBisonsFemelles,6,FALSE),0)+(IF(QualitéAlimentsJeunesBisons_12_18_mois=MOYENNE,VLOOKUP("Maïs grain",AlimentsRationHivernaleBisonsMâles,5,FALSE),0)+(IF(QualitéAlimentsJeunesBisonnes_12_18_mois=MOYENNE,VLOOKUP("Maïs grain",AlimentsRationHivernaleBisonsFemelles,5,FALSE),0)+(IF(QualitéAlimentsJeunesBisons_18_24_mois=MOYENNE,VLOOKUP("Maïs grain",AlimentsRationHivernaleBisonsMâles,4,FALSE),0)+(IF(QualitéAlimentsJeunesBisonnes_18_24_mois=MOYENNE,VLOOKUP("Maïs grain",AlimentsRationHivernaleBisonsFemelles,4,FALSE),0)+(IF(QualitéAlimentsJeunesBisons_24_36_mois=MOYENNE,VLOOKUP("Maïs grain",AlimentsRationHivernaleBisonsMâles,3,FALSE),0)+(IF(QualitéAlimentsJeunesBisonnes_24_36_mois=MOYENNE,VLOOKUP("Maïs grain",AlimentsRationHivernaleBisonsFemelles,3,FALSE),0)+(IF(QualitéAlimentsBisons=MOYENNE,VLOOKUP("Maïs grain",AlimentsRationHivernaleBisonsMâles,2,FALSE),0)+(IF(QualitéAlimentsBisonnes=MOYENNE,VLOOKUP("Maïs grain",AlimentsRationHivernaleBisonsFemelles,2,FALSE),0))))))))))))))))</f>
        <v>0</v>
      </c>
      <c r="BP132" s="351">
        <f t="array" ref="BP132">SUM((IF(QualitéAlimentsBisonneauxMâles_0_3_mois=MAUVAISE,VLOOKUP("Maïs grain",AlimentsRationHivernaleBisonsMâles,8,FALSE),0)+(IF(QualitéAlimentsBisonneauxFemelles_0_3_mois=MAUVAISE,VLOOKUP("Maïs grain",AlimentsRationHivernaleBisonsFemelles,8,FALSE),0)+(IF(QualitéAlimentsBisonneauxMâles_3_6_mois=MAUVAISE,VLOOKUP("Maïs grain",AlimentsRationHivernaleBisonsMâles,7,FALSE),0)+(IF(QualitéAlimentsBisonneauxFemelles_3_6_mois=MAUVAISE,VLOOKUP("Maïs grain",AlimentsRationHivernaleBisonsFemelles,7,FALSE),0)+(IF(QualitéAlimentsBisonneauxMâles_6_12_mois=MAUVAISE,VLOOKUP("Maïs grain",AlimentsRationHivernaleBisonsMâles,6,FALSE),0)+(IF(QualitéAlimentsBisonneauxFemelles_6_12_mois=MAUVAISE,VLOOKUP("Maïs grain",AlimentsRationHivernaleBisonsFemelles,6,FALSE),0)+(IF(QualitéAlimentsJeunesBisons_12_18_mois=MAUVAISE,VLOOKUP("Maïs grain",AlimentsRationHivernaleBisonsMâles,5,FALSE),0)+(IF(QualitéAlimentsJeunesBisonnes_12_18_mois=MAUVAISE,VLOOKUP("Maïs grain",AlimentsRationHivernaleBisonsFemelles,5,FALSE),0)+(IF(QualitéAlimentsJeunesBisons_18_24_mois=MAUVAISE,VLOOKUP("Maïs grain",AlimentsRationHivernaleBisonsMâles,4,FALSE),0)+(IF(QualitéAlimentsJeunesBisonnes_18_24_mois=MAUVAISE,VLOOKUP("Maïs grain",AlimentsRationHivernaleBisonsFemelles,4,FALSE),0)+(IF(QualitéAlimentsJeunesBisons_24_36_mois=MAUVAISE,VLOOKUP("Maïs grain",AlimentsRationHivernaleBisonsMâles,3,FALSE),0)+(IF(QualitéAlimentsJeunesBisonnes_24_36_mois=MAUVAISE,VLOOKUP("Maïs grain",AlimentsRationHivernaleBisonsFemelles,3,FALSE),0)+(IF(QualitéAlimentsBisons=MAUVAISE,VLOOKUP("Maïs grain",AlimentsRationHivernaleBisonsMâles,2,FALSE),0)+(IF(QualitéAlimentsBisonnes=MAUVAISE,VLOOKUP("Maïs grain",AlimentsRationHivernaleBisonsFemelles,2,FALSE),0))))))))))))))))</f>
        <v>0</v>
      </c>
      <c r="BQ132" s="282"/>
      <c r="BR132" s="282"/>
      <c r="BS132" s="282"/>
      <c r="BT132" s="282"/>
      <c r="BU132" s="282"/>
      <c r="BX132" s="350" t="s">
        <v>378</v>
      </c>
      <c r="BY132" s="350">
        <f t="array" ref="BY132">IF(ChoixRationComplèteCaprins=OUI,0,IFERROR(IF(OR(AND(INDEX(Règles_caprins[Specificite],MATCH(ChoixRationCaprins&amp;$BX132,Règles_caprins[Ration]&amp;Règles_caprins[Aliment],0))="s1",IF($BX132=Spécificité1Caprins,1)),
INDEX(Règles_caprins[Specificite],MATCH(ChoixRationCaprins&amp;$BX132,Règles_caprins[Ration]&amp;Règles_caprins[Aliment],0))="c"),
INDEX(Règles_caprins[Valeur 12 et plus],MATCH(ChoixRationCaprins&amp;$BX132,Règles_caprins[Ration]&amp;Règles_caprins[Aliment],0)),0),0)*TotalBoucs*NbreJoursNourrirCaprins)</f>
        <v>0</v>
      </c>
      <c r="BZ132" s="350">
        <f t="array" ref="BZ132">IF(ChoixRationComplèteCaprins=OUI,0,IFERROR(IF(OR(AND(INDEX(Règles_caprins[Specificite],MATCH(ChoixRationCaprins&amp;$BX132,Règles_caprins[Ration]&amp;Règles_caprins[Aliment],0))="s1",IF($BX132=Spécificité1Caprins,1)),
INDEX(Règles_caprins[Specificite],MATCH(ChoixRationCaprins&amp;$BX132,Règles_caprins[Ration]&amp;Règles_caprins[Aliment],0))="c"),
INDEX(Règles_caprins[Valeur 6-12],MATCH(ChoixRationCaprins&amp;$BX132,Règles_caprins[Ration]&amp;Règles_caprins[Aliment],0)),0),0)*jeune_bouc_6_12_mois*NbreJoursNourrirCaprins)</f>
        <v>0</v>
      </c>
      <c r="CA132" s="350">
        <f t="array" ref="CA132">IF(ChoixRationComplèteCaprins=OUI,0,IFERROR(IF(OR(AND(INDEX(Règles_caprins[Specificite],MATCH(ChoixRationCaprins&amp;$BX132,Règles_caprins[Ration]&amp;Règles_caprins[Aliment],0))="s1",IF($BX132=Spécificité1Caprins,1)),
INDEX(Règles_caprins[Specificite],MATCH(ChoixRationCaprins&amp;$BX132,Règles_caprins[Ration]&amp;Règles_caprins[Aliment],0))="c"),
INDEX(Règles_caprins[Valeur 3-6],MATCH(ChoixRationCaprins&amp;$BX132,Règles_caprins[Ration]&amp;Règles_caprins[Aliment],0)),0),0)*chevreau_3_6_mois*NbreJoursNourrirCaprins)</f>
        <v>0</v>
      </c>
      <c r="CB132" s="350">
        <f t="array" ref="CB132">IF(ChoixRationComplèteCaprins=OUI,0,IFERROR(IF(OR(AND(INDEX(Règles_caprins[Specificite],MATCH(ChoixRationCaprins&amp;$BX132,Règles_caprins[Ration]&amp;Règles_caprins[Aliment],0))="s1",IF($BX132=Spécificité1Caprins,1)),
INDEX(Règles_caprins[Specificite],MATCH(ChoixRationCaprins&amp;$BX132,Règles_caprins[Ration]&amp;Règles_caprins[Aliment],0))="c"),
INDEX(Règles_caprins[Valeur 0-3],MATCH(ChoixRationCaprins&amp;$BX132,Règles_caprins[Ration]&amp;Règles_caprins[Aliment],0)),0),0)*chevreau_0_3_mois*NbreJoursNourrirCaprins)</f>
        <v>0</v>
      </c>
      <c r="CC132" s="350">
        <f t="shared" si="41"/>
        <v>0</v>
      </c>
      <c r="CH132" s="276"/>
      <c r="CI132" s="277"/>
      <c r="CJ132" s="420" t="s">
        <v>567</v>
      </c>
      <c r="CK132" s="408">
        <f>CK19*SUM(TotalJeunesPorcins)*SUM(Z76:Z100)</f>
        <v>0</v>
      </c>
      <c r="CM132" s="420" t="s">
        <v>567</v>
      </c>
      <c r="CN132" s="408">
        <f>CN19*SUM(TotalJeunesPorcins)*SUM(Z76:Z100)</f>
        <v>0</v>
      </c>
      <c r="CO132" s="277"/>
      <c r="CP132" s="277"/>
      <c r="CS132" s="420">
        <f t="shared" si="36"/>
        <v>0</v>
      </c>
      <c r="CT132" s="433">
        <f t="array" ref="CT132">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32" s="433">
        <f t="array" ref="CU132">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32" s="433">
        <f t="array" ref="CV132">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32" s="434">
        <f>SUM(AlimentsRationLapinsFemelles[[#This Row],[Valeur 3 et plus]:[Valeur 0-1]])</f>
        <v>0</v>
      </c>
      <c r="CZ132" s="420">
        <f t="shared" si="37"/>
        <v>0</v>
      </c>
      <c r="DA132" s="433">
        <f t="array" ref="DA13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32" s="433">
        <f t="array" ref="DB13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32" s="433">
        <f t="array" ref="DC132">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32" s="434">
        <f>SUM(AlimentsRationVolaillesFemelles[[#This Row],[Valeur 6 et plus]:[Valeur 0-1]])</f>
        <v>0</v>
      </c>
      <c r="DG132" s="397" t="s">
        <v>508</v>
      </c>
      <c r="DH132" s="398">
        <f t="array" ref="DH132">IF(ChoixRationComplètePintades=NON,0,IFERROR(IF(OR(AND(INDEX(Règles_pintades[Specificite],MATCH(ChoixRationPintades&amp;Ration_complète_pintades[aliment],Règles_pintades[Ration]&amp;Règles_pintades[Aliment],0))="s1",IF(Ration_complète_pintades[aliment]=Spécificité1Pintades,1)),
AND(INDEX(Règles_pintades[Specificite],MATCH(ChoixRationPintades&amp;Ration_complète_pintades[aliment],Règles_pintades[Ration]&amp;Règles_pintades[Aliment],0))="s2",IF(Ration_complète_pintades[aliment]=Spécificité2Pintades,1)),
INDEX(Règles_pintades[Specificite],MATCH(ChoixRationPintades&amp;Ration_complète_pintades[aliment],Règles_pintades[Ration]&amp;Règles_pintades[Aliment],0))="c",INDEX(Règles_pintades[Specificite],MATCH(ChoixRationPintades&amp;Ration_complète_pintades[aliment],Règles_pintades[Ration]&amp;Règles_pintades[Aliment],0))="complet"),
INDEX(Règles_pintades[Valeur 6 et plus],MATCH(ChoixRationPintades&amp;Ration_complète_pintades[aliment],Règles_pintades[Ration]&amp;Règles_pintades[Aliment],0)),0),0)*SUM(TotalPintadesAdultes)*SUM(Z76:Z100))</f>
        <v>0</v>
      </c>
      <c r="DI132" s="398">
        <f t="array" ref="DI132">IF(ChoixRationComplètePintades=NON,0,IFERROR(IF(OR(AND(INDEX(Règles_pintades[Specificite],MATCH(ChoixRationPintades&amp;Ration_complète_pintades[aliment],Règles_pintades[Ration]&amp;Règles_pintades[Aliment],0))="s1",IF(Ration_complète_pintades[aliment]=Spécificité1Pintades,1)),
AND(INDEX(Règles_pintades[Specificite],MATCH(ChoixRationPintades&amp;Ration_complète_pintades[aliment],Règles_pintades[Ration]&amp;Règles_pintades[Aliment],0))="s2",IF(Ration_complète_pintades[aliment]=Spécificité2Pintades,1)),
INDEX(Règles_pintades[Specificite],MATCH(ChoixRationPintades&amp;Ration_complète_pintades[aliment],Règles_pintades[Ration]&amp;Règles_pintades[Aliment],0))="c",INDEX(Règles_pintades[Specificite],MATCH(ChoixRationPintades&amp;Ration_complète_pintades[aliment],Règles_pintades[Ration]&amp;Règles_pintades[Aliment],0))="complet"),
INDEX(Règles_pintades[Valeur 1-6],MATCH(ChoixRationPintades&amp;Ration_complète_pintades[aliment],Règles_pintades[Ration]&amp;Règles_pintades[Aliment],0)),0),0)*SUM(TotalPintadesAdultes)*SUM(Z76:Z100))</f>
        <v>0</v>
      </c>
      <c r="DJ132" s="398">
        <f t="array" ref="DJ132">IF(ChoixRationComplètePintades=NON,0,IFERROR(IF(OR(AND(INDEX(Règles_pintades[Specificite],MATCH(ChoixRationPintades&amp;Ration_complète_pintades[aliment],Règles_pintades[Ration]&amp;Règles_pintades[Aliment],0))="s1",IF(Ration_complète_pintades[aliment]=Spécificité1Pintades,1)),
AND(INDEX(Règles_pintades[Specificite],MATCH(ChoixRationPintades&amp;Ration_complète_pintades[aliment],Règles_pintades[Ration]&amp;Règles_pintades[Aliment],0))="s2",IF(Ration_complète_pintades[aliment]=Spécificité2Pintades,1)),
INDEX(Règles_pintades[Specificite],MATCH(ChoixRationPintades&amp;Ration_complète_pintades[aliment],Règles_pintades[Ration]&amp;Règles_pintades[Aliment],0))="c",INDEX(Règles_pintades[Specificite],MATCH(ChoixRationPintades&amp;Ration_complète_pintades[aliment],Règles_pintades[Ration]&amp;Règles_pintades[Aliment],0))="complet"),
INDEX(Règles_pintades[Valeur 0-1],MATCH(ChoixRationPintades&amp;Ration_complète_pintades[aliment],Règles_pintades[Ration]&amp;Règles_pintades[Aliment],0)),0),0)*SUM(TotalPintadesAdultes)*SUM(Z76:Z100))</f>
        <v>0</v>
      </c>
      <c r="DK132" s="436">
        <f>SUM(Ration_complète_pintades[[Valeur 6 et plus]:[Valeur 0-1]])</f>
        <v>0</v>
      </c>
      <c r="DN132" s="373" t="s">
        <v>551</v>
      </c>
      <c r="DO132" s="280" t="s">
        <v>220</v>
      </c>
      <c r="DP132" s="280" t="s">
        <v>887</v>
      </c>
      <c r="DQ132" s="310">
        <v>1.6</v>
      </c>
      <c r="DR132" s="310">
        <v>1.4</v>
      </c>
      <c r="DS132" s="310">
        <v>1.2</v>
      </c>
      <c r="DT132" s="439">
        <v>1</v>
      </c>
      <c r="EG132" s="420">
        <f t="shared" si="30"/>
        <v>0</v>
      </c>
      <c r="EH132" s="433">
        <f t="array" ref="EH13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32" s="433">
        <f t="array" ref="EI13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32" s="433">
        <f t="array" ref="EJ132">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32" s="434">
        <f>SUM(AlimentsRationOiesFemelles[[#This Row],[Valeur 6 et plus]:[Valeur 0-3]])</f>
        <v>0</v>
      </c>
      <c r="EN132" s="421">
        <f t="shared" si="28"/>
        <v>0</v>
      </c>
      <c r="EO132" s="452">
        <f t="array" ref="EO132">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6 et plus],MATCH(ChoixRationCanards&amp;Ration_canards_Femelles[[#This Row],[aliment]],Règles_canards[Ration]&amp;Règles_canards[Aliment],0)),0),0)*TotalCanes*NbreJoursNourrirAutres)</f>
        <v>0</v>
      </c>
      <c r="EP132" s="452">
        <f t="array" ref="EP132">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3-6],MATCH(ChoixRationCanards&amp;Ration_canards_Femelles[[#This Row],[aliment]],Règles_canards[Ration]&amp;Règles_canards[Aliment],0)),0),0)*jeune_cane_3_6_mois*NbreJoursNourrirAutres)</f>
        <v>0</v>
      </c>
      <c r="EQ132" s="452">
        <f t="array" ref="EQ132">IF(ChoixRationComplèteCanards=OUI,0,IFERROR(IF(OR(AND(INDEX(Règles_canards[Specificite],MATCH(ChoixRationCanards&amp;Ration_canards_Femelles[[#This Row],[aliment]],Règles_canards[Ration]&amp;Règles_canards[Aliment],0))="s1",IF(Ration_canards_Femelles[[#This Row],[aliment]]=Spécificité1Canards,1)),
AND(INDEX(Règles_canards[Specificite],MATCH(ChoixRationCanards&amp;Ration_canards_Femelles[[#This Row],[aliment]],Règles_canards[Ration]&amp;Règles_canards[Aliment],0))="s2",IF(Ration_canards_Femelles[[#This Row],[aliment]]=Spécificité2Canards,1)),
INDEX(Règles_canards[Specificite],MATCH(ChoixRationCanards&amp;Ration_canards_Femelles[[#This Row],[aliment]],Règles_canards[Ration]&amp;Règles_canards[Aliment],0))="c"),
INDEX(Règles_canards[Valeur 0-3],MATCH(ChoixRationCanards&amp;Ration_canards_Femelles[[#This Row],[aliment]],Règles_canards[Ration]&amp;Règles_canards[Aliment],0)),0),0)*caneton_femelle_0_3_mois*NbreJoursNourrirAutres)</f>
        <v>0</v>
      </c>
      <c r="ER132" s="453">
        <f>SUM(Ration_canards_Femelles[[#This Row],[Valeur 6 et plus]:[Valeur 0-3]])</f>
        <v>0</v>
      </c>
      <c r="EU132" s="457" t="str">
        <f t="shared" si="40"/>
        <v>Tourteau de colza</v>
      </c>
      <c r="EV132" s="458">
        <f t="array" ref="EV132">IF(OR(ChoixRationComplèteEtéChevauxSelle=OUI,ChoixRationComplèteEtéChevauxSelle="",AND(ChoixChevauxSellePréHiver=OUI,ChoixChevauxSellePréEté=OUI)),0,IFERROR(IF(OR(AND(INDEX(Règles_chevaux_selle[Specificite],MATCH(RationEtéChevauxSelle&amp;$EU132,Règles_chevaux_selle[Ration]&amp;Règles_chevaux_selle[Aliment],0))="s1",IF($EU132=Spécificité1ChevauxSelle,1)),
AND(INDEX(Règles_chevaux_selle[Specificite],MATCH(RationEtéChevauxSelle&amp;$EU132,Règles_chevaux_selle[Ration]&amp;Règles_chevaux_selle[Aliment],0))="s2",IF($EU132=Spécificité2ChevauxSelle,1)),
INDEX(Règles_chevaux_selle[Specificite],MATCH(RationEtéChevauxSelle&amp;$EU132,Règles_chevaux_selle[Ration]&amp;Règles_chevaux_selle[Aliment],0))="c"),
INDEX(Règles_chevaux_selle[Valeur 36 et plus],MATCH(RationEtéChevauxSelle&amp;$EU132,Règles_chevaux_selle[Ration]&amp;Règles_chevaux_selle[Aliment],0)),0),0)*TotalJumentSelle*NbreJoursNourrirChevauxSelle)</f>
        <v>0</v>
      </c>
      <c r="EW132" s="458">
        <f t="array" ref="EW132">IF(OR(ChoixRationComplèteEtéChevauxSelle=OUI,ChoixRationComplèteEtéChevauxSelle="",AND(ChoixChevauxSellePréHiver=OUI,ChoixChevauxSellePréEté=OUI)),0,IFERROR(IF(OR(AND(INDEX(Règles_chevaux_selle[Specificite],MATCH(RationEtéChevauxSelle&amp;$EU132,Règles_chevaux_selle[Ration]&amp;Règles_chevaux_selle[Aliment],0))="s1",IF($EU132=Spécificité1ChevauxSelle,1)),
AND(INDEX(Règles_chevaux_selle[Specificite],MATCH(RationEtéChevauxSelle&amp;$EU132,Règles_chevaux_selle[Ration]&amp;Règles_chevaux_selle[Aliment],0))="s2",IF($EU132=Spécificité2ChevauxSelle,1)),
INDEX(Règles_chevaux_selle[Specificite],MATCH(RationEtéChevauxSelle&amp;$EU132,Règles_chevaux_selle[Ration]&amp;Règles_chevaux_selle[Aliment],0))="c"),
INDEX(Règles_chevaux_selle[Valeur 24-36],MATCH(RationEtéChevauxSelle&amp;$EU132,Règles_chevaux_selle[Ration]&amp;Règles_chevaux_selle[Aliment],0)),0),0)*TotalJeuneJumentSelle_24_36_mois*NbreJoursNourrirChevauxSelle)</f>
        <v>0</v>
      </c>
      <c r="EX132" s="458">
        <f t="array" ref="EX132">IF(OR(ChoixRationComplèteEtéChevauxSelle=OUI,ChoixRationComplèteEtéChevauxSelle="",AND(ChoixChevauxSellePréHiver=OUI,ChoixChevauxSellePréEté=OUI)),0,IFERROR(IF(OR(AND(INDEX(Règles_chevaux_selle[Specificite],MATCH(RationEtéChevauxSelle&amp;$EU132,Règles_chevaux_selle[Ration]&amp;Règles_chevaux_selle[Aliment],0))="s1",IF($EU132=Spécificité1ChevauxSelle,1)),
AND(INDEX(Règles_chevaux_selle[Specificite],MATCH(RationEtéChevauxSelle&amp;$EU132,Règles_chevaux_selle[Ration]&amp;Règles_chevaux_selle[Aliment],0))="s2",IF($EU132=Spécificité2ChevauxSelle,1)),
INDEX(Règles_chevaux_selle[Specificite],MATCH(RationEtéChevauxSelle&amp;$EU132,Règles_chevaux_selle[Ration]&amp;Règles_chevaux_selle[Aliment],0))="c"),
INDEX(Règles_chevaux_selle[Valeur 12-24],MATCH(RationEtéChevauxSelle&amp;$EU132,Règles_chevaux_selle[Ration]&amp;Règles_chevaux_selle[Aliment],0)),0),0)*TotalJeuneJumentSelle_12_24_mois_12_24_mois*NbreJoursNourrirChevauxSelle)</f>
        <v>0</v>
      </c>
      <c r="EY132" s="460">
        <f t="array" ref="EY132">IF(OR(ChoixRationComplèteEtéChevauxSelle=OUI,ChoixRationComplèteEtéChevauxSelle="",AND(ChoixChevauxSellePréHiver=OUI,ChoixChevauxSellePréEté=OUI)),0,IFERROR(IF(OR(AND(INDEX(Règles_chevaux_selle[Specificite],MATCH(RationEtéChevauxSelle&amp;$EU132,Règles_chevaux_selle[Ration]&amp;Règles_chevaux_selle[Aliment],0))="s1",IF($EU132=Spécificité1ChevauxSelle,1)),
AND(INDEX(Règles_chevaux_selle[Specificite],MATCH(RationEtéChevauxSelle&amp;$EU132,Règles_chevaux_selle[Ration]&amp;Règles_chevaux_selle[Aliment],0))="s2",IF($EU132=Spécificité2ChevauxSelle,1)),
INDEX(Règles_chevaux_selle[Specificite],MATCH(RationEtéChevauxSelle&amp;$EU132,Règles_chevaux_selle[Ration]&amp;Règles_chevaux_selle[Aliment],0))="c"),
INDEX(Règles_chevaux_selle[Valeur 0-12],MATCH(RationEtéChevauxSelle&amp;$EU132,Règles_chevaux_selle[Ration]&amp;Règles_chevaux_selle[Aliment],0)),0),0)*TotalPoulicheSelle_0_12_mois*NbreJoursNourrirChevauxSelle)</f>
        <v>0</v>
      </c>
      <c r="EZ132" s="460">
        <f t="shared" si="39"/>
        <v>0</v>
      </c>
      <c r="FD132" s="457">
        <f t="shared" si="33"/>
        <v>0</v>
      </c>
      <c r="FE132" s="458">
        <f t="array" ref="FE132">IF(OR(ChoixRationComplèteEtéChevauxTrait=OUI,ChoixRationComplèteEtéChevauxTrait="",AND(ChoixChevauxTraitPréHiver=OUI,ChoixChevauxTraitPréEté=OUI)),0,IFERROR(IF(OR(AND(INDEX(Règles_chevaux_trait[Specificite],MATCH(RationEtéChevauxTrait&amp;$FD132,Règles_chevaux_trait[Ration]&amp;Règles_chevaux_trait[Aliment],0))="s1",IF($FD132=Spécificité1ChevauxTrait,1)),
AND(INDEX(Règles_chevaux_trait[Specificite],MATCH(RationEtéChevauxTrait&amp;$FD132,Règles_chevaux_trait[Ration]&amp;Règles_chevaux_trait[Aliment],0))="s2",IF($FD132=Spécificité2ChevauxTrait,1)),
INDEX(Règles_chevaux_trait[Specificite],MATCH(RationEtéChevauxTrait&amp;$FD132,Règles_chevaux_trait[Ration]&amp;Règles_chevaux_trait[Aliment],0))="c"),
INDEX(Règles_chevaux_trait[Valeur 36 et plus],MATCH(RationEtéChevauxTrait&amp;$FD132,Règles_chevaux_trait[Ration]&amp;Règles_chevaux_trait[Aliment],0)),0),0)*TotalJumentTrait*NbreJoursNourrirChevauxTrait)</f>
        <v>0</v>
      </c>
      <c r="FF132" s="458">
        <f t="array" ref="FF132">IF(OR(ChoixRationComplèteEtéChevauxTrait=OUI,ChoixRationComplèteEtéChevauxTrait="",AND(ChoixChevauxTraitPréHiver=OUI,ChoixChevauxTraitPréEté=OUI)),0,IFERROR(IF(OR(AND(INDEX(Règles_chevaux_trait[Specificite],MATCH(RationEtéChevauxTrait&amp;$FD132,Règles_chevaux_trait[Ration]&amp;Règles_chevaux_trait[Aliment],0))="s1",IF($FD132=Spécificité1ChevauxTrait,1)),
AND(INDEX(Règles_chevaux_trait[Specificite],MATCH(RationEtéChevauxTrait&amp;$FD132,Règles_chevaux_trait[Ration]&amp;Règles_chevaux_trait[Aliment],0))="s2",IF($FD132=Spécificité2ChevauxTrait,1)),
INDEX(Règles_chevaux_trait[Specificite],MATCH(RationEtéChevauxTrait&amp;$FD132,Règles_chevaux_trait[Ration]&amp;Règles_chevaux_trait[Aliment],0))="c"),
INDEX(Règles_chevaux_trait[Valeur 24-36],MATCH(RationEtéChevauxTrait&amp;$FD132,Règles_chevaux_trait[Ration]&amp;Règles_chevaux_trait[Aliment],0)),0),0)*TotalJeuneJumentTrait_24_36_mois*NbreJoursNourrirChevauxTrait)</f>
        <v>0</v>
      </c>
      <c r="FG132" s="458">
        <f t="array" ref="FG132">IF(OR(ChoixRationComplèteEtéChevauxTrait=OUI,ChoixRationComplèteEtéChevauxTrait="",AND(ChoixChevauxTraitPréHiver=OUI,ChoixChevauxTraitPréEté=OUI)),0,IFERROR(IF(OR(AND(INDEX(Règles_chevaux_trait[Specificite],MATCH(RationEtéChevauxTrait&amp;$FD132,Règles_chevaux_trait[Ration]&amp;Règles_chevaux_trait[Aliment],0))="s1",IF($FD132=Spécificité1ChevauxTrait,1)),
AND(INDEX(Règles_chevaux_trait[Specificite],MATCH(RationEtéChevauxTrait&amp;$FD132,Règles_chevaux_trait[Ration]&amp;Règles_chevaux_trait[Aliment],0))="s2",IF($FD132=Spécificité2ChevauxTrait,1)),
INDEX(Règles_chevaux_trait[Specificite],MATCH(RationEtéChevauxTrait&amp;$FD132,Règles_chevaux_trait[Ration]&amp;Règles_chevaux_trait[Aliment],0))="c"),
INDEX(Règles_chevaux_trait[Valeur 12-24],MATCH(RationEtéChevauxTrait&amp;$FD132,Règles_chevaux_trait[Ration]&amp;Règles_chevaux_trait[Aliment],0)),0),0)*TotalJeuneJumentTrait_12_24_mois*NbreJoursNourrirChevauxTrait)</f>
        <v>0</v>
      </c>
      <c r="FH132" s="460">
        <f t="array" ref="FH132">IF(OR(ChoixRationComplèteEtéChevauxTrait=OUI,ChoixRationComplèteEtéChevauxTrait="",AND(ChoixChevauxTraitPréHiver=OUI,ChoixChevauxTraitPréEté=OUI)),0,IFERROR(IF(OR(AND(INDEX(Règles_chevaux_trait[Specificite],MATCH(RationEtéChevauxTrait&amp;$FD132,Règles_chevaux_trait[Ration]&amp;Règles_chevaux_trait[Aliment],0))="s1",IF($FD132=Spécificité1ChevauxTrait,1)),
AND(INDEX(Règles_chevaux_trait[Specificite],MATCH(RationEtéChevauxTrait&amp;$FD132,Règles_chevaux_trait[Ration]&amp;Règles_chevaux_trait[Aliment],0))="s2",IF($FD132=Spécificité2ChevauxTrait,1)),
INDEX(Règles_chevaux_trait[Specificite],MATCH(RationEtéChevauxTrait&amp;$FD132,Règles_chevaux_trait[Ration]&amp;Règles_chevaux_trait[Aliment],0))="c"),
INDEX(Règles_chevaux_trait[Valeur 0-12],MATCH(RationEtéChevauxTrait&amp;$FD132,Règles_chevaux_trait[Ration]&amp;Règles_chevaux_trait[Aliment],0)),0),0)*TotalPoulicheTrait_0_12_mois*NbreJoursNourrirChevauxTrait)</f>
        <v>0</v>
      </c>
      <c r="FI132" s="460">
        <f t="shared" si="31"/>
        <v>0</v>
      </c>
      <c r="FJ132" s="298"/>
      <c r="FN132" s="457">
        <f t="shared" si="32"/>
        <v>0</v>
      </c>
      <c r="FO132" s="458">
        <f t="array" ref="FO132">IF(OR(ChoixRationComplèteEtéPoneys=OUI,ChoixRationComplèteEtéPoneys="",AND(ChoixPoneysPréHiver=OUI,ChoixPoneysPréEté=OUI)),0,IFERROR(IF(OR(AND(INDEX(Règles_poneys[Specificite],MATCH(RationHivernaleAuPréPoneys&amp;$FN132,Règles_poneys[Ration]&amp;Règles_poneys[Aliment],0))="s1",IF($FN132=Spécificité1Poneys,1)),
AND(INDEX(Règles_poneys[Specificite],MATCH(RationHivernaleAuPréPoneys&amp;$FN132,Règles_poneys[Ration]&amp;Règles_poneys[Aliment],0))="s2",IF($FN132=Spécificité2Poneys,1)),
INDEX(Règles_poneys[Specificite],MATCH(RationHivernaleAuPréPoneys&amp;$FN132,Règles_poneys[Ration]&amp;Règles_poneys[Aliment],0))="c"),
INDEX(Règles_poneys[Valeur 36 et plus],MATCH(RationHivernaleAuPréPoneys&amp;$FN132,Règles_poneys[Ration]&amp;Règles_poneys[Aliment],0)),0),0)*SUM(TotalPoneysAdultes)*SUM(AG118:AG142))</f>
        <v>0</v>
      </c>
      <c r="FP132" s="458">
        <f t="array" ref="FP132">IF(OR(ChoixRationComplèteEtéPoneys=OUI,ChoixRationComplèteEtéPoneys="",AND(ChoixPoneysPréHiver=OUI,ChoixPoneysPréEté=OUI)),0,IFERROR(IF(OR(AND(INDEX(Règles_poneys[Specificite],MATCH(RationHivernaleAuPréPoneys&amp;$FN132,Règles_poneys[Ration]&amp;Règles_poneys[Aliment],0))="s1",IF($FN132=Spécificité1Poneys,1)),
AND(INDEX(Règles_poneys[Specificite],MATCH(RationHivernaleAuPréPoneys&amp;$FN132,Règles_poneys[Ration]&amp;Règles_poneys[Aliment],0))="s2",IF($FN132=Spécificité2Poneys,1)),
INDEX(Règles_poneys[Specificite],MATCH(RationHivernaleAuPréPoneys&amp;$FN132,Règles_poneys[Ration]&amp;Règles_poneys[Aliment],0))="c"),
INDEX(Règles_poneys[Valeur 24-36],MATCH(RationHivernaleAuPréPoneys&amp;$FN132,Règles_poneys[Ration]&amp;Règles_poneys[Aliment],0)),0),0)*SUM(TotalPoneys_24_36mois)*SUM(AG118:AG142))</f>
        <v>0</v>
      </c>
      <c r="FQ132" s="458">
        <f t="array" ref="FQ132">IF(OR(ChoixRationComplèteEtéPoneys=OUI,ChoixRationComplèteEtéPoneys="",AND(ChoixPoneysPréHiver=OUI,ChoixPoneysPréEté=OUI)),0,IFERROR(IF(OR(AND(INDEX(Règles_poneys[Specificite],MATCH(RationHivernaleAuPréPoneys&amp;$FN132,Règles_poneys[Ration]&amp;Règles_poneys[Aliment],0))="s1",IF($FN132=Spécificité1Poneys,1)),
AND(INDEX(Règles_poneys[Specificite],MATCH(RationHivernaleAuPréPoneys&amp;$FN132,Règles_poneys[Ration]&amp;Règles_poneys[Aliment],0))="s2",IF($FN132=Spécificité2Poneys,1)),
INDEX(Règles_poneys[Specificite],MATCH(RationHivernaleAuPréPoneys&amp;$FN132,Règles_poneys[Ration]&amp;Règles_poneys[Aliment],0))="c"),
INDEX(Règles_poneys[Valeur 12-24],MATCH(RationHivernaleAuPréPoneys&amp;$FN132,Règles_poneys[Ration]&amp;Règles_poneys[Aliment],0)),0),0)*SUM(TotalPoneys_12_24mois)*SUM(AG118:AG142))</f>
        <v>0</v>
      </c>
      <c r="FR132" s="460">
        <f t="array" ref="FR132">IF(OR(ChoixRationComplèteEtéPoneys=OUI,ChoixRationComplèteEtéPoneys="",AND(ChoixPoneysPréHiver=OUI,ChoixPoneysPréEté=OUI)),0,IFERROR(IF(OR(AND(INDEX(Règles_poneys[Specificite],MATCH(RationHivernaleAuPréPoneys&amp;$FN132,Règles_poneys[Ration]&amp;Règles_poneys[Aliment],0))="s1",IF($FN132=Spécificité1Poneys,1)),
AND(INDEX(Règles_poneys[Specificite],MATCH(RationHivernaleAuPréPoneys&amp;$FN132,Règles_poneys[Ration]&amp;Règles_poneys[Aliment],0))="s2",IF($FN132=Spécificité2Poneys,1)),
INDEX(Règles_poneys[Specificite],MATCH(RationHivernaleAuPréPoneys&amp;$FN132,Règles_poneys[Ration]&amp;Règles_poneys[Aliment],0))="c"),
INDEX(Règles_poneys[Valeur 0-12],MATCH(RationHivernaleAuPréPoneys&amp;$FN132,Règles_poneys[Ration]&amp;Règles_poneys[Aliment],0)),0),0)*SUM(TotalPoulainsPoneys)*SUM(AG118:AG142))</f>
        <v>0</v>
      </c>
      <c r="FS132" s="460">
        <f t="shared" si="29"/>
        <v>0</v>
      </c>
      <c r="FT132" s="298"/>
      <c r="FW132" s="421" t="s">
        <v>508</v>
      </c>
      <c r="FX132" s="452">
        <f t="array" ref="FX132">IF(ChoixRationComplèteFoieGrasCanards=NON,0,IFERROR(IF(OR(AND(INDEX(Règles_gavage[Specificite],MATCH(ChoixRationFoieGrasCanards&amp;Ration_complète_gavage_canards[aliment],Règles_gavage[Ration]&amp;Règles_gavage[Aliment],0))="s1",IF(Ration_complète_gavage_canards[aliment]=ChoixSpécificité1FoieGrasCanards,1)),
AND(INDEX(Règles_gavage[Specificite],MATCH(ChoixRationFoieGrasCanards&amp;Ration_complète_gavage_canards[aliment],Règles_gavage[Ration]&amp;Règles_gavage[Aliment],0))="s2",IF(Ration_complète_gavage_canards[aliment]=ChoixSpécificité2FoieGrasCanards,1)),
INDEX(Règles_gavage[Specificite],MATCH(ChoixRationFoieGrasCanards&amp;Ration_complète_gavage_canards[aliment],Règles_gavage[Ration]&amp;Règles_gavage[Aliment],0))="c",INDEX(Règles_gavage[Specificite],MATCH(ChoixRationFoieGrasCanards&amp;Ration_complète_gavage_canards[aliment],Règles_gavage[Ration]&amp;Règles_gavage[Aliment],0))="complet"),
INDEX(Règles_gavage[Valeur 6 et plus],MATCH(ChoixRationFoieGrasCanards&amp;Ration_complète_gavage_canards[aliment],Règles_gavage[Ration]&amp;Règles_gavage[Aliment],0)),0),0)*TotalJeunesCanards_3moisEtPlus*DuréePhaseGavageCanards)</f>
        <v>0</v>
      </c>
      <c r="FY132" s="452">
        <f t="array" ref="FY132">IF(ChoixRationComplèteFoieGrasCanards=NON,0,IFERROR(IF(OR(AND(INDEX(Règles_gavage[Specificite],MATCH(ChoixRationFoieGrasCanards&amp;Ration_complète_gavage_canards[aliment],Règles_gavage[Ration]&amp;Règles_gavage[Aliment],0))="s1",IF(Ration_complète_gavage_canards[aliment]=ChoixSpécificité1FoieGrasCanards,1)),
AND(INDEX(Règles_gavage[Specificite],MATCH(ChoixRationFoieGrasCanards&amp;Ration_complète_gavage_canards[aliment],Règles_gavage[Ration]&amp;Règles_gavage[Aliment],0))="s2",IF(Ration_complète_gavage_canards[aliment]=ChoixSpécificité2FoieGrasCanards,1)),
INDEX(Règles_gavage[Specificite],MATCH(ChoixRationFoieGrasCanards&amp;Ration_complète_gavage_canards[aliment],Règles_gavage[Ration]&amp;Règles_gavage[Aliment],0))="c",INDEX(Règles_gavage[Specificite],MATCH(ChoixRationFoieGrasCanards&amp;Ration_complète_gavage_canards[aliment],Règles_gavage[Ration]&amp;Règles_gavage[Aliment],0))="complet"),
INDEX(Règles_gavage[Valeur 2-3],MATCH(ChoixRationFoieGrasCanards&amp;Ration_complète_gavage_canards[aliment],Règles_gavage[Ration]&amp;Règles_gavage[Aliment],0)),0),0)*FoieGrasCanetons_2_3mois*DuréePhaseElevage2_3)</f>
        <v>0</v>
      </c>
      <c r="FZ132" s="452">
        <f t="array" ref="FZ132">IF(ChoixRationComplèteFoieGrasCanards=NON,0,IFERROR(IF(OR(AND(INDEX(Règles_gavage[Specificite],MATCH(ChoixRationFoieGrasCanards&amp;Ration_complète_gavage_canards[aliment],Règles_gavage[Ration]&amp;Règles_gavage[Aliment],0))="s1",IF(Ration_complète_gavage_canards[aliment]=ChoixSpécificité1FoieGrasCanards,1)),
AND(INDEX(Règles_gavage[Specificite],MATCH(ChoixRationFoieGrasCanards&amp;Ration_complète_gavage_canards[aliment],Règles_gavage[Ration]&amp;Règles_gavage[Aliment],0))="s2",IF(Ration_complète_gavage_canards[aliment]=ChoixSpécificité2FoieGrasCanards,1)),
INDEX(Règles_gavage[Specificite],MATCH(ChoixRationFoieGrasCanards&amp;Ration_complète_gavage_canards[aliment],Règles_gavage[Ration]&amp;Règles_gavage[Aliment],0))="c",INDEX(Règles_gavage[Specificite],MATCH(ChoixRationFoieGrasCanards&amp;Ration_complète_gavage_canards[aliment],Règles_gavage[Ration]&amp;Règles_gavage[Aliment],0))="complet"),
INDEX(Règles_gavage[Valeur 1-2],MATCH(ChoixRationFoieGrasCanards&amp;Ration_complète_gavage_canards[aliment],Règles_gavage[Ration]&amp;Règles_gavage[Aliment],0)),0),0)*FoieGrasCanetons_1_2mois*DuréePhaseElevage1_2)</f>
        <v>0</v>
      </c>
      <c r="GA132" s="452">
        <f t="array" ref="GA132">IF(ChoixRationComplèteFoieGrasCanards=NON,0,IFERROR(IF(OR(AND(INDEX(Règles_gavage[Specificite],MATCH(ChoixRationFoieGrasCanards&amp;Ration_complète_gavage_canards[aliment],Règles_gavage[Ration]&amp;Règles_gavage[Aliment],0))="s1",IF(Ration_complète_gavage_canards[aliment]=ChoixSpécificité1FoieGrasCanards,1)),
AND(INDEX(Règles_gavage[Specificite],MATCH(ChoixRationFoieGrasCanards&amp;Ration_complète_gavage_canards[aliment],Règles_gavage[Ration]&amp;Règles_gavage[Aliment],0))="s2",IF(Ration_complète_gavage_canards[aliment]=ChoixSpécificité2FoieGrasCanards,1)),
INDEX(Règles_gavage[Specificite],MATCH(ChoixRationFoieGrasCanards&amp;Ration_complète_gavage_canards[aliment],Règles_gavage[Ration]&amp;Règles_gavage[Aliment],0))="c",INDEX(Règles_gavage[Specificite],MATCH(ChoixRationFoieGrasCanards&amp;Ration_complète_gavage_canards[aliment],Règles_gavage[Ration]&amp;Règles_gavage[Aliment],0))="complet"),
INDEX(Règles_gavage[Valeur 0-1],MATCH(ChoixRationFoieGrasCanards&amp;Ration_complète_gavage_canards[aliment],Règles_gavage[Ration]&amp;Règles_gavage[Aliment],0)),0),0)*FoieGrasCanetons_0_1mois*DuréePhaseElevage0_1)</f>
        <v>0</v>
      </c>
      <c r="GB132" s="454">
        <f>SUM(Ration_complète_gavage_canards[[Valeur 6 et plus]:[Valeur 0-1]])</f>
        <v>0</v>
      </c>
      <c r="GG132" s="276" t="s">
        <v>955</v>
      </c>
      <c r="GH132" s="276" t="s">
        <v>955</v>
      </c>
      <c r="GI132" s="276" t="s">
        <v>955</v>
      </c>
      <c r="GJ132" s="276" t="s">
        <v>955</v>
      </c>
      <c r="GK132" s="276" t="s">
        <v>955</v>
      </c>
      <c r="GL132" s="276" t="s">
        <v>955</v>
      </c>
      <c r="GM132" s="276" t="s">
        <v>955</v>
      </c>
      <c r="GN132" s="276" t="s">
        <v>955</v>
      </c>
      <c r="GO132" s="276" t="s">
        <v>955</v>
      </c>
      <c r="GP132" s="276" t="s">
        <v>955</v>
      </c>
      <c r="GQ132" s="276" t="s">
        <v>955</v>
      </c>
      <c r="GR132" s="276" t="s">
        <v>955</v>
      </c>
      <c r="GS132" s="276" t="s">
        <v>955</v>
      </c>
      <c r="GT132" s="276" t="s">
        <v>955</v>
      </c>
      <c r="GU132" s="276" t="s">
        <v>955</v>
      </c>
      <c r="GV132" s="276" t="s">
        <v>955</v>
      </c>
    </row>
    <row r="133" spans="1:204" ht="12.75" customHeight="1" x14ac:dyDescent="0.2">
      <c r="A133" s="373"/>
      <c r="B133" s="382"/>
      <c r="BB133" s="387" t="s">
        <v>517</v>
      </c>
      <c r="BC133" s="362" t="s">
        <v>508</v>
      </c>
      <c r="BD133" s="362" t="s">
        <v>911</v>
      </c>
      <c r="BE133" s="388">
        <v>137</v>
      </c>
      <c r="BF133" s="388">
        <v>117</v>
      </c>
      <c r="BG133" s="388">
        <v>91</v>
      </c>
      <c r="BH133" s="388">
        <v>69</v>
      </c>
      <c r="BI133" s="388">
        <v>47</v>
      </c>
      <c r="BJ133" s="388">
        <v>23</v>
      </c>
      <c r="BK133" s="389">
        <v>0</v>
      </c>
      <c r="BL133" s="312"/>
      <c r="BM133" s="350" t="str">
        <f t="shared" si="43"/>
        <v>Minéraux + vitamines</v>
      </c>
      <c r="BN133" s="351">
        <f t="array" ref="BN133">SUM((IF(QualitéAlimentsBisonneauxMâles_0_3_mois=BONNE,VLOOKUP("Minéraux + vitamines",AlimentsRationHivernaleBisonsMâles,8,FALSE),0)+(IF(QualitéAlimentsBisonneauxFemelles_0_3_mois=BONNE,VLOOKUP("Minéraux + vitamines",AlimentsRationHivernaleBisonsFemelles,8,FALSE),0)+(IF(QualitéAlimentsBisonneauxMâles_3_6_mois=BONNE,VLOOKUP("Minéraux + vitamines",AlimentsRationHivernaleBisonsMâles,7,FALSE),0)+(IF(QualitéAlimentsBisonneauxFemelles_3_6_mois=BONNE,VLOOKUP("Minéraux + vitamines",AlimentsRationHivernaleBisonsFemelles,7,FALSE),0)+(IF(QualitéAlimentsBisonneauxMâles_6_12_mois=BONNE,VLOOKUP("Minéraux + vitamines",AlimentsRationHivernaleBisonsMâles,6,FALSE),0)+(IF(QualitéAlimentsBisonneauxFemelles_6_12_mois=BONNE,VLOOKUP("Minéraux + vitamines",AlimentsRationHivernaleBisonsFemelles,6,FALSE),0)+(IF(QualitéAlimentsJeunesBisons_12_18_mois=BONNE,VLOOKUP("Minéraux + vitamines",AlimentsRationHivernaleBisonsMâles,5,FALSE),0)+(IF(QualitéAlimentsJeunesBisonnes_12_18_mois=BONNE,VLOOKUP("Minéraux + vitamines",AlimentsRationHivernaleBisonsFemelles,5,FALSE),0)+(IF(QualitéAlimentsJeunesBisons_18_24_mois=BONNE,VLOOKUP("Minéraux + vitamines",AlimentsRationHivernaleBisonsMâles,4,FALSE),0)+(IF(QualitéAlimentsJeunesBisonnes_18_24_mois=BONNE,VLOOKUP("Minéraux + vitamines",AlimentsRationHivernaleBisonsFemelles,4,FALSE),0)+(IF(QualitéAlimentsJeunesBisons_24_36_mois=BONNE,VLOOKUP("Minéraux + vitamines",AlimentsRationHivernaleBisonsMâles,3,FALSE),0)+(IF(QualitéAlimentsJeunesBisonnes_24_36_mois=BONNE,VLOOKUP("Minéraux + vitamines",AlimentsRationHivernaleBisonsFemelles,3,FALSE),0)+(IF(QualitéAlimentsBisons=BONNE,VLOOKUP("Minéraux + vitamines",AlimentsRationHivernaleBisonsMâles,2,FALSE),0)+(IF(QualitéAlimentsBisonnes=BONNE,VLOOKUP("Minéraux + vitamines",AlimentsRationHivernaleBisonsFemelles,2,FALSE),0))))))))))))))))</f>
        <v>0</v>
      </c>
      <c r="BO133" s="351">
        <f t="array" ref="BO133">SUM((IF(QualitéAlimentsBisonneauxMâles_0_3_mois=MOYENNE,VLOOKUP("Minéraux + vitamines",AlimentsRationHivernaleBisonsMâles,8,FALSE),0)+(IF(QualitéAlimentsBisonneauxFemelles_0_3_mois=MOYENNE,VLOOKUP("Minéraux + vitamines",AlimentsRationHivernaleBisonsFemelles,8,FALSE),0)+(IF(QualitéAlimentsBisonneauxMâles_3_6_mois=MOYENNE,VLOOKUP("Minéraux + vitamines",AlimentsRationHivernaleBisonsMâles,7,FALSE),0)+(IF(QualitéAlimentsBisonneauxFemelles_3_6_mois=MOYENNE,VLOOKUP("Minéraux + vitamines",AlimentsRationHivernaleBisonsFemelles,7,FALSE),0)+(IF(QualitéAlimentsBisonneauxMâles_6_12_mois=MOYENNE,VLOOKUP("Minéraux + vitamines",AlimentsRationHivernaleBisonsMâles,6,FALSE),0)+(IF(QualitéAlimentsBisonneauxFemelles_6_12_mois=MOYENNE,VLOOKUP("Minéraux + vitamines",AlimentsRationHivernaleBisonsFemelles,6,FALSE),0)+(IF(QualitéAlimentsJeunesBisons_12_18_mois=MOYENNE,VLOOKUP("Minéraux + vitamines",AlimentsRationHivernaleBisonsMâles,5,FALSE),0)+(IF(QualitéAlimentsJeunesBisonnes_12_18_mois=MOYENNE,VLOOKUP("Minéraux + vitamines",AlimentsRationHivernaleBisonsFemelles,5,FALSE),0)+(IF(QualitéAlimentsJeunesBisons_18_24_mois=MOYENNE,VLOOKUP("Minéraux + vitamines",AlimentsRationHivernaleBisonsMâles,4,FALSE),0)+(IF(QualitéAlimentsJeunesBisonnes_18_24_mois=MOYENNE,VLOOKUP("Minéraux + vitamines",AlimentsRationHivernaleBisonsFemelles,4,FALSE),0)+(IF(QualitéAlimentsJeunesBisons_24_36_mois=MOYENNE,VLOOKUP("Minéraux + vitamines",AlimentsRationHivernaleBisonsMâles,3,FALSE),0)+(IF(QualitéAlimentsJeunesBisonnes_24_36_mois=MOYENNE,VLOOKUP("Minéraux + vitamines",AlimentsRationHivernaleBisonsFemelles,3,FALSE),0)+(IF(QualitéAlimentsBisons=MOYENNE,VLOOKUP("Minéraux + vitamines",AlimentsRationHivernaleBisonsMâles,2,FALSE),0)+(IF(QualitéAlimentsBisonnes=MOYENNE,VLOOKUP("Minéraux + vitamines",AlimentsRationHivernaleBisonsFemelles,2,FALSE),0))))))))))))))))</f>
        <v>0</v>
      </c>
      <c r="BP133" s="351">
        <f t="array" ref="BP133">SUM((IF(QualitéAlimentsBisonneauxMâles_0_3_mois=MAUVAISE,VLOOKUP("Minéraux + vitamines",AlimentsRationHivernaleBisonsMâles,8,FALSE),0)+(IF(QualitéAlimentsBisonneauxFemelles_0_3_mois=MAUVAISE,VLOOKUP("Minéraux + vitamines",AlimentsRationHivernaleBisonsFemelles,8,FALSE),0)+(IF(QualitéAlimentsBisonneauxMâles_3_6_mois=MAUVAISE,VLOOKUP("Minéraux + vitamines",AlimentsRationHivernaleBisonsMâles,7,FALSE),0)+(IF(QualitéAlimentsBisonneauxFemelles_3_6_mois=MAUVAISE,VLOOKUP("Minéraux + vitamines",AlimentsRationHivernaleBisonsFemelles,7,FALSE),0)+(IF(QualitéAlimentsBisonneauxMâles_6_12_mois=MAUVAISE,VLOOKUP("Minéraux + vitamines",AlimentsRationHivernaleBisonsMâles,6,FALSE),0)+(IF(QualitéAlimentsBisonneauxFemelles_6_12_mois=MAUVAISE,VLOOKUP("Minéraux + vitamines",AlimentsRationHivernaleBisonsFemelles,6,FALSE),0)+(IF(QualitéAlimentsJeunesBisons_12_18_mois=MAUVAISE,VLOOKUP("Minéraux + vitamines",AlimentsRationHivernaleBisonsMâles,5,FALSE),0)+(IF(QualitéAlimentsJeunesBisonnes_12_18_mois=MAUVAISE,VLOOKUP("Minéraux + vitamines",AlimentsRationHivernaleBisonsFemelles,5,FALSE),0)+(IF(QualitéAlimentsJeunesBisons_18_24_mois=MAUVAISE,VLOOKUP("Minéraux + vitamines",AlimentsRationHivernaleBisonsMâles,4,FALSE),0)+(IF(QualitéAlimentsJeunesBisonnes_18_24_mois=MAUVAISE,VLOOKUP("Minéraux + vitamines",AlimentsRationHivernaleBisonsFemelles,4,FALSE),0)+(IF(QualitéAlimentsJeunesBisons_24_36_mois=MAUVAISE,VLOOKUP("Minéraux + vitamines",AlimentsRationHivernaleBisonsMâles,3,FALSE),0)+(IF(QualitéAlimentsJeunesBisonnes_24_36_mois=MAUVAISE,VLOOKUP("Minéraux + vitamines",AlimentsRationHivernaleBisonsFemelles,3,FALSE),0)+(IF(QualitéAlimentsBisons=MAUVAISE,VLOOKUP("Minéraux + vitamines",AlimentsRationHivernaleBisonsMâles,2,FALSE),0)+(IF(QualitéAlimentsBisonnes=MAUVAISE,VLOOKUP("Minéraux + vitamines",AlimentsRationHivernaleBisonsFemelles,2,FALSE),0))))))))))))))))</f>
        <v>0</v>
      </c>
      <c r="BQ133" s="282"/>
      <c r="BR133" s="282"/>
      <c r="BS133" s="282"/>
      <c r="BT133" s="282"/>
      <c r="BU133" s="282"/>
      <c r="BX133" s="350" t="s">
        <v>57</v>
      </c>
      <c r="BY133" s="350">
        <f t="array" ref="BY133">IF(ChoixRationComplèteCaprins=OUI,0,IFERROR(IF(OR(AND(INDEX(Règles_caprins[Specificite],MATCH(ChoixRationCaprins&amp;$BX133,Règles_caprins[Ration]&amp;Règles_caprins[Aliment],0))="s1",IF($BX133=Spécificité1Caprins,1)),
INDEX(Règles_caprins[Specificite],MATCH(ChoixRationCaprins&amp;$BX133,Règles_caprins[Ration]&amp;Règles_caprins[Aliment],0))="c"),
INDEX(Règles_caprins[Valeur 12 et plus],MATCH(ChoixRationCaprins&amp;$BX133,Règles_caprins[Ration]&amp;Règles_caprins[Aliment],0)),0),0)*TotalBoucs*NbreJoursNourrirCaprins)</f>
        <v>0</v>
      </c>
      <c r="BZ133" s="350">
        <f t="array" ref="BZ133">IF(ChoixRationComplèteCaprins=OUI,0,IFERROR(IF(OR(AND(INDEX(Règles_caprins[Specificite],MATCH(ChoixRationCaprins&amp;$BX133,Règles_caprins[Ration]&amp;Règles_caprins[Aliment],0))="s1",IF($BX133=Spécificité1Caprins,1)),
INDEX(Règles_caprins[Specificite],MATCH(ChoixRationCaprins&amp;$BX133,Règles_caprins[Ration]&amp;Règles_caprins[Aliment],0))="c"),
INDEX(Règles_caprins[Valeur 6-12],MATCH(ChoixRationCaprins&amp;$BX133,Règles_caprins[Ration]&amp;Règles_caprins[Aliment],0)),0),0)*jeune_bouc_6_12_mois*NbreJoursNourrirCaprins)</f>
        <v>0</v>
      </c>
      <c r="CA133" s="350">
        <f t="array" ref="CA133">IF(ChoixRationComplèteCaprins=OUI,0,IFERROR(IF(OR(AND(INDEX(Règles_caprins[Specificite],MATCH(ChoixRationCaprins&amp;$BX133,Règles_caprins[Ration]&amp;Règles_caprins[Aliment],0))="s1",IF($BX133=Spécificité1Caprins,1)),
INDEX(Règles_caprins[Specificite],MATCH(ChoixRationCaprins&amp;$BX133,Règles_caprins[Ration]&amp;Règles_caprins[Aliment],0))="c"),
INDEX(Règles_caprins[Valeur 3-6],MATCH(ChoixRationCaprins&amp;$BX133,Règles_caprins[Ration]&amp;Règles_caprins[Aliment],0)),0),0)*chevreau_3_6_mois*NbreJoursNourrirCaprins)</f>
        <v>0</v>
      </c>
      <c r="CB133" s="350">
        <f t="array" ref="CB133">IF(ChoixRationComplèteCaprins=OUI,0,IFERROR(IF(OR(AND(INDEX(Règles_caprins[Specificite],MATCH(ChoixRationCaprins&amp;$BX133,Règles_caprins[Ration]&amp;Règles_caprins[Aliment],0))="s1",IF($BX133=Spécificité1Caprins,1)),
INDEX(Règles_caprins[Specificite],MATCH(ChoixRationCaprins&amp;$BX133,Règles_caprins[Ration]&amp;Règles_caprins[Aliment],0))="c"),
INDEX(Règles_caprins[Valeur 0-3],MATCH(ChoixRationCaprins&amp;$BX133,Règles_caprins[Ration]&amp;Règles_caprins[Aliment],0)),0),0)*chevreau_0_3_mois*NbreJoursNourrirCaprins)</f>
        <v>0</v>
      </c>
      <c r="CC133" s="350">
        <f t="shared" si="41"/>
        <v>0</v>
      </c>
      <c r="CH133" s="276"/>
      <c r="CI133" s="277"/>
      <c r="CJ133" s="420" t="s">
        <v>568</v>
      </c>
      <c r="CK133" s="408"/>
      <c r="CM133" s="420" t="s">
        <v>568</v>
      </c>
      <c r="CN133" s="408"/>
      <c r="CO133" s="325"/>
      <c r="CP133" s="277"/>
      <c r="CS133" s="420">
        <f t="shared" si="36"/>
        <v>0</v>
      </c>
      <c r="CT133" s="433">
        <f t="array" ref="CT133">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33" s="433">
        <f t="array" ref="CU133">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33" s="433">
        <f t="array" ref="CV133">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33" s="434">
        <f>SUM(AlimentsRationLapinsFemelles[[#This Row],[Valeur 3 et plus]:[Valeur 0-1]])</f>
        <v>0</v>
      </c>
      <c r="CZ133" s="420">
        <f t="shared" si="37"/>
        <v>0</v>
      </c>
      <c r="DA133" s="433">
        <f t="array" ref="DA13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33" s="433">
        <f t="array" ref="DB13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33" s="433">
        <f t="array" ref="DC133">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33" s="434">
        <f>SUM(AlimentsRationVolaillesFemelles[[#This Row],[Valeur 6 et plus]:[Valeur 0-1]])</f>
        <v>0</v>
      </c>
      <c r="DG133" s="277"/>
      <c r="DN133" s="373" t="s">
        <v>551</v>
      </c>
      <c r="DO133" s="280" t="s">
        <v>70</v>
      </c>
      <c r="DP133" s="280" t="s">
        <v>887</v>
      </c>
      <c r="DQ133" s="310">
        <v>1.6</v>
      </c>
      <c r="DR133" s="310">
        <v>1.4</v>
      </c>
      <c r="DS133" s="310">
        <v>1.2</v>
      </c>
      <c r="DT133" s="439">
        <v>1</v>
      </c>
      <c r="EG133" s="397">
        <f t="shared" si="30"/>
        <v>0</v>
      </c>
      <c r="EH133" s="398">
        <f t="array" ref="EH13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6 et plus],MATCH(ChoixRationOies&amp;AlimentsRationOiesMâles[[#This Row],[aliment]],Règles_oies[Ration]&amp;Règles_oies[Aliment],0)),0),0)*oie*NbreJoursNourrirAutres)</f>
        <v>0</v>
      </c>
      <c r="EI133" s="398">
        <f t="array" ref="EI13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3-6],MATCH(ChoixRationOies&amp;AlimentsRationOiesMâles[[#This Row],[aliment]],Règles_oies[Ration]&amp;Règles_oies[Aliment],0)),0),0)*jeune_oie_3_6_mois*NbreJoursNourrirAutres)</f>
        <v>0</v>
      </c>
      <c r="EJ133" s="398">
        <f t="array" ref="EJ133">IF(ChoixRationComplèteOies=OUI,0,IFERROR(IF(OR(AND(INDEX(Règles_oies[Specificite],MATCH(ChoixRationOies&amp;AlimentsRationOiesMâles[[#This Row],[aliment]],Règles_oies[Ration]&amp;Règles_oies[Aliment],0))="s1",IF(AlimentsRationOiesMâles[[#This Row],[aliment]]=Spécificité1Oies,1)),
AND(INDEX(Règles_oies[Specificite],MATCH(ChoixRationOies&amp;AlimentsRationOiesMâles[[#This Row],[aliment]],Règles_oies[Ration]&amp;Règles_oies[Aliment],0))="s2",IF(AlimentsRationOiesMâles[[#This Row],[aliment]]=Spécificité2Oies,1)),
INDEX(Règles_oies[Specificite],MATCH(ChoixRationOies&amp;AlimentsRationOiesMâles[[#This Row],[aliment]],Règles_oies[Ration]&amp;Règles_oies[Aliment],0))="c"),
INDEX(Règles_oies[Valeur 0-3],MATCH(ChoixRationOies&amp;AlimentsRationOiesMâles[[#This Row],[aliment]],Règles_oies[Ration]&amp;Règles_oies[Aliment],0)),0),0)*oison_femelle_0_3_mois*NbreJoursNourrirAutres)</f>
        <v>0</v>
      </c>
      <c r="EK133" s="435">
        <f>SUM(AlimentsRationOiesFemelles[[#This Row],[Valeur 6 et plus]:[Valeur 0-3]])</f>
        <v>0</v>
      </c>
      <c r="ER133" s="276"/>
      <c r="EU133" s="457" t="str">
        <f t="shared" si="40"/>
        <v>Tourteau de tournesol</v>
      </c>
      <c r="EV133" s="458">
        <f t="array" ref="EV133">IF(OR(ChoixRationComplèteEtéChevauxSelle=OUI,ChoixRationComplèteEtéChevauxSelle="",AND(ChoixChevauxSellePréHiver=OUI,ChoixChevauxSellePréEté=OUI)),0,IFERROR(IF(OR(AND(INDEX(Règles_chevaux_selle[Specificite],MATCH(RationEtéChevauxSelle&amp;$EU133,Règles_chevaux_selle[Ration]&amp;Règles_chevaux_selle[Aliment],0))="s1",IF($EU133=Spécificité1ChevauxSelle,1)),
AND(INDEX(Règles_chevaux_selle[Specificite],MATCH(RationEtéChevauxSelle&amp;$EU133,Règles_chevaux_selle[Ration]&amp;Règles_chevaux_selle[Aliment],0))="s2",IF($EU133=Spécificité2ChevauxSelle,1)),
INDEX(Règles_chevaux_selle[Specificite],MATCH(RationEtéChevauxSelle&amp;$EU133,Règles_chevaux_selle[Ration]&amp;Règles_chevaux_selle[Aliment],0))="c"),
INDEX(Règles_chevaux_selle[Valeur 36 et plus],MATCH(RationEtéChevauxSelle&amp;$EU133,Règles_chevaux_selle[Ration]&amp;Règles_chevaux_selle[Aliment],0)),0),0)*TotalJumentSelle*NbreJoursNourrirChevauxSelle)</f>
        <v>0</v>
      </c>
      <c r="EW133" s="458">
        <f t="array" ref="EW133">IF(OR(ChoixRationComplèteEtéChevauxSelle=OUI,ChoixRationComplèteEtéChevauxSelle="",AND(ChoixChevauxSellePréHiver=OUI,ChoixChevauxSellePréEté=OUI)),0,IFERROR(IF(OR(AND(INDEX(Règles_chevaux_selle[Specificite],MATCH(RationEtéChevauxSelle&amp;$EU133,Règles_chevaux_selle[Ration]&amp;Règles_chevaux_selle[Aliment],0))="s1",IF($EU133=Spécificité1ChevauxSelle,1)),
AND(INDEX(Règles_chevaux_selle[Specificite],MATCH(RationEtéChevauxSelle&amp;$EU133,Règles_chevaux_selle[Ration]&amp;Règles_chevaux_selle[Aliment],0))="s2",IF($EU133=Spécificité2ChevauxSelle,1)),
INDEX(Règles_chevaux_selle[Specificite],MATCH(RationEtéChevauxSelle&amp;$EU133,Règles_chevaux_selle[Ration]&amp;Règles_chevaux_selle[Aliment],0))="c"),
INDEX(Règles_chevaux_selle[Valeur 24-36],MATCH(RationEtéChevauxSelle&amp;$EU133,Règles_chevaux_selle[Ration]&amp;Règles_chevaux_selle[Aliment],0)),0),0)*TotalJeuneJumentSelle_24_36_mois*NbreJoursNourrirChevauxSelle)</f>
        <v>0</v>
      </c>
      <c r="EX133" s="458">
        <f t="array" ref="EX133">IF(OR(ChoixRationComplèteEtéChevauxSelle=OUI,ChoixRationComplèteEtéChevauxSelle="",AND(ChoixChevauxSellePréHiver=OUI,ChoixChevauxSellePréEté=OUI)),0,IFERROR(IF(OR(AND(INDEX(Règles_chevaux_selle[Specificite],MATCH(RationEtéChevauxSelle&amp;$EU133,Règles_chevaux_selle[Ration]&amp;Règles_chevaux_selle[Aliment],0))="s1",IF($EU133=Spécificité1ChevauxSelle,1)),
AND(INDEX(Règles_chevaux_selle[Specificite],MATCH(RationEtéChevauxSelle&amp;$EU133,Règles_chevaux_selle[Ration]&amp;Règles_chevaux_selle[Aliment],0))="s2",IF($EU133=Spécificité2ChevauxSelle,1)),
INDEX(Règles_chevaux_selle[Specificite],MATCH(RationEtéChevauxSelle&amp;$EU133,Règles_chevaux_selle[Ration]&amp;Règles_chevaux_selle[Aliment],0))="c"),
INDEX(Règles_chevaux_selle[Valeur 12-24],MATCH(RationEtéChevauxSelle&amp;$EU133,Règles_chevaux_selle[Ration]&amp;Règles_chevaux_selle[Aliment],0)),0),0)*TotalJeuneJumentSelle_12_24_mois_12_24_mois*NbreJoursNourrirChevauxSelle)</f>
        <v>0</v>
      </c>
      <c r="EY133" s="460">
        <f t="array" ref="EY133">IF(OR(ChoixRationComplèteEtéChevauxSelle=OUI,ChoixRationComplèteEtéChevauxSelle="",AND(ChoixChevauxSellePréHiver=OUI,ChoixChevauxSellePréEté=OUI)),0,IFERROR(IF(OR(AND(INDEX(Règles_chevaux_selle[Specificite],MATCH(RationEtéChevauxSelle&amp;$EU133,Règles_chevaux_selle[Ration]&amp;Règles_chevaux_selle[Aliment],0))="s1",IF($EU133=Spécificité1ChevauxSelle,1)),
AND(INDEX(Règles_chevaux_selle[Specificite],MATCH(RationEtéChevauxSelle&amp;$EU133,Règles_chevaux_selle[Ration]&amp;Règles_chevaux_selle[Aliment],0))="s2",IF($EU133=Spécificité2ChevauxSelle,1)),
INDEX(Règles_chevaux_selle[Specificite],MATCH(RationEtéChevauxSelle&amp;$EU133,Règles_chevaux_selle[Ration]&amp;Règles_chevaux_selle[Aliment],0))="c"),
INDEX(Règles_chevaux_selle[Valeur 0-12],MATCH(RationEtéChevauxSelle&amp;$EU133,Règles_chevaux_selle[Ration]&amp;Règles_chevaux_selle[Aliment],0)),0),0)*TotalPoulicheSelle_0_12_mois*NbreJoursNourrirChevauxSelle)</f>
        <v>0</v>
      </c>
      <c r="EZ133" s="460">
        <f t="shared" si="39"/>
        <v>0</v>
      </c>
      <c r="FD133" s="457">
        <f t="shared" si="33"/>
        <v>0</v>
      </c>
      <c r="FE133" s="458">
        <f t="array" ref="FE133">IF(OR(ChoixRationComplèteEtéChevauxTrait=OUI,ChoixRationComplèteEtéChevauxTrait="",AND(ChoixChevauxTraitPréHiver=OUI,ChoixChevauxTraitPréEté=OUI)),0,IFERROR(IF(OR(AND(INDEX(Règles_chevaux_trait[Specificite],MATCH(RationEtéChevauxTrait&amp;$FD133,Règles_chevaux_trait[Ration]&amp;Règles_chevaux_trait[Aliment],0))="s1",IF($FD133=Spécificité1ChevauxTrait,1)),
AND(INDEX(Règles_chevaux_trait[Specificite],MATCH(RationEtéChevauxTrait&amp;$FD133,Règles_chevaux_trait[Ration]&amp;Règles_chevaux_trait[Aliment],0))="s2",IF($FD133=Spécificité2ChevauxTrait,1)),
INDEX(Règles_chevaux_trait[Specificite],MATCH(RationEtéChevauxTrait&amp;$FD133,Règles_chevaux_trait[Ration]&amp;Règles_chevaux_trait[Aliment],0))="c"),
INDEX(Règles_chevaux_trait[Valeur 36 et plus],MATCH(RationEtéChevauxTrait&amp;$FD133,Règles_chevaux_trait[Ration]&amp;Règles_chevaux_trait[Aliment],0)),0),0)*TotalJumentTrait*NbreJoursNourrirChevauxTrait)</f>
        <v>0</v>
      </c>
      <c r="FF133" s="458">
        <f t="array" ref="FF133">IF(OR(ChoixRationComplèteEtéChevauxTrait=OUI,ChoixRationComplèteEtéChevauxTrait="",AND(ChoixChevauxTraitPréHiver=OUI,ChoixChevauxTraitPréEté=OUI)),0,IFERROR(IF(OR(AND(INDEX(Règles_chevaux_trait[Specificite],MATCH(RationEtéChevauxTrait&amp;$FD133,Règles_chevaux_trait[Ration]&amp;Règles_chevaux_trait[Aliment],0))="s1",IF($FD133=Spécificité1ChevauxTrait,1)),
AND(INDEX(Règles_chevaux_trait[Specificite],MATCH(RationEtéChevauxTrait&amp;$FD133,Règles_chevaux_trait[Ration]&amp;Règles_chevaux_trait[Aliment],0))="s2",IF($FD133=Spécificité2ChevauxTrait,1)),
INDEX(Règles_chevaux_trait[Specificite],MATCH(RationEtéChevauxTrait&amp;$FD133,Règles_chevaux_trait[Ration]&amp;Règles_chevaux_trait[Aliment],0))="c"),
INDEX(Règles_chevaux_trait[Valeur 24-36],MATCH(RationEtéChevauxTrait&amp;$FD133,Règles_chevaux_trait[Ration]&amp;Règles_chevaux_trait[Aliment],0)),0),0)*TotalJeuneJumentTrait_24_36_mois*NbreJoursNourrirChevauxTrait)</f>
        <v>0</v>
      </c>
      <c r="FG133" s="458">
        <f t="array" ref="FG133">IF(OR(ChoixRationComplèteEtéChevauxTrait=OUI,ChoixRationComplèteEtéChevauxTrait="",AND(ChoixChevauxTraitPréHiver=OUI,ChoixChevauxTraitPréEté=OUI)),0,IFERROR(IF(OR(AND(INDEX(Règles_chevaux_trait[Specificite],MATCH(RationEtéChevauxTrait&amp;$FD133,Règles_chevaux_trait[Ration]&amp;Règles_chevaux_trait[Aliment],0))="s1",IF($FD133=Spécificité1ChevauxTrait,1)),
AND(INDEX(Règles_chevaux_trait[Specificite],MATCH(RationEtéChevauxTrait&amp;$FD133,Règles_chevaux_trait[Ration]&amp;Règles_chevaux_trait[Aliment],0))="s2",IF($FD133=Spécificité2ChevauxTrait,1)),
INDEX(Règles_chevaux_trait[Specificite],MATCH(RationEtéChevauxTrait&amp;$FD133,Règles_chevaux_trait[Ration]&amp;Règles_chevaux_trait[Aliment],0))="c"),
INDEX(Règles_chevaux_trait[Valeur 12-24],MATCH(RationEtéChevauxTrait&amp;$FD133,Règles_chevaux_trait[Ration]&amp;Règles_chevaux_trait[Aliment],0)),0),0)*TotalJeuneJumentTrait_12_24_mois*NbreJoursNourrirChevauxTrait)</f>
        <v>0</v>
      </c>
      <c r="FH133" s="460">
        <f t="array" ref="FH133">IF(OR(ChoixRationComplèteEtéChevauxTrait=OUI,ChoixRationComplèteEtéChevauxTrait="",AND(ChoixChevauxTraitPréHiver=OUI,ChoixChevauxTraitPréEté=OUI)),0,IFERROR(IF(OR(AND(INDEX(Règles_chevaux_trait[Specificite],MATCH(RationEtéChevauxTrait&amp;$FD133,Règles_chevaux_trait[Ration]&amp;Règles_chevaux_trait[Aliment],0))="s1",IF($FD133=Spécificité1ChevauxTrait,1)),
AND(INDEX(Règles_chevaux_trait[Specificite],MATCH(RationEtéChevauxTrait&amp;$FD133,Règles_chevaux_trait[Ration]&amp;Règles_chevaux_trait[Aliment],0))="s2",IF($FD133=Spécificité2ChevauxTrait,1)),
INDEX(Règles_chevaux_trait[Specificite],MATCH(RationEtéChevauxTrait&amp;$FD133,Règles_chevaux_trait[Ration]&amp;Règles_chevaux_trait[Aliment],0))="c"),
INDEX(Règles_chevaux_trait[Valeur 0-12],MATCH(RationEtéChevauxTrait&amp;$FD133,Règles_chevaux_trait[Ration]&amp;Règles_chevaux_trait[Aliment],0)),0),0)*TotalPoulicheTrait_0_12_mois*NbreJoursNourrirChevauxTrait)</f>
        <v>0</v>
      </c>
      <c r="FI133" s="460">
        <f t="shared" si="31"/>
        <v>0</v>
      </c>
      <c r="FJ133" s="298"/>
      <c r="FN133" s="457">
        <f t="shared" si="32"/>
        <v>0</v>
      </c>
      <c r="FO133" s="458">
        <f t="array" ref="FO133">IF(OR(ChoixRationComplèteEtéPoneys=OUI,ChoixRationComplèteEtéPoneys="",AND(ChoixPoneysPréHiver=OUI,ChoixPoneysPréEté=OUI)),0,IFERROR(IF(OR(AND(INDEX(Règles_poneys[Specificite],MATCH(RationHivernaleAuPréPoneys&amp;$FN133,Règles_poneys[Ration]&amp;Règles_poneys[Aliment],0))="s1",IF($FN133=Spécificité1Poneys,1)),
AND(INDEX(Règles_poneys[Specificite],MATCH(RationHivernaleAuPréPoneys&amp;$FN133,Règles_poneys[Ration]&amp;Règles_poneys[Aliment],0))="s2",IF($FN133=Spécificité2Poneys,1)),
INDEX(Règles_poneys[Specificite],MATCH(RationHivernaleAuPréPoneys&amp;$FN133,Règles_poneys[Ration]&amp;Règles_poneys[Aliment],0))="c"),
INDEX(Règles_poneys[Valeur 36 et plus],MATCH(RationHivernaleAuPréPoneys&amp;$FN133,Règles_poneys[Ration]&amp;Règles_poneys[Aliment],0)),0),0)*SUM(TotalPoneysAdultes)*SUM(AG118:AG142))</f>
        <v>0</v>
      </c>
      <c r="FP133" s="458">
        <f t="array" ref="FP133">IF(OR(ChoixRationComplèteEtéPoneys=OUI,ChoixRationComplèteEtéPoneys="",AND(ChoixPoneysPréHiver=OUI,ChoixPoneysPréEté=OUI)),0,IFERROR(IF(OR(AND(INDEX(Règles_poneys[Specificite],MATCH(RationHivernaleAuPréPoneys&amp;$FN133,Règles_poneys[Ration]&amp;Règles_poneys[Aliment],0))="s1",IF($FN133=Spécificité1Poneys,1)),
AND(INDEX(Règles_poneys[Specificite],MATCH(RationHivernaleAuPréPoneys&amp;$FN133,Règles_poneys[Ration]&amp;Règles_poneys[Aliment],0))="s2",IF($FN133=Spécificité2Poneys,1)),
INDEX(Règles_poneys[Specificite],MATCH(RationHivernaleAuPréPoneys&amp;$FN133,Règles_poneys[Ration]&amp;Règles_poneys[Aliment],0))="c"),
INDEX(Règles_poneys[Valeur 24-36],MATCH(RationHivernaleAuPréPoneys&amp;$FN133,Règles_poneys[Ration]&amp;Règles_poneys[Aliment],0)),0),0)*SUM(TotalPoneys_24_36mois)*SUM(AG118:AG142))</f>
        <v>0</v>
      </c>
      <c r="FQ133" s="458">
        <f t="array" ref="FQ133">IF(OR(ChoixRationComplèteEtéPoneys=OUI,ChoixRationComplèteEtéPoneys="",AND(ChoixPoneysPréHiver=OUI,ChoixPoneysPréEté=OUI)),0,IFERROR(IF(OR(AND(INDEX(Règles_poneys[Specificite],MATCH(RationHivernaleAuPréPoneys&amp;$FN133,Règles_poneys[Ration]&amp;Règles_poneys[Aliment],0))="s1",IF($FN133=Spécificité1Poneys,1)),
AND(INDEX(Règles_poneys[Specificite],MATCH(RationHivernaleAuPréPoneys&amp;$FN133,Règles_poneys[Ration]&amp;Règles_poneys[Aliment],0))="s2",IF($FN133=Spécificité2Poneys,1)),
INDEX(Règles_poneys[Specificite],MATCH(RationHivernaleAuPréPoneys&amp;$FN133,Règles_poneys[Ration]&amp;Règles_poneys[Aliment],0))="c"),
INDEX(Règles_poneys[Valeur 12-24],MATCH(RationHivernaleAuPréPoneys&amp;$FN133,Règles_poneys[Ration]&amp;Règles_poneys[Aliment],0)),0),0)*SUM(TotalPoneys_12_24mois)*SUM(AG118:AG142))</f>
        <v>0</v>
      </c>
      <c r="FR133" s="460">
        <f t="array" ref="FR133">IF(OR(ChoixRationComplèteEtéPoneys=OUI,ChoixRationComplèteEtéPoneys="",AND(ChoixPoneysPréHiver=OUI,ChoixPoneysPréEté=OUI)),0,IFERROR(IF(OR(AND(INDEX(Règles_poneys[Specificite],MATCH(RationHivernaleAuPréPoneys&amp;$FN133,Règles_poneys[Ration]&amp;Règles_poneys[Aliment],0))="s1",IF($FN133=Spécificité1Poneys,1)),
AND(INDEX(Règles_poneys[Specificite],MATCH(RationHivernaleAuPréPoneys&amp;$FN133,Règles_poneys[Ration]&amp;Règles_poneys[Aliment],0))="s2",IF($FN133=Spécificité2Poneys,1)),
INDEX(Règles_poneys[Specificite],MATCH(RationHivernaleAuPréPoneys&amp;$FN133,Règles_poneys[Ration]&amp;Règles_poneys[Aliment],0))="c"),
INDEX(Règles_poneys[Valeur 0-12],MATCH(RationHivernaleAuPréPoneys&amp;$FN133,Règles_poneys[Ration]&amp;Règles_poneys[Aliment],0)),0),0)*SUM(TotalPoulainsPoneys)*SUM(AG118:AG142))</f>
        <v>0</v>
      </c>
      <c r="FS133" s="460">
        <f t="shared" si="29"/>
        <v>0</v>
      </c>
      <c r="FT133" s="298"/>
      <c r="FX133" s="315"/>
      <c r="FY133" s="315"/>
      <c r="FZ133" s="315"/>
      <c r="GA133" s="315"/>
      <c r="GG133" s="276" t="s">
        <v>955</v>
      </c>
      <c r="GH133" s="276" t="s">
        <v>955</v>
      </c>
      <c r="GI133" s="276" t="s">
        <v>955</v>
      </c>
      <c r="GJ133" s="276" t="s">
        <v>955</v>
      </c>
      <c r="GK133" s="276" t="s">
        <v>955</v>
      </c>
      <c r="GL133" s="276" t="s">
        <v>955</v>
      </c>
      <c r="GM133" s="276" t="s">
        <v>955</v>
      </c>
      <c r="GN133" s="276" t="s">
        <v>955</v>
      </c>
      <c r="GO133" s="276" t="s">
        <v>955</v>
      </c>
      <c r="GP133" s="276" t="s">
        <v>955</v>
      </c>
      <c r="GQ133" s="276" t="s">
        <v>955</v>
      </c>
      <c r="GR133" s="276" t="s">
        <v>955</v>
      </c>
      <c r="GS133" s="276" t="s">
        <v>955</v>
      </c>
      <c r="GT133" s="276" t="s">
        <v>955</v>
      </c>
      <c r="GU133" s="276" t="s">
        <v>955</v>
      </c>
      <c r="GV133" s="276" t="s">
        <v>955</v>
      </c>
    </row>
    <row r="134" spans="1:204" ht="12.75" customHeight="1" x14ac:dyDescent="0.2">
      <c r="A134" s="373"/>
      <c r="B134" s="382"/>
      <c r="BB134" s="387" t="s">
        <v>517</v>
      </c>
      <c r="BC134" s="362" t="s">
        <v>510</v>
      </c>
      <c r="BD134" s="362" t="s">
        <v>886</v>
      </c>
      <c r="BE134" s="388">
        <v>28</v>
      </c>
      <c r="BF134" s="388">
        <v>24</v>
      </c>
      <c r="BG134" s="388">
        <v>20</v>
      </c>
      <c r="BH134" s="388">
        <v>16</v>
      </c>
      <c r="BI134" s="388">
        <v>8</v>
      </c>
      <c r="BJ134" s="388">
        <v>4</v>
      </c>
      <c r="BK134" s="389">
        <v>0</v>
      </c>
      <c r="BL134" s="312"/>
      <c r="BM134" s="350" t="str">
        <f t="shared" si="43"/>
        <v>Orge</v>
      </c>
      <c r="BN134" s="351">
        <f t="array" ref="BN134">SUM((IF(QualitéAlimentsBisonneauxMâles_0_3_mois=BONNE,VLOOKUP("Orge",AlimentsRationHivernaleBisonsMâles,8,FALSE),0)+(IF(QualitéAlimentsBisonneauxFemelles_0_3_mois=BONNE,VLOOKUP("Orge",AlimentsRationHivernaleBisonsFemelles,8,FALSE),0)+(IF(QualitéAlimentsBisonneauxMâles_3_6_mois=BONNE,VLOOKUP("Orge",AlimentsRationHivernaleBisonsMâles,7,FALSE),0)+(IF(QualitéAlimentsBisonneauxFemelles_3_6_mois=BONNE,VLOOKUP("Orge",AlimentsRationHivernaleBisonsFemelles,7,FALSE),0)+(IF(QualitéAlimentsBisonneauxMâles_6_12_mois=BONNE,VLOOKUP("Orge",AlimentsRationHivernaleBisonsMâles,6,FALSE),0)+(IF(QualitéAlimentsBisonneauxFemelles_6_12_mois=BONNE,VLOOKUP("Orge",AlimentsRationHivernaleBisonsFemelles,6,FALSE),0)+(IF(QualitéAlimentsJeunesBisons_12_18_mois=BONNE,VLOOKUP("Orge",AlimentsRationHivernaleBisonsMâles,5,FALSE),0)+(IF(QualitéAlimentsJeunesBisonnes_12_18_mois=BONNE,VLOOKUP("Orge",AlimentsRationHivernaleBisonsFemelles,5,FALSE),0)+(IF(QualitéAlimentsJeunesBisons_18_24_mois=BONNE,VLOOKUP("Orge",AlimentsRationHivernaleBisonsMâles,4,FALSE),0)+(IF(QualitéAlimentsJeunesBisonnes_18_24_mois=BONNE,VLOOKUP("Orge",AlimentsRationHivernaleBisonsFemelles,4,FALSE),0)+(IF(QualitéAlimentsJeunesBisons_24_36_mois=BONNE,VLOOKUP("Orge",AlimentsRationHivernaleBisonsMâles,3,FALSE),0)+(IF(QualitéAlimentsJeunesBisonnes_24_36_mois=BONNE,VLOOKUP("Orge",AlimentsRationHivernaleBisonsFemelles,3,FALSE),0)+(IF(QualitéAlimentsBisons=BONNE,VLOOKUP("Orge",AlimentsRationHivernaleBisonsMâles,2,FALSE),0)+(IF(QualitéAlimentsBisonnes=BONNE,VLOOKUP("Orge",AlimentsRationHivernaleBisonsFemelles,2,FALSE),0))))))))))))))))</f>
        <v>0</v>
      </c>
      <c r="BO134" s="351">
        <f t="array" ref="BO134">SUM((IF(QualitéAlimentsBisonneauxMâles_0_3_mois=MOYENNE,VLOOKUP("Orge",AlimentsRationHivernaleBisonsMâles,8,FALSE),0)+(IF(QualitéAlimentsBisonneauxFemelles_0_3_mois=MOYENNE,VLOOKUP("Orge",AlimentsRationHivernaleBisonsFemelles,8,FALSE),0)+(IF(QualitéAlimentsBisonneauxMâles_3_6_mois=MOYENNE,VLOOKUP("Orge",AlimentsRationHivernaleBisonsMâles,7,FALSE),0)+(IF(QualitéAlimentsBisonneauxFemelles_3_6_mois=MOYENNE,VLOOKUP("Orge",AlimentsRationHivernaleBisonsFemelles,7,FALSE),0)+(IF(QualitéAlimentsBisonneauxMâles_6_12_mois=MOYENNE,VLOOKUP("Orge",AlimentsRationHivernaleBisonsMâles,6,FALSE),0)+(IF(QualitéAlimentsBisonneauxFemelles_6_12_mois=MOYENNE,VLOOKUP("Orge",AlimentsRationHivernaleBisonsFemelles,6,FALSE),0)+(IF(QualitéAlimentsJeunesBisons_12_18_mois=MOYENNE,VLOOKUP("Orge",AlimentsRationHivernaleBisonsMâles,5,FALSE),0)+(IF(QualitéAlimentsJeunesBisonnes_12_18_mois=MOYENNE,VLOOKUP("Orge",AlimentsRationHivernaleBisonsFemelles,5,FALSE),0)+(IF(QualitéAlimentsJeunesBisons_18_24_mois=MOYENNE,VLOOKUP("Orge",AlimentsRationHivernaleBisonsMâles,4,FALSE),0)+(IF(QualitéAlimentsJeunesBisonnes_18_24_mois=MOYENNE,VLOOKUP("Orge",AlimentsRationHivernaleBisonsFemelles,4,FALSE),0)+(IF(QualitéAlimentsJeunesBisons_24_36_mois=MOYENNE,VLOOKUP("Orge",AlimentsRationHivernaleBisonsMâles,3,FALSE),0)+(IF(QualitéAlimentsJeunesBisonnes_24_36_mois=MOYENNE,VLOOKUP("Orge",AlimentsRationHivernaleBisonsFemelles,3,FALSE),0)+(IF(QualitéAlimentsBisons=MOYENNE,VLOOKUP("Orge",AlimentsRationHivernaleBisonsMâles,2,FALSE),0)+(IF(QualitéAlimentsBisonnes=MOYENNE,VLOOKUP("Orge",AlimentsRationHivernaleBisonsFemelles,2,FALSE),0))))))))))))))))</f>
        <v>0</v>
      </c>
      <c r="BP134" s="351">
        <f t="array" ref="BP134">SUM((IF(QualitéAlimentsBisonneauxMâles_0_3_mois=MAUVAISE,VLOOKUP("Orge",AlimentsRationHivernaleBisonsMâles,8,FALSE),0)+(IF(QualitéAlimentsBisonneauxFemelles_0_3_mois=MAUVAISE,VLOOKUP("Orge",AlimentsRationHivernaleBisonsFemelles,8,FALSE),0)+(IF(QualitéAlimentsBisonneauxMâles_3_6_mois=MAUVAISE,VLOOKUP("Orge",AlimentsRationHivernaleBisonsMâles,7,FALSE),0)+(IF(QualitéAlimentsBisonneauxFemelles_3_6_mois=MAUVAISE,VLOOKUP("Orge",AlimentsRationHivernaleBisonsFemelles,7,FALSE),0)+(IF(QualitéAlimentsBisonneauxMâles_6_12_mois=MAUVAISE,VLOOKUP("Orge",AlimentsRationHivernaleBisonsMâles,6,FALSE),0)+(IF(QualitéAlimentsBisonneauxFemelles_6_12_mois=MAUVAISE,VLOOKUP("Orge",AlimentsRationHivernaleBisonsFemelles,6,FALSE),0)+(IF(QualitéAlimentsJeunesBisons_12_18_mois=MAUVAISE,VLOOKUP("Orge",AlimentsRationHivernaleBisonsMâles,5,FALSE),0)+(IF(QualitéAlimentsJeunesBisonnes_12_18_mois=MAUVAISE,VLOOKUP("Orge",AlimentsRationHivernaleBisonsFemelles,5,FALSE),0)+(IF(QualitéAlimentsJeunesBisons_18_24_mois=MAUVAISE,VLOOKUP("Orge",AlimentsRationHivernaleBisonsMâles,4,FALSE),0)+(IF(QualitéAlimentsJeunesBisonnes_18_24_mois=MAUVAISE,VLOOKUP("Orge",AlimentsRationHivernaleBisonsFemelles,4,FALSE),0)+(IF(QualitéAlimentsJeunesBisons_24_36_mois=MAUVAISE,VLOOKUP("Orge",AlimentsRationHivernaleBisonsMâles,3,FALSE),0)+(IF(QualitéAlimentsJeunesBisonnes_24_36_mois=MAUVAISE,VLOOKUP("Orge",AlimentsRationHivernaleBisonsFemelles,3,FALSE),0)+(IF(QualitéAlimentsBisons=MAUVAISE,VLOOKUP("Orge",AlimentsRationHivernaleBisonsMâles,2,FALSE),0)+(IF(QualitéAlimentsBisonnes=MAUVAISE,VLOOKUP("Orge",AlimentsRationHivernaleBisonsFemelles,2,FALSE),0))))))))))))))))</f>
        <v>0</v>
      </c>
      <c r="BQ134" s="282"/>
      <c r="BR134" s="282"/>
      <c r="BS134" s="282"/>
      <c r="BT134" s="282"/>
      <c r="BU134" s="282"/>
      <c r="BX134" s="350" t="s">
        <v>488</v>
      </c>
      <c r="BY134" s="350">
        <f t="array" ref="BY134">IF(ChoixRationComplèteCaprins=OUI,0,IFERROR(IF(OR(AND(INDEX(Règles_caprins[Specificite],MATCH(ChoixRationCaprins&amp;$BX134,Règles_caprins[Ration]&amp;Règles_caprins[Aliment],0))="s1",IF($BX134=Spécificité1Caprins,1)),
INDEX(Règles_caprins[Specificite],MATCH(ChoixRationCaprins&amp;$BX134,Règles_caprins[Ration]&amp;Règles_caprins[Aliment],0))="c"),
INDEX(Règles_caprins[Valeur 12 et plus],MATCH(ChoixRationCaprins&amp;$BX134,Règles_caprins[Ration]&amp;Règles_caprins[Aliment],0)),0),0)*TotalBoucs*NbreJoursNourrirCaprins)</f>
        <v>0</v>
      </c>
      <c r="BZ134" s="350">
        <f t="array" ref="BZ134">IF(ChoixRationComplèteCaprins=OUI,0,IFERROR(IF(OR(AND(INDEX(Règles_caprins[Specificite],MATCH(ChoixRationCaprins&amp;$BX134,Règles_caprins[Ration]&amp;Règles_caprins[Aliment],0))="s1",IF($BX134=Spécificité1Caprins,1)),
INDEX(Règles_caprins[Specificite],MATCH(ChoixRationCaprins&amp;$BX134,Règles_caprins[Ration]&amp;Règles_caprins[Aliment],0))="c"),
INDEX(Règles_caprins[Valeur 6-12],MATCH(ChoixRationCaprins&amp;$BX134,Règles_caprins[Ration]&amp;Règles_caprins[Aliment],0)),0),0)*jeune_bouc_6_12_mois*NbreJoursNourrirCaprins)</f>
        <v>0</v>
      </c>
      <c r="CA134" s="350">
        <f t="array" ref="CA134">IF(ChoixRationComplèteCaprins=OUI,0,IFERROR(IF(OR(AND(INDEX(Règles_caprins[Specificite],MATCH(ChoixRationCaprins&amp;$BX134,Règles_caprins[Ration]&amp;Règles_caprins[Aliment],0))="s1",IF($BX134=Spécificité1Caprins,1)),
INDEX(Règles_caprins[Specificite],MATCH(ChoixRationCaprins&amp;$BX134,Règles_caprins[Ration]&amp;Règles_caprins[Aliment],0))="c"),
INDEX(Règles_caprins[Valeur 3-6],MATCH(ChoixRationCaprins&amp;$BX134,Règles_caprins[Ration]&amp;Règles_caprins[Aliment],0)),0),0)*chevreau_3_6_mois*NbreJoursNourrirCaprins)</f>
        <v>0</v>
      </c>
      <c r="CB134" s="350">
        <f t="array" ref="CB134">IF(ChoixRationComplèteCaprins=OUI,0,IFERROR(IF(OR(AND(INDEX(Règles_caprins[Specificite],MATCH(ChoixRationCaprins&amp;$BX134,Règles_caprins[Ration]&amp;Règles_caprins[Aliment],0))="s1",IF($BX134=Spécificité1Caprins,1)),
INDEX(Règles_caprins[Specificite],MATCH(ChoixRationCaprins&amp;$BX134,Règles_caprins[Ration]&amp;Règles_caprins[Aliment],0))="c"),
INDEX(Règles_caprins[Valeur 0-3],MATCH(ChoixRationCaprins&amp;$BX134,Règles_caprins[Ration]&amp;Règles_caprins[Aliment],0)),0),0)*chevreau_0_3_mois*NbreJoursNourrirCaprins)</f>
        <v>0</v>
      </c>
      <c r="CC134" s="350">
        <f t="shared" si="41"/>
        <v>0</v>
      </c>
      <c r="CH134" s="276"/>
      <c r="CI134" s="277"/>
      <c r="CJ134" s="420" t="s">
        <v>569</v>
      </c>
      <c r="CK134" s="408">
        <f>CK21*SUM(TotalPorcelets)*SUM(Z76:Z100)</f>
        <v>0</v>
      </c>
      <c r="CM134" s="420" t="s">
        <v>569</v>
      </c>
      <c r="CN134" s="408">
        <f>CN21*SUM(TotalPorcelets)*SUM(Z76:Z100)</f>
        <v>0</v>
      </c>
      <c r="CO134" s="279"/>
      <c r="CP134" s="298"/>
      <c r="CS134" s="420">
        <f t="shared" si="36"/>
        <v>0</v>
      </c>
      <c r="CT134" s="433">
        <f t="array" ref="CT134">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34" s="433">
        <f t="array" ref="CU134">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34" s="433">
        <f t="array" ref="CV134">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34" s="434">
        <f>SUM(AlimentsRationLapinsFemelles[[#This Row],[Valeur 3 et plus]:[Valeur 0-1]])</f>
        <v>0</v>
      </c>
      <c r="CZ134" s="420">
        <f t="shared" si="37"/>
        <v>0</v>
      </c>
      <c r="DA134" s="433">
        <f t="array" ref="DA13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34" s="433">
        <f t="array" ref="DB13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34" s="433">
        <f t="array" ref="DC134">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34" s="434">
        <f>SUM(AlimentsRationVolaillesFemelles[[#This Row],[Valeur 6 et plus]:[Valeur 0-1]])</f>
        <v>0</v>
      </c>
      <c r="DG134" s="277"/>
      <c r="DN134" s="373" t="s">
        <v>551</v>
      </c>
      <c r="DO134" s="280" t="s">
        <v>907</v>
      </c>
      <c r="DP134" s="280" t="s">
        <v>932</v>
      </c>
      <c r="DQ134" s="310">
        <v>1.2</v>
      </c>
      <c r="DR134" s="310">
        <v>0.8</v>
      </c>
      <c r="DS134" s="310">
        <v>0.6</v>
      </c>
      <c r="DT134" s="439">
        <v>0.4</v>
      </c>
      <c r="EK134" s="276"/>
      <c r="EN134" s="335" t="s">
        <v>912</v>
      </c>
      <c r="EO134" s="343"/>
      <c r="EP134" s="343"/>
      <c r="EQ134" s="343"/>
      <c r="ER134" s="335"/>
      <c r="EU134" s="457" t="str">
        <f t="shared" si="40"/>
        <v>Triticale</v>
      </c>
      <c r="EV134" s="458">
        <f t="array" ref="EV134">IF(OR(ChoixRationComplèteEtéChevauxSelle=OUI,ChoixRationComplèteEtéChevauxSelle="",AND(ChoixChevauxSellePréHiver=OUI,ChoixChevauxSellePréEté=OUI)),0,IFERROR(IF(OR(AND(INDEX(Règles_chevaux_selle[Specificite],MATCH(RationEtéChevauxSelle&amp;$EU134,Règles_chevaux_selle[Ration]&amp;Règles_chevaux_selle[Aliment],0))="s1",IF($EU134=Spécificité1ChevauxSelle,1)),
AND(INDEX(Règles_chevaux_selle[Specificite],MATCH(RationEtéChevauxSelle&amp;$EU134,Règles_chevaux_selle[Ration]&amp;Règles_chevaux_selle[Aliment],0))="s2",IF($EU134=Spécificité2ChevauxSelle,1)),
INDEX(Règles_chevaux_selle[Specificite],MATCH(RationEtéChevauxSelle&amp;$EU134,Règles_chevaux_selle[Ration]&amp;Règles_chevaux_selle[Aliment],0))="c"),
INDEX(Règles_chevaux_selle[Valeur 36 et plus],MATCH(RationEtéChevauxSelle&amp;$EU134,Règles_chevaux_selle[Ration]&amp;Règles_chevaux_selle[Aliment],0)),0),0)*TotalJumentSelle*NbreJoursNourrirChevauxSelle)</f>
        <v>0</v>
      </c>
      <c r="EW134" s="458">
        <f t="array" ref="EW134">IF(OR(ChoixRationComplèteEtéChevauxSelle=OUI,ChoixRationComplèteEtéChevauxSelle="",AND(ChoixChevauxSellePréHiver=OUI,ChoixChevauxSellePréEté=OUI)),0,IFERROR(IF(OR(AND(INDEX(Règles_chevaux_selle[Specificite],MATCH(RationEtéChevauxSelle&amp;$EU134,Règles_chevaux_selle[Ration]&amp;Règles_chevaux_selle[Aliment],0))="s1",IF($EU134=Spécificité1ChevauxSelle,1)),
AND(INDEX(Règles_chevaux_selle[Specificite],MATCH(RationEtéChevauxSelle&amp;$EU134,Règles_chevaux_selle[Ration]&amp;Règles_chevaux_selle[Aliment],0))="s2",IF($EU134=Spécificité2ChevauxSelle,1)),
INDEX(Règles_chevaux_selle[Specificite],MATCH(RationEtéChevauxSelle&amp;$EU134,Règles_chevaux_selle[Ration]&amp;Règles_chevaux_selle[Aliment],0))="c"),
INDEX(Règles_chevaux_selle[Valeur 24-36],MATCH(RationEtéChevauxSelle&amp;$EU134,Règles_chevaux_selle[Ration]&amp;Règles_chevaux_selle[Aliment],0)),0),0)*TotalJeuneJumentSelle_24_36_mois*NbreJoursNourrirChevauxSelle)</f>
        <v>0</v>
      </c>
      <c r="EX134" s="458">
        <f t="array" ref="EX134">IF(OR(ChoixRationComplèteEtéChevauxSelle=OUI,ChoixRationComplèteEtéChevauxSelle="",AND(ChoixChevauxSellePréHiver=OUI,ChoixChevauxSellePréEté=OUI)),0,IFERROR(IF(OR(AND(INDEX(Règles_chevaux_selle[Specificite],MATCH(RationEtéChevauxSelle&amp;$EU134,Règles_chevaux_selle[Ration]&amp;Règles_chevaux_selle[Aliment],0))="s1",IF($EU134=Spécificité1ChevauxSelle,1)),
AND(INDEX(Règles_chevaux_selle[Specificite],MATCH(RationEtéChevauxSelle&amp;$EU134,Règles_chevaux_selle[Ration]&amp;Règles_chevaux_selle[Aliment],0))="s2",IF($EU134=Spécificité2ChevauxSelle,1)),
INDEX(Règles_chevaux_selle[Specificite],MATCH(RationEtéChevauxSelle&amp;$EU134,Règles_chevaux_selle[Ration]&amp;Règles_chevaux_selle[Aliment],0))="c"),
INDEX(Règles_chevaux_selle[Valeur 12-24],MATCH(RationEtéChevauxSelle&amp;$EU134,Règles_chevaux_selle[Ration]&amp;Règles_chevaux_selle[Aliment],0)),0),0)*TotalJeuneJumentSelle_12_24_mois_12_24_mois*NbreJoursNourrirChevauxSelle)</f>
        <v>0</v>
      </c>
      <c r="EY134" s="460">
        <f t="array" ref="EY134">IF(OR(ChoixRationComplèteEtéChevauxSelle=OUI,ChoixRationComplèteEtéChevauxSelle="",AND(ChoixChevauxSellePréHiver=OUI,ChoixChevauxSellePréEté=OUI)),0,IFERROR(IF(OR(AND(INDEX(Règles_chevaux_selle[Specificite],MATCH(RationEtéChevauxSelle&amp;$EU134,Règles_chevaux_selle[Ration]&amp;Règles_chevaux_selle[Aliment],0))="s1",IF($EU134=Spécificité1ChevauxSelle,1)),
AND(INDEX(Règles_chevaux_selle[Specificite],MATCH(RationEtéChevauxSelle&amp;$EU134,Règles_chevaux_selle[Ration]&amp;Règles_chevaux_selle[Aliment],0))="s2",IF($EU134=Spécificité2ChevauxSelle,1)),
INDEX(Règles_chevaux_selle[Specificite],MATCH(RationEtéChevauxSelle&amp;$EU134,Règles_chevaux_selle[Ration]&amp;Règles_chevaux_selle[Aliment],0))="c"),
INDEX(Règles_chevaux_selle[Valeur 0-12],MATCH(RationEtéChevauxSelle&amp;$EU134,Règles_chevaux_selle[Ration]&amp;Règles_chevaux_selle[Aliment],0)),0),0)*TotalPoulicheSelle_0_12_mois*NbreJoursNourrirChevauxSelle)</f>
        <v>0</v>
      </c>
      <c r="EZ134" s="460">
        <f t="shared" si="39"/>
        <v>0</v>
      </c>
      <c r="FD134" s="457">
        <f t="shared" si="33"/>
        <v>0</v>
      </c>
      <c r="FE134" s="458">
        <f t="array" ref="FE134">IF(OR(ChoixRationComplèteEtéChevauxTrait=OUI,ChoixRationComplèteEtéChevauxTrait="",AND(ChoixChevauxTraitPréHiver=OUI,ChoixChevauxTraitPréEté=OUI)),0,IFERROR(IF(OR(AND(INDEX(Règles_chevaux_trait[Specificite],MATCH(RationEtéChevauxTrait&amp;$FD134,Règles_chevaux_trait[Ration]&amp;Règles_chevaux_trait[Aliment],0))="s1",IF($FD134=Spécificité1ChevauxTrait,1)),
AND(INDEX(Règles_chevaux_trait[Specificite],MATCH(RationEtéChevauxTrait&amp;$FD134,Règles_chevaux_trait[Ration]&amp;Règles_chevaux_trait[Aliment],0))="s2",IF($FD134=Spécificité2ChevauxTrait,1)),
INDEX(Règles_chevaux_trait[Specificite],MATCH(RationEtéChevauxTrait&amp;$FD134,Règles_chevaux_trait[Ration]&amp;Règles_chevaux_trait[Aliment],0))="c"),
INDEX(Règles_chevaux_trait[Valeur 36 et plus],MATCH(RationEtéChevauxTrait&amp;$FD134,Règles_chevaux_trait[Ration]&amp;Règles_chevaux_trait[Aliment],0)),0),0)*TotalJumentTrait*NbreJoursNourrirChevauxTrait)</f>
        <v>0</v>
      </c>
      <c r="FF134" s="458">
        <f t="array" ref="FF134">IF(OR(ChoixRationComplèteEtéChevauxTrait=OUI,ChoixRationComplèteEtéChevauxTrait="",AND(ChoixChevauxTraitPréHiver=OUI,ChoixChevauxTraitPréEté=OUI)),0,IFERROR(IF(OR(AND(INDEX(Règles_chevaux_trait[Specificite],MATCH(RationEtéChevauxTrait&amp;$FD134,Règles_chevaux_trait[Ration]&amp;Règles_chevaux_trait[Aliment],0))="s1",IF($FD134=Spécificité1ChevauxTrait,1)),
AND(INDEX(Règles_chevaux_trait[Specificite],MATCH(RationEtéChevauxTrait&amp;$FD134,Règles_chevaux_trait[Ration]&amp;Règles_chevaux_trait[Aliment],0))="s2",IF($FD134=Spécificité2ChevauxTrait,1)),
INDEX(Règles_chevaux_trait[Specificite],MATCH(RationEtéChevauxTrait&amp;$FD134,Règles_chevaux_trait[Ration]&amp;Règles_chevaux_trait[Aliment],0))="c"),
INDEX(Règles_chevaux_trait[Valeur 24-36],MATCH(RationEtéChevauxTrait&amp;$FD134,Règles_chevaux_trait[Ration]&amp;Règles_chevaux_trait[Aliment],0)),0),0)*TotalJeuneJumentTrait_24_36_mois*NbreJoursNourrirChevauxTrait)</f>
        <v>0</v>
      </c>
      <c r="FG134" s="458">
        <f t="array" ref="FG134">IF(OR(ChoixRationComplèteEtéChevauxTrait=OUI,ChoixRationComplèteEtéChevauxTrait="",AND(ChoixChevauxTraitPréHiver=OUI,ChoixChevauxTraitPréEté=OUI)),0,IFERROR(IF(OR(AND(INDEX(Règles_chevaux_trait[Specificite],MATCH(RationEtéChevauxTrait&amp;$FD134,Règles_chevaux_trait[Ration]&amp;Règles_chevaux_trait[Aliment],0))="s1",IF($FD134=Spécificité1ChevauxTrait,1)),
AND(INDEX(Règles_chevaux_trait[Specificite],MATCH(RationEtéChevauxTrait&amp;$FD134,Règles_chevaux_trait[Ration]&amp;Règles_chevaux_trait[Aliment],0))="s2",IF($FD134=Spécificité2ChevauxTrait,1)),
INDEX(Règles_chevaux_trait[Specificite],MATCH(RationEtéChevauxTrait&amp;$FD134,Règles_chevaux_trait[Ration]&amp;Règles_chevaux_trait[Aliment],0))="c"),
INDEX(Règles_chevaux_trait[Valeur 12-24],MATCH(RationEtéChevauxTrait&amp;$FD134,Règles_chevaux_trait[Ration]&amp;Règles_chevaux_trait[Aliment],0)),0),0)*TotalJeuneJumentTrait_12_24_mois*NbreJoursNourrirChevauxTrait)</f>
        <v>0</v>
      </c>
      <c r="FH134" s="460">
        <f t="array" ref="FH134">IF(OR(ChoixRationComplèteEtéChevauxTrait=OUI,ChoixRationComplèteEtéChevauxTrait="",AND(ChoixChevauxTraitPréHiver=OUI,ChoixChevauxTraitPréEté=OUI)),0,IFERROR(IF(OR(AND(INDEX(Règles_chevaux_trait[Specificite],MATCH(RationEtéChevauxTrait&amp;$FD134,Règles_chevaux_trait[Ration]&amp;Règles_chevaux_trait[Aliment],0))="s1",IF($FD134=Spécificité1ChevauxTrait,1)),
AND(INDEX(Règles_chevaux_trait[Specificite],MATCH(RationEtéChevauxTrait&amp;$FD134,Règles_chevaux_trait[Ration]&amp;Règles_chevaux_trait[Aliment],0))="s2",IF($FD134=Spécificité2ChevauxTrait,1)),
INDEX(Règles_chevaux_trait[Specificite],MATCH(RationEtéChevauxTrait&amp;$FD134,Règles_chevaux_trait[Ration]&amp;Règles_chevaux_trait[Aliment],0))="c"),
INDEX(Règles_chevaux_trait[Valeur 0-12],MATCH(RationEtéChevauxTrait&amp;$FD134,Règles_chevaux_trait[Ration]&amp;Règles_chevaux_trait[Aliment],0)),0),0)*TotalPoulicheTrait_0_12_mois*NbreJoursNourrirChevauxTrait)</f>
        <v>0</v>
      </c>
      <c r="FI134" s="460">
        <f t="shared" si="31"/>
        <v>0</v>
      </c>
      <c r="FJ134" s="298"/>
      <c r="FS134" s="276"/>
      <c r="FT134" s="298"/>
      <c r="FW134" s="335" t="s">
        <v>1195</v>
      </c>
      <c r="FX134" s="335"/>
      <c r="FY134" s="335"/>
      <c r="FZ134" s="335"/>
      <c r="GA134" s="315"/>
      <c r="GG134" s="276" t="s">
        <v>955</v>
      </c>
      <c r="GH134" s="276" t="s">
        <v>955</v>
      </c>
      <c r="GI134" s="276" t="s">
        <v>955</v>
      </c>
      <c r="GJ134" s="276" t="s">
        <v>955</v>
      </c>
      <c r="GK134" s="276" t="s">
        <v>955</v>
      </c>
      <c r="GL134" s="276" t="s">
        <v>955</v>
      </c>
      <c r="GM134" s="276" t="s">
        <v>955</v>
      </c>
      <c r="GN134" s="276" t="s">
        <v>955</v>
      </c>
      <c r="GO134" s="276" t="s">
        <v>955</v>
      </c>
      <c r="GP134" s="276" t="s">
        <v>955</v>
      </c>
      <c r="GQ134" s="276" t="s">
        <v>955</v>
      </c>
      <c r="GR134" s="276" t="s">
        <v>955</v>
      </c>
      <c r="GS134" s="276" t="s">
        <v>955</v>
      </c>
      <c r="GT134" s="276" t="s">
        <v>955</v>
      </c>
      <c r="GU134" s="276" t="s">
        <v>955</v>
      </c>
      <c r="GV134" s="276" t="s">
        <v>955</v>
      </c>
    </row>
    <row r="135" spans="1:204" ht="12.75" customHeight="1" x14ac:dyDescent="0.2">
      <c r="A135" s="373"/>
      <c r="B135" s="382"/>
      <c r="BB135" s="387" t="s">
        <v>517</v>
      </c>
      <c r="BC135" s="362" t="s">
        <v>269</v>
      </c>
      <c r="BD135" s="362" t="s">
        <v>886</v>
      </c>
      <c r="BE135" s="388">
        <v>48</v>
      </c>
      <c r="BF135" s="388">
        <v>40</v>
      </c>
      <c r="BG135" s="388">
        <v>30</v>
      </c>
      <c r="BH135" s="388">
        <v>22</v>
      </c>
      <c r="BI135" s="388">
        <v>14</v>
      </c>
      <c r="BJ135" s="388">
        <v>6</v>
      </c>
      <c r="BK135" s="389">
        <v>0</v>
      </c>
      <c r="BL135" s="312"/>
      <c r="BM135" s="350" t="str">
        <f t="shared" si="43"/>
        <v>Paille</v>
      </c>
      <c r="BN135" s="351">
        <f t="array" ref="BN135">SUM((IF(QualitéAlimentsBisonneauxMâles_0_3_mois=BONNE,VLOOKUP("Paille",AlimentsRationHivernaleBisonsMâles,8,FALSE),0)+(IF(QualitéAlimentsBisonneauxFemelles_0_3_mois=BONNE,VLOOKUP("Paille",AlimentsRationHivernaleBisonsFemelles,8,FALSE),0)+(IF(QualitéAlimentsBisonneauxMâles_3_6_mois=BONNE,VLOOKUP("Paille",AlimentsRationHivernaleBisonsMâles,7,FALSE),0)+(IF(QualitéAlimentsBisonneauxFemelles_3_6_mois=BONNE,VLOOKUP("Paille",AlimentsRationHivernaleBisonsFemelles,7,FALSE),0)+(IF(QualitéAlimentsBisonneauxMâles_6_12_mois=BONNE,VLOOKUP("Paille",AlimentsRationHivernaleBisonsMâles,6,FALSE),0)+(IF(QualitéAlimentsBisonneauxFemelles_6_12_mois=BONNE,VLOOKUP("Paille",AlimentsRationHivernaleBisonsFemelles,6,FALSE),0)+(IF(QualitéAlimentsJeunesBisons_12_18_mois=BONNE,VLOOKUP("Paille",AlimentsRationHivernaleBisonsMâles,5,FALSE),0)+(IF(QualitéAlimentsJeunesBisonnes_12_18_mois=BONNE,VLOOKUP("Paille",AlimentsRationHivernaleBisonsFemelles,5,FALSE),0)+(IF(QualitéAlimentsJeunesBisons_18_24_mois=BONNE,VLOOKUP("Paille",AlimentsRationHivernaleBisonsMâles,4,FALSE),0)+(IF(QualitéAlimentsJeunesBisonnes_18_24_mois=BONNE,VLOOKUP("Paille",AlimentsRationHivernaleBisonsFemelles,4,FALSE),0)+(IF(QualitéAlimentsJeunesBisons_24_36_mois=BONNE,VLOOKUP("Paille",AlimentsRationHivernaleBisonsMâles,3,FALSE),0)+(IF(QualitéAlimentsJeunesBisonnes_24_36_mois=BONNE,VLOOKUP("Paille",AlimentsRationHivernaleBisonsFemelles,3,FALSE),0)+(IF(QualitéAlimentsBisons=BONNE,VLOOKUP("Paille",AlimentsRationHivernaleBisonsMâles,2,FALSE),0)+(IF(QualitéAlimentsBisonnes=BONNE,VLOOKUP("Paille",AlimentsRationHivernaleBisonsFemelles,2,FALSE),0))))))))))))))))</f>
        <v>0</v>
      </c>
      <c r="BO135" s="351">
        <f t="array" ref="BO135">SUM((IF(QualitéAlimentsBisonneauxMâles_0_3_mois=MOYENNE,VLOOKUP("Paille",AlimentsRationHivernaleBisonsMâles,8,FALSE),0)+(IF(QualitéAlimentsBisonneauxFemelles_0_3_mois=MOYENNE,VLOOKUP("Paille",AlimentsRationHivernaleBisonsFemelles,8,FALSE),0)+(IF(QualitéAlimentsBisonneauxMâles_3_6_mois=MOYENNE,VLOOKUP("Paille",AlimentsRationHivernaleBisonsMâles,7,FALSE),0)+(IF(QualitéAlimentsBisonneauxFemelles_3_6_mois=MOYENNE,VLOOKUP("Paille",AlimentsRationHivernaleBisonsFemelles,7,FALSE),0)+(IF(QualitéAlimentsBisonneauxMâles_6_12_mois=MOYENNE,VLOOKUP("Paille",AlimentsRationHivernaleBisonsMâles,6,FALSE),0)+(IF(QualitéAlimentsBisonneauxFemelles_6_12_mois=MOYENNE,VLOOKUP("Paille",AlimentsRationHivernaleBisonsFemelles,6,FALSE),0)+(IF(QualitéAlimentsJeunesBisons_12_18_mois=MOYENNE,VLOOKUP("Paille",AlimentsRationHivernaleBisonsMâles,5,FALSE),0)+(IF(QualitéAlimentsJeunesBisonnes_12_18_mois=MOYENNE,VLOOKUP("Paille",AlimentsRationHivernaleBisonsFemelles,5,FALSE),0)+(IF(QualitéAlimentsJeunesBisons_18_24_mois=MOYENNE,VLOOKUP("Paille",AlimentsRationHivernaleBisonsMâles,4,FALSE),0)+(IF(QualitéAlimentsJeunesBisonnes_18_24_mois=MOYENNE,VLOOKUP("Paille",AlimentsRationHivernaleBisonsFemelles,4,FALSE),0)+(IF(QualitéAlimentsJeunesBisons_24_36_mois=MOYENNE,VLOOKUP("Paille",AlimentsRationHivernaleBisonsMâles,3,FALSE),0)+(IF(QualitéAlimentsJeunesBisonnes_24_36_mois=MOYENNE,VLOOKUP("Paille",AlimentsRationHivernaleBisonsFemelles,3,FALSE),0)+(IF(QualitéAlimentsBisons=MOYENNE,VLOOKUP("Paille",AlimentsRationHivernaleBisonsMâles,2,FALSE),0)+(IF(QualitéAlimentsBisonnes=MOYENNE,VLOOKUP("Paille",AlimentsRationHivernaleBisonsFemelles,2,FALSE),0))))))))))))))))</f>
        <v>0</v>
      </c>
      <c r="BP135" s="351">
        <f t="array" ref="BP135">SUM((IF(QualitéAlimentsBisonneauxMâles_0_3_mois=MAUVAISE,VLOOKUP("Paille",AlimentsRationHivernaleBisonsMâles,8,FALSE),0)+(IF(QualitéAlimentsBisonneauxFemelles_0_3_mois=MAUVAISE,VLOOKUP("Paille",AlimentsRationHivernaleBisonsFemelles,8,FALSE),0)+(IF(QualitéAlimentsBisonneauxMâles_3_6_mois=MAUVAISE,VLOOKUP("Paille",AlimentsRationHivernaleBisonsMâles,7,FALSE),0)+(IF(QualitéAlimentsBisonneauxFemelles_3_6_mois=MAUVAISE,VLOOKUP("Paille",AlimentsRationHivernaleBisonsFemelles,7,FALSE),0)+(IF(QualitéAlimentsBisonneauxMâles_6_12_mois=MAUVAISE,VLOOKUP("Paille",AlimentsRationHivernaleBisonsMâles,6,FALSE),0)+(IF(QualitéAlimentsBisonneauxFemelles_6_12_mois=MAUVAISE,VLOOKUP("Paille",AlimentsRationHivernaleBisonsFemelles,6,FALSE),0)+(IF(QualitéAlimentsJeunesBisons_12_18_mois=MAUVAISE,VLOOKUP("Paille",AlimentsRationHivernaleBisonsMâles,5,FALSE),0)+(IF(QualitéAlimentsJeunesBisonnes_12_18_mois=MAUVAISE,VLOOKUP("Paille",AlimentsRationHivernaleBisonsFemelles,5,FALSE),0)+(IF(QualitéAlimentsJeunesBisons_18_24_mois=MAUVAISE,VLOOKUP("Paille",AlimentsRationHivernaleBisonsMâles,4,FALSE),0)+(IF(QualitéAlimentsJeunesBisonnes_18_24_mois=MAUVAISE,VLOOKUP("Paille",AlimentsRationHivernaleBisonsFemelles,4,FALSE),0)+(IF(QualitéAlimentsJeunesBisons_24_36_mois=MAUVAISE,VLOOKUP("Paille",AlimentsRationHivernaleBisonsMâles,3,FALSE),0)+(IF(QualitéAlimentsJeunesBisonnes_24_36_mois=MAUVAISE,VLOOKUP("Paille",AlimentsRationHivernaleBisonsFemelles,3,FALSE),0)+(IF(QualitéAlimentsBisons=MAUVAISE,VLOOKUP("Paille",AlimentsRationHivernaleBisonsMâles,2,FALSE),0)+(IF(QualitéAlimentsBisonnes=MAUVAISE,VLOOKUP("Paille",AlimentsRationHivernaleBisonsFemelles,2,FALSE),0))))))))))))))))</f>
        <v>0</v>
      </c>
      <c r="BQ135" s="282"/>
      <c r="BR135" s="282"/>
      <c r="BS135" s="282"/>
      <c r="BT135" s="282"/>
      <c r="BU135" s="282"/>
      <c r="BX135" s="350" t="s">
        <v>231</v>
      </c>
      <c r="BY135" s="350">
        <f t="array" ref="BY135">IF(ChoixRationComplèteCaprins=OUI,0,IFERROR(IF(OR(AND(INDEX(Règles_caprins[Specificite],MATCH(ChoixRationCaprins&amp;$BX135,Règles_caprins[Ration]&amp;Règles_caprins[Aliment],0))="s1",IF($BX135=Spécificité1Caprins,1)),
INDEX(Règles_caprins[Specificite],MATCH(ChoixRationCaprins&amp;$BX135,Règles_caprins[Ration]&amp;Règles_caprins[Aliment],0))="c"),
INDEX(Règles_caprins[Valeur 12 et plus],MATCH(ChoixRationCaprins&amp;$BX135,Règles_caprins[Ration]&amp;Règles_caprins[Aliment],0)),0),0)*TotalBoucs*NbreJoursNourrirCaprins)</f>
        <v>0</v>
      </c>
      <c r="BZ135" s="350">
        <f t="array" ref="BZ135">IF(ChoixRationComplèteCaprins=OUI,0,IFERROR(IF(OR(AND(INDEX(Règles_caprins[Specificite],MATCH(ChoixRationCaprins&amp;$BX135,Règles_caprins[Ration]&amp;Règles_caprins[Aliment],0))="s1",IF($BX135=Spécificité1Caprins,1)),
INDEX(Règles_caprins[Specificite],MATCH(ChoixRationCaprins&amp;$BX135,Règles_caprins[Ration]&amp;Règles_caprins[Aliment],0))="c"),
INDEX(Règles_caprins[Valeur 6-12],MATCH(ChoixRationCaprins&amp;$BX135,Règles_caprins[Ration]&amp;Règles_caprins[Aliment],0)),0),0)*jeune_bouc_6_12_mois*NbreJoursNourrirCaprins)</f>
        <v>0</v>
      </c>
      <c r="CA135" s="350">
        <f t="array" ref="CA135">IF(ChoixRationComplèteCaprins=OUI,0,IFERROR(IF(OR(AND(INDEX(Règles_caprins[Specificite],MATCH(ChoixRationCaprins&amp;$BX135,Règles_caprins[Ration]&amp;Règles_caprins[Aliment],0))="s1",IF($BX135=Spécificité1Caprins,1)),
INDEX(Règles_caprins[Specificite],MATCH(ChoixRationCaprins&amp;$BX135,Règles_caprins[Ration]&amp;Règles_caprins[Aliment],0))="c"),
INDEX(Règles_caprins[Valeur 3-6],MATCH(ChoixRationCaprins&amp;$BX135,Règles_caprins[Ration]&amp;Règles_caprins[Aliment],0)),0),0)*chevreau_3_6_mois*NbreJoursNourrirCaprins)</f>
        <v>0</v>
      </c>
      <c r="CB135" s="350">
        <f t="array" ref="CB135">IF(ChoixRationComplèteCaprins=OUI,0,IFERROR(IF(OR(AND(INDEX(Règles_caprins[Specificite],MATCH(ChoixRationCaprins&amp;$BX135,Règles_caprins[Ration]&amp;Règles_caprins[Aliment],0))="s1",IF($BX135=Spécificité1Caprins,1)),
INDEX(Règles_caprins[Specificite],MATCH(ChoixRationCaprins&amp;$BX135,Règles_caprins[Ration]&amp;Règles_caprins[Aliment],0))="c"),
INDEX(Règles_caprins[Valeur 0-3],MATCH(ChoixRationCaprins&amp;$BX135,Règles_caprins[Ration]&amp;Règles_caprins[Aliment],0)),0),0)*chevreau_0_3_mois*NbreJoursNourrirCaprins)</f>
        <v>0</v>
      </c>
      <c r="CC135" s="350">
        <f t="shared" si="41"/>
        <v>0</v>
      </c>
      <c r="CH135" s="276"/>
      <c r="CI135" s="277"/>
      <c r="CJ135" s="421" t="s">
        <v>973</v>
      </c>
      <c r="CK135" s="422">
        <f>IF(AND(ChoixPaillagePorcins=OUI,OR(ChoixElevagePorcins=ElevagePorcinsLitière,ChoixElevagePorcins=ElevagePorcinsPleinAir)),SUBTOTAL(109,LitièrePorcins[litière]),0)</f>
        <v>0</v>
      </c>
      <c r="CM135" s="421" t="s">
        <v>973</v>
      </c>
      <c r="CN135" s="422">
        <f>SUBTOTAL(109,LisierPorcins[lisier])</f>
        <v>0</v>
      </c>
      <c r="CO135" s="277"/>
      <c r="CP135" s="298"/>
      <c r="CS135" s="420">
        <f t="shared" si="36"/>
        <v>0</v>
      </c>
      <c r="CT135" s="433">
        <f t="array" ref="CT135">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35" s="433">
        <f t="array" ref="CU135">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35" s="433">
        <f t="array" ref="CV135">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35" s="434">
        <f>SUM(AlimentsRationLapinsFemelles[[#This Row],[Valeur 3 et plus]:[Valeur 0-1]])</f>
        <v>0</v>
      </c>
      <c r="CZ135" s="420">
        <f t="shared" si="37"/>
        <v>0</v>
      </c>
      <c r="DA135" s="433">
        <f t="array" ref="DA13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35" s="433">
        <f t="array" ref="DB13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35" s="433">
        <f t="array" ref="DC135">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35" s="434">
        <f>SUM(AlimentsRationVolaillesFemelles[[#This Row],[Valeur 6 et plus]:[Valeur 0-1]])</f>
        <v>0</v>
      </c>
      <c r="DG135" s="347" t="s">
        <v>1019</v>
      </c>
      <c r="DH135" s="229"/>
      <c r="DN135" s="373" t="s">
        <v>551</v>
      </c>
      <c r="DO135" s="280" t="s">
        <v>500</v>
      </c>
      <c r="DP135" s="280" t="s">
        <v>886</v>
      </c>
      <c r="DQ135" s="310">
        <v>1.2</v>
      </c>
      <c r="DR135" s="310">
        <v>0.8</v>
      </c>
      <c r="DS135" s="310">
        <v>0.6</v>
      </c>
      <c r="DT135" s="439">
        <v>0.4</v>
      </c>
      <c r="EG135" s="229" t="s">
        <v>912</v>
      </c>
      <c r="EH135" s="344"/>
      <c r="EI135" s="344"/>
      <c r="EJ135" s="344"/>
      <c r="EK135" s="229"/>
      <c r="EN135" s="394" t="s">
        <v>910</v>
      </c>
      <c r="EO135" s="395" t="s">
        <v>929</v>
      </c>
      <c r="EP135" s="395" t="s">
        <v>890</v>
      </c>
      <c r="EQ135" s="395" t="s">
        <v>889</v>
      </c>
      <c r="ER135" s="396" t="s">
        <v>903</v>
      </c>
      <c r="EU135" s="457">
        <f t="shared" si="40"/>
        <v>0</v>
      </c>
      <c r="EV135" s="458">
        <f t="array" ref="EV135">IF(OR(ChoixRationComplèteEtéChevauxSelle=OUI,ChoixRationComplèteEtéChevauxSelle="",AND(ChoixChevauxSellePréHiver=OUI,ChoixChevauxSellePréEté=OUI)),0,IFERROR(IF(OR(AND(INDEX(Règles_chevaux_selle[Specificite],MATCH(RationEtéChevauxSelle&amp;$EU135,Règles_chevaux_selle[Ration]&amp;Règles_chevaux_selle[Aliment],0))="s1",IF($EU135=Spécificité1ChevauxSelle,1)),
AND(INDEX(Règles_chevaux_selle[Specificite],MATCH(RationEtéChevauxSelle&amp;$EU135,Règles_chevaux_selle[Ration]&amp;Règles_chevaux_selle[Aliment],0))="s2",IF($EU135=Spécificité2ChevauxSelle,1)),
INDEX(Règles_chevaux_selle[Specificite],MATCH(RationEtéChevauxSelle&amp;$EU135,Règles_chevaux_selle[Ration]&amp;Règles_chevaux_selle[Aliment],0))="c"),
INDEX(Règles_chevaux_selle[Valeur 36 et plus],MATCH(RationEtéChevauxSelle&amp;$EU135,Règles_chevaux_selle[Ration]&amp;Règles_chevaux_selle[Aliment],0)),0),0)*TotalJumentSelle*NbreJoursNourrirChevauxSelle)</f>
        <v>0</v>
      </c>
      <c r="EW135" s="458">
        <f t="array" ref="EW135">IF(OR(ChoixRationComplèteEtéChevauxSelle=OUI,ChoixRationComplèteEtéChevauxSelle="",AND(ChoixChevauxSellePréHiver=OUI,ChoixChevauxSellePréEté=OUI)),0,IFERROR(IF(OR(AND(INDEX(Règles_chevaux_selle[Specificite],MATCH(RationEtéChevauxSelle&amp;$EU135,Règles_chevaux_selle[Ration]&amp;Règles_chevaux_selle[Aliment],0))="s1",IF($EU135=Spécificité1ChevauxSelle,1)),
AND(INDEX(Règles_chevaux_selle[Specificite],MATCH(RationEtéChevauxSelle&amp;$EU135,Règles_chevaux_selle[Ration]&amp;Règles_chevaux_selle[Aliment],0))="s2",IF($EU135=Spécificité2ChevauxSelle,1)),
INDEX(Règles_chevaux_selle[Specificite],MATCH(RationEtéChevauxSelle&amp;$EU135,Règles_chevaux_selle[Ration]&amp;Règles_chevaux_selle[Aliment],0))="c"),
INDEX(Règles_chevaux_selle[Valeur 24-36],MATCH(RationEtéChevauxSelle&amp;$EU135,Règles_chevaux_selle[Ration]&amp;Règles_chevaux_selle[Aliment],0)),0),0)*TotalJeuneJumentSelle_24_36_mois*NbreJoursNourrirChevauxSelle)</f>
        <v>0</v>
      </c>
      <c r="EX135" s="458">
        <f t="array" ref="EX135">IF(OR(ChoixRationComplèteEtéChevauxSelle=OUI,ChoixRationComplèteEtéChevauxSelle="",AND(ChoixChevauxSellePréHiver=OUI,ChoixChevauxSellePréEté=OUI)),0,IFERROR(IF(OR(AND(INDEX(Règles_chevaux_selle[Specificite],MATCH(RationEtéChevauxSelle&amp;$EU135,Règles_chevaux_selle[Ration]&amp;Règles_chevaux_selle[Aliment],0))="s1",IF($EU135=Spécificité1ChevauxSelle,1)),
AND(INDEX(Règles_chevaux_selle[Specificite],MATCH(RationEtéChevauxSelle&amp;$EU135,Règles_chevaux_selle[Ration]&amp;Règles_chevaux_selle[Aliment],0))="s2",IF($EU135=Spécificité2ChevauxSelle,1)),
INDEX(Règles_chevaux_selle[Specificite],MATCH(RationEtéChevauxSelle&amp;$EU135,Règles_chevaux_selle[Ration]&amp;Règles_chevaux_selle[Aliment],0))="c"),
INDEX(Règles_chevaux_selle[Valeur 12-24],MATCH(RationEtéChevauxSelle&amp;$EU135,Règles_chevaux_selle[Ration]&amp;Règles_chevaux_selle[Aliment],0)),0),0)*TotalJeuneJumentSelle_12_24_mois_12_24_mois*NbreJoursNourrirChevauxSelle)</f>
        <v>0</v>
      </c>
      <c r="EY135" s="460">
        <f t="array" ref="EY135">IF(OR(ChoixRationComplèteEtéChevauxSelle=OUI,ChoixRationComplèteEtéChevauxSelle="",AND(ChoixChevauxSellePréHiver=OUI,ChoixChevauxSellePréEté=OUI)),0,IFERROR(IF(OR(AND(INDEX(Règles_chevaux_selle[Specificite],MATCH(RationEtéChevauxSelle&amp;$EU135,Règles_chevaux_selle[Ration]&amp;Règles_chevaux_selle[Aliment],0))="s1",IF($EU135=Spécificité1ChevauxSelle,1)),
AND(INDEX(Règles_chevaux_selle[Specificite],MATCH(RationEtéChevauxSelle&amp;$EU135,Règles_chevaux_selle[Ration]&amp;Règles_chevaux_selle[Aliment],0))="s2",IF($EU135=Spécificité2ChevauxSelle,1)),
INDEX(Règles_chevaux_selle[Specificite],MATCH(RationEtéChevauxSelle&amp;$EU135,Règles_chevaux_selle[Ration]&amp;Règles_chevaux_selle[Aliment],0))="c"),
INDEX(Règles_chevaux_selle[Valeur 0-12],MATCH(RationEtéChevauxSelle&amp;$EU135,Règles_chevaux_selle[Ration]&amp;Règles_chevaux_selle[Aliment],0)),0),0)*TotalPoulicheSelle_0_12_mois*NbreJoursNourrirChevauxSelle)</f>
        <v>0</v>
      </c>
      <c r="EZ135" s="460">
        <f t="shared" si="39"/>
        <v>0</v>
      </c>
      <c r="FI135" s="276"/>
      <c r="FJ135" s="298"/>
      <c r="FN135" s="335" t="s">
        <v>912</v>
      </c>
      <c r="FO135" s="343"/>
      <c r="FP135" s="343"/>
      <c r="FQ135" s="343"/>
      <c r="FR135" s="335"/>
      <c r="FS135" s="335"/>
      <c r="FT135" s="298"/>
      <c r="FW135" s="455" t="s">
        <v>910</v>
      </c>
      <c r="FX135" s="456" t="s">
        <v>1192</v>
      </c>
      <c r="FY135" s="456" t="s">
        <v>1193</v>
      </c>
      <c r="FZ135" s="456" t="s">
        <v>1194</v>
      </c>
      <c r="GB135" s="281"/>
      <c r="GG135" s="276" t="s">
        <v>955</v>
      </c>
      <c r="GH135" s="276" t="s">
        <v>955</v>
      </c>
      <c r="GI135" s="276" t="s">
        <v>955</v>
      </c>
      <c r="GJ135" s="276" t="s">
        <v>955</v>
      </c>
      <c r="GK135" s="276" t="s">
        <v>955</v>
      </c>
      <c r="GL135" s="276" t="s">
        <v>955</v>
      </c>
      <c r="GM135" s="276" t="s">
        <v>955</v>
      </c>
      <c r="GN135" s="276" t="s">
        <v>955</v>
      </c>
      <c r="GO135" s="276" t="s">
        <v>955</v>
      </c>
      <c r="GP135" s="276" t="s">
        <v>955</v>
      </c>
      <c r="GQ135" s="276" t="s">
        <v>955</v>
      </c>
      <c r="GR135" s="276" t="s">
        <v>955</v>
      </c>
      <c r="GS135" s="276" t="s">
        <v>955</v>
      </c>
      <c r="GT135" s="276" t="s">
        <v>955</v>
      </c>
      <c r="GU135" s="276" t="s">
        <v>955</v>
      </c>
      <c r="GV135" s="276" t="s">
        <v>955</v>
      </c>
    </row>
    <row r="136" spans="1:204" ht="12.75" customHeight="1" x14ac:dyDescent="0.2">
      <c r="A136" s="373"/>
      <c r="B136" s="382"/>
      <c r="BB136" s="387" t="s">
        <v>517</v>
      </c>
      <c r="BC136" s="362" t="s">
        <v>488</v>
      </c>
      <c r="BD136" s="362" t="s">
        <v>886</v>
      </c>
      <c r="BE136" s="388">
        <v>48</v>
      </c>
      <c r="BF136" s="388">
        <v>40</v>
      </c>
      <c r="BG136" s="388">
        <v>30</v>
      </c>
      <c r="BH136" s="388">
        <v>22</v>
      </c>
      <c r="BI136" s="388">
        <v>14</v>
      </c>
      <c r="BJ136" s="388">
        <v>6</v>
      </c>
      <c r="BK136" s="389">
        <v>0</v>
      </c>
      <c r="BL136" s="312"/>
      <c r="BM136" s="350" t="str">
        <f t="shared" si="43"/>
        <v>Pois</v>
      </c>
      <c r="BN136" s="351">
        <f t="array" ref="BN136">SUM((IF(QualitéAlimentsBisonneauxMâles_0_3_mois=BONNE,VLOOKUP("Pois",AlimentsRationHivernaleBisonsMâles,8,FALSE),0)+(IF(QualitéAlimentsBisonneauxFemelles_0_3_mois=BONNE,VLOOKUP("Pois",AlimentsRationHivernaleBisonsFemelles,8,FALSE),0)+(IF(QualitéAlimentsBisonneauxMâles_3_6_mois=BONNE,VLOOKUP("Pois",AlimentsRationHivernaleBisonsMâles,7,FALSE),0)+(IF(QualitéAlimentsBisonneauxFemelles_3_6_mois=BONNE,VLOOKUP("Pois",AlimentsRationHivernaleBisonsFemelles,7,FALSE),0)+(IF(QualitéAlimentsBisonneauxMâles_6_12_mois=BONNE,VLOOKUP("Pois",AlimentsRationHivernaleBisonsMâles,6,FALSE),0)+(IF(QualitéAlimentsBisonneauxFemelles_6_12_mois=BONNE,VLOOKUP("Pois",AlimentsRationHivernaleBisonsFemelles,6,FALSE),0)+(IF(QualitéAlimentsJeunesBisons_12_18_mois=BONNE,VLOOKUP("Pois",AlimentsRationHivernaleBisonsMâles,5,FALSE),0)+(IF(QualitéAlimentsJeunesBisonnes_12_18_mois=BONNE,VLOOKUP("Pois",AlimentsRationHivernaleBisonsFemelles,5,FALSE),0)+(IF(QualitéAlimentsJeunesBisons_18_24_mois=BONNE,VLOOKUP("Pois",AlimentsRationHivernaleBisonsMâles,4,FALSE),0)+(IF(QualitéAlimentsJeunesBisonnes_18_24_mois=BONNE,VLOOKUP("Pois",AlimentsRationHivernaleBisonsFemelles,4,FALSE),0)+(IF(QualitéAlimentsJeunesBisons_24_36_mois=BONNE,VLOOKUP("Pois",AlimentsRationHivernaleBisonsMâles,3,FALSE),0)+(IF(QualitéAlimentsJeunesBisonnes_24_36_mois=BONNE,VLOOKUP("Pois",AlimentsRationHivernaleBisonsFemelles,3,FALSE),0)+(IF(QualitéAlimentsBisons=BONNE,VLOOKUP("Pois",AlimentsRationHivernaleBisonsMâles,2,FALSE),0)+(IF(QualitéAlimentsBisonnes=BONNE,VLOOKUP("Pois",AlimentsRationHivernaleBisonsFemelles,2,FALSE),0))))))))))))))))</f>
        <v>0</v>
      </c>
      <c r="BO136" s="351">
        <f t="array" ref="BO136">SUM((IF(QualitéAlimentsBisonneauxMâles_0_3_mois=MOYENNE,VLOOKUP("Pois",AlimentsRationHivernaleBisonsMâles,8,FALSE),0)+(IF(QualitéAlimentsBisonneauxFemelles_0_3_mois=MOYENNE,VLOOKUP("Pois",AlimentsRationHivernaleBisonsFemelles,8,FALSE),0)+(IF(QualitéAlimentsBisonneauxMâles_3_6_mois=MOYENNE,VLOOKUP("Pois",AlimentsRationHivernaleBisonsMâles,7,FALSE),0)+(IF(QualitéAlimentsBisonneauxFemelles_3_6_mois=MOYENNE,VLOOKUP("Pois",AlimentsRationHivernaleBisonsFemelles,7,FALSE),0)+(IF(QualitéAlimentsBisonneauxMâles_6_12_mois=MOYENNE,VLOOKUP("Pois",AlimentsRationHivernaleBisonsMâles,6,FALSE),0)+(IF(QualitéAlimentsBisonneauxFemelles_6_12_mois=MOYENNE,VLOOKUP("Pois",AlimentsRationHivernaleBisonsFemelles,6,FALSE),0)+(IF(QualitéAlimentsJeunesBisons_12_18_mois=MOYENNE,VLOOKUP("Pois",AlimentsRationHivernaleBisonsMâles,5,FALSE),0)+(IF(QualitéAlimentsJeunesBisonnes_12_18_mois=MOYENNE,VLOOKUP("Pois",AlimentsRationHivernaleBisonsFemelles,5,FALSE),0)+(IF(QualitéAlimentsJeunesBisons_18_24_mois=MOYENNE,VLOOKUP("Pois",AlimentsRationHivernaleBisonsMâles,4,FALSE),0)+(IF(QualitéAlimentsJeunesBisonnes_18_24_mois=MOYENNE,VLOOKUP("Pois",AlimentsRationHivernaleBisonsFemelles,4,FALSE),0)+(IF(QualitéAlimentsJeunesBisons_24_36_mois=MOYENNE,VLOOKUP("Pois",AlimentsRationHivernaleBisonsMâles,3,FALSE),0)+(IF(QualitéAlimentsJeunesBisonnes_24_36_mois=MOYENNE,VLOOKUP("Pois",AlimentsRationHivernaleBisonsFemelles,3,FALSE),0)+(IF(QualitéAlimentsBisons=MOYENNE,VLOOKUP("Pois",AlimentsRationHivernaleBisonsMâles,2,FALSE),0)+(IF(QualitéAlimentsBisonnes=MOYENNE,VLOOKUP("Pois",AlimentsRationHivernaleBisonsFemelles,2,FALSE),0))))))))))))))))</f>
        <v>0</v>
      </c>
      <c r="BP136" s="351">
        <f t="array" ref="BP136">SUM((IF(QualitéAlimentsBisonneauxMâles_0_3_mois=MAUVAISE,VLOOKUP("Pois",AlimentsRationHivernaleBisonsMâles,8,FALSE),0)+(IF(QualitéAlimentsBisonneauxFemelles_0_3_mois=MAUVAISE,VLOOKUP("Pois",AlimentsRationHivernaleBisonsFemelles,8,FALSE),0)+(IF(QualitéAlimentsBisonneauxMâles_3_6_mois=MAUVAISE,VLOOKUP("Pois",AlimentsRationHivernaleBisonsMâles,7,FALSE),0)+(IF(QualitéAlimentsBisonneauxFemelles_3_6_mois=MAUVAISE,VLOOKUP("Pois",AlimentsRationHivernaleBisonsFemelles,7,FALSE),0)+(IF(QualitéAlimentsBisonneauxMâles_6_12_mois=MAUVAISE,VLOOKUP("Pois",AlimentsRationHivernaleBisonsMâles,6,FALSE),0)+(IF(QualitéAlimentsBisonneauxFemelles_6_12_mois=MAUVAISE,VLOOKUP("Pois",AlimentsRationHivernaleBisonsFemelles,6,FALSE),0)+(IF(QualitéAlimentsJeunesBisons_12_18_mois=MAUVAISE,VLOOKUP("Pois",AlimentsRationHivernaleBisonsMâles,5,FALSE),0)+(IF(QualitéAlimentsJeunesBisonnes_12_18_mois=MAUVAISE,VLOOKUP("Pois",AlimentsRationHivernaleBisonsFemelles,5,FALSE),0)+(IF(QualitéAlimentsJeunesBisons_18_24_mois=MAUVAISE,VLOOKUP("Pois",AlimentsRationHivernaleBisonsMâles,4,FALSE),0)+(IF(QualitéAlimentsJeunesBisonnes_18_24_mois=MAUVAISE,VLOOKUP("Pois",AlimentsRationHivernaleBisonsFemelles,4,FALSE),0)+(IF(QualitéAlimentsJeunesBisons_24_36_mois=MAUVAISE,VLOOKUP("Pois",AlimentsRationHivernaleBisonsMâles,3,FALSE),0)+(IF(QualitéAlimentsJeunesBisonnes_24_36_mois=MAUVAISE,VLOOKUP("Pois",AlimentsRationHivernaleBisonsFemelles,3,FALSE),0)+(IF(QualitéAlimentsBisons=MAUVAISE,VLOOKUP("Pois",AlimentsRationHivernaleBisonsMâles,2,FALSE),0)+(IF(QualitéAlimentsBisonnes=MAUVAISE,VLOOKUP("Pois",AlimentsRationHivernaleBisonsFemelles,2,FALSE),0))))))))))))))))</f>
        <v>0</v>
      </c>
      <c r="BQ136" s="282"/>
      <c r="BR136" s="282"/>
      <c r="BS136" s="282"/>
      <c r="BT136" s="282"/>
      <c r="BU136" s="282"/>
      <c r="BX136" s="350" t="s">
        <v>907</v>
      </c>
      <c r="BY136" s="350">
        <f t="array" ref="BY136">IF(ChoixRationComplèteCaprins=OUI,0,IFERROR(IF(OR(AND(INDEX(Règles_caprins[Specificite],MATCH(ChoixRationCaprins&amp;$BX136,Règles_caprins[Ration]&amp;Règles_caprins[Aliment],0))="s1",IF($BX136=Spécificité1Caprins,1)),
INDEX(Règles_caprins[Specificite],MATCH(ChoixRationCaprins&amp;$BX136,Règles_caprins[Ration]&amp;Règles_caprins[Aliment],0))="c"),
INDEX(Règles_caprins[Valeur 12 et plus],MATCH(ChoixRationCaprins&amp;$BX136,Règles_caprins[Ration]&amp;Règles_caprins[Aliment],0)),0),0)*TotalBoucs*NbreJoursNourrirCaprins)</f>
        <v>0</v>
      </c>
      <c r="BZ136" s="350">
        <f t="array" ref="BZ136">IF(ChoixRationComplèteCaprins=OUI,0,IFERROR(IF(OR(AND(INDEX(Règles_caprins[Specificite],MATCH(ChoixRationCaprins&amp;$BX136,Règles_caprins[Ration]&amp;Règles_caprins[Aliment],0))="s1",IF($BX136=Spécificité1Caprins,1)),
INDEX(Règles_caprins[Specificite],MATCH(ChoixRationCaprins&amp;$BX136,Règles_caprins[Ration]&amp;Règles_caprins[Aliment],0))="c"),
INDEX(Règles_caprins[Valeur 6-12],MATCH(ChoixRationCaprins&amp;$BX136,Règles_caprins[Ration]&amp;Règles_caprins[Aliment],0)),0),0)*jeune_bouc_6_12_mois*NbreJoursNourrirCaprins)</f>
        <v>0</v>
      </c>
      <c r="CA136" s="350">
        <f t="array" ref="CA136">IF(ChoixRationComplèteCaprins=OUI,0,IFERROR(IF(OR(AND(INDEX(Règles_caprins[Specificite],MATCH(ChoixRationCaprins&amp;$BX136,Règles_caprins[Ration]&amp;Règles_caprins[Aliment],0))="s1",IF($BX136=Spécificité1Caprins,1)),
INDEX(Règles_caprins[Specificite],MATCH(ChoixRationCaprins&amp;$BX136,Règles_caprins[Ration]&amp;Règles_caprins[Aliment],0))="c"),
INDEX(Règles_caprins[Valeur 3-6],MATCH(ChoixRationCaprins&amp;$BX136,Règles_caprins[Ration]&amp;Règles_caprins[Aliment],0)),0),0)*chevreau_3_6_mois*NbreJoursNourrirCaprins)</f>
        <v>0</v>
      </c>
      <c r="CB136" s="350">
        <f t="array" ref="CB136">IF(ChoixRationComplèteCaprins=OUI,0,IFERROR(IF(OR(AND(INDEX(Règles_caprins[Specificite],MATCH(ChoixRationCaprins&amp;$BX136,Règles_caprins[Ration]&amp;Règles_caprins[Aliment],0))="s1",IF($BX136=Spécificité1Caprins,1)),
INDEX(Règles_caprins[Specificite],MATCH(ChoixRationCaprins&amp;$BX136,Règles_caprins[Ration]&amp;Règles_caprins[Aliment],0))="c"),
INDEX(Règles_caprins[Valeur 0-3],MATCH(ChoixRationCaprins&amp;$BX136,Règles_caprins[Ration]&amp;Règles_caprins[Aliment],0)),0),0)*chevreau_0_3_mois*NbreJoursNourrirCaprins)</f>
        <v>0</v>
      </c>
      <c r="CC136" s="350">
        <f t="shared" si="41"/>
        <v>0</v>
      </c>
      <c r="CH136" s="276"/>
      <c r="CI136" s="277"/>
      <c r="CJ136" s="276"/>
      <c r="CL136" s="277"/>
      <c r="CM136" s="277"/>
      <c r="CO136" s="277"/>
      <c r="CP136" s="298"/>
      <c r="CS136" s="420">
        <f t="shared" si="36"/>
        <v>0</v>
      </c>
      <c r="CT136" s="433">
        <f t="array" ref="CT136">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36" s="433">
        <f t="array" ref="CU136">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36" s="433">
        <f t="array" ref="CV136">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36" s="434">
        <f>SUM(AlimentsRationLapinsFemelles[[#This Row],[Valeur 3 et plus]:[Valeur 0-1]])</f>
        <v>0</v>
      </c>
      <c r="CZ136" s="420">
        <f t="shared" si="37"/>
        <v>0</v>
      </c>
      <c r="DA136" s="433">
        <f t="array" ref="DA13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36" s="433">
        <f t="array" ref="DB13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36" s="433">
        <f t="array" ref="DC136">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36" s="434">
        <f>SUM(AlimentsRationVolaillesFemelles[[#This Row],[Valeur 6 et plus]:[Valeur 0-1]])</f>
        <v>0</v>
      </c>
      <c r="DG136" s="394" t="s">
        <v>976</v>
      </c>
      <c r="DH136" s="396" t="s">
        <v>127</v>
      </c>
      <c r="DN136" s="373" t="s">
        <v>551</v>
      </c>
      <c r="DO136" s="280" t="s">
        <v>905</v>
      </c>
      <c r="DP136" s="280" t="s">
        <v>886</v>
      </c>
      <c r="DQ136" s="310">
        <v>0.14000000000000001</v>
      </c>
      <c r="DR136" s="310">
        <v>0.08</v>
      </c>
      <c r="DS136" s="310">
        <v>0.04</v>
      </c>
      <c r="DT136" s="439">
        <v>0.04</v>
      </c>
      <c r="EG136" s="394" t="s">
        <v>910</v>
      </c>
      <c r="EH136" s="395" t="s">
        <v>929</v>
      </c>
      <c r="EI136" s="395" t="s">
        <v>890</v>
      </c>
      <c r="EJ136" s="395" t="s">
        <v>889</v>
      </c>
      <c r="EK136" s="396" t="s">
        <v>903</v>
      </c>
      <c r="EN136" s="421" t="s">
        <v>508</v>
      </c>
      <c r="EO136" s="452">
        <f t="array" ref="EO136">IF(ChoixRationComplèteCanards=NON,0,IFERROR(IF(OR(AND(INDEX(Règles_canards[Specificite],MATCH(ChoixRationCanards&amp;Ration_complète_canards[aliment],Règles_canards[Ration]&amp;Règles_canards[Aliment],0))="s1",IF(Ration_complète_canards[aliment]=Spécificité1Canards,1)),
AND(INDEX(Règles_canards[Specificite],MATCH(ChoixRationCanards&amp;Ration_complète_canards[aliment],Règles_canards[Ration]&amp;Règles_canards[Aliment],0))="s2",IF(Ration_complète_canards[aliment]=Spécificité2Canards,1)),
INDEX(Règles_canards[Specificite],MATCH(ChoixRationCanards&amp;Ration_complète_canards[aliment],Règles_canards[Ration]&amp;Règles_canards[Aliment],0))="c",INDEX(Règles_canards[Specificite],MATCH(ChoixRationCanards&amp;Ration_complète_canards[aliment],Règles_canards[Ration]&amp;Règles_canards[Aliment],0))="complet"),
INDEX(Règles_canards[Valeur 6 et plus],MATCH(ChoixRationCanards&amp;Ration_complète_canards[aliment],Règles_canards[Ration]&amp;Règles_canards[Aliment],0)),0),0)*SUM(TotalCanardsAdultes)*SUM(Z76:Z100))</f>
        <v>0</v>
      </c>
      <c r="EP136" s="452">
        <f t="array" ref="EP136">IF(ChoixRationComplèteCanards=NON,0,IFERROR(IF(OR(AND(INDEX(Règles_canards[Specificite],MATCH(ChoixRationCanards&amp;Ration_complète_canards[aliment],Règles_canards[Ration]&amp;Règles_canards[Aliment],0))="s1",IF(Ration_complète_canards[aliment]=Spécificité1Canards,1)),
AND(INDEX(Règles_canards[Specificite],MATCH(ChoixRationCanards&amp;Ration_complète_canards[aliment],Règles_canards[Ration]&amp;Règles_canards[Aliment],0))="s2",IF(Ration_complète_canards[aliment]=Spécificité2Canards,1)),
INDEX(Règles_canards[Specificite],MATCH(ChoixRationCanards&amp;Ration_complète_canards[aliment],Règles_canards[Ration]&amp;Règles_canards[Aliment],0))="c",INDEX(Règles_canards[Specificite],MATCH(ChoixRationCanards&amp;Ration_complète_canards[aliment],Règles_canards[Ration]&amp;Règles_canards[Aliment],0))="complet"),
INDEX(Règles_canards[Valeur 3-6],MATCH(ChoixRationCanards&amp;Ration_complète_canards[aliment],Règles_canards[Ration]&amp;Règles_canards[Aliment],0)),0),0)*SUM(TotalJeunesCanards)*SUM(Z76:Z100))</f>
        <v>0</v>
      </c>
      <c r="EQ136" s="452">
        <f t="array" ref="EQ136">IF(ChoixRationComplèteCanards=NON,0,IFERROR(IF(OR(AND(INDEX(Règles_canards[Specificite],MATCH(ChoixRationCanards&amp;Ration_complète_canards[aliment],Règles_canards[Ration]&amp;Règles_canards[Aliment],0))="s1",IF(Ration_complète_canards[aliment]=Spécificité1Canards,1)),
AND(INDEX(Règles_canards[Specificite],MATCH(ChoixRationCanards&amp;Ration_complète_canards[aliment],Règles_canards[Ration]&amp;Règles_canards[Aliment],0))="s2",IF(Ration_complète_canards[aliment]=Spécificité2Canards,1)),
INDEX(Règles_canards[Specificite],MATCH(ChoixRationCanards&amp;Ration_complète_canards[aliment],Règles_canards[Ration]&amp;Règles_canards[Aliment],0))="c",INDEX(Règles_canards[Specificite],MATCH(ChoixRationCanards&amp;Ration_complète_canards[aliment],Règles_canards[Ration]&amp;Règles_canards[Aliment],0))="complet"),
INDEX(Règles_canards[Valeur 0-3],MATCH(ChoixRationCanards&amp;Ration_complète_canards[aliment],Règles_canards[Ration]&amp;Règles_canards[Aliment],0)),0),0)*SUM(TotalCanetons)*SUM(Z76:Z100))</f>
        <v>0</v>
      </c>
      <c r="ER136" s="454">
        <f>SUM(Ration_complète_canards[[Valeur 6 et plus]:[Valeur 0-3]])</f>
        <v>0</v>
      </c>
      <c r="EU136" s="457">
        <f t="shared" si="40"/>
        <v>0</v>
      </c>
      <c r="EV136" s="458">
        <f t="array" ref="EV136">IF(OR(ChoixRationComplèteEtéChevauxSelle=OUI,ChoixRationComplèteEtéChevauxSelle="",AND(ChoixChevauxSellePréHiver=OUI,ChoixChevauxSellePréEté=OUI)),0,IFERROR(IF(OR(AND(INDEX(Règles_chevaux_selle[Specificite],MATCH(RationEtéChevauxSelle&amp;$EU136,Règles_chevaux_selle[Ration]&amp;Règles_chevaux_selle[Aliment],0))="s1",IF($EU136=Spécificité1ChevauxSelle,1)),
AND(INDEX(Règles_chevaux_selle[Specificite],MATCH(RationEtéChevauxSelle&amp;$EU136,Règles_chevaux_selle[Ration]&amp;Règles_chevaux_selle[Aliment],0))="s2",IF($EU136=Spécificité2ChevauxSelle,1)),
INDEX(Règles_chevaux_selle[Specificite],MATCH(RationEtéChevauxSelle&amp;$EU136,Règles_chevaux_selle[Ration]&amp;Règles_chevaux_selle[Aliment],0))="c"),
INDEX(Règles_chevaux_selle[Valeur 36 et plus],MATCH(RationEtéChevauxSelle&amp;$EU136,Règles_chevaux_selle[Ration]&amp;Règles_chevaux_selle[Aliment],0)),0),0)*TotalJumentSelle*NbreJoursNourrirChevauxSelle)</f>
        <v>0</v>
      </c>
      <c r="EW136" s="458">
        <f t="array" ref="EW136">IF(OR(ChoixRationComplèteEtéChevauxSelle=OUI,ChoixRationComplèteEtéChevauxSelle="",AND(ChoixChevauxSellePréHiver=OUI,ChoixChevauxSellePréEté=OUI)),0,IFERROR(IF(OR(AND(INDEX(Règles_chevaux_selle[Specificite],MATCH(RationEtéChevauxSelle&amp;$EU136,Règles_chevaux_selle[Ration]&amp;Règles_chevaux_selle[Aliment],0))="s1",IF($EU136=Spécificité1ChevauxSelle,1)),
AND(INDEX(Règles_chevaux_selle[Specificite],MATCH(RationEtéChevauxSelle&amp;$EU136,Règles_chevaux_selle[Ration]&amp;Règles_chevaux_selle[Aliment],0))="s2",IF($EU136=Spécificité2ChevauxSelle,1)),
INDEX(Règles_chevaux_selle[Specificite],MATCH(RationEtéChevauxSelle&amp;$EU136,Règles_chevaux_selle[Ration]&amp;Règles_chevaux_selle[Aliment],0))="c"),
INDEX(Règles_chevaux_selle[Valeur 24-36],MATCH(RationEtéChevauxSelle&amp;$EU136,Règles_chevaux_selle[Ration]&amp;Règles_chevaux_selle[Aliment],0)),0),0)*TotalJeuneJumentSelle_24_36_mois*NbreJoursNourrirChevauxSelle)</f>
        <v>0</v>
      </c>
      <c r="EX136" s="458">
        <f t="array" ref="EX136">IF(OR(ChoixRationComplèteEtéChevauxSelle=OUI,ChoixRationComplèteEtéChevauxSelle="",AND(ChoixChevauxSellePréHiver=OUI,ChoixChevauxSellePréEté=OUI)),0,IFERROR(IF(OR(AND(INDEX(Règles_chevaux_selle[Specificite],MATCH(RationEtéChevauxSelle&amp;$EU136,Règles_chevaux_selle[Ration]&amp;Règles_chevaux_selle[Aliment],0))="s1",IF($EU136=Spécificité1ChevauxSelle,1)),
AND(INDEX(Règles_chevaux_selle[Specificite],MATCH(RationEtéChevauxSelle&amp;$EU136,Règles_chevaux_selle[Ration]&amp;Règles_chevaux_selle[Aliment],0))="s2",IF($EU136=Spécificité2ChevauxSelle,1)),
INDEX(Règles_chevaux_selle[Specificite],MATCH(RationEtéChevauxSelle&amp;$EU136,Règles_chevaux_selle[Ration]&amp;Règles_chevaux_selle[Aliment],0))="c"),
INDEX(Règles_chevaux_selle[Valeur 12-24],MATCH(RationEtéChevauxSelle&amp;$EU136,Règles_chevaux_selle[Ration]&amp;Règles_chevaux_selle[Aliment],0)),0),0)*TotalJeuneJumentSelle_12_24_mois_12_24_mois*NbreJoursNourrirChevauxSelle)</f>
        <v>0</v>
      </c>
      <c r="EY136" s="460">
        <f t="array" ref="EY136">IF(OR(ChoixRationComplèteEtéChevauxSelle=OUI,ChoixRationComplèteEtéChevauxSelle="",AND(ChoixChevauxSellePréHiver=OUI,ChoixChevauxSellePréEté=OUI)),0,IFERROR(IF(OR(AND(INDEX(Règles_chevaux_selle[Specificite],MATCH(RationEtéChevauxSelle&amp;$EU136,Règles_chevaux_selle[Ration]&amp;Règles_chevaux_selle[Aliment],0))="s1",IF($EU136=Spécificité1ChevauxSelle,1)),
AND(INDEX(Règles_chevaux_selle[Specificite],MATCH(RationEtéChevauxSelle&amp;$EU136,Règles_chevaux_selle[Ration]&amp;Règles_chevaux_selle[Aliment],0))="s2",IF($EU136=Spécificité2ChevauxSelle,1)),
INDEX(Règles_chevaux_selle[Specificite],MATCH(RationEtéChevauxSelle&amp;$EU136,Règles_chevaux_selle[Ration]&amp;Règles_chevaux_selle[Aliment],0))="c"),
INDEX(Règles_chevaux_selle[Valeur 0-12],MATCH(RationEtéChevauxSelle&amp;$EU136,Règles_chevaux_selle[Ration]&amp;Règles_chevaux_selle[Aliment],0)),0),0)*TotalPoulicheSelle_0_12_mois*NbreJoursNourrirChevauxSelle)</f>
        <v>0</v>
      </c>
      <c r="EZ136" s="460">
        <f t="shared" si="39"/>
        <v>0</v>
      </c>
      <c r="FD136" s="335" t="s">
        <v>912</v>
      </c>
      <c r="FE136" s="343"/>
      <c r="FF136" s="343"/>
      <c r="FG136" s="343"/>
      <c r="FH136" s="335"/>
      <c r="FI136" s="335"/>
      <c r="FJ136" s="298"/>
      <c r="FN136" s="394" t="s">
        <v>910</v>
      </c>
      <c r="FO136" s="395" t="s">
        <v>895</v>
      </c>
      <c r="FP136" s="395" t="s">
        <v>894</v>
      </c>
      <c r="FQ136" s="395" t="s">
        <v>938</v>
      </c>
      <c r="FR136" s="449" t="s">
        <v>937</v>
      </c>
      <c r="FS136" s="396" t="s">
        <v>903</v>
      </c>
      <c r="FT136" s="298"/>
      <c r="FW136" s="457" t="str">
        <f>FW43</f>
        <v>Avoine</v>
      </c>
      <c r="FX136" s="458">
        <f t="array" ref="FX136">SUM((IF(QualitéAlimentsGavageOison_0_1_mois=BONNE,VLOOKUP("Avoine",AlimentsGavageOie,5,FALSE),0)+(IF(QualitéAlimentsGavageCaneton_0_1_mois=BONNE,VLOOKUP("Avoine",AlimentsGavageCanard,5,FALSE),0)+(IF(QualitéAlimentsGavageOison_1_2_mois=BONNE,VLOOKUP("Avoine",AlimentsGavageOie,4,FALSE),0)+(IF(QualitéAlimentsGavageCaneton_1_2_mois=BONNE,VLOOKUP("Avoine",AlimentsGavageCanard,4,FALSE),0)+(IF(QualitéAlimentsGavageOison_2_3_mois=BONNE,VLOOKUP("Avoine",AlimentsGavageOie,3,FALSE),0)+(IF(QualitéAlimentsGavageCaneton_2_3_mois=BONNE,VLOOKUP("Avoine",AlimentsGavageCanard,3,FALSE),0)+(IF(QualitéAlimentsGavageJeunesOies=BONNE,VLOOKUP("Avoine",AlimentsGavageOie,2,FALSE),0)+(IF(QualitéAlimentsGavageJeuneCanard=BONNE,VLOOKUP("Avoine",AlimentsGavageCanard,2,FALSE),0))))))))))</f>
        <v>0</v>
      </c>
      <c r="FY136" s="458">
        <f t="array" ref="FY136">SUM((IF(QualitéAlimentsGavageOison_0_1_mois=MOYENNE,VLOOKUP("Avoine",AlimentsGavageOie,5,FALSE),0)+(IF(QualitéAlimentsGavageCaneton_0_1_mois=MOYENNE,VLOOKUP("Avoine",AlimentsGavageCanard,5,FALSE),0)+(IF(QualitéAlimentsGavageOison_1_2_mois=MOYENNE,VLOOKUP("Avoine",AlimentsGavageOie,4,FALSE),0)+(IF(QualitéAlimentsGavageCaneton_1_2_mois=MOYENNE,VLOOKUP("Avoine",AlimentsGavageCanard,4,FALSE),0)+(IF(QualitéAlimentsGavageOison_2_3_mois=MOYENNE,VLOOKUP("Avoine",AlimentsGavageOie,3,FALSE),0)+(IF(QualitéAlimentsGavageCaneton_2_3_mois=MOYENNE,VLOOKUP("Avoine",AlimentsGavageCanard,3,FALSE),0)+(IF(QualitéAlimentsGavageJeunesOies=MOYENNE,VLOOKUP("Avoine",AlimentsGavageOie,2,FALSE),0)+(IF(QualitéAlimentsGavageJeuneCanard=MOYENNE,VLOOKUP("Avoine",AlimentsGavageCanard,2,FALSE),0))))))))))</f>
        <v>0</v>
      </c>
      <c r="FZ136" s="458">
        <f t="array" ref="FZ136">SUM((IF(QualitéAlimentsGavageOison_0_1_mois=MAUVAISE,VLOOKUP("Avoine",AlimentsGavageOie,5,FALSE),0)+(IF(QualitéAlimentsGavageCaneton_0_1_mois=MAUVAISE,VLOOKUP("Avoine",AlimentsGavageCanard,5,FALSE),0)+(IF(QualitéAlimentsGavageOison_1_2_mois=MAUVAISE,VLOOKUP("Avoine",AlimentsGavageOie,4,FALSE),0)+(IF(QualitéAlimentsGavageCaneton_1_2_mois=MAUVAISE,VLOOKUP("Avoine",AlimentsGavageCanard,4,FALSE),0)+(IF(QualitéAlimentsGavageOison_2_3_mois=MAUVAISE,VLOOKUP("Avoine",AlimentsGavageOie,3,FALSE),0)+(IF(QualitéAlimentsGavageCaneton_2_3_mois=MAUVAISE,VLOOKUP("Avoine",AlimentsGavageCanard,3,FALSE),0)+(IF(QualitéAlimentsGavageJeunesOies=MAUVAISE,VLOOKUP("Avoine",AlimentsGavageOie,2,FALSE),0)+(IF(QualitéAlimentsGavageJeuneCanard=MAUVAISE,VLOOKUP("Avoine",AlimentsGavageCanard,2,FALSE),0))))))))))</f>
        <v>0</v>
      </c>
      <c r="GB136" s="281"/>
      <c r="GG136" s="276" t="s">
        <v>955</v>
      </c>
      <c r="GH136" s="276" t="s">
        <v>955</v>
      </c>
      <c r="GI136" s="276" t="s">
        <v>955</v>
      </c>
      <c r="GJ136" s="276" t="s">
        <v>955</v>
      </c>
      <c r="GK136" s="276" t="s">
        <v>955</v>
      </c>
      <c r="GL136" s="276" t="s">
        <v>955</v>
      </c>
      <c r="GM136" s="276" t="s">
        <v>955</v>
      </c>
      <c r="GN136" s="276" t="s">
        <v>955</v>
      </c>
      <c r="GO136" s="276" t="s">
        <v>955</v>
      </c>
      <c r="GP136" s="276" t="s">
        <v>955</v>
      </c>
      <c r="GQ136" s="276" t="s">
        <v>955</v>
      </c>
      <c r="GR136" s="276" t="s">
        <v>955</v>
      </c>
      <c r="GS136" s="276" t="s">
        <v>955</v>
      </c>
      <c r="GT136" s="276" t="s">
        <v>955</v>
      </c>
      <c r="GU136" s="276" t="s">
        <v>955</v>
      </c>
      <c r="GV136" s="276" t="s">
        <v>955</v>
      </c>
    </row>
    <row r="137" spans="1:204" ht="12.75" customHeight="1" x14ac:dyDescent="0.2">
      <c r="A137" s="373"/>
      <c r="B137" s="382"/>
      <c r="BB137" s="387" t="s">
        <v>517</v>
      </c>
      <c r="BC137" s="362" t="s">
        <v>489</v>
      </c>
      <c r="BD137" s="362" t="s">
        <v>887</v>
      </c>
      <c r="BE137" s="388">
        <v>7.2</v>
      </c>
      <c r="BF137" s="388">
        <v>6</v>
      </c>
      <c r="BG137" s="388">
        <v>4</v>
      </c>
      <c r="BH137" s="388">
        <v>2</v>
      </c>
      <c r="BI137" s="388">
        <v>1.2</v>
      </c>
      <c r="BJ137" s="388">
        <v>0.6</v>
      </c>
      <c r="BK137" s="389">
        <v>0</v>
      </c>
      <c r="BL137" s="312"/>
      <c r="BM137" s="350" t="str">
        <f t="shared" si="43"/>
        <v>Pomme de terre</v>
      </c>
      <c r="BN137" s="351">
        <f t="array" ref="BN137">SUM((IF(QualitéAlimentsBisonneauxMâles_0_3_mois=BONNE,VLOOKUP("Pomme de terre",AlimentsRationHivernaleBisonsMâles,8,FALSE),0)+(IF(QualitéAlimentsBisonneauxFemelles_0_3_mois=BONNE,VLOOKUP("Pomme de terre",AlimentsRationHivernaleBisonsFemelles,8,FALSE),0)+(IF(QualitéAlimentsBisonneauxMâles_3_6_mois=BONNE,VLOOKUP("Pomme de terre",AlimentsRationHivernaleBisonsMâles,7,FALSE),0)+(IF(QualitéAlimentsBisonneauxFemelles_3_6_mois=BONNE,VLOOKUP("Pomme de terre",AlimentsRationHivernaleBisonsFemelles,7,FALSE),0)+(IF(QualitéAlimentsBisonneauxMâles_6_12_mois=BONNE,VLOOKUP("Pomme de terre",AlimentsRationHivernaleBisonsMâles,6,FALSE),0)+(IF(QualitéAlimentsBisonneauxFemelles_6_12_mois=BONNE,VLOOKUP("Pomme de terre",AlimentsRationHivernaleBisonsFemelles,6,FALSE),0)+(IF(QualitéAlimentsJeunesBisons_12_18_mois=BONNE,VLOOKUP("Pomme de terre",AlimentsRationHivernaleBisonsMâles,5,FALSE),0)+(IF(QualitéAlimentsJeunesBisonnes_12_18_mois=BONNE,VLOOKUP("Pomme de terre",AlimentsRationHivernaleBisonsFemelles,5,FALSE),0)+(IF(QualitéAlimentsJeunesBisons_18_24_mois=BONNE,VLOOKUP("Pomme de terre",AlimentsRationHivernaleBisonsMâles,4,FALSE),0)+(IF(QualitéAlimentsJeunesBisonnes_18_24_mois=BONNE,VLOOKUP("Pomme de terre",AlimentsRationHivernaleBisonsFemelles,4,FALSE),0)+(IF(QualitéAlimentsJeunesBisons_24_36_mois=BONNE,VLOOKUP("Pomme de terre",AlimentsRationHivernaleBisonsMâles,3,FALSE),0)+(IF(QualitéAlimentsJeunesBisonnes_24_36_mois=BONNE,VLOOKUP("Pomme de terre",AlimentsRationHivernaleBisonsFemelles,3,FALSE),0)+(IF(QualitéAlimentsBisons=BONNE,VLOOKUP("Pomme de terre",AlimentsRationHivernaleBisonsMâles,2,FALSE),0)+(IF(QualitéAlimentsBisonnes=BONNE,VLOOKUP("Pomme de terre",AlimentsRationHivernaleBisonsFemelles,2,FALSE),0))))))))))))))))</f>
        <v>0</v>
      </c>
      <c r="BO137" s="351">
        <f t="array" ref="BO137">SUM((IF(QualitéAlimentsBisonneauxMâles_0_3_mois=MOYENNE,VLOOKUP("Pomme de terre",AlimentsRationHivernaleBisonsMâles,8,FALSE),0)+(IF(QualitéAlimentsBisonneauxFemelles_0_3_mois=MOYENNE,VLOOKUP("Pomme de terre",AlimentsRationHivernaleBisonsFemelles,8,FALSE),0)+(IF(QualitéAlimentsBisonneauxMâles_3_6_mois=MOYENNE,VLOOKUP("Pomme de terre",AlimentsRationHivernaleBisonsMâles,7,FALSE),0)+(IF(QualitéAlimentsBisonneauxFemelles_3_6_mois=MOYENNE,VLOOKUP("Pomme de terre",AlimentsRationHivernaleBisonsFemelles,7,FALSE),0)+(IF(QualitéAlimentsBisonneauxMâles_6_12_mois=MOYENNE,VLOOKUP("Pomme de terre",AlimentsRationHivernaleBisonsMâles,6,FALSE),0)+(IF(QualitéAlimentsBisonneauxFemelles_6_12_mois=MOYENNE,VLOOKUP("Pomme de terre",AlimentsRationHivernaleBisonsFemelles,6,FALSE),0)+(IF(QualitéAlimentsJeunesBisons_12_18_mois=MOYENNE,VLOOKUP("Pomme de terre",AlimentsRationHivernaleBisonsMâles,5,FALSE),0)+(IF(QualitéAlimentsJeunesBisonnes_12_18_mois=MOYENNE,VLOOKUP("Pomme de terre",AlimentsRationHivernaleBisonsFemelles,5,FALSE),0)+(IF(QualitéAlimentsJeunesBisons_18_24_mois=MOYENNE,VLOOKUP("Pomme de terre",AlimentsRationHivernaleBisonsMâles,4,FALSE),0)+(IF(QualitéAlimentsJeunesBisonnes_18_24_mois=MOYENNE,VLOOKUP("Pomme de terre",AlimentsRationHivernaleBisonsFemelles,4,FALSE),0)+(IF(QualitéAlimentsJeunesBisons_24_36_mois=MOYENNE,VLOOKUP("Pomme de terre",AlimentsRationHivernaleBisonsMâles,3,FALSE),0)+(IF(QualitéAlimentsJeunesBisonnes_24_36_mois=MOYENNE,VLOOKUP("Pomme de terre",AlimentsRationHivernaleBisonsFemelles,3,FALSE),0)+(IF(QualitéAlimentsBisons=MOYENNE,VLOOKUP("Pomme de terre",AlimentsRationHivernaleBisonsMâles,2,FALSE),0)+(IF(QualitéAlimentsBisonnes=MOYENNE,VLOOKUP("Pomme de terre",AlimentsRationHivernaleBisonsFemelles,2,FALSE),0))))))))))))))))</f>
        <v>0</v>
      </c>
      <c r="BP137" s="351">
        <f t="array" ref="BP137">SUM((IF(QualitéAlimentsBisonneauxMâles_0_3_mois=MAUVAISE,VLOOKUP("Pomme de terre",AlimentsRationHivernaleBisonsMâles,8,FALSE),0)+(IF(QualitéAlimentsBisonneauxFemelles_0_3_mois=MAUVAISE,VLOOKUP("Pomme de terre",AlimentsRationHivernaleBisonsFemelles,8,FALSE),0)+(IF(QualitéAlimentsBisonneauxMâles_3_6_mois=MAUVAISE,VLOOKUP("Pomme de terre",AlimentsRationHivernaleBisonsMâles,7,FALSE),0)+(IF(QualitéAlimentsBisonneauxFemelles_3_6_mois=MAUVAISE,VLOOKUP("Pomme de terre",AlimentsRationHivernaleBisonsFemelles,7,FALSE),0)+(IF(QualitéAlimentsBisonneauxMâles_6_12_mois=MAUVAISE,VLOOKUP("Pomme de terre",AlimentsRationHivernaleBisonsMâles,6,FALSE),0)+(IF(QualitéAlimentsBisonneauxFemelles_6_12_mois=MAUVAISE,VLOOKUP("Pomme de terre",AlimentsRationHivernaleBisonsFemelles,6,FALSE),0)+(IF(QualitéAlimentsJeunesBisons_12_18_mois=MAUVAISE,VLOOKUP("Pomme de terre",AlimentsRationHivernaleBisonsMâles,5,FALSE),0)+(IF(QualitéAlimentsJeunesBisonnes_12_18_mois=MAUVAISE,VLOOKUP("Pomme de terre",AlimentsRationHivernaleBisonsFemelles,5,FALSE),0)+(IF(QualitéAlimentsJeunesBisons_18_24_mois=MAUVAISE,VLOOKUP("Pomme de terre",AlimentsRationHivernaleBisonsMâles,4,FALSE),0)+(IF(QualitéAlimentsJeunesBisonnes_18_24_mois=MAUVAISE,VLOOKUP("Pomme de terre",AlimentsRationHivernaleBisonsFemelles,4,FALSE),0)+(IF(QualitéAlimentsJeunesBisons_24_36_mois=MAUVAISE,VLOOKUP("Pomme de terre",AlimentsRationHivernaleBisonsMâles,3,FALSE),0)+(IF(QualitéAlimentsJeunesBisonnes_24_36_mois=MAUVAISE,VLOOKUP("Pomme de terre",AlimentsRationHivernaleBisonsFemelles,3,FALSE),0)+(IF(QualitéAlimentsBisons=MAUVAISE,VLOOKUP("Pomme de terre",AlimentsRationHivernaleBisonsMâles,2,FALSE),0)+(IF(QualitéAlimentsBisonnes=MAUVAISE,VLOOKUP("Pomme de terre",AlimentsRationHivernaleBisonsFemelles,2,FALSE),0))))))))))))))))</f>
        <v>0</v>
      </c>
      <c r="BQ137" s="282"/>
      <c r="BR137" s="282"/>
      <c r="BS137" s="282"/>
      <c r="BT137" s="282"/>
      <c r="BU137" s="282"/>
      <c r="BX137" s="350" t="s">
        <v>908</v>
      </c>
      <c r="BY137" s="350">
        <f t="array" ref="BY137">IF(ChoixRationComplèteCaprins=OUI,0,IFERROR(IF(OR(AND(INDEX(Règles_caprins[Specificite],MATCH(ChoixRationCaprins&amp;$BX137,Règles_caprins[Ration]&amp;Règles_caprins[Aliment],0))="s1",IF($BX137=Spécificité1Caprins,1)),
INDEX(Règles_caprins[Specificite],MATCH(ChoixRationCaprins&amp;$BX137,Règles_caprins[Ration]&amp;Règles_caprins[Aliment],0))="c"),
INDEX(Règles_caprins[Valeur 12 et plus],MATCH(ChoixRationCaprins&amp;$BX137,Règles_caprins[Ration]&amp;Règles_caprins[Aliment],0)),0),0)*TotalBoucs*NbreJoursNourrirCaprins)</f>
        <v>0</v>
      </c>
      <c r="BZ137" s="350">
        <f t="array" ref="BZ137">IF(ChoixRationComplèteCaprins=OUI,0,IFERROR(IF(OR(AND(INDEX(Règles_caprins[Specificite],MATCH(ChoixRationCaprins&amp;$BX137,Règles_caprins[Ration]&amp;Règles_caprins[Aliment],0))="s1",IF($BX137=Spécificité1Caprins,1)),
INDEX(Règles_caprins[Specificite],MATCH(ChoixRationCaprins&amp;$BX137,Règles_caprins[Ration]&amp;Règles_caprins[Aliment],0))="c"),
INDEX(Règles_caprins[Valeur 6-12],MATCH(ChoixRationCaprins&amp;$BX137,Règles_caprins[Ration]&amp;Règles_caprins[Aliment],0)),0),0)*jeune_bouc_6_12_mois*NbreJoursNourrirCaprins)</f>
        <v>0</v>
      </c>
      <c r="CA137" s="350">
        <f t="array" ref="CA137">IF(ChoixRationComplèteCaprins=OUI,0,IFERROR(IF(OR(AND(INDEX(Règles_caprins[Specificite],MATCH(ChoixRationCaprins&amp;$BX137,Règles_caprins[Ration]&amp;Règles_caprins[Aliment],0))="s1",IF($BX137=Spécificité1Caprins,1)),
INDEX(Règles_caprins[Specificite],MATCH(ChoixRationCaprins&amp;$BX137,Règles_caprins[Ration]&amp;Règles_caprins[Aliment],0))="c"),
INDEX(Règles_caprins[Valeur 3-6],MATCH(ChoixRationCaprins&amp;$BX137,Règles_caprins[Ration]&amp;Règles_caprins[Aliment],0)),0),0)*chevreau_3_6_mois*NbreJoursNourrirCaprins)</f>
        <v>0</v>
      </c>
      <c r="CB137" s="350">
        <f t="array" ref="CB137">IF(ChoixRationComplèteCaprins=OUI,0,IFERROR(IF(OR(AND(INDEX(Règles_caprins[Specificite],MATCH(ChoixRationCaprins&amp;$BX137,Règles_caprins[Ration]&amp;Règles_caprins[Aliment],0))="s1",IF($BX137=Spécificité1Caprins,1)),
INDEX(Règles_caprins[Specificite],MATCH(ChoixRationCaprins&amp;$BX137,Règles_caprins[Ration]&amp;Règles_caprins[Aliment],0))="c"),
INDEX(Règles_caprins[Valeur 0-3],MATCH(ChoixRationCaprins&amp;$BX137,Règles_caprins[Ration]&amp;Règles_caprins[Aliment],0)),0),0)*chevreau_0_3_mois*NbreJoursNourrirCaprins)</f>
        <v>0</v>
      </c>
      <c r="CC137" s="350">
        <f t="shared" si="41"/>
        <v>0</v>
      </c>
      <c r="CH137" s="276"/>
      <c r="CI137" s="277"/>
      <c r="CJ137" s="229" t="s">
        <v>1195</v>
      </c>
      <c r="CK137" s="229"/>
      <c r="CL137" s="229"/>
      <c r="CM137" s="229"/>
      <c r="CN137" s="277"/>
      <c r="CO137" s="277"/>
      <c r="CP137" s="298"/>
      <c r="CS137" s="397">
        <f t="shared" si="36"/>
        <v>0</v>
      </c>
      <c r="CT137" s="398">
        <f t="array" ref="CT137">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3 et plus],MATCH(ChoixRationLapins&amp;AlimentsRationLapinsFemelles[[#This Row],[aliment]],Règles_lapins[Ration]&amp;Règles_lapins[Aliment],0)),0),0)*TotalLapines*NbreJoursNourrirAutres)</f>
        <v>0</v>
      </c>
      <c r="CU137" s="398">
        <f t="array" ref="CU137">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1-3],MATCH(ChoixRationLapins&amp;AlimentsRationLapinsFemelles[[#This Row],[aliment]],Règles_lapins[Ration]&amp;Règles_lapins[Aliment],0)),0),0)*TotalJeuneLapine_1_3_mois*NbreJoursNourrirAutres)</f>
        <v>0</v>
      </c>
      <c r="CV137" s="398">
        <f t="array" ref="CV137">IF(ChoixRationComplèteLapins=OUI,0,IFERROR(IF(OR(AND(INDEX(Règles_lapins[Specificite],MATCH(ChoixRationLapins&amp;AlimentsRationLapinsFemelles[[#This Row],[aliment]],Règles_lapins[Ration]&amp;Règles_lapins[Aliment],0))="s1",IF(AlimentsRationLapinsFemelles[[#This Row],[aliment]]=Spécificité1Lapins,1)),
AND(INDEX(Règles_lapins[Specificite],MATCH(ChoixRationLapins&amp;AlimentsRationLapinsFemelles[[#This Row],[aliment]],Règles_lapins[Ration]&amp;Règles_lapins[Aliment],0))="s2",IF(AlimentsRationLapinsFemelles[[#This Row],[aliment]]=Spécificité2Lapins,1)),
INDEX(Règles_lapins[Specificite],MATCH(ChoixRationLapins&amp;AlimentsRationLapinsFemelles[[#This Row],[aliment]],Règles_lapins[Ration]&amp;Règles_lapins[Aliment],0))="c"),
INDEX(Règles_lapins[Valeur 0-1],MATCH(ChoixRationLapins&amp;AlimentsRationLapinsFemelles[[#This Row],[aliment]],Règles_lapins[Ration]&amp;Règles_lapins[Aliment],0)),0),0)*TotalLapereauFemelle_0_1_mois*NbreJoursNourrirAutres)</f>
        <v>0</v>
      </c>
      <c r="CW137" s="435">
        <f>SUM(AlimentsRationLapinsFemelles[[#This Row],[Valeur 3 et plus]:[Valeur 0-1]])</f>
        <v>0</v>
      </c>
      <c r="CZ137" s="397">
        <f t="shared" si="37"/>
        <v>0</v>
      </c>
      <c r="DA137" s="398">
        <f t="array" ref="DA13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6 et plus],MATCH(ChoixRationVolailles&amp;AlimentsRationVolaillesMâles[[#This Row],[aliment]],Règles_volailles[Ration]&amp;Règles_volailles[Aliment],0)),0),0)*TotalPoules*NbreJoursNourrirAutres)</f>
        <v>0</v>
      </c>
      <c r="DB137" s="398">
        <f t="array" ref="DB13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1-6],MATCH(ChoixRationVolailles&amp;AlimentsRationVolaillesMâles[[#This Row],[aliment]],Règles_volailles[Ration]&amp;Règles_volailles[Aliment],0)),0),0)*JeunePoule_1_6_mois*NbreJoursNourrirAutres)</f>
        <v>0</v>
      </c>
      <c r="DC137" s="398">
        <f t="array" ref="DC137">IF(ChoixRationComplètePoules=OUI,0,IFERROR(IF(OR(AND(INDEX(Règles_volailles[Specificite],MATCH(ChoixRationVolailles&amp;AlimentsRationVolaillesMâles[[#This Row],[aliment]],Règles_volailles[Ration]&amp;Règles_volailles[Aliment],0))="s1",IF(AlimentsRationVolaillesMâles[[#This Row],[aliment]]=Spécificité1Volailles,1)),
AND(INDEX(Règles_volailles[Specificite],MATCH(ChoixRationVolailles&amp;AlimentsRationVolaillesMâles[[#This Row],[aliment]],Règles_volailles[Ration]&amp;Règles_volailles[Aliment],0))="s2",IF(AlimentsRationVolaillesMâles[[#This Row],[aliment]]=Spécificité2Volailles,1)),
INDEX(Règles_volailles[Specificite],MATCH(ChoixRationVolailles&amp;AlimentsRationVolaillesMâles[[#This Row],[aliment]],Règles_volailles[Ration]&amp;Règles_volailles[Aliment],0))="c"),
INDEX(Règles_volailles[Valeur 0-1],MATCH(ChoixRationVolailles&amp;AlimentsRationVolaillesMâles[[#This Row],[aliment]],Règles_volailles[Ration]&amp;Règles_volailles[Aliment],0)),0),0)*poussin_femelle_0_1_mois*NbreJoursNourrirAutres)</f>
        <v>0</v>
      </c>
      <c r="DD137" s="435">
        <f>SUM(AlimentsRationVolaillesFemelles[[#This Row],[Valeur 6 et plus]:[Valeur 0-1]])</f>
        <v>0</v>
      </c>
      <c r="DG137" s="420" t="s">
        <v>605</v>
      </c>
      <c r="DH137" s="408">
        <f>DH12*SUM(TotalPintadesAdultes)*SUM(Z76:Z100)</f>
        <v>0</v>
      </c>
      <c r="DN137" s="373" t="s">
        <v>551</v>
      </c>
      <c r="DO137" s="280" t="s">
        <v>518</v>
      </c>
      <c r="DP137" s="280" t="s">
        <v>886</v>
      </c>
      <c r="DQ137" s="310">
        <v>20</v>
      </c>
      <c r="DR137" s="310">
        <v>12</v>
      </c>
      <c r="DS137" s="310">
        <v>8</v>
      </c>
      <c r="DT137" s="439">
        <v>4</v>
      </c>
      <c r="EG137" s="397" t="s">
        <v>508</v>
      </c>
      <c r="EH137" s="398">
        <f t="array" ref="EH137">IF(ChoixRationComplèteOies=NON,0,IFERROR(IF(OR(AND(INDEX(Règles_oies[Specificite],MATCH(ChoixRationOies&amp;Ration_complète_oies[aliment],Règles_oies[Ration]&amp;Règles_oies[Aliment],0))="s1",IF(Ration_complète_oies[aliment]=Spécificité1Oies,1)),
AND(INDEX(Règles_oies[Specificite],MATCH(ChoixRationOies&amp;Ration_complète_oies[aliment],Règles_oies[Ration]&amp;Règles_oies[Aliment],0))="s2",IF(Ration_complète_oies[aliment]=Spécificité2Oies,1)),
INDEX(Règles_oies[Specificite],MATCH(ChoixRationOies&amp;Ration_complète_oies[aliment],Règles_oies[Ration]&amp;Règles_oies[Aliment],0))="c",INDEX(Règles_oies[Specificite],MATCH(ChoixRationOies&amp;Ration_complète_oies[aliment],Règles_oies[Ration]&amp;Règles_oies[Aliment],0))="complet"),
INDEX(Règles_oies[Valeur 6 et plus],MATCH(ChoixRationOies&amp;Ration_complète_oies[aliment],Règles_oies[Ration]&amp;Règles_oies[Aliment],0)),0),0)*SUM(TotalOiesAdultes)*SUM(Z76:Z100))</f>
        <v>0</v>
      </c>
      <c r="EI137" s="398">
        <f t="array" ref="EI137">IF(ChoixRationComplèteOies=NON,0,IFERROR(IF(OR(AND(INDEX(Règles_oies[Specificite],MATCH(ChoixRationOies&amp;Ration_complète_oies[aliment],Règles_oies[Ration]&amp;Règles_oies[Aliment],0))="s1",IF(Ration_complète_oies[aliment]=Spécificité1Oies,1)),
AND(INDEX(Règles_oies[Specificite],MATCH(ChoixRationOies&amp;Ration_complète_oies[aliment],Règles_oies[Ration]&amp;Règles_oies[Aliment],0))="s2",IF(Ration_complète_oies[aliment]=Spécificité2Oies,1)),
INDEX(Règles_oies[Specificite],MATCH(ChoixRationOies&amp;Ration_complète_oies[aliment],Règles_oies[Ration]&amp;Règles_oies[Aliment],0))="c",INDEX(Règles_oies[Specificite],MATCH(ChoixRationOies&amp;Ration_complète_oies[aliment],Règles_oies[Ration]&amp;Règles_oies[Aliment],0))="complet"),
INDEX(Règles_oies[Valeur 3-6],MATCH(ChoixRationOies&amp;Ration_complète_oies[aliment],Règles_oies[Ration]&amp;Règles_oies[Aliment],0)),0),0)*SUM(TotalJeunesOies)*SUM(Z76:Z100))</f>
        <v>0</v>
      </c>
      <c r="EJ137" s="398">
        <f t="array" ref="EJ137">IF(ChoixRationComplèteOies=NON,0,IFERROR(IF(OR(AND(INDEX(Règles_oies[Specificite],MATCH(ChoixRationOies&amp;Ration_complète_oies[aliment],Règles_oies[Ration]&amp;Règles_oies[Aliment],0))="s1",IF(Ration_complète_oies[aliment]=Spécificité1Oies,1)),
AND(INDEX(Règles_oies[Specificite],MATCH(ChoixRationOies&amp;Ration_complète_oies[aliment],Règles_oies[Ration]&amp;Règles_oies[Aliment],0))="s2",IF(Ration_complète_oies[aliment]=Spécificité2Oies,1)),
INDEX(Règles_oies[Specificite],MATCH(ChoixRationOies&amp;Ration_complète_oies[aliment],Règles_oies[Ration]&amp;Règles_oies[Aliment],0))="c",INDEX(Règles_oies[Specificite],MATCH(ChoixRationOies&amp;Ration_complète_oies[aliment],Règles_oies[Ration]&amp;Règles_oies[Aliment],0))="complet"),
INDEX(Règles_oies[Valeur 0-3],MATCH(ChoixRationOies&amp;Ration_complète_oies[aliment],Règles_oies[Ration]&amp;Règles_oies[Aliment],0)),0),0)*SUM(TotalOisons)*SUM(Z76:Z100))</f>
        <v>0</v>
      </c>
      <c r="EK137" s="436">
        <f>SUM(Ration_complète_oies[[Valeur 6 et plus]:[Valeur 0-3]])</f>
        <v>0</v>
      </c>
      <c r="EU137" s="457">
        <f t="shared" si="40"/>
        <v>0</v>
      </c>
      <c r="EV137" s="458">
        <f t="array" ref="EV137">IF(OR(ChoixRationComplèteEtéChevauxSelle=OUI,ChoixRationComplèteEtéChevauxSelle="",AND(ChoixChevauxSellePréHiver=OUI,ChoixChevauxSellePréEté=OUI)),0,IFERROR(IF(OR(AND(INDEX(Règles_chevaux_selle[Specificite],MATCH(RationEtéChevauxSelle&amp;$EU137,Règles_chevaux_selle[Ration]&amp;Règles_chevaux_selle[Aliment],0))="s1",IF($EU137=Spécificité1ChevauxSelle,1)),
AND(INDEX(Règles_chevaux_selle[Specificite],MATCH(RationEtéChevauxSelle&amp;$EU137,Règles_chevaux_selle[Ration]&amp;Règles_chevaux_selle[Aliment],0))="s2",IF($EU137=Spécificité2ChevauxSelle,1)),
INDEX(Règles_chevaux_selle[Specificite],MATCH(RationEtéChevauxSelle&amp;$EU137,Règles_chevaux_selle[Ration]&amp;Règles_chevaux_selle[Aliment],0))="c"),
INDEX(Règles_chevaux_selle[Valeur 36 et plus],MATCH(RationEtéChevauxSelle&amp;$EU137,Règles_chevaux_selle[Ration]&amp;Règles_chevaux_selle[Aliment],0)),0),0)*TotalJumentSelle*NbreJoursNourrirChevauxSelle)</f>
        <v>0</v>
      </c>
      <c r="EW137" s="458">
        <f t="array" ref="EW137">IF(OR(ChoixRationComplèteEtéChevauxSelle=OUI,ChoixRationComplèteEtéChevauxSelle="",AND(ChoixChevauxSellePréHiver=OUI,ChoixChevauxSellePréEté=OUI)),0,IFERROR(IF(OR(AND(INDEX(Règles_chevaux_selle[Specificite],MATCH(RationEtéChevauxSelle&amp;$EU137,Règles_chevaux_selle[Ration]&amp;Règles_chevaux_selle[Aliment],0))="s1",IF($EU137=Spécificité1ChevauxSelle,1)),
AND(INDEX(Règles_chevaux_selle[Specificite],MATCH(RationEtéChevauxSelle&amp;$EU137,Règles_chevaux_selle[Ration]&amp;Règles_chevaux_selle[Aliment],0))="s2",IF($EU137=Spécificité2ChevauxSelle,1)),
INDEX(Règles_chevaux_selle[Specificite],MATCH(RationEtéChevauxSelle&amp;$EU137,Règles_chevaux_selle[Ration]&amp;Règles_chevaux_selle[Aliment],0))="c"),
INDEX(Règles_chevaux_selle[Valeur 24-36],MATCH(RationEtéChevauxSelle&amp;$EU137,Règles_chevaux_selle[Ration]&amp;Règles_chevaux_selle[Aliment],0)),0),0)*TotalJeuneJumentSelle_24_36_mois*NbreJoursNourrirChevauxSelle)</f>
        <v>0</v>
      </c>
      <c r="EX137" s="458">
        <f t="array" ref="EX137">IF(OR(ChoixRationComplèteEtéChevauxSelle=OUI,ChoixRationComplèteEtéChevauxSelle="",AND(ChoixChevauxSellePréHiver=OUI,ChoixChevauxSellePréEté=OUI)),0,IFERROR(IF(OR(AND(INDEX(Règles_chevaux_selle[Specificite],MATCH(RationEtéChevauxSelle&amp;$EU137,Règles_chevaux_selle[Ration]&amp;Règles_chevaux_selle[Aliment],0))="s1",IF($EU137=Spécificité1ChevauxSelle,1)),
AND(INDEX(Règles_chevaux_selle[Specificite],MATCH(RationEtéChevauxSelle&amp;$EU137,Règles_chevaux_selle[Ration]&amp;Règles_chevaux_selle[Aliment],0))="s2",IF($EU137=Spécificité2ChevauxSelle,1)),
INDEX(Règles_chevaux_selle[Specificite],MATCH(RationEtéChevauxSelle&amp;$EU137,Règles_chevaux_selle[Ration]&amp;Règles_chevaux_selle[Aliment],0))="c"),
INDEX(Règles_chevaux_selle[Valeur 12-24],MATCH(RationEtéChevauxSelle&amp;$EU137,Règles_chevaux_selle[Ration]&amp;Règles_chevaux_selle[Aliment],0)),0),0)*TotalJeuneJumentSelle_12_24_mois_12_24_mois*NbreJoursNourrirChevauxSelle)</f>
        <v>0</v>
      </c>
      <c r="EY137" s="460">
        <f t="array" ref="EY137">IF(OR(ChoixRationComplèteEtéChevauxSelle=OUI,ChoixRationComplèteEtéChevauxSelle="",AND(ChoixChevauxSellePréHiver=OUI,ChoixChevauxSellePréEté=OUI)),0,IFERROR(IF(OR(AND(INDEX(Règles_chevaux_selle[Specificite],MATCH(RationEtéChevauxSelle&amp;$EU137,Règles_chevaux_selle[Ration]&amp;Règles_chevaux_selle[Aliment],0))="s1",IF($EU137=Spécificité1ChevauxSelle,1)),
AND(INDEX(Règles_chevaux_selle[Specificite],MATCH(RationEtéChevauxSelle&amp;$EU137,Règles_chevaux_selle[Ration]&amp;Règles_chevaux_selle[Aliment],0))="s2",IF($EU137=Spécificité2ChevauxSelle,1)),
INDEX(Règles_chevaux_selle[Specificite],MATCH(RationEtéChevauxSelle&amp;$EU137,Règles_chevaux_selle[Ration]&amp;Règles_chevaux_selle[Aliment],0))="c"),
INDEX(Règles_chevaux_selle[Valeur 0-12],MATCH(RationEtéChevauxSelle&amp;$EU137,Règles_chevaux_selle[Ration]&amp;Règles_chevaux_selle[Aliment],0)),0),0)*TotalPoulicheSelle_0_12_mois*NbreJoursNourrirChevauxSelle)</f>
        <v>0</v>
      </c>
      <c r="EZ137" s="460">
        <f t="shared" si="39"/>
        <v>0</v>
      </c>
      <c r="FD137" s="394" t="s">
        <v>910</v>
      </c>
      <c r="FE137" s="395" t="s">
        <v>895</v>
      </c>
      <c r="FF137" s="395" t="s">
        <v>894</v>
      </c>
      <c r="FG137" s="395" t="s">
        <v>938</v>
      </c>
      <c r="FH137" s="449" t="s">
        <v>937</v>
      </c>
      <c r="FI137" s="396" t="s">
        <v>903</v>
      </c>
      <c r="FJ137" s="298"/>
      <c r="FN137" s="421" t="s">
        <v>508</v>
      </c>
      <c r="FO137" s="452">
        <f t="array" ref="FO137">IF(ChoixRationComplèteEtéPoneys=NON,0,IFERROR(IF(OR(AND(INDEX(Règles_poneys[Specificite],MATCH(RationHivernaleAuPréPoneys&amp;Ration_complète_poneys[aliment],Règles_poneys[Ration]&amp;Règles_poneys[Aliment],0))="s1",IF(Ration_complète_poneys[aliment]=Spécificité1Poneys,1)),
AND(INDEX(Règles_poneys[Specificite],MATCH(RationHivernaleAuPréPoneys&amp;Ration_complète_poneys[aliment],Règles_poneys[Ration]&amp;Règles_poneys[Aliment],0))="s2",IF(Ration_complète_poneys[aliment]=Spécificité2Poneys,1)),
INDEX(Règles_poneys[Specificite],MATCH(RationHivernaleAuPréPoneys&amp;Ration_complète_poneys[aliment],Règles_poneys[Ration]&amp;Règles_poneys[Aliment],0))="c",INDEX(Règles_poneys[Specificite],MATCH(RationHivernaleAuPréPoneys&amp;Ration_complète_poneys[aliment],Règles_poneys[Ration]&amp;Règles_poneys[Aliment],0))="complet"),
INDEX(Règles_poneys[Valeur 36 et plus],MATCH(RationHivernaleAuPréPoneys&amp;Ration_complète_poneys[aliment],Règles_poneys[Ration]&amp;Règles_poneys[Aliment],0)),0),0)*SUM(TotalPoneysAdultes)*SUM(AE76:AE100))</f>
        <v>0</v>
      </c>
      <c r="FP137" s="452">
        <f t="array" ref="FP137">IF(ChoixRationComplèteEtéPoneys=NON,0,IFERROR(IF(OR(AND(INDEX(Règles_poneys[Specificite],MATCH(RationHivernaleAuPréPoneys&amp;Ration_complète_poneys[aliment],Règles_poneys[Ration]&amp;Règles_poneys[Aliment],0))="s1",IF(Ration_complète_poneys[aliment]=Spécificité1Poneys,1)),
AND(INDEX(Règles_poneys[Specificite],MATCH(RationHivernaleAuPréPoneys&amp;Ration_complète_poneys[aliment],Règles_poneys[Ration]&amp;Règles_poneys[Aliment],0))="s2",IF(Ration_complète_poneys[aliment]=Spécificité2Poneys,1)),
INDEX(Règles_poneys[Specificite],MATCH(RationHivernaleAuPréPoneys&amp;Ration_complète_poneys[aliment],Règles_poneys[Ration]&amp;Règles_poneys[Aliment],0))="c",INDEX(Règles_poneys[Specificite],MATCH(RationHivernaleAuPréPoneys&amp;Ration_complète_poneys[aliment],Règles_poneys[Ration]&amp;Règles_poneys[Aliment],0))="complet"),
INDEX(Règles_poneys[Valeur 24-36],MATCH(RationHivernaleAuPréPoneys&amp;Ration_complète_poneys[aliment],Règles_poneys[Ration]&amp;Règles_poneys[Aliment],0)),0),0)*SUM(TotalPoneys_24_36mois)*SUM(AE76:AE100))</f>
        <v>0</v>
      </c>
      <c r="FQ137" s="452">
        <f t="array" ref="FQ137">IF(ChoixRationComplèteEtéPoneys=NON,0,IFERROR(IF(OR(AND(INDEX(Règles_poneys[Specificite],MATCH(RationHivernaleAuPréPoneys&amp;Ration_complète_poneys[aliment],Règles_poneys[Ration]&amp;Règles_poneys[Aliment],0))="s1",IF(Ration_complète_poneys[aliment]=Spécificité1Poneys,1)),
AND(INDEX(Règles_poneys[Specificite],MATCH(RationHivernaleAuPréPoneys&amp;Ration_complète_poneys[aliment],Règles_poneys[Ration]&amp;Règles_poneys[Aliment],0))="s2",IF(Ration_complète_poneys[aliment]=Spécificité2Poneys,1)),
INDEX(Règles_poneys[Specificite],MATCH(RationHivernaleAuPréPoneys&amp;Ration_complète_poneys[aliment],Règles_poneys[Ration]&amp;Règles_poneys[Aliment],0))="c",INDEX(Règles_poneys[Specificite],MATCH(RationHivernaleAuPréPoneys&amp;Ration_complète_poneys[aliment],Règles_poneys[Ration]&amp;Règles_poneys[Aliment],0))="complet"),
INDEX(Règles_poneys[Valeur 12-24],MATCH(RationHivernaleAuPréPoneys&amp;Ration_complète_poneys[aliment],Règles_poneys[Ration]&amp;Règles_poneys[Aliment],0)),0),0)*SUM(TotalPoneys_12_24mois)*SUM(AE76:AE100))</f>
        <v>0</v>
      </c>
      <c r="FR137" s="452">
        <f t="array" ref="FR137">IF(ChoixRationComplèteEtéPoneys=NON,0,IFERROR(IF(OR(AND(INDEX(Règles_poneys[Specificite],MATCH(RationHivernaleAuPréPoneys&amp;Ration_complète_poneys[aliment],Règles_poneys[Ration]&amp;Règles_poneys[Aliment],0))="s1",IF(Ration_complète_poneys[aliment]=Spécificité1Poneys,1)),
AND(INDEX(Règles_poneys[Specificite],MATCH(RationHivernaleAuPréPoneys&amp;Ration_complète_poneys[aliment],Règles_poneys[Ration]&amp;Règles_poneys[Aliment],0))="s2",IF(Ration_complète_poneys[aliment]=Spécificité2Poneys,1)),
INDEX(Règles_poneys[Specificite],MATCH(RationHivernaleAuPréPoneys&amp;Ration_complète_poneys[aliment],Règles_poneys[Ration]&amp;Règles_poneys[Aliment],0))="c",INDEX(Règles_poneys[Specificite],MATCH(RationHivernaleAuPréPoneys&amp;Ration_complète_poneys[aliment],Règles_poneys[Ration]&amp;Règles_poneys[Aliment],0))="complet"),
INDEX(Règles_poneys[Valeur 0-12],MATCH(RationHivernaleAuPréPoneys&amp;Ration_complète_poneys[aliment],Règles_poneys[Ration]&amp;Règles_poneys[Aliment],0)),0),0)*SUM(TotalPoulainsPoneys)*SUM(AE76:AE100))</f>
        <v>0</v>
      </c>
      <c r="FS137" s="454">
        <f>SUM(Ration_complète_poneys[[Valeur 36 et plus]:[Valeur 0-12]])</f>
        <v>0</v>
      </c>
      <c r="FT137" s="298"/>
      <c r="FW137" s="457" t="str">
        <f t="shared" ref="FW137:FW174" si="44">FW44</f>
        <v>Betterave</v>
      </c>
      <c r="FX137" s="458">
        <f t="array" ref="FX137">SUM((IF(QualitéAlimentsGavageOison_0_1_mois=BONNE,VLOOKUP("Betterave",AlimentsGavageOie,5,FALSE),0)+(IF(QualitéAlimentsGavageCaneton_0_1_mois=BONNE,VLOOKUP("Betterave",AlimentsGavageCanard,5,FALSE),0)+(IF(QualitéAlimentsGavageOison_1_2_mois=BONNE,VLOOKUP("Betterave",AlimentsGavageOie,4,FALSE),0)+(IF(QualitéAlimentsGavageCaneton_1_2_mois=BONNE,VLOOKUP("Betterave",AlimentsGavageCanard,4,FALSE),0)+(IF(QualitéAlimentsGavageOison_2_3_mois=BONNE,VLOOKUP("Betterave",AlimentsGavageOie,3,FALSE),0)+(IF(QualitéAlimentsGavageCaneton_2_3_mois=BONNE,VLOOKUP("Betterave",AlimentsGavageCanard,3,FALSE),0)+(IF(QualitéAlimentsGavageJeunesOies=BONNE,VLOOKUP("Betterave",AlimentsGavageOie,2,FALSE),0)+(IF(QualitéAlimentsGavageJeuneCanard=BONNE,VLOOKUP("Betterave",AlimentsGavageCanard,2,FALSE),0))))))))))</f>
        <v>0</v>
      </c>
      <c r="FY137" s="458">
        <f t="array" ref="FY137">SUM((IF(QualitéAlimentsGavageOison_0_1_mois=MOYENNE,VLOOKUP("Betterave",AlimentsGavageOie,5,FALSE),0)+(IF(QualitéAlimentsGavageCaneton_0_1_mois=MOYENNE,VLOOKUP("Betterave",AlimentsGavageCanard,5,FALSE),0)+(IF(QualitéAlimentsGavageOison_1_2_mois=MOYENNE,VLOOKUP("Betterave",AlimentsGavageOie,4,FALSE),0)+(IF(QualitéAlimentsGavageCaneton_1_2_mois=MOYENNE,VLOOKUP("Betterave",AlimentsGavageCanard,4,FALSE),0)+(IF(QualitéAlimentsGavageOison_2_3_mois=MOYENNE,VLOOKUP("Betterave",AlimentsGavageOie,3,FALSE),0)+(IF(QualitéAlimentsGavageCaneton_2_3_mois=MOYENNE,VLOOKUP("Betterave",AlimentsGavageCanard,3,FALSE),0)+(IF(QualitéAlimentsGavageJeunesOies=MOYENNE,VLOOKUP("Betterave",AlimentsGavageOie,2,FALSE),0)+(IF(QualitéAlimentsGavageJeuneCanard=MOYENNE,VLOOKUP("Betterave",AlimentsGavageCanard,2,FALSE),0))))))))))</f>
        <v>0</v>
      </c>
      <c r="FZ137" s="458">
        <f t="array" ref="FZ137">SUM((IF(QualitéAlimentsGavageOison_0_1_mois=MAUVAISE,VLOOKUP("Betterave",AlimentsGavageOie,5,FALSE),0)+(IF(QualitéAlimentsGavageCaneton_0_1_mois=MAUVAISE,VLOOKUP("Betterave",AlimentsGavageCanard,5,FALSE),0)+(IF(QualitéAlimentsGavageOison_1_2_mois=MAUVAISE,VLOOKUP("Betterave",AlimentsGavageOie,4,FALSE),0)+(IF(QualitéAlimentsGavageCaneton_1_2_mois=MAUVAISE,VLOOKUP("Betterave",AlimentsGavageCanard,4,FALSE),0)+(IF(QualitéAlimentsGavageOison_2_3_mois=MAUVAISE,VLOOKUP("Betterave",AlimentsGavageOie,3,FALSE),0)+(IF(QualitéAlimentsGavageCaneton_2_3_mois=MAUVAISE,VLOOKUP("Betterave",AlimentsGavageCanard,3,FALSE),0)+(IF(QualitéAlimentsGavageJeunesOies=MAUVAISE,VLOOKUP("Betterave",AlimentsGavageOie,2,FALSE),0)+(IF(QualitéAlimentsGavageJeuneCanard=MAUVAISE,VLOOKUP("Betterave",AlimentsGavageCanard,2,FALSE),0))))))))))</f>
        <v>0</v>
      </c>
      <c r="GB137" s="281"/>
      <c r="GG137" s="276" t="s">
        <v>955</v>
      </c>
      <c r="GH137" s="276" t="s">
        <v>955</v>
      </c>
      <c r="GI137" s="276" t="s">
        <v>955</v>
      </c>
      <c r="GJ137" s="276" t="s">
        <v>955</v>
      </c>
      <c r="GK137" s="276" t="s">
        <v>955</v>
      </c>
      <c r="GL137" s="276" t="s">
        <v>955</v>
      </c>
      <c r="GM137" s="276" t="s">
        <v>955</v>
      </c>
      <c r="GN137" s="276" t="s">
        <v>955</v>
      </c>
      <c r="GO137" s="276" t="s">
        <v>955</v>
      </c>
      <c r="GP137" s="276" t="s">
        <v>955</v>
      </c>
      <c r="GQ137" s="276" t="s">
        <v>955</v>
      </c>
      <c r="GR137" s="276" t="s">
        <v>955</v>
      </c>
      <c r="GS137" s="276" t="s">
        <v>955</v>
      </c>
      <c r="GT137" s="276" t="s">
        <v>955</v>
      </c>
      <c r="GU137" s="276" t="s">
        <v>955</v>
      </c>
      <c r="GV137" s="276" t="s">
        <v>955</v>
      </c>
    </row>
    <row r="138" spans="1:204" ht="12.75" customHeight="1" x14ac:dyDescent="0.2">
      <c r="A138" s="373"/>
      <c r="B138" s="382"/>
      <c r="BB138" s="387" t="s">
        <v>517</v>
      </c>
      <c r="BC138" s="362" t="s">
        <v>220</v>
      </c>
      <c r="BD138" s="362" t="s">
        <v>887</v>
      </c>
      <c r="BE138" s="388">
        <v>7.2</v>
      </c>
      <c r="BF138" s="388">
        <v>6</v>
      </c>
      <c r="BG138" s="388">
        <v>4</v>
      </c>
      <c r="BH138" s="388">
        <v>2</v>
      </c>
      <c r="BI138" s="388">
        <v>1.2</v>
      </c>
      <c r="BJ138" s="388">
        <v>0.6</v>
      </c>
      <c r="BK138" s="389">
        <v>0</v>
      </c>
      <c r="BL138" s="312"/>
      <c r="BM138" s="350" t="str">
        <f t="shared" si="43"/>
        <v>Pulpe déshydratée de betterave</v>
      </c>
      <c r="BN138" s="351">
        <f t="array" ref="BN138">SUM((IF(QualitéAlimentsBisonneauxMâles_0_3_mois=BONNE,VLOOKUP("Pulpe déshydratée de betterave",AlimentsRationHivernaleBisonsMâles,8,FALSE),0)+(IF(QualitéAlimentsBisonneauxFemelles_0_3_mois=BONNE,VLOOKUP("Pulpe déshydratée de betterave",AlimentsRationHivernaleBisonsFemelles,8,FALSE),0)+(IF(QualitéAlimentsBisonneauxMâles_3_6_mois=BONNE,VLOOKUP("Pulpe déshydratée de betterave",AlimentsRationHivernaleBisonsMâles,7,FALSE),0)+(IF(QualitéAlimentsBisonneauxFemelles_3_6_mois=BONNE,VLOOKUP("Pulpe déshydratée de betterave",AlimentsRationHivernaleBisonsFemelles,7,FALSE),0)+(IF(QualitéAlimentsBisonneauxMâles_6_12_mois=BONNE,VLOOKUP("Pulpe déshydratée de betterave",AlimentsRationHivernaleBisonsMâles,6,FALSE),0)+(IF(QualitéAlimentsBisonneauxFemelles_6_12_mois=BONNE,VLOOKUP("Pulpe déshydratée de betterave",AlimentsRationHivernaleBisonsFemelles,6,FALSE),0)+(IF(QualitéAlimentsJeunesBisons_12_18_mois=BONNE,VLOOKUP("Pulpe déshydratée de betterave",AlimentsRationHivernaleBisonsMâles,5,FALSE),0)+(IF(QualitéAlimentsJeunesBisonnes_12_18_mois=BONNE,VLOOKUP("Pulpe déshydratée de betterave",AlimentsRationHivernaleBisonsFemelles,5,FALSE),0)+(IF(QualitéAlimentsJeunesBisons_18_24_mois=BONNE,VLOOKUP("Pulpe déshydratée de betterave",AlimentsRationHivernaleBisonsMâles,4,FALSE),0)+(IF(QualitéAlimentsJeunesBisonnes_18_24_mois=BONNE,VLOOKUP("Pulpe déshydratée de betterave",AlimentsRationHivernaleBisonsFemelles,4,FALSE),0)+(IF(QualitéAlimentsJeunesBisons_24_36_mois=BONNE,VLOOKUP("Pulpe déshydratée de betterave",AlimentsRationHivernaleBisonsMâles,3,FALSE),0)+(IF(QualitéAlimentsJeunesBisonnes_24_36_mois=BONNE,VLOOKUP("Pulpe déshydratée de betterave",AlimentsRationHivernaleBisonsFemelles,3,FALSE),0)+(IF(QualitéAlimentsBisons=BONNE,VLOOKUP("Pulpe déshydratée de betterave",AlimentsRationHivernaleBisonsMâles,2,FALSE),0)+(IF(QualitéAlimentsBisonnes=BONNE,VLOOKUP("Pulpe déshydratée de betterave",AlimentsRationHivernaleBisonsFemelles,2,FALSE),0))))))))))))))))</f>
        <v>0</v>
      </c>
      <c r="BO138" s="351">
        <f t="array" ref="BO138">SUM((IF(QualitéAlimentsBisonneauxMâles_0_3_mois=MOYENNE,VLOOKUP("Pulpe déshydratée de betterave",AlimentsRationHivernaleBisonsMâles,8,FALSE),0)+(IF(QualitéAlimentsBisonneauxFemelles_0_3_mois=MOYENNE,VLOOKUP("Pulpe déshydratée de betterave",AlimentsRationHivernaleBisonsFemelles,8,FALSE),0)+(IF(QualitéAlimentsBisonneauxMâles_3_6_mois=MOYENNE,VLOOKUP("Pulpe déshydratée de betterave",AlimentsRationHivernaleBisonsMâles,7,FALSE),0)+(IF(QualitéAlimentsBisonneauxFemelles_3_6_mois=MOYENNE,VLOOKUP("Pulpe déshydratée de betterave",AlimentsRationHivernaleBisonsFemelles,7,FALSE),0)+(IF(QualitéAlimentsBisonneauxMâles_6_12_mois=MOYENNE,VLOOKUP("Pulpe déshydratée de betterave",AlimentsRationHivernaleBisonsMâles,6,FALSE),0)+(IF(QualitéAlimentsBisonneauxFemelles_6_12_mois=MOYENNE,VLOOKUP("Pulpe déshydratée de betterave",AlimentsRationHivernaleBisonsFemelles,6,FALSE),0)+(IF(QualitéAlimentsJeunesBisons_12_18_mois=MOYENNE,VLOOKUP("Pulpe déshydratée de betterave",AlimentsRationHivernaleBisonsMâles,5,FALSE),0)+(IF(QualitéAlimentsJeunesBisonnes_12_18_mois=MOYENNE,VLOOKUP("Pulpe déshydratée de betterave",AlimentsRationHivernaleBisonsFemelles,5,FALSE),0)+(IF(QualitéAlimentsJeunesBisons_18_24_mois=MOYENNE,VLOOKUP("Pulpe déshydratée de betterave",AlimentsRationHivernaleBisonsMâles,4,FALSE),0)+(IF(QualitéAlimentsJeunesBisonnes_18_24_mois=MOYENNE,VLOOKUP("Pulpe déshydratée de betterave",AlimentsRationHivernaleBisonsFemelles,4,FALSE),0)+(IF(QualitéAlimentsJeunesBisons_24_36_mois=MOYENNE,VLOOKUP("Pulpe déshydratée de betterave",AlimentsRationHivernaleBisonsMâles,3,FALSE),0)+(IF(QualitéAlimentsJeunesBisonnes_24_36_mois=MOYENNE,VLOOKUP("Pulpe déshydratée de betterave",AlimentsRationHivernaleBisonsFemelles,3,FALSE),0)+(IF(QualitéAlimentsBisons=MOYENNE,VLOOKUP("Pulpe déshydratée de betterave",AlimentsRationHivernaleBisonsMâles,2,FALSE),0)+(IF(QualitéAlimentsBisonnes=MOYENNE,VLOOKUP("Pulpe déshydratée de betterave",AlimentsRationHivernaleBisonsFemelles,2,FALSE),0))))))))))))))))</f>
        <v>0</v>
      </c>
      <c r="BP138" s="351">
        <f t="array" ref="BP138">SUM((IF(QualitéAlimentsBisonneauxMâles_0_3_mois=MAUVAISE,VLOOKUP("Pulpe déshydratée de betterave",AlimentsRationHivernaleBisonsMâles,8,FALSE),0)+(IF(QualitéAlimentsBisonneauxFemelles_0_3_mois=MAUVAISE,VLOOKUP("Pulpe déshydratée de betterave",AlimentsRationHivernaleBisonsFemelles,8,FALSE),0)+(IF(QualitéAlimentsBisonneauxMâles_3_6_mois=MAUVAISE,VLOOKUP("Pulpe déshydratée de betterave",AlimentsRationHivernaleBisonsMâles,7,FALSE),0)+(IF(QualitéAlimentsBisonneauxFemelles_3_6_mois=MAUVAISE,VLOOKUP("Pulpe déshydratée de betterave",AlimentsRationHivernaleBisonsFemelles,7,FALSE),0)+(IF(QualitéAlimentsBisonneauxMâles_6_12_mois=MAUVAISE,VLOOKUP("Pulpe déshydratée de betterave",AlimentsRationHivernaleBisonsMâles,6,FALSE),0)+(IF(QualitéAlimentsBisonneauxFemelles_6_12_mois=MAUVAISE,VLOOKUP("Pulpe déshydratée de betterave",AlimentsRationHivernaleBisonsFemelles,6,FALSE),0)+(IF(QualitéAlimentsJeunesBisons_12_18_mois=MAUVAISE,VLOOKUP("Pulpe déshydratée de betterave",AlimentsRationHivernaleBisonsMâles,5,FALSE),0)+(IF(QualitéAlimentsJeunesBisonnes_12_18_mois=MAUVAISE,VLOOKUP("Pulpe déshydratée de betterave",AlimentsRationHivernaleBisonsFemelles,5,FALSE),0)+(IF(QualitéAlimentsJeunesBisons_18_24_mois=MAUVAISE,VLOOKUP("Pulpe déshydratée de betterave",AlimentsRationHivernaleBisonsMâles,4,FALSE),0)+(IF(QualitéAlimentsJeunesBisonnes_18_24_mois=MAUVAISE,VLOOKUP("Pulpe déshydratée de betterave",AlimentsRationHivernaleBisonsFemelles,4,FALSE),0)+(IF(QualitéAlimentsJeunesBisons_24_36_mois=MAUVAISE,VLOOKUP("Pulpe déshydratée de betterave",AlimentsRationHivernaleBisonsMâles,3,FALSE),0)+(IF(QualitéAlimentsJeunesBisonnes_24_36_mois=MAUVAISE,VLOOKUP("Pulpe déshydratée de betterave",AlimentsRationHivernaleBisonsFemelles,3,FALSE),0)+(IF(QualitéAlimentsBisons=MAUVAISE,VLOOKUP("Pulpe déshydratée de betterave",AlimentsRationHivernaleBisonsMâles,2,FALSE),0)+(IF(QualitéAlimentsBisonnes=MAUVAISE,VLOOKUP("Pulpe déshydratée de betterave",AlimentsRationHivernaleBisonsFemelles,2,FALSE),0))))))))))))))))</f>
        <v>0</v>
      </c>
      <c r="BQ138" s="282"/>
      <c r="BR138" s="282"/>
      <c r="BS138" s="282"/>
      <c r="BT138" s="282"/>
      <c r="BU138" s="282"/>
      <c r="BX138" s="350" t="s">
        <v>70</v>
      </c>
      <c r="BY138" s="350">
        <f t="array" ref="BY138">IF(ChoixRationComplèteCaprins=OUI,0,IFERROR(IF(OR(AND(INDEX(Règles_caprins[Specificite],MATCH(ChoixRationCaprins&amp;$BX138,Règles_caprins[Ration]&amp;Règles_caprins[Aliment],0))="s1",IF($BX138=Spécificité1Caprins,1)),
INDEX(Règles_caprins[Specificite],MATCH(ChoixRationCaprins&amp;$BX138,Règles_caprins[Ration]&amp;Règles_caprins[Aliment],0))="c"),
INDEX(Règles_caprins[Valeur 12 et plus],MATCH(ChoixRationCaprins&amp;$BX138,Règles_caprins[Ration]&amp;Règles_caprins[Aliment],0)),0),0)*TotalBoucs*NbreJoursNourrirCaprins)</f>
        <v>20.8</v>
      </c>
      <c r="BZ138" s="350">
        <f t="array" ref="BZ138">IF(ChoixRationComplèteCaprins=OUI,0,IFERROR(IF(OR(AND(INDEX(Règles_caprins[Specificite],MATCH(ChoixRationCaprins&amp;$BX138,Règles_caprins[Ration]&amp;Règles_caprins[Aliment],0))="s1",IF($BX138=Spécificité1Caprins,1)),
INDEX(Règles_caprins[Specificite],MATCH(ChoixRationCaprins&amp;$BX138,Règles_caprins[Ration]&amp;Règles_caprins[Aliment],0))="c"),
INDEX(Règles_caprins[Valeur 6-12],MATCH(ChoixRationCaprins&amp;$BX138,Règles_caprins[Ration]&amp;Règles_caprins[Aliment],0)),0),0)*jeune_bouc_6_12_mois*NbreJoursNourrirCaprins)</f>
        <v>107.8</v>
      </c>
      <c r="CA138" s="350">
        <f t="array" ref="CA138">IF(ChoixRationComplèteCaprins=OUI,0,IFERROR(IF(OR(AND(INDEX(Règles_caprins[Specificite],MATCH(ChoixRationCaprins&amp;$BX138,Règles_caprins[Ration]&amp;Règles_caprins[Aliment],0))="s1",IF($BX138=Spécificité1Caprins,1)),
INDEX(Règles_caprins[Specificite],MATCH(ChoixRationCaprins&amp;$BX138,Règles_caprins[Ration]&amp;Règles_caprins[Aliment],0))="c"),
INDEX(Règles_caprins[Valeur 3-6],MATCH(ChoixRationCaprins&amp;$BX138,Règles_caprins[Ration]&amp;Règles_caprins[Aliment],0)),0),0)*chevreau_3_6_mois*NbreJoursNourrirCaprins)</f>
        <v>37.199999999999996</v>
      </c>
      <c r="CB138" s="350">
        <f t="array" ref="CB138">IF(ChoixRationComplèteCaprins=OUI,0,IFERROR(IF(OR(AND(INDEX(Règles_caprins[Specificite],MATCH(ChoixRationCaprins&amp;$BX138,Règles_caprins[Ration]&amp;Règles_caprins[Aliment],0))="s1",IF($BX138=Spécificité1Caprins,1)),
INDEX(Règles_caprins[Specificite],MATCH(ChoixRationCaprins&amp;$BX138,Règles_caprins[Ration]&amp;Règles_caprins[Aliment],0))="c"),
INDEX(Règles_caprins[Valeur 0-3],MATCH(ChoixRationCaprins&amp;$BX138,Règles_caprins[Ration]&amp;Règles_caprins[Aliment],0)),0),0)*chevreau_0_3_mois*NbreJoursNourrirCaprins)</f>
        <v>66</v>
      </c>
      <c r="CC138" s="350">
        <f t="shared" si="41"/>
        <v>231.79999999999998</v>
      </c>
      <c r="CH138" s="276"/>
      <c r="CI138" s="277"/>
      <c r="CJ138" s="349" t="s">
        <v>910</v>
      </c>
      <c r="CK138" s="353" t="s">
        <v>1192</v>
      </c>
      <c r="CL138" s="353" t="s">
        <v>1193</v>
      </c>
      <c r="CM138" s="353" t="s">
        <v>1194</v>
      </c>
      <c r="CN138" s="277"/>
      <c r="CO138" s="277"/>
      <c r="CP138" s="298"/>
      <c r="CT138" s="315"/>
      <c r="CU138" s="315"/>
      <c r="CV138" s="315"/>
      <c r="DG138" s="420" t="s">
        <v>606</v>
      </c>
      <c r="DH138" s="408">
        <f>DH13*SUM(TotalJeunesPintades)*SUM(Z76:Z100)</f>
        <v>0</v>
      </c>
      <c r="DN138" s="373" t="s">
        <v>843</v>
      </c>
      <c r="DO138" s="280" t="s">
        <v>508</v>
      </c>
      <c r="DP138" s="280" t="s">
        <v>911</v>
      </c>
      <c r="DQ138" s="280">
        <v>6.3</v>
      </c>
      <c r="DR138" s="280">
        <v>5.04</v>
      </c>
      <c r="DS138" s="280">
        <v>3.78</v>
      </c>
      <c r="DT138" s="363">
        <v>3.15</v>
      </c>
      <c r="EN138" s="340" t="s">
        <v>1019</v>
      </c>
      <c r="EO138" s="335"/>
      <c r="EU138" s="457">
        <f t="shared" si="40"/>
        <v>0</v>
      </c>
      <c r="EV138" s="458">
        <f t="array" ref="EV138">IF(OR(ChoixRationComplèteEtéChevauxSelle=OUI,ChoixRationComplèteEtéChevauxSelle="",AND(ChoixChevauxSellePréHiver=OUI,ChoixChevauxSellePréEté=OUI)),0,IFERROR(IF(OR(AND(INDEX(Règles_chevaux_selle[Specificite],MATCH(RationEtéChevauxSelle&amp;$EU138,Règles_chevaux_selle[Ration]&amp;Règles_chevaux_selle[Aliment],0))="s1",IF($EU138=Spécificité1ChevauxSelle,1)),
AND(INDEX(Règles_chevaux_selle[Specificite],MATCH(RationEtéChevauxSelle&amp;$EU138,Règles_chevaux_selle[Ration]&amp;Règles_chevaux_selle[Aliment],0))="s2",IF($EU138=Spécificité2ChevauxSelle,1)),
INDEX(Règles_chevaux_selle[Specificite],MATCH(RationEtéChevauxSelle&amp;$EU138,Règles_chevaux_selle[Ration]&amp;Règles_chevaux_selle[Aliment],0))="c"),
INDEX(Règles_chevaux_selle[Valeur 36 et plus],MATCH(RationEtéChevauxSelle&amp;$EU138,Règles_chevaux_selle[Ration]&amp;Règles_chevaux_selle[Aliment],0)),0),0)*TotalJumentSelle*NbreJoursNourrirChevauxSelle)</f>
        <v>0</v>
      </c>
      <c r="EW138" s="458">
        <f t="array" ref="EW138">IF(OR(ChoixRationComplèteEtéChevauxSelle=OUI,ChoixRationComplèteEtéChevauxSelle="",AND(ChoixChevauxSellePréHiver=OUI,ChoixChevauxSellePréEté=OUI)),0,IFERROR(IF(OR(AND(INDEX(Règles_chevaux_selle[Specificite],MATCH(RationEtéChevauxSelle&amp;$EU138,Règles_chevaux_selle[Ration]&amp;Règles_chevaux_selle[Aliment],0))="s1",IF($EU138=Spécificité1ChevauxSelle,1)),
AND(INDEX(Règles_chevaux_selle[Specificite],MATCH(RationEtéChevauxSelle&amp;$EU138,Règles_chevaux_selle[Ration]&amp;Règles_chevaux_selle[Aliment],0))="s2",IF($EU138=Spécificité2ChevauxSelle,1)),
INDEX(Règles_chevaux_selle[Specificite],MATCH(RationEtéChevauxSelle&amp;$EU138,Règles_chevaux_selle[Ration]&amp;Règles_chevaux_selle[Aliment],0))="c"),
INDEX(Règles_chevaux_selle[Valeur 24-36],MATCH(RationEtéChevauxSelle&amp;$EU138,Règles_chevaux_selle[Ration]&amp;Règles_chevaux_selle[Aliment],0)),0),0)*TotalJeuneJumentSelle_24_36_mois*NbreJoursNourrirChevauxSelle)</f>
        <v>0</v>
      </c>
      <c r="EX138" s="458">
        <f t="array" ref="EX138">IF(OR(ChoixRationComplèteEtéChevauxSelle=OUI,ChoixRationComplèteEtéChevauxSelle="",AND(ChoixChevauxSellePréHiver=OUI,ChoixChevauxSellePréEté=OUI)),0,IFERROR(IF(OR(AND(INDEX(Règles_chevaux_selle[Specificite],MATCH(RationEtéChevauxSelle&amp;$EU138,Règles_chevaux_selle[Ration]&amp;Règles_chevaux_selle[Aliment],0))="s1",IF($EU138=Spécificité1ChevauxSelle,1)),
AND(INDEX(Règles_chevaux_selle[Specificite],MATCH(RationEtéChevauxSelle&amp;$EU138,Règles_chevaux_selle[Ration]&amp;Règles_chevaux_selle[Aliment],0))="s2",IF($EU138=Spécificité2ChevauxSelle,1)),
INDEX(Règles_chevaux_selle[Specificite],MATCH(RationEtéChevauxSelle&amp;$EU138,Règles_chevaux_selle[Ration]&amp;Règles_chevaux_selle[Aliment],0))="c"),
INDEX(Règles_chevaux_selle[Valeur 12-24],MATCH(RationEtéChevauxSelle&amp;$EU138,Règles_chevaux_selle[Ration]&amp;Règles_chevaux_selle[Aliment],0)),0),0)*TotalJeuneJumentSelle_12_24_mois_12_24_mois*NbreJoursNourrirChevauxSelle)</f>
        <v>0</v>
      </c>
      <c r="EY138" s="460">
        <f t="array" ref="EY138">IF(OR(ChoixRationComplèteEtéChevauxSelle=OUI,ChoixRationComplèteEtéChevauxSelle="",AND(ChoixChevauxSellePréHiver=OUI,ChoixChevauxSellePréEté=OUI)),0,IFERROR(IF(OR(AND(INDEX(Règles_chevaux_selle[Specificite],MATCH(RationEtéChevauxSelle&amp;$EU138,Règles_chevaux_selle[Ration]&amp;Règles_chevaux_selle[Aliment],0))="s1",IF($EU138=Spécificité1ChevauxSelle,1)),
AND(INDEX(Règles_chevaux_selle[Specificite],MATCH(RationEtéChevauxSelle&amp;$EU138,Règles_chevaux_selle[Ration]&amp;Règles_chevaux_selle[Aliment],0))="s2",IF($EU138=Spécificité2ChevauxSelle,1)),
INDEX(Règles_chevaux_selle[Specificite],MATCH(RationEtéChevauxSelle&amp;$EU138,Règles_chevaux_selle[Ration]&amp;Règles_chevaux_selle[Aliment],0))="c"),
INDEX(Règles_chevaux_selle[Valeur 0-12],MATCH(RationEtéChevauxSelle&amp;$EU138,Règles_chevaux_selle[Ration]&amp;Règles_chevaux_selle[Aliment],0)),0),0)*TotalPoulicheSelle_0_12_mois*NbreJoursNourrirChevauxSelle)</f>
        <v>0</v>
      </c>
      <c r="EZ138" s="460">
        <f t="shared" si="39"/>
        <v>0</v>
      </c>
      <c r="FD138" s="421" t="s">
        <v>508</v>
      </c>
      <c r="FE138" s="452">
        <f t="array" ref="FE138">IF(ChoixRationComplèteEtéChevauxTrait=NON,0,IFERROR(IF(OR(AND(INDEX(Règles_chevaux_trait[Specificite],MATCH(RationEtéChevauxTrait&amp;Ration_complète_chevaux_trait[aliment],Règles_chevaux_trait[Ration]&amp;Règles_chevaux_trait[Aliment],0))="s1",IF(Ration_complète_chevaux_trait[aliment]=Spécificité1ChevauxTrait,1)),
AND(INDEX(Règles_chevaux_trait[Specificite],MATCH(RationEtéChevauxTrait&amp;Ration_complète_chevaux_trait[aliment],Règles_chevaux_trait[Ration]&amp;Règles_chevaux_trait[Aliment],0))="s2",IF(Ration_complète_chevaux_trait[aliment]=Spécificité2ChevauxTrait,1)),
INDEX(Règles_chevaux_trait[Specificite],MATCH(RationEtéChevauxTrait&amp;Ration_complète_chevaux_trait[aliment],Règles_chevaux_trait[Ration]&amp;Règles_chevaux_trait[Aliment],0))="c",INDEX(Règles_chevaux_trait[Specificite],MATCH(RationEtéChevauxTrait&amp;Ration_complète_chevaux_trait[aliment],Règles_chevaux_trait[Ration]&amp;Règles_chevaux_trait[Aliment],0))="complet"),
INDEX(Règles_chevaux_trait[Valeur 36 et plus],MATCH(RationEtéChevauxTrait&amp;Ration_complète_chevaux_trait[aliment],Règles_chevaux_trait[Ration]&amp;Règles_chevaux_trait[Aliment],0)),0),0)*SUM(TotalChevauxTraitAdultes)*SUM(AE76:AE100))</f>
        <v>0</v>
      </c>
      <c r="FF138" s="452">
        <f t="array" ref="FF138">IF(ChoixRationComplèteEtéChevauxTrait=NON,0,IFERROR(IF(OR(AND(INDEX(Règles_chevaux_trait[Specificite],MATCH(RationEtéChevauxTrait&amp;Ration_complète_chevaux_trait[aliment],Règles_chevaux_trait[Ration]&amp;Règles_chevaux_trait[Aliment],0))="s1",IF(Ration_complète_chevaux_trait[aliment]=Spécificité1ChevauxTrait,1)),
AND(INDEX(Règles_chevaux_trait[Specificite],MATCH(RationEtéChevauxTrait&amp;Ration_complète_chevaux_trait[aliment],Règles_chevaux_trait[Ration]&amp;Règles_chevaux_trait[Aliment],0))="s2",IF(Ration_complète_chevaux_trait[aliment]=Spécificité2ChevauxTrait,1)),
INDEX(Règles_chevaux_trait[Specificite],MATCH(RationEtéChevauxTrait&amp;Ration_complète_chevaux_trait[aliment],Règles_chevaux_trait[Ration]&amp;Règles_chevaux_trait[Aliment],0))="c",INDEX(Règles_chevaux_trait[Specificite],MATCH(RationEtéChevauxTrait&amp;Ration_complète_chevaux_trait[aliment],Règles_chevaux_trait[Ration]&amp;Règles_chevaux_trait[Aliment],0))="complet"),
INDEX(Règles_chevaux_trait[Valeur 24-36],MATCH(RationEtéChevauxTrait&amp;Ration_complète_chevaux_trait[aliment],Règles_chevaux_trait[Ration]&amp;Règles_chevaux_trait[Aliment],0)),0),0)*SUM(TotalChevauxTrait_24_36mois)*SUM(AE76:AE100))</f>
        <v>0</v>
      </c>
      <c r="FG138" s="452">
        <f t="array" ref="FG138">IF(ChoixRationComplèteEtéChevauxTrait=NON,0,IFERROR(IF(OR(AND(INDEX(Règles_chevaux_trait[Specificite],MATCH(RationEtéChevauxTrait&amp;Ration_complète_chevaux_trait[aliment],Règles_chevaux_trait[Ration]&amp;Règles_chevaux_trait[Aliment],0))="s1",IF(Ration_complète_chevaux_trait[aliment]=Spécificité1ChevauxTrait,1)),
AND(INDEX(Règles_chevaux_trait[Specificite],MATCH(RationEtéChevauxTrait&amp;Ration_complète_chevaux_trait[aliment],Règles_chevaux_trait[Ration]&amp;Règles_chevaux_trait[Aliment],0))="s2",IF(Ration_complète_chevaux_trait[aliment]=Spécificité2ChevauxTrait,1)),
INDEX(Règles_chevaux_trait[Specificite],MATCH(RationEtéChevauxTrait&amp;Ration_complète_chevaux_trait[aliment],Règles_chevaux_trait[Ration]&amp;Règles_chevaux_trait[Aliment],0))="c",INDEX(Règles_chevaux_trait[Specificite],MATCH(RationEtéChevauxTrait&amp;Ration_complète_chevaux_trait[aliment],Règles_chevaux_trait[Ration]&amp;Règles_chevaux_trait[Aliment],0))="complet"),
INDEX(Règles_chevaux_trait[Valeur 12-24],MATCH(RationEtéChevauxTrait&amp;Ration_complète_chevaux_trait[aliment],Règles_chevaux_trait[Ration]&amp;Règles_chevaux_trait[Aliment],0)),0),0)*SUM(TotalChevauxTrait_12_24mois)*SUM(AE76:AE100))</f>
        <v>0</v>
      </c>
      <c r="FH138" s="452">
        <f t="array" ref="FH138">IF(ChoixRationComplèteEtéChevauxTrait=NON,0,IFERROR(IF(OR(AND(INDEX(Règles_chevaux_trait[Specificite],MATCH(RationEtéChevauxTrait&amp;Ration_complète_chevaux_trait[aliment],Règles_chevaux_trait[Ration]&amp;Règles_chevaux_trait[Aliment],0))="s1",IF(Ration_complète_chevaux_trait[aliment]=Spécificité1ChevauxTrait,1)),
AND(INDEX(Règles_chevaux_trait[Specificite],MATCH(RationEtéChevauxTrait&amp;Ration_complète_chevaux_trait[aliment],Règles_chevaux_trait[Ration]&amp;Règles_chevaux_trait[Aliment],0))="s2",IF(Ration_complète_chevaux_trait[aliment]=Spécificité2ChevauxTrait,1)),
INDEX(Règles_chevaux_trait[Specificite],MATCH(RationEtéChevauxTrait&amp;Ration_complète_chevaux_trait[aliment],Règles_chevaux_trait[Ration]&amp;Règles_chevaux_trait[Aliment],0))="c",INDEX(Règles_chevaux_trait[Specificite],MATCH(RationEtéChevauxTrait&amp;Ration_complète_chevaux_trait[aliment],Règles_chevaux_trait[Ration]&amp;Règles_chevaux_trait[Aliment],0))="complet"),
INDEX(Règles_chevaux_trait[Valeur 0-12],MATCH(RationEtéChevauxTrait&amp;Ration_complète_chevaux_trait[aliment],Règles_chevaux_trait[Ration]&amp;Règles_chevaux_trait[Aliment],0)),0),0)*SUM(TotalPoulainsTrait)*SUM(AE76:AE100))</f>
        <v>0</v>
      </c>
      <c r="FI138" s="454">
        <f>SUM(Ration_complète_chevaux_trait[[Valeur 36 et plus]:[Valeur 0-12]])</f>
        <v>0</v>
      </c>
      <c r="FJ138" s="298"/>
      <c r="FN138" s="281"/>
      <c r="FO138" s="281"/>
      <c r="FP138" s="281"/>
      <c r="FQ138" s="281"/>
      <c r="FR138" s="281"/>
      <c r="FT138" s="298"/>
      <c r="FW138" s="457" t="str">
        <f t="shared" si="44"/>
        <v>Blé</v>
      </c>
      <c r="FX138" s="458">
        <f t="array" ref="FX138">SUM((IF(QualitéAlimentsGavageOison_0_1_mois=BONNE,VLOOKUP("Blé",AlimentsGavageOie,5,FALSE),0)+(IF(QualitéAlimentsGavageCaneton_0_1_mois=BONNE,VLOOKUP("Blé",AlimentsGavageCanard,5,FALSE),0)+(IF(QualitéAlimentsGavageOison_1_2_mois=BONNE,VLOOKUP("Blé",AlimentsGavageOie,4,FALSE),0)+(IF(QualitéAlimentsGavageCaneton_1_2_mois=BONNE,VLOOKUP("Blé",AlimentsGavageCanard,4,FALSE),0)+(IF(QualitéAlimentsGavageOison_2_3_mois=BONNE,VLOOKUP("Blé",AlimentsGavageOie,3,FALSE),0)+(IF(QualitéAlimentsGavageCaneton_2_3_mois=BONNE,VLOOKUP("Blé",AlimentsGavageCanard,3,FALSE),0)+(IF(QualitéAlimentsGavageJeunesOies=BONNE,VLOOKUP("Blé",AlimentsGavageOie,2,FALSE),0)+(IF(QualitéAlimentsGavageJeuneCanard=BONNE,VLOOKUP("Blé",AlimentsGavageCanard,2,FALSE),0))))))))))</f>
        <v>0</v>
      </c>
      <c r="FY138" s="458">
        <f t="array" ref="FY138">SUM((IF(QualitéAlimentsGavageOison_0_1_mois=MOYENNE,VLOOKUP("Blé",AlimentsGavageOie,5,FALSE),0)+(IF(QualitéAlimentsGavageCaneton_0_1_mois=MOYENNE,VLOOKUP("Blé",AlimentsGavageCanard,5,FALSE),0)+(IF(QualitéAlimentsGavageOison_1_2_mois=MOYENNE,VLOOKUP("Blé",AlimentsGavageOie,4,FALSE),0)+(IF(QualitéAlimentsGavageCaneton_1_2_mois=MOYENNE,VLOOKUP("Blé",AlimentsGavageCanard,4,FALSE),0)+(IF(QualitéAlimentsGavageOison_2_3_mois=MOYENNE,VLOOKUP("Blé",AlimentsGavageOie,3,FALSE),0)+(IF(QualitéAlimentsGavageCaneton_2_3_mois=MOYENNE,VLOOKUP("Blé",AlimentsGavageCanard,3,FALSE),0)+(IF(QualitéAlimentsGavageJeunesOies=MOYENNE,VLOOKUP("Blé",AlimentsGavageOie,2,FALSE),0)+(IF(QualitéAlimentsGavageJeuneCanard=MOYENNE,VLOOKUP("Blé",AlimentsGavageCanard,2,FALSE),0))))))))))</f>
        <v>0</v>
      </c>
      <c r="FZ138" s="458">
        <f t="array" ref="FZ138">SUM((IF(QualitéAlimentsGavageOison_0_1_mois=MAUVAISE,VLOOKUP("Blé",AlimentsGavageOie,5,FALSE),0)+(IF(QualitéAlimentsGavageCaneton_0_1_mois=MAUVAISE,VLOOKUP("Blé",AlimentsGavageCanard,5,FALSE),0)+(IF(QualitéAlimentsGavageOison_1_2_mois=MAUVAISE,VLOOKUP("Blé",AlimentsGavageOie,4,FALSE),0)+(IF(QualitéAlimentsGavageCaneton_1_2_mois=MAUVAISE,VLOOKUP("Blé",AlimentsGavageCanard,4,FALSE),0)+(IF(QualitéAlimentsGavageOison_2_3_mois=MAUVAISE,VLOOKUP("Blé",AlimentsGavageOie,3,FALSE),0)+(IF(QualitéAlimentsGavageCaneton_2_3_mois=MAUVAISE,VLOOKUP("Blé",AlimentsGavageCanard,3,FALSE),0)+(IF(QualitéAlimentsGavageJeunesOies=MAUVAISE,VLOOKUP("Blé",AlimentsGavageOie,2,FALSE),0)+(IF(QualitéAlimentsGavageJeuneCanard=MAUVAISE,VLOOKUP("Blé",AlimentsGavageCanard,2,FALSE),0))))))))))</f>
        <v>0</v>
      </c>
      <c r="GB138" s="281"/>
      <c r="GG138" s="276" t="s">
        <v>955</v>
      </c>
      <c r="GH138" s="276" t="s">
        <v>955</v>
      </c>
      <c r="GI138" s="276" t="s">
        <v>955</v>
      </c>
      <c r="GJ138" s="276" t="s">
        <v>955</v>
      </c>
      <c r="GK138" s="276" t="s">
        <v>955</v>
      </c>
      <c r="GL138" s="276" t="s">
        <v>955</v>
      </c>
      <c r="GM138" s="276" t="s">
        <v>955</v>
      </c>
      <c r="GN138" s="276" t="s">
        <v>955</v>
      </c>
      <c r="GO138" s="276" t="s">
        <v>955</v>
      </c>
      <c r="GP138" s="276" t="s">
        <v>955</v>
      </c>
      <c r="GQ138" s="276" t="s">
        <v>955</v>
      </c>
      <c r="GR138" s="276" t="s">
        <v>955</v>
      </c>
      <c r="GS138" s="276" t="s">
        <v>955</v>
      </c>
      <c r="GT138" s="276" t="s">
        <v>955</v>
      </c>
      <c r="GU138" s="276" t="s">
        <v>955</v>
      </c>
      <c r="GV138" s="276" t="s">
        <v>955</v>
      </c>
    </row>
    <row r="139" spans="1:204" ht="12.75" customHeight="1" x14ac:dyDescent="0.2">
      <c r="A139" s="373"/>
      <c r="B139" s="382"/>
      <c r="BB139" s="387" t="s">
        <v>517</v>
      </c>
      <c r="BC139" s="362" t="s">
        <v>70</v>
      </c>
      <c r="BD139" s="362" t="s">
        <v>887</v>
      </c>
      <c r="BE139" s="388">
        <v>7.2</v>
      </c>
      <c r="BF139" s="388">
        <v>6</v>
      </c>
      <c r="BG139" s="388">
        <v>4</v>
      </c>
      <c r="BH139" s="388">
        <v>2</v>
      </c>
      <c r="BI139" s="388">
        <v>1.2</v>
      </c>
      <c r="BJ139" s="388">
        <v>0.6</v>
      </c>
      <c r="BK139" s="389">
        <v>0</v>
      </c>
      <c r="BL139" s="312"/>
      <c r="BM139" s="350" t="str">
        <f t="shared" si="43"/>
        <v>Ration complète</v>
      </c>
      <c r="BN139" s="351">
        <f t="array" ref="BN139">SUM((IF(QualitéAlimentsBisonneauxMâles_0_3_mois=BONNE,VLOOKUP("Ration complète",AlimentsRationHivernaleBisonsMâles,8,FALSE),0)+(IF(QualitéAlimentsBisonneauxFemelles_0_3_mois=BONNE,VLOOKUP("Ration complète",AlimentsRationHivernaleBisonsFemelles,8,FALSE),0)+(IF(QualitéAlimentsBisonneauxMâles_3_6_mois=BONNE,VLOOKUP("Ration complète",AlimentsRationHivernaleBisonsMâles,7,FALSE),0)+(IF(QualitéAlimentsBisonneauxFemelles_3_6_mois=BONNE,VLOOKUP("Ration complète",AlimentsRationHivernaleBisonsFemelles,7,FALSE),0)+(IF(QualitéAlimentsBisonneauxMâles_6_12_mois=BONNE,VLOOKUP("Ration complète",AlimentsRationHivernaleBisonsMâles,6,FALSE),0)+(IF(QualitéAlimentsBisonneauxFemelles_6_12_mois=BONNE,VLOOKUP("Ration complète",AlimentsRationHivernaleBisonsFemelles,6,FALSE),0)+(IF(QualitéAlimentsJeunesBisons_12_18_mois=BONNE,VLOOKUP("Ration complète",AlimentsRationHivernaleBisonsMâles,5,FALSE),0)+(IF(QualitéAlimentsJeunesBisonnes_12_18_mois=BONNE,VLOOKUP("Ration complète",AlimentsRationHivernaleBisonsFemelles,5,FALSE),0)+(IF(QualitéAlimentsJeunesBisons_18_24_mois=BONNE,VLOOKUP("Ration complète",AlimentsRationHivernaleBisonsMâles,4,FALSE),0)+(IF(QualitéAlimentsJeunesBisonnes_18_24_mois=BONNE,VLOOKUP("Ration complète",AlimentsRationHivernaleBisonsFemelles,4,FALSE),0)+(IF(QualitéAlimentsJeunesBisons_24_36_mois=BONNE,VLOOKUP("Ration complète",AlimentsRationHivernaleBisonsMâles,3,FALSE),0)+(IF(QualitéAlimentsJeunesBisonnes_24_36_mois=BONNE,VLOOKUP("Ration complète",AlimentsRationHivernaleBisonsFemelles,3,FALSE),0)+(IF(QualitéAlimentsBisons=BONNE,VLOOKUP("Ration complète",AlimentsRationHivernaleBisonsMâles,2,FALSE),0)+(IF(QualitéAlimentsBisonnes=BONNE,VLOOKUP("Ration complète",AlimentsRationHivernaleBisonsFemelles,2,FALSE),0))))))))))))))))</f>
        <v>0</v>
      </c>
      <c r="BO139" s="351">
        <f t="array" ref="BO139">SUM((IF(QualitéAlimentsBisonneauxMâles_0_3_mois=MOYENNE,VLOOKUP("Ration complète",AlimentsRationHivernaleBisonsMâles,8,FALSE),0)+(IF(QualitéAlimentsBisonneauxFemelles_0_3_mois=MOYENNE,VLOOKUP("Ration complète",AlimentsRationHivernaleBisonsFemelles,8,FALSE),0)+(IF(QualitéAlimentsBisonneauxMâles_3_6_mois=MOYENNE,VLOOKUP("Ration complète",AlimentsRationHivernaleBisonsMâles,7,FALSE),0)+(IF(QualitéAlimentsBisonneauxFemelles_3_6_mois=MOYENNE,VLOOKUP("Ration complète",AlimentsRationHivernaleBisonsFemelles,7,FALSE),0)+(IF(QualitéAlimentsBisonneauxMâles_6_12_mois=MOYENNE,VLOOKUP("Ration complète",AlimentsRationHivernaleBisonsMâles,6,FALSE),0)+(IF(QualitéAlimentsBisonneauxFemelles_6_12_mois=MOYENNE,VLOOKUP("Ration complète",AlimentsRationHivernaleBisonsFemelles,6,FALSE),0)+(IF(QualitéAlimentsJeunesBisons_12_18_mois=MOYENNE,VLOOKUP("Ration complète",AlimentsRationHivernaleBisonsMâles,5,FALSE),0)+(IF(QualitéAlimentsJeunesBisonnes_12_18_mois=MOYENNE,VLOOKUP("Ration complète",AlimentsRationHivernaleBisonsFemelles,5,FALSE),0)+(IF(QualitéAlimentsJeunesBisons_18_24_mois=MOYENNE,VLOOKUP("Ration complète",AlimentsRationHivernaleBisonsMâles,4,FALSE),0)+(IF(QualitéAlimentsJeunesBisonnes_18_24_mois=MOYENNE,VLOOKUP("Ration complète",AlimentsRationHivernaleBisonsFemelles,4,FALSE),0)+(IF(QualitéAlimentsJeunesBisons_24_36_mois=MOYENNE,VLOOKUP("Ration complète",AlimentsRationHivernaleBisonsMâles,3,FALSE),0)+(IF(QualitéAlimentsJeunesBisonnes_24_36_mois=MOYENNE,VLOOKUP("Ration complète",AlimentsRationHivernaleBisonsFemelles,3,FALSE),0)+(IF(QualitéAlimentsBisons=MOYENNE,VLOOKUP("Ration complète",AlimentsRationHivernaleBisonsMâles,2,FALSE),0)+(IF(QualitéAlimentsBisonnes=MOYENNE,VLOOKUP("Ration complète",AlimentsRationHivernaleBisonsFemelles,2,FALSE),0))))))))))))))))</f>
        <v>0</v>
      </c>
      <c r="BP139" s="351">
        <f t="array" ref="BP139">SUM((IF(QualitéAlimentsBisonneauxMâles_0_3_mois=MAUVAISE,VLOOKUP("Ration complète",AlimentsRationHivernaleBisonsMâles,8,FALSE),0)+(IF(QualitéAlimentsBisonneauxFemelles_0_3_mois=MAUVAISE,VLOOKUP("Ration complète",AlimentsRationHivernaleBisonsFemelles,8,FALSE),0)+(IF(QualitéAlimentsBisonneauxMâles_3_6_mois=MAUVAISE,VLOOKUP("Ration complète",AlimentsRationHivernaleBisonsMâles,7,FALSE),0)+(IF(QualitéAlimentsBisonneauxFemelles_3_6_mois=MAUVAISE,VLOOKUP("Ration complète",AlimentsRationHivernaleBisonsFemelles,7,FALSE),0)+(IF(QualitéAlimentsBisonneauxMâles_6_12_mois=MAUVAISE,VLOOKUP("Ration complète",AlimentsRationHivernaleBisonsMâles,6,FALSE),0)+(IF(QualitéAlimentsBisonneauxFemelles_6_12_mois=MAUVAISE,VLOOKUP("Ration complète",AlimentsRationHivernaleBisonsFemelles,6,FALSE),0)+(IF(QualitéAlimentsJeunesBisons_12_18_mois=MAUVAISE,VLOOKUP("Ration complète",AlimentsRationHivernaleBisonsMâles,5,FALSE),0)+(IF(QualitéAlimentsJeunesBisonnes_12_18_mois=MAUVAISE,VLOOKUP("Ration complète",AlimentsRationHivernaleBisonsFemelles,5,FALSE),0)+(IF(QualitéAlimentsJeunesBisons_18_24_mois=MAUVAISE,VLOOKUP("Ration complète",AlimentsRationHivernaleBisonsMâles,4,FALSE),0)+(IF(QualitéAlimentsJeunesBisonnes_18_24_mois=MAUVAISE,VLOOKUP("Ration complète",AlimentsRationHivernaleBisonsFemelles,4,FALSE),0)+(IF(QualitéAlimentsJeunesBisons_24_36_mois=MAUVAISE,VLOOKUP("Ration complète",AlimentsRationHivernaleBisonsMâles,3,FALSE),0)+(IF(QualitéAlimentsJeunesBisonnes_24_36_mois=MAUVAISE,VLOOKUP("Ration complète",AlimentsRationHivernaleBisonsFemelles,3,FALSE),0)+(IF(QualitéAlimentsBisons=MAUVAISE,VLOOKUP("Ration complète",AlimentsRationHivernaleBisonsMâles,2,FALSE),0)+(IF(QualitéAlimentsBisonnes=MAUVAISE,VLOOKUP("Ration complète",AlimentsRationHivernaleBisonsFemelles,2,FALSE),0))))))))))))))))</f>
        <v>0</v>
      </c>
      <c r="BQ139" s="282"/>
      <c r="BR139" s="282"/>
      <c r="BS139" s="282"/>
      <c r="BT139" s="282"/>
      <c r="BU139" s="282"/>
      <c r="BX139" s="357"/>
      <c r="BY139" s="350">
        <f t="array" ref="BY139">IF(ChoixRationComplèteCaprins=OUI,0,IFERROR(IF(OR(AND(INDEX(Règles_caprins[Specificite],MATCH(ChoixRationCaprins&amp;$BX139,Règles_caprins[Ration]&amp;Règles_caprins[Aliment],0))="s1",IF($BX139=Spécificité1Caprins,1)),
INDEX(Règles_caprins[Specificite],MATCH(ChoixRationCaprins&amp;$BX139,Règles_caprins[Ration]&amp;Règles_caprins[Aliment],0))="c"),
INDEX(Règles_caprins[Valeur 12 et plus],MATCH(ChoixRationCaprins&amp;$BX139,Règles_caprins[Ration]&amp;Règles_caprins[Aliment],0)),0),0)*TotalBoucs*NbreJoursNourrirCaprins)</f>
        <v>0</v>
      </c>
      <c r="BZ139" s="350">
        <f t="array" ref="BZ139">IF(ChoixRationComplèteCaprins=OUI,0,IFERROR(IF(OR(AND(INDEX(Règles_caprins[Specificite],MATCH(ChoixRationCaprins&amp;$BX139,Règles_caprins[Ration]&amp;Règles_caprins[Aliment],0))="s1",IF($BX139=Spécificité1Caprins,1)),
INDEX(Règles_caprins[Specificite],MATCH(ChoixRationCaprins&amp;$BX139,Règles_caprins[Ration]&amp;Règles_caprins[Aliment],0))="c"),
INDEX(Règles_caprins[Valeur 6-12],MATCH(ChoixRationCaprins&amp;$BX139,Règles_caprins[Ration]&amp;Règles_caprins[Aliment],0)),0),0)*jeune_bouc_6_12_mois*NbreJoursNourrirCaprins)</f>
        <v>0</v>
      </c>
      <c r="CA139" s="350">
        <f t="array" ref="CA139">IF(ChoixRationComplèteCaprins=OUI,0,IFERROR(IF(OR(AND(INDEX(Règles_caprins[Specificite],MATCH(ChoixRationCaprins&amp;$BX139,Règles_caprins[Ration]&amp;Règles_caprins[Aliment],0))="s1",IF($BX139=Spécificité1Caprins,1)),
INDEX(Règles_caprins[Specificite],MATCH(ChoixRationCaprins&amp;$BX139,Règles_caprins[Ration]&amp;Règles_caprins[Aliment],0))="c"),
INDEX(Règles_caprins[Valeur 3-6],MATCH(ChoixRationCaprins&amp;$BX139,Règles_caprins[Ration]&amp;Règles_caprins[Aliment],0)),0),0)*chevreau_3_6_mois*NbreJoursNourrirCaprins)</f>
        <v>0</v>
      </c>
      <c r="CB139" s="350">
        <f t="array" ref="CB139">IF(ChoixRationComplèteCaprins=OUI,0,IFERROR(IF(OR(AND(INDEX(Règles_caprins[Specificite],MATCH(ChoixRationCaprins&amp;$BX139,Règles_caprins[Ration]&amp;Règles_caprins[Aliment],0))="s1",IF($BX139=Spécificité1Caprins,1)),
INDEX(Règles_caprins[Specificite],MATCH(ChoixRationCaprins&amp;$BX139,Règles_caprins[Ration]&amp;Règles_caprins[Aliment],0))="c"),
INDEX(Règles_caprins[Valeur 0-3],MATCH(ChoixRationCaprins&amp;$BX139,Règles_caprins[Ration]&amp;Règles_caprins[Aliment],0)),0),0)*chevreau_0_3_mois*NbreJoursNourrirCaprins)</f>
        <v>0</v>
      </c>
      <c r="CC139" s="350">
        <f t="shared" si="41"/>
        <v>0</v>
      </c>
      <c r="CH139" s="276"/>
      <c r="CI139" s="277"/>
      <c r="CJ139" s="350" t="str">
        <f>CJ50</f>
        <v>Avoine</v>
      </c>
      <c r="CK139" s="351">
        <f t="array" ref="CK139">SUM((IF(QualitéAlimentsPorceletMâle_0_1_mois=BONNE,VLOOKUP("Avoine",AlimentsRationPorcinsMâles[],6,FALSE),0)+(IF(QualitéAlimentsPorceletFemelle_0_1_mois=BONNE,VLOOKUP("Avoine",AlimentsRationPorcinsFemelles[],6,FALSE),0)+(IF(QualitéAlimentsPorceletMâle_1_3_mois=BONNE,VLOOKUP("Avoine",AlimentsRationPorcinsMâles[],5,FALSE),0)+(IF(QualitéAlimentsPorceletFemelle_1_3_mois=BONNE,VLOOKUP("Avoine",AlimentsRationPorcinsFemelles[],5,FALSE),0)+(IF(QualitéAlimentsJeuneVerrat_3_6_mois=BONNE,VLOOKUP("Avoine",AlimentsRationPorcinsMâles[],4,FALSE),0)+(IF(QualitéAlimentsJeuneTruie_3_6_mois=BONNE,VLOOKUP("Avoine",AlimentsRationPorcinsFemelles[],4,FALSE),0)+(IF(QualitéAlimentsJeuneVerrat_6_12_mois=BONNE,VLOOKUP("Avoine",AlimentsRationPorcinsMâles[],3,FALSE),0)+(IF(QualitéAlimentsJeuneTruie_6_12_mois=BONNE,VLOOKUP("Avoine",AlimentsRationPorcinsFemelles[],3,FALSE),0)+(IF(QualitéAlimentsVerrat=BONNE,VLOOKUP("Avoine",AlimentsRationPorcinsMâles[],2,FALSE),0)+(IF(QualitéAlimentsTruie=BONNE,VLOOKUP("Avoine",AlimentsRationPorcinsFemelles[],2,FALSE),0))))))))))))</f>
        <v>0</v>
      </c>
      <c r="CL139" s="351">
        <f t="array" ref="CL139">SUM((IF(QualitéAlimentsPorceletMâle_0_1_mois=MOYENNE,VLOOKUP("Avoine",AlimentsRationPorcinsMâles[],6,FALSE),0)+(IF(QualitéAlimentsPorceletFemelle_0_1_mois=MOYENNE,VLOOKUP("Avoine",AlimentsRationPorcinsFemelles[],6,FALSE),0)+(IF(QualitéAlimentsPorceletMâle_1_3_mois=MOYENNE,VLOOKUP("Avoine",AlimentsRationPorcinsMâles[],5,FALSE),0)+(IF(QualitéAlimentsPorceletFemelle_1_3_mois=MOYENNE,VLOOKUP("Avoine",AlimentsRationPorcinsFemelles[],5,FALSE),0)+(IF(QualitéAlimentsJeuneVerrat_3_6_mois=MOYENNE,VLOOKUP("Avoine",AlimentsRationPorcinsMâles[],4,FALSE),0)+(IF(QualitéAlimentsJeuneTruie_3_6_mois=MOYENNE,VLOOKUP("Avoine",AlimentsRationPorcinsFemelles[],4,FALSE),0)+(IF(QualitéAlimentsJeuneVerrat_6_12_mois=MOYENNE,VLOOKUP("Avoine",AlimentsRationPorcinsMâles[],3,FALSE),0)+(IF(QualitéAlimentsJeuneTruie_6_12_mois=MOYENNE,VLOOKUP("Avoine",AlimentsRationPorcinsFemelles[],3,FALSE),0)+(IF(QualitéAlimentsVerrat=BONNE,VLOOKUP("Avoine",AlimentsRationPorcinsMâles[],2,FALSE),0)+(IF(QualitéAlimentsTruie=BONNE,VLOOKUP("Avoine",AlimentsRationPorcinsFemelles[],2,FALSE),0))))))))))))</f>
        <v>0</v>
      </c>
      <c r="CM139" s="351">
        <f t="array" ref="CM139">SUM((IF(QualitéAlimentsPorceletMâle_0_1_mois=MAUVAISE,VLOOKUP("Avoine",AlimentsRationPorcinsMâles[],6,FALSE),0)+(IF(QualitéAlimentsPorceletFemelle_0_1_mois=MAUVAISE,VLOOKUP("Avoine",AlimentsRationPorcinsFemelles[],6,FALSE),0)+(IF(QualitéAlimentsPorceletMâle_1_3_mois=MAUVAISE,VLOOKUP("Avoine",AlimentsRationPorcinsMâles[],5,FALSE),0)+(IF(QualitéAlimentsPorceletFemelle_1_3_mois=MAUVAISE,VLOOKUP("Avoine",AlimentsRationPorcinsFemelles[],5,FALSE),0)+(IF(QualitéAlimentsJeuneVerrat_3_6_mois=MAUVAISE,VLOOKUP("Avoine",AlimentsRationPorcinsMâles[],4,FALSE),0)+(IF(QualitéAlimentsJeuneTruie_3_6_mois=MAUVAISE,VLOOKUP("Avoine",AlimentsRationPorcinsFemelles[],4,FALSE),0)+(IF(QualitéAlimentsJeuneVerrat_6_12_mois=MAUVAISE,VLOOKUP("Avoine",AlimentsRationPorcinsMâles[],3,FALSE),0)+(IF(QualitéAlimentsJeuneTruie_6_12_mois=MAUVAISE,VLOOKUP("Avoine",AlimentsRationPorcinsFemelles[],3,FALSE),0)+(IF(QualitéAlimentsVerrat=BONNE,VLOOKUP("Avoine",AlimentsRationPorcinsMâles[],2,FALSE),0)+(IF(QualitéAlimentsTruie=BONNE,VLOOKUP("Avoine",AlimentsRationPorcinsFemelles[],2,FALSE),0))))))))))))</f>
        <v>0</v>
      </c>
      <c r="CN139" s="277"/>
      <c r="CO139" s="277"/>
      <c r="CP139" s="298"/>
      <c r="CS139" s="229" t="s">
        <v>912</v>
      </c>
      <c r="CT139" s="344"/>
      <c r="CU139" s="344"/>
      <c r="CV139" s="344"/>
      <c r="CW139" s="229"/>
      <c r="CZ139" s="229" t="s">
        <v>912</v>
      </c>
      <c r="DA139" s="344"/>
      <c r="DB139" s="344"/>
      <c r="DC139" s="344"/>
      <c r="DD139" s="229"/>
      <c r="DG139" s="420" t="s">
        <v>607</v>
      </c>
      <c r="DH139" s="408">
        <f>DH14*SUM(TotalPintadeaux)*SUM(Z76:Z100)</f>
        <v>0</v>
      </c>
      <c r="DN139" s="373" t="s">
        <v>843</v>
      </c>
      <c r="DO139" s="280" t="s">
        <v>168</v>
      </c>
      <c r="DP139" s="280" t="s">
        <v>886</v>
      </c>
      <c r="DQ139" s="280">
        <v>4</v>
      </c>
      <c r="DR139" s="280">
        <v>3.2</v>
      </c>
      <c r="DS139" s="280">
        <v>2.4</v>
      </c>
      <c r="DT139" s="363">
        <v>2</v>
      </c>
      <c r="EG139" s="347" t="s">
        <v>1019</v>
      </c>
      <c r="EH139" s="229"/>
      <c r="EN139" s="394" t="s">
        <v>976</v>
      </c>
      <c r="EO139" s="396" t="s">
        <v>127</v>
      </c>
      <c r="EU139" s="457">
        <f t="shared" si="40"/>
        <v>0</v>
      </c>
      <c r="EV139" s="458">
        <f t="array" ref="EV139">IF(OR(ChoixRationComplèteEtéChevauxSelle=OUI,ChoixRationComplèteEtéChevauxSelle="",AND(ChoixChevauxSellePréHiver=OUI,ChoixChevauxSellePréEté=OUI)),0,IFERROR(IF(OR(AND(INDEX(Règles_chevaux_selle[Specificite],MATCH(RationEtéChevauxSelle&amp;$EU139,Règles_chevaux_selle[Ration]&amp;Règles_chevaux_selle[Aliment],0))="s1",IF($EU139=Spécificité1ChevauxSelle,1)),
AND(INDEX(Règles_chevaux_selle[Specificite],MATCH(RationEtéChevauxSelle&amp;$EU139,Règles_chevaux_selle[Ration]&amp;Règles_chevaux_selle[Aliment],0))="s2",IF($EU139=Spécificité2ChevauxSelle,1)),
INDEX(Règles_chevaux_selle[Specificite],MATCH(RationEtéChevauxSelle&amp;$EU139,Règles_chevaux_selle[Ration]&amp;Règles_chevaux_selle[Aliment],0))="c"),
INDEX(Règles_chevaux_selle[Valeur 36 et plus],MATCH(RationEtéChevauxSelle&amp;$EU139,Règles_chevaux_selle[Ration]&amp;Règles_chevaux_selle[Aliment],0)),0),0)*TotalJumentSelle*NbreJoursNourrirChevauxSelle)</f>
        <v>0</v>
      </c>
      <c r="EW139" s="458">
        <f t="array" ref="EW139">IF(OR(ChoixRationComplèteEtéChevauxSelle=OUI,ChoixRationComplèteEtéChevauxSelle="",AND(ChoixChevauxSellePréHiver=OUI,ChoixChevauxSellePréEté=OUI)),0,IFERROR(IF(OR(AND(INDEX(Règles_chevaux_selle[Specificite],MATCH(RationEtéChevauxSelle&amp;$EU139,Règles_chevaux_selle[Ration]&amp;Règles_chevaux_selle[Aliment],0))="s1",IF($EU139=Spécificité1ChevauxSelle,1)),
AND(INDEX(Règles_chevaux_selle[Specificite],MATCH(RationEtéChevauxSelle&amp;$EU139,Règles_chevaux_selle[Ration]&amp;Règles_chevaux_selle[Aliment],0))="s2",IF($EU139=Spécificité2ChevauxSelle,1)),
INDEX(Règles_chevaux_selle[Specificite],MATCH(RationEtéChevauxSelle&amp;$EU139,Règles_chevaux_selle[Ration]&amp;Règles_chevaux_selle[Aliment],0))="c"),
INDEX(Règles_chevaux_selle[Valeur 24-36],MATCH(RationEtéChevauxSelle&amp;$EU139,Règles_chevaux_selle[Ration]&amp;Règles_chevaux_selle[Aliment],0)),0),0)*TotalJeuneJumentSelle_24_36_mois*NbreJoursNourrirChevauxSelle)</f>
        <v>0</v>
      </c>
      <c r="EX139" s="458">
        <f t="array" ref="EX139">IF(OR(ChoixRationComplèteEtéChevauxSelle=OUI,ChoixRationComplèteEtéChevauxSelle="",AND(ChoixChevauxSellePréHiver=OUI,ChoixChevauxSellePréEté=OUI)),0,IFERROR(IF(OR(AND(INDEX(Règles_chevaux_selle[Specificite],MATCH(RationEtéChevauxSelle&amp;$EU139,Règles_chevaux_selle[Ration]&amp;Règles_chevaux_selle[Aliment],0))="s1",IF($EU139=Spécificité1ChevauxSelle,1)),
AND(INDEX(Règles_chevaux_selle[Specificite],MATCH(RationEtéChevauxSelle&amp;$EU139,Règles_chevaux_selle[Ration]&amp;Règles_chevaux_selle[Aliment],0))="s2",IF($EU139=Spécificité2ChevauxSelle,1)),
INDEX(Règles_chevaux_selle[Specificite],MATCH(RationEtéChevauxSelle&amp;$EU139,Règles_chevaux_selle[Ration]&amp;Règles_chevaux_selle[Aliment],0))="c"),
INDEX(Règles_chevaux_selle[Valeur 12-24],MATCH(RationEtéChevauxSelle&amp;$EU139,Règles_chevaux_selle[Ration]&amp;Règles_chevaux_selle[Aliment],0)),0),0)*TotalJeuneJumentSelle_12_24_mois_12_24_mois*NbreJoursNourrirChevauxSelle)</f>
        <v>0</v>
      </c>
      <c r="EY139" s="460">
        <f t="array" ref="EY139">IF(OR(ChoixRationComplèteEtéChevauxSelle=OUI,ChoixRationComplèteEtéChevauxSelle="",AND(ChoixChevauxSellePréHiver=OUI,ChoixChevauxSellePréEté=OUI)),0,IFERROR(IF(OR(AND(INDEX(Règles_chevaux_selle[Specificite],MATCH(RationEtéChevauxSelle&amp;$EU139,Règles_chevaux_selle[Ration]&amp;Règles_chevaux_selle[Aliment],0))="s1",IF($EU139=Spécificité1ChevauxSelle,1)),
AND(INDEX(Règles_chevaux_selle[Specificite],MATCH(RationEtéChevauxSelle&amp;$EU139,Règles_chevaux_selle[Ration]&amp;Règles_chevaux_selle[Aliment],0))="s2",IF($EU139=Spécificité2ChevauxSelle,1)),
INDEX(Règles_chevaux_selle[Specificite],MATCH(RationEtéChevauxSelle&amp;$EU139,Règles_chevaux_selle[Ration]&amp;Règles_chevaux_selle[Aliment],0))="c"),
INDEX(Règles_chevaux_selle[Valeur 0-12],MATCH(RationEtéChevauxSelle&amp;$EU139,Règles_chevaux_selle[Ration]&amp;Règles_chevaux_selle[Aliment],0)),0),0)*TotalPoulicheSelle_0_12_mois*NbreJoursNourrirChevauxSelle)</f>
        <v>0</v>
      </c>
      <c r="EZ139" s="460">
        <f t="shared" si="39"/>
        <v>0</v>
      </c>
      <c r="FJ139" s="298"/>
      <c r="FN139" s="335" t="s">
        <v>1030</v>
      </c>
      <c r="FO139" s="335"/>
      <c r="FP139" s="335"/>
      <c r="FQ139" s="335"/>
      <c r="FR139" s="335"/>
      <c r="FS139" s="335"/>
      <c r="FT139" s="298"/>
      <c r="FW139" s="457" t="str">
        <f t="shared" si="44"/>
        <v>Bouchons luzerne</v>
      </c>
      <c r="FX139" s="458">
        <f t="array" ref="FX139">SUM((IF(QualitéAlimentsGavageOison_0_1_mois=BONNE,VLOOKUP("Bouchons luzerne",AlimentsGavageOie,5,FALSE),0)+(IF(QualitéAlimentsGavageCaneton_0_1_mois=BONNE,VLOOKUP("Bouchons luzerne",AlimentsGavageCanard,5,FALSE),0)+(IF(QualitéAlimentsGavageOison_1_2_mois=BONNE,VLOOKUP("Bouchons luzerne",AlimentsGavageOie,4,FALSE),0)+(IF(QualitéAlimentsGavageCaneton_1_2_mois=BONNE,VLOOKUP("Bouchons luzerne",AlimentsGavageCanard,4,FALSE),0)+(IF(QualitéAlimentsGavageOison_2_3_mois=BONNE,VLOOKUP("Bouchons luzerne",AlimentsGavageOie,3,FALSE),0)+(IF(QualitéAlimentsGavageCaneton_2_3_mois=BONNE,VLOOKUP("Bouchons luzerne",AlimentsGavageCanard,3,FALSE),0)+(IF(QualitéAlimentsGavageJeunesOies=BONNE,VLOOKUP("Bouchons luzerne",AlimentsGavageOie,2,FALSE),0)+(IF(QualitéAlimentsGavageJeuneCanard=BONNE,VLOOKUP("Bouchons luzerne",AlimentsGavageCanard,2,FALSE),0))))))))))</f>
        <v>0</v>
      </c>
      <c r="FY139" s="458">
        <f t="array" ref="FY139">SUM((IF(QualitéAlimentsGavageOison_0_1_mois=MOYENNE,VLOOKUP("Bouchons luzerne",AlimentsGavageOie,5,FALSE),0)+(IF(QualitéAlimentsGavageCaneton_0_1_mois=MOYENNE,VLOOKUP("Bouchons luzerne",AlimentsGavageCanard,5,FALSE),0)+(IF(QualitéAlimentsGavageOison_1_2_mois=MOYENNE,VLOOKUP("Bouchons luzerne",AlimentsGavageOie,4,FALSE),0)+(IF(QualitéAlimentsGavageCaneton_1_2_mois=MOYENNE,VLOOKUP("Bouchons luzerne",AlimentsGavageCanard,4,FALSE),0)+(IF(QualitéAlimentsGavageOison_2_3_mois=MOYENNE,VLOOKUP("Bouchons luzerne",AlimentsGavageOie,3,FALSE),0)+(IF(QualitéAlimentsGavageCaneton_2_3_mois=MOYENNE,VLOOKUP("Bouchons luzerne",AlimentsGavageCanard,3,FALSE),0)+(IF(QualitéAlimentsGavageJeunesOies=MOYENNE,VLOOKUP("Bouchons luzerne",AlimentsGavageOie,2,FALSE),0)+(IF(QualitéAlimentsGavageJeuneCanard=MOYENNE,VLOOKUP("Bouchons luzerne",AlimentsGavageCanard,2,FALSE),0))))))))))</f>
        <v>0</v>
      </c>
      <c r="FZ139" s="458">
        <f t="array" ref="FZ139">SUM((IF(QualitéAlimentsGavageOison_0_1_mois=MAUVAISE,VLOOKUP("Bouchons luzerne",AlimentsGavageOie,5,FALSE),0)+(IF(QualitéAlimentsGavageCaneton_0_1_mois=MAUVAISE,VLOOKUP("Bouchons luzerne",AlimentsGavageCanard,5,FALSE),0)+(IF(QualitéAlimentsGavageOison_1_2_mois=MAUVAISE,VLOOKUP("Bouchons luzerne",AlimentsGavageOie,4,FALSE),0)+(IF(QualitéAlimentsGavageCaneton_1_2_mois=MAUVAISE,VLOOKUP("Bouchons luzerne",AlimentsGavageCanard,4,FALSE),0)+(IF(QualitéAlimentsGavageOison_2_3_mois=MAUVAISE,VLOOKUP("Bouchons luzerne",AlimentsGavageOie,3,FALSE),0)+(IF(QualitéAlimentsGavageCaneton_2_3_mois=MAUVAISE,VLOOKUP("Bouchons luzerne",AlimentsGavageCanard,3,FALSE),0)+(IF(QualitéAlimentsGavageJeunesOies=MAUVAISE,VLOOKUP("Bouchons luzerne",AlimentsGavageOie,2,FALSE),0)+(IF(QualitéAlimentsGavageJeuneCanard=MAUVAISE,VLOOKUP("Bouchons luzerne",AlimentsGavageCanard,2,FALSE),0))))))))))</f>
        <v>0</v>
      </c>
      <c r="GB139" s="281"/>
      <c r="GG139" s="276" t="s">
        <v>955</v>
      </c>
      <c r="GH139" s="276" t="s">
        <v>955</v>
      </c>
      <c r="GI139" s="276" t="s">
        <v>955</v>
      </c>
      <c r="GJ139" s="276" t="s">
        <v>955</v>
      </c>
      <c r="GK139" s="276" t="s">
        <v>955</v>
      </c>
      <c r="GL139" s="276" t="s">
        <v>955</v>
      </c>
      <c r="GM139" s="276" t="s">
        <v>955</v>
      </c>
      <c r="GN139" s="276" t="s">
        <v>955</v>
      </c>
      <c r="GO139" s="276" t="s">
        <v>955</v>
      </c>
      <c r="GP139" s="276" t="s">
        <v>955</v>
      </c>
      <c r="GQ139" s="276" t="s">
        <v>955</v>
      </c>
      <c r="GR139" s="276" t="s">
        <v>955</v>
      </c>
      <c r="GS139" s="276" t="s">
        <v>955</v>
      </c>
      <c r="GT139" s="276" t="s">
        <v>955</v>
      </c>
      <c r="GU139" s="276" t="s">
        <v>955</v>
      </c>
      <c r="GV139" s="276" t="s">
        <v>955</v>
      </c>
    </row>
    <row r="140" spans="1:204" ht="12.75" customHeight="1" x14ac:dyDescent="0.2">
      <c r="A140" s="373"/>
      <c r="B140" s="382"/>
      <c r="BB140" s="387" t="s">
        <v>517</v>
      </c>
      <c r="BC140" s="362" t="s">
        <v>907</v>
      </c>
      <c r="BD140" s="362" t="s">
        <v>888</v>
      </c>
      <c r="BE140" s="388">
        <v>4.8</v>
      </c>
      <c r="BF140" s="388">
        <v>4</v>
      </c>
      <c r="BG140" s="388">
        <v>4</v>
      </c>
      <c r="BH140" s="388">
        <v>4</v>
      </c>
      <c r="BI140" s="388">
        <v>2</v>
      </c>
      <c r="BJ140" s="388">
        <v>1.2</v>
      </c>
      <c r="BK140" s="389">
        <v>0</v>
      </c>
      <c r="BL140" s="312"/>
      <c r="BM140" s="350" t="str">
        <f t="shared" si="43"/>
        <v>Seigle</v>
      </c>
      <c r="BN140" s="351">
        <f t="array" ref="BN140">SUM((IF(QualitéAlimentsBisonneauxMâles_0_3_mois=BONNE,VLOOKUP("Seigle",AlimentsRationHivernaleBisonsMâles,8,FALSE),0)+(IF(QualitéAlimentsBisonneauxFemelles_0_3_mois=BONNE,VLOOKUP("Seigle",AlimentsRationHivernaleBisonsFemelles,8,FALSE),0)+(IF(QualitéAlimentsBisonneauxMâles_3_6_mois=BONNE,VLOOKUP("Seigle",AlimentsRationHivernaleBisonsMâles,7,FALSE),0)+(IF(QualitéAlimentsBisonneauxFemelles_3_6_mois=BONNE,VLOOKUP("Seigle",AlimentsRationHivernaleBisonsFemelles,7,FALSE),0)+(IF(QualitéAlimentsBisonneauxMâles_6_12_mois=BONNE,VLOOKUP("Seigle",AlimentsRationHivernaleBisonsMâles,6,FALSE),0)+(IF(QualitéAlimentsBisonneauxFemelles_6_12_mois=BONNE,VLOOKUP("Seigle",AlimentsRationHivernaleBisonsFemelles,6,FALSE),0)+(IF(QualitéAlimentsJeunesBisons_12_18_mois=BONNE,VLOOKUP("Seigle",AlimentsRationHivernaleBisonsMâles,5,FALSE),0)+(IF(QualitéAlimentsJeunesBisonnes_12_18_mois=BONNE,VLOOKUP("Seigle",AlimentsRationHivernaleBisonsFemelles,5,FALSE),0)+(IF(QualitéAlimentsJeunesBisons_18_24_mois=BONNE,VLOOKUP("Seigle",AlimentsRationHivernaleBisonsMâles,4,FALSE),0)+(IF(QualitéAlimentsJeunesBisonnes_18_24_mois=BONNE,VLOOKUP("Seigle",AlimentsRationHivernaleBisonsFemelles,4,FALSE),0)+(IF(QualitéAlimentsJeunesBisons_24_36_mois=BONNE,VLOOKUP("Seigle",AlimentsRationHivernaleBisonsMâles,3,FALSE),0)+(IF(QualitéAlimentsJeunesBisonnes_24_36_mois=BONNE,VLOOKUP("Seigle",AlimentsRationHivernaleBisonsFemelles,3,FALSE),0)+(IF(QualitéAlimentsBisons=BONNE,VLOOKUP("Seigle",AlimentsRationHivernaleBisonsMâles,2,FALSE),0)+(IF(QualitéAlimentsBisonnes=BONNE,VLOOKUP("Seigle",AlimentsRationHivernaleBisonsFemelles,2,FALSE),0))))))))))))))))</f>
        <v>0</v>
      </c>
      <c r="BO140" s="351">
        <f t="array" ref="BO140">SUM((IF(QualitéAlimentsBisonneauxMâles_0_3_mois=MOYENNE,VLOOKUP("Seigle",AlimentsRationHivernaleBisonsMâles,8,FALSE),0)+(IF(QualitéAlimentsBisonneauxFemelles_0_3_mois=MOYENNE,VLOOKUP("Seigle",AlimentsRationHivernaleBisonsFemelles,8,FALSE),0)+(IF(QualitéAlimentsBisonneauxMâles_3_6_mois=MOYENNE,VLOOKUP("Seigle",AlimentsRationHivernaleBisonsMâles,7,FALSE),0)+(IF(QualitéAlimentsBisonneauxFemelles_3_6_mois=MOYENNE,VLOOKUP("Seigle",AlimentsRationHivernaleBisonsFemelles,7,FALSE),0)+(IF(QualitéAlimentsBisonneauxMâles_6_12_mois=MOYENNE,VLOOKUP("Seigle",AlimentsRationHivernaleBisonsMâles,6,FALSE),0)+(IF(QualitéAlimentsBisonneauxFemelles_6_12_mois=MOYENNE,VLOOKUP("Seigle",AlimentsRationHivernaleBisonsFemelles,6,FALSE),0)+(IF(QualitéAlimentsJeunesBisons_12_18_mois=MOYENNE,VLOOKUP("Seigle",AlimentsRationHivernaleBisonsMâles,5,FALSE),0)+(IF(QualitéAlimentsJeunesBisonnes_12_18_mois=MOYENNE,VLOOKUP("Seigle",AlimentsRationHivernaleBisonsFemelles,5,FALSE),0)+(IF(QualitéAlimentsJeunesBisons_18_24_mois=MOYENNE,VLOOKUP("Seigle",AlimentsRationHivernaleBisonsMâles,4,FALSE),0)+(IF(QualitéAlimentsJeunesBisonnes_18_24_mois=MOYENNE,VLOOKUP("Seigle",AlimentsRationHivernaleBisonsFemelles,4,FALSE),0)+(IF(QualitéAlimentsJeunesBisons_24_36_mois=MOYENNE,VLOOKUP("Seigle",AlimentsRationHivernaleBisonsMâles,3,FALSE),0)+(IF(QualitéAlimentsJeunesBisonnes_24_36_mois=MOYENNE,VLOOKUP("Seigle",AlimentsRationHivernaleBisonsFemelles,3,FALSE),0)+(IF(QualitéAlimentsBisons=MOYENNE,VLOOKUP("Seigle",AlimentsRationHivernaleBisonsMâles,2,FALSE),0)+(IF(QualitéAlimentsBisonnes=MOYENNE,VLOOKUP("Seigle",AlimentsRationHivernaleBisonsFemelles,2,FALSE),0))))))))))))))))</f>
        <v>0</v>
      </c>
      <c r="BP140" s="351">
        <f t="array" ref="BP140">SUM((IF(QualitéAlimentsBisonneauxMâles_0_3_mois=MAUVAISE,VLOOKUP("Seigle",AlimentsRationHivernaleBisonsMâles,8,FALSE),0)+(IF(QualitéAlimentsBisonneauxFemelles_0_3_mois=MAUVAISE,VLOOKUP("Seigle",AlimentsRationHivernaleBisonsFemelles,8,FALSE),0)+(IF(QualitéAlimentsBisonneauxMâles_3_6_mois=MAUVAISE,VLOOKUP("Seigle",AlimentsRationHivernaleBisonsMâles,7,FALSE),0)+(IF(QualitéAlimentsBisonneauxFemelles_3_6_mois=MAUVAISE,VLOOKUP("Seigle",AlimentsRationHivernaleBisonsFemelles,7,FALSE),0)+(IF(QualitéAlimentsBisonneauxMâles_6_12_mois=MAUVAISE,VLOOKUP("Seigle",AlimentsRationHivernaleBisonsMâles,6,FALSE),0)+(IF(QualitéAlimentsBisonneauxFemelles_6_12_mois=MAUVAISE,VLOOKUP("Seigle",AlimentsRationHivernaleBisonsFemelles,6,FALSE),0)+(IF(QualitéAlimentsJeunesBisons_12_18_mois=MAUVAISE,VLOOKUP("Seigle",AlimentsRationHivernaleBisonsMâles,5,FALSE),0)+(IF(QualitéAlimentsJeunesBisonnes_12_18_mois=MAUVAISE,VLOOKUP("Seigle",AlimentsRationHivernaleBisonsFemelles,5,FALSE),0)+(IF(QualitéAlimentsJeunesBisons_18_24_mois=MAUVAISE,VLOOKUP("Seigle",AlimentsRationHivernaleBisonsMâles,4,FALSE),0)+(IF(QualitéAlimentsJeunesBisonnes_18_24_mois=MAUVAISE,VLOOKUP("Seigle",AlimentsRationHivernaleBisonsFemelles,4,FALSE),0)+(IF(QualitéAlimentsJeunesBisons_24_36_mois=MAUVAISE,VLOOKUP("Seigle",AlimentsRationHivernaleBisonsMâles,3,FALSE),0)+(IF(QualitéAlimentsJeunesBisonnes_24_36_mois=MAUVAISE,VLOOKUP("Seigle",AlimentsRationHivernaleBisonsFemelles,3,FALSE),0)+(IF(QualitéAlimentsBisons=MAUVAISE,VLOOKUP("Seigle",AlimentsRationHivernaleBisonsMâles,2,FALSE),0)+(IF(QualitéAlimentsBisonnes=MAUVAISE,VLOOKUP("Seigle",AlimentsRationHivernaleBisonsFemelles,2,FALSE),0))))))))))))))))</f>
        <v>0</v>
      </c>
      <c r="BQ140" s="282"/>
      <c r="BR140" s="282"/>
      <c r="BS140" s="282"/>
      <c r="BT140" s="282"/>
      <c r="BU140" s="282"/>
      <c r="BX140" s="412"/>
      <c r="BY140" s="413">
        <f t="array" ref="BY140">IF(ChoixRationComplèteCaprins=OUI,0,IFERROR(IF(OR(AND(INDEX(Règles_caprins[Specificite],MATCH(ChoixRationCaprins&amp;$BX140,Règles_caprins[Ration]&amp;Règles_caprins[Aliment],0))="s1",IF($BX140=Spécificité1Caprins,1)),
INDEX(Règles_caprins[Specificite],MATCH(ChoixRationCaprins&amp;$BX140,Règles_caprins[Ration]&amp;Règles_caprins[Aliment],0))="c"),
INDEX(Règles_caprins[Valeur 12 et plus],MATCH(ChoixRationCaprins&amp;$BX140,Règles_caprins[Ration]&amp;Règles_caprins[Aliment],0)),0),0)*TotalBoucs*NbreJoursNourrirCaprins)</f>
        <v>0</v>
      </c>
      <c r="BZ140" s="413">
        <f t="array" ref="BZ140">IF(ChoixRationComplèteCaprins=OUI,0,IFERROR(IF(OR(AND(INDEX(Règles_caprins[Specificite],MATCH(ChoixRationCaprins&amp;$BX140,Règles_caprins[Ration]&amp;Règles_caprins[Aliment],0))="s1",IF($BX140=Spécificité1Caprins,1)),
INDEX(Règles_caprins[Specificite],MATCH(ChoixRationCaprins&amp;$BX140,Règles_caprins[Ration]&amp;Règles_caprins[Aliment],0))="c"),
INDEX(Règles_caprins[Valeur 6-12],MATCH(ChoixRationCaprins&amp;$BX140,Règles_caprins[Ration]&amp;Règles_caprins[Aliment],0)),0),0)*jeune_bouc_6_12_mois*NbreJoursNourrirCaprins)</f>
        <v>0</v>
      </c>
      <c r="CA140" s="413">
        <f t="array" ref="CA140">IF(ChoixRationComplèteCaprins=OUI,0,IFERROR(IF(OR(AND(INDEX(Règles_caprins[Specificite],MATCH(ChoixRationCaprins&amp;$BX140,Règles_caprins[Ration]&amp;Règles_caprins[Aliment],0))="s1",IF($BX140=Spécificité1Caprins,1)),
INDEX(Règles_caprins[Specificite],MATCH(ChoixRationCaprins&amp;$BX140,Règles_caprins[Ration]&amp;Règles_caprins[Aliment],0))="c"),
INDEX(Règles_caprins[Valeur 3-6],MATCH(ChoixRationCaprins&amp;$BX140,Règles_caprins[Ration]&amp;Règles_caprins[Aliment],0)),0),0)*chevreau_3_6_mois*NbreJoursNourrirCaprins)</f>
        <v>0</v>
      </c>
      <c r="CB140" s="413">
        <f t="array" ref="CB140">IF(ChoixRationComplèteCaprins=OUI,0,IFERROR(IF(OR(AND(INDEX(Règles_caprins[Specificite],MATCH(ChoixRationCaprins&amp;$BX140,Règles_caprins[Ration]&amp;Règles_caprins[Aliment],0))="s1",IF($BX140=Spécificité1Caprins,1)),
INDEX(Règles_caprins[Specificite],MATCH(ChoixRationCaprins&amp;$BX140,Règles_caprins[Ration]&amp;Règles_caprins[Aliment],0))="c"),
INDEX(Règles_caprins[Valeur 0-3],MATCH(ChoixRationCaprins&amp;$BX140,Règles_caprins[Ration]&amp;Règles_caprins[Aliment],0)),0),0)*chevreau_0_3_mois*NbreJoursNourrirCaprins)</f>
        <v>0</v>
      </c>
      <c r="CC140" s="414">
        <f t="shared" si="41"/>
        <v>0</v>
      </c>
      <c r="CH140" s="276"/>
      <c r="CI140" s="277"/>
      <c r="CJ140" s="350" t="str">
        <f t="shared" ref="CJ140:CJ174" si="45">CJ51</f>
        <v>Betterave</v>
      </c>
      <c r="CK140" s="351">
        <f t="array" ref="CK140">SUM((IF(QualitéAlimentsPorceletMâle_0_1_mois=BONNE,VLOOKUP("Betterave",AlimentsRationPorcinsMâles[],6,FALSE),0)+(IF(QualitéAlimentsPorceletFemelle_0_1_mois=BONNE,VLOOKUP("Betterave",AlimentsRationPorcinsFemelles[],6,FALSE),0)+(IF(QualitéAlimentsPorceletMâle_1_3_mois=BONNE,VLOOKUP("Betterave",AlimentsRationPorcinsMâles[],5,FALSE),0)+(IF(QualitéAlimentsPorceletFemelle_1_3_mois=BONNE,VLOOKUP("Betterave",AlimentsRationPorcinsFemelles[],5,FALSE),0)+(IF(QualitéAlimentsJeuneVerrat_3_6_mois=BONNE,VLOOKUP("Betterave",AlimentsRationPorcinsMâles[],4,FALSE),0)+(IF(QualitéAlimentsJeuneTruie_3_6_mois=BONNE,VLOOKUP("Betterave",AlimentsRationPorcinsFemelles[],4,FALSE),0)+(IF(QualitéAlimentsJeuneVerrat_6_12_mois=BONNE,VLOOKUP("Betterave",AlimentsRationPorcinsMâles[],3,FALSE),0)+(IF(QualitéAlimentsJeuneTruie_6_12_mois=BONNE,VLOOKUP("Betterave",AlimentsRationPorcinsFemelles[],3,FALSE),0)+(IF(QualitéAlimentsVerrat=BONNE,VLOOKUP("Avoine",AlimentsRationPorcinsMâles[],2,FALSE),0)+(IF(QualitéAlimentsTruie=BONNE,VLOOKUP("Avoine",AlimentsRationPorcinsFemelles[],2,FALSE),0))))))))))))</f>
        <v>0</v>
      </c>
      <c r="CL140" s="351">
        <f t="array" ref="CL140">SUM((IF(QualitéAlimentsPorceletMâle_0_1_mois=MOYENNE,VLOOKUP("Betterave",AlimentsRationPorcinsMâles[],6,FALSE),0)+(IF(QualitéAlimentsPorceletFemelle_0_1_mois=MOYENNE,VLOOKUP("Betterave",AlimentsRationPorcinsFemelles[],6,FALSE),0)+(IF(QualitéAlimentsPorceletMâle_1_3_mois=MOYENNE,VLOOKUP("Betterave",AlimentsRationPorcinsMâles[],5,FALSE),0)+(IF(QualitéAlimentsPorceletFemelle_1_3_mois=MOYENNE,VLOOKUP("Betterave",AlimentsRationPorcinsFemelles[],5,FALSE),0)+(IF(QualitéAlimentsJeuneVerrat_3_6_mois=MOYENNE,VLOOKUP("Betterave",AlimentsRationPorcinsMâles[],4,FALSE),0)+(IF(QualitéAlimentsJeuneTruie_3_6_mois=MOYENNE,VLOOKUP("Betterave",AlimentsRationPorcinsFemelles[],4,FALSE),0)+(IF(QualitéAlimentsJeuneVerrat_6_12_mois=MOYENNE,VLOOKUP("Betterave",AlimentsRationPorcinsMâles[],3,FALSE),0)+(IF(QualitéAlimentsJeuneTruie_6_12_mois=MOYENNE,VLOOKUP("Betterave",AlimentsRationPorcinsFemelles[],3,FALSE),0)+(IF(QualitéAlimentsVerrat=BONNE,VLOOKUP("Avoine",AlimentsRationPorcinsMâles[],2,FALSE),0)+(IF(QualitéAlimentsTruie=BONNE,VLOOKUP("Avoine",AlimentsRationPorcinsFemelles[],2,FALSE),0))))))))))))</f>
        <v>0</v>
      </c>
      <c r="CM140" s="351">
        <f t="array" ref="CM140">SUM((IF(QualitéAlimentsPorceletMâle_0_1_mois=MAUVAISE,VLOOKUP("Betterave",AlimentsRationPorcinsMâles[],6,FALSE),0)+(IF(QualitéAlimentsPorceletFemelle_0_1_mois=MAUVAISE,VLOOKUP("Betterave",AlimentsRationPorcinsFemelles[],6,FALSE),0)+(IF(QualitéAlimentsPorceletMâle_1_3_mois=MAUVAISE,VLOOKUP("Betterave",AlimentsRationPorcinsMâles[],5,FALSE),0)+(IF(QualitéAlimentsPorceletFemelle_1_3_mois=MAUVAISE,VLOOKUP("Betterave",AlimentsRationPorcinsFemelles[],5,FALSE),0)+(IF(QualitéAlimentsJeuneVerrat_3_6_mois=MAUVAISE,VLOOKUP("Betterave",AlimentsRationPorcinsMâles[],4,FALSE),0)+(IF(QualitéAlimentsJeuneTruie_3_6_mois=MAUVAISE,VLOOKUP("Betterave",AlimentsRationPorcinsFemelles[],4,FALSE),0)+(IF(QualitéAlimentsJeuneVerrat_6_12_mois=MAUVAISE,VLOOKUP("Betterave",AlimentsRationPorcinsMâles[],3,FALSE),0)+(IF(QualitéAlimentsJeuneTruie_6_12_mois=MAUVAISE,VLOOKUP("Betterave",AlimentsRationPorcinsFemelles[],3,FALSE),0)+(IF(QualitéAlimentsVerrat=BONNE,VLOOKUP("Avoine",AlimentsRationPorcinsMâles[],2,FALSE),0)+(IF(QualitéAlimentsTruie=BONNE,VLOOKUP("Avoine",AlimentsRationPorcinsFemelles[],2,FALSE),0))))))))))))</f>
        <v>0</v>
      </c>
      <c r="CN140" s="277"/>
      <c r="CO140" s="277"/>
      <c r="CP140" s="298"/>
      <c r="CS140" s="394" t="s">
        <v>910</v>
      </c>
      <c r="CT140" s="395" t="s">
        <v>924</v>
      </c>
      <c r="CU140" s="395" t="s">
        <v>917</v>
      </c>
      <c r="CV140" s="395" t="s">
        <v>918</v>
      </c>
      <c r="CW140" s="396" t="s">
        <v>903</v>
      </c>
      <c r="CZ140" s="394" t="s">
        <v>910</v>
      </c>
      <c r="DA140" s="395" t="s">
        <v>929</v>
      </c>
      <c r="DB140" s="395" t="s">
        <v>930</v>
      </c>
      <c r="DC140" s="395" t="s">
        <v>918</v>
      </c>
      <c r="DD140" s="396" t="s">
        <v>903</v>
      </c>
      <c r="DG140" s="421" t="s">
        <v>973</v>
      </c>
      <c r="DH140" s="422">
        <f>IF(ChoixPaillagePintades=OUI,SUBTOTAL(109,LitièrePintades[litière]),0)</f>
        <v>0</v>
      </c>
      <c r="DN140" s="373" t="s">
        <v>843</v>
      </c>
      <c r="DO140" s="280" t="s">
        <v>489</v>
      </c>
      <c r="DP140" s="280" t="s">
        <v>887</v>
      </c>
      <c r="DQ140" s="280">
        <v>1.6</v>
      </c>
      <c r="DR140" s="280">
        <v>1.28</v>
      </c>
      <c r="DS140" s="280">
        <v>0.96</v>
      </c>
      <c r="DT140" s="363">
        <v>0.8</v>
      </c>
      <c r="EG140" s="394" t="s">
        <v>976</v>
      </c>
      <c r="EH140" s="396" t="s">
        <v>127</v>
      </c>
      <c r="EN140" s="443" t="s">
        <v>958</v>
      </c>
      <c r="EO140" s="445">
        <f>EO23*TotalCanardsMalesAdultes*SUM(Z76:Z100)</f>
        <v>0</v>
      </c>
      <c r="EU140" s="457">
        <f t="shared" si="40"/>
        <v>0</v>
      </c>
      <c r="EV140" s="458">
        <f t="array" ref="EV140">IF(OR(ChoixRationComplèteEtéChevauxSelle=OUI,ChoixRationComplèteEtéChevauxSelle="",AND(ChoixChevauxSellePréHiver=OUI,ChoixChevauxSellePréEté=OUI)),0,IFERROR(IF(OR(AND(INDEX(Règles_chevaux_selle[Specificite],MATCH(RationEtéChevauxSelle&amp;$EU140,Règles_chevaux_selle[Ration]&amp;Règles_chevaux_selle[Aliment],0))="s1",IF($EU140=Spécificité1ChevauxSelle,1)),
AND(INDEX(Règles_chevaux_selle[Specificite],MATCH(RationEtéChevauxSelle&amp;$EU140,Règles_chevaux_selle[Ration]&amp;Règles_chevaux_selle[Aliment],0))="s2",IF($EU140=Spécificité2ChevauxSelle,1)),
INDEX(Règles_chevaux_selle[Specificite],MATCH(RationEtéChevauxSelle&amp;$EU140,Règles_chevaux_selle[Ration]&amp;Règles_chevaux_selle[Aliment],0))="c"),
INDEX(Règles_chevaux_selle[Valeur 36 et plus],MATCH(RationEtéChevauxSelle&amp;$EU140,Règles_chevaux_selle[Ration]&amp;Règles_chevaux_selle[Aliment],0)),0),0)*TotalJumentSelle*NbreJoursNourrirChevauxSelle)</f>
        <v>0</v>
      </c>
      <c r="EW140" s="458">
        <f t="array" ref="EW140">IF(OR(ChoixRationComplèteEtéChevauxSelle=OUI,ChoixRationComplèteEtéChevauxSelle="",AND(ChoixChevauxSellePréHiver=OUI,ChoixChevauxSellePréEté=OUI)),0,IFERROR(IF(OR(AND(INDEX(Règles_chevaux_selle[Specificite],MATCH(RationEtéChevauxSelle&amp;$EU140,Règles_chevaux_selle[Ration]&amp;Règles_chevaux_selle[Aliment],0))="s1",IF($EU140=Spécificité1ChevauxSelle,1)),
AND(INDEX(Règles_chevaux_selle[Specificite],MATCH(RationEtéChevauxSelle&amp;$EU140,Règles_chevaux_selle[Ration]&amp;Règles_chevaux_selle[Aliment],0))="s2",IF($EU140=Spécificité2ChevauxSelle,1)),
INDEX(Règles_chevaux_selle[Specificite],MATCH(RationEtéChevauxSelle&amp;$EU140,Règles_chevaux_selle[Ration]&amp;Règles_chevaux_selle[Aliment],0))="c"),
INDEX(Règles_chevaux_selle[Valeur 24-36],MATCH(RationEtéChevauxSelle&amp;$EU140,Règles_chevaux_selle[Ration]&amp;Règles_chevaux_selle[Aliment],0)),0),0)*TotalJeuneJumentSelle_24_36_mois*NbreJoursNourrirChevauxSelle)</f>
        <v>0</v>
      </c>
      <c r="EX140" s="458">
        <f t="array" ref="EX140">IF(OR(ChoixRationComplèteEtéChevauxSelle=OUI,ChoixRationComplèteEtéChevauxSelle="",AND(ChoixChevauxSellePréHiver=OUI,ChoixChevauxSellePréEté=OUI)),0,IFERROR(IF(OR(AND(INDEX(Règles_chevaux_selle[Specificite],MATCH(RationEtéChevauxSelle&amp;$EU140,Règles_chevaux_selle[Ration]&amp;Règles_chevaux_selle[Aliment],0))="s1",IF($EU140=Spécificité1ChevauxSelle,1)),
AND(INDEX(Règles_chevaux_selle[Specificite],MATCH(RationEtéChevauxSelle&amp;$EU140,Règles_chevaux_selle[Ration]&amp;Règles_chevaux_selle[Aliment],0))="s2",IF($EU140=Spécificité2ChevauxSelle,1)),
INDEX(Règles_chevaux_selle[Specificite],MATCH(RationEtéChevauxSelle&amp;$EU140,Règles_chevaux_selle[Ration]&amp;Règles_chevaux_selle[Aliment],0))="c"),
INDEX(Règles_chevaux_selle[Valeur 12-24],MATCH(RationEtéChevauxSelle&amp;$EU140,Règles_chevaux_selle[Ration]&amp;Règles_chevaux_selle[Aliment],0)),0),0)*TotalJeuneJumentSelle_12_24_mois_12_24_mois*NbreJoursNourrirChevauxSelle)</f>
        <v>0</v>
      </c>
      <c r="EY140" s="460">
        <f t="array" ref="EY140">IF(OR(ChoixRationComplèteEtéChevauxSelle=OUI,ChoixRationComplèteEtéChevauxSelle="",AND(ChoixChevauxSellePréHiver=OUI,ChoixChevauxSellePréEté=OUI)),0,IFERROR(IF(OR(AND(INDEX(Règles_chevaux_selle[Specificite],MATCH(RationEtéChevauxSelle&amp;$EU140,Règles_chevaux_selle[Ration]&amp;Règles_chevaux_selle[Aliment],0))="s1",IF($EU140=Spécificité1ChevauxSelle,1)),
AND(INDEX(Règles_chevaux_selle[Specificite],MATCH(RationEtéChevauxSelle&amp;$EU140,Règles_chevaux_selle[Ration]&amp;Règles_chevaux_selle[Aliment],0))="s2",IF($EU140=Spécificité2ChevauxSelle,1)),
INDEX(Règles_chevaux_selle[Specificite],MATCH(RationEtéChevauxSelle&amp;$EU140,Règles_chevaux_selle[Ration]&amp;Règles_chevaux_selle[Aliment],0))="c"),
INDEX(Règles_chevaux_selle[Valeur 0-12],MATCH(RationEtéChevauxSelle&amp;$EU140,Règles_chevaux_selle[Ration]&amp;Règles_chevaux_selle[Aliment],0)),0),0)*TotalPoulicheSelle_0_12_mois*NbreJoursNourrirChevauxSelle)</f>
        <v>0</v>
      </c>
      <c r="EZ140" s="460">
        <f t="shared" si="39"/>
        <v>0</v>
      </c>
      <c r="FD140" s="335" t="s">
        <v>1030</v>
      </c>
      <c r="FE140" s="335"/>
      <c r="FF140" s="335"/>
      <c r="FG140" s="335"/>
      <c r="FH140" s="335"/>
      <c r="FI140" s="335"/>
      <c r="FJ140" s="298"/>
      <c r="FN140" s="455" t="s">
        <v>910</v>
      </c>
      <c r="FO140" s="455" t="s">
        <v>895</v>
      </c>
      <c r="FP140" s="455" t="s">
        <v>894</v>
      </c>
      <c r="FQ140" s="455" t="s">
        <v>938</v>
      </c>
      <c r="FR140" s="459" t="s">
        <v>937</v>
      </c>
      <c r="FS140" s="455" t="s">
        <v>903</v>
      </c>
      <c r="FT140" s="298"/>
      <c r="FW140" s="457" t="str">
        <f t="shared" si="44"/>
        <v>Chanvre</v>
      </c>
      <c r="FX140" s="458">
        <f t="array" ref="FX140">SUM((IF(QualitéAlimentsGavageOison_0_1_mois=BONNE,VLOOKUP("Chanvre",AlimentsGavageOie,5,FALSE),0)+(IF(QualitéAlimentsGavageCaneton_0_1_mois=BONNE,VLOOKUP("Chanvre",AlimentsGavageCanard,5,FALSE),0)+(IF(QualitéAlimentsGavageOison_1_2_mois=BONNE,VLOOKUP("Chanvre",AlimentsGavageOie,4,FALSE),0)+(IF(QualitéAlimentsGavageCaneton_1_2_mois=BONNE,VLOOKUP("Chanvre",AlimentsGavageCanard,4,FALSE),0)+(IF(QualitéAlimentsGavageOison_2_3_mois=BONNE,VLOOKUP("Chanvre",AlimentsGavageOie,3,FALSE),0)+(IF(QualitéAlimentsGavageCaneton_2_3_mois=BONNE,VLOOKUP("Chanvre",AlimentsGavageCanard,3,FALSE),0)+(IF(QualitéAlimentsGavageJeunesOies=BONNE,VLOOKUP("Chanvre",AlimentsGavageOie,2,FALSE),0)+(IF(QualitéAlimentsGavageJeuneCanard=BONNE,VLOOKUP("Chanvre",AlimentsGavageCanard,2,FALSE),0))))))))))</f>
        <v>0</v>
      </c>
      <c r="FY140" s="458">
        <f t="array" ref="FY140">SUM((IF(QualitéAlimentsGavageOison_0_1_mois=MOYENNE,VLOOKUP("Chanvre",AlimentsGavageOie,5,FALSE),0)+(IF(QualitéAlimentsGavageCaneton_0_1_mois=MOYENNE,VLOOKUP("Chanvre",AlimentsGavageCanard,5,FALSE),0)+(IF(QualitéAlimentsGavageOison_1_2_mois=MOYENNE,VLOOKUP("Chanvre",AlimentsGavageOie,4,FALSE),0)+(IF(QualitéAlimentsGavageCaneton_1_2_mois=MOYENNE,VLOOKUP("Chanvre",AlimentsGavageCanard,4,FALSE),0)+(IF(QualitéAlimentsGavageOison_2_3_mois=MOYENNE,VLOOKUP("Chanvre",AlimentsGavageOie,3,FALSE),0)+(IF(QualitéAlimentsGavageCaneton_2_3_mois=MOYENNE,VLOOKUP("Chanvre",AlimentsGavageCanard,3,FALSE),0)+(IF(QualitéAlimentsGavageJeunesOies=MOYENNE,VLOOKUP("Chanvre",AlimentsGavageOie,2,FALSE),0)+(IF(QualitéAlimentsGavageJeuneCanard=MOYENNE,VLOOKUP("Chanvre",AlimentsGavageCanard,2,FALSE),0))))))))))</f>
        <v>0</v>
      </c>
      <c r="FZ140" s="458">
        <f t="array" ref="FZ140">SUM((IF(QualitéAlimentsGavageOison_0_1_mois=MAUVAISE,VLOOKUP("Chanvre",AlimentsGavageOie,5,FALSE),0)+(IF(QualitéAlimentsGavageCaneton_0_1_mois=MAUVAISE,VLOOKUP("Chanvre",AlimentsGavageCanard,5,FALSE),0)+(IF(QualitéAlimentsGavageOison_1_2_mois=MAUVAISE,VLOOKUP("Chanvre",AlimentsGavageOie,4,FALSE),0)+(IF(QualitéAlimentsGavageCaneton_1_2_mois=MAUVAISE,VLOOKUP("Chanvre",AlimentsGavageCanard,4,FALSE),0)+(IF(QualitéAlimentsGavageOison_2_3_mois=MAUVAISE,VLOOKUP("Chanvre",AlimentsGavageOie,3,FALSE),0)+(IF(QualitéAlimentsGavageCaneton_2_3_mois=MAUVAISE,VLOOKUP("Chanvre",AlimentsGavageCanard,3,FALSE),0)+(IF(QualitéAlimentsGavageJeunesOies=MAUVAISE,VLOOKUP("Chanvre",AlimentsGavageOie,2,FALSE),0)+(IF(QualitéAlimentsGavageJeuneCanard=MAUVAISE,VLOOKUP("Chanvre",AlimentsGavageCanard,2,FALSE),0))))))))))</f>
        <v>0</v>
      </c>
      <c r="GB140" s="281"/>
      <c r="GG140" s="276" t="s">
        <v>955</v>
      </c>
      <c r="GH140" s="276" t="s">
        <v>955</v>
      </c>
      <c r="GI140" s="276" t="s">
        <v>955</v>
      </c>
      <c r="GJ140" s="276" t="s">
        <v>955</v>
      </c>
      <c r="GK140" s="276" t="s">
        <v>955</v>
      </c>
      <c r="GL140" s="276" t="s">
        <v>955</v>
      </c>
      <c r="GM140" s="276" t="s">
        <v>955</v>
      </c>
      <c r="GN140" s="276" t="s">
        <v>955</v>
      </c>
      <c r="GO140" s="276" t="s">
        <v>955</v>
      </c>
      <c r="GP140" s="276" t="s">
        <v>955</v>
      </c>
      <c r="GQ140" s="276" t="s">
        <v>955</v>
      </c>
      <c r="GR140" s="276" t="s">
        <v>955</v>
      </c>
      <c r="GS140" s="276" t="s">
        <v>955</v>
      </c>
      <c r="GT140" s="276" t="s">
        <v>955</v>
      </c>
      <c r="GU140" s="276" t="s">
        <v>955</v>
      </c>
      <c r="GV140" s="276" t="s">
        <v>955</v>
      </c>
    </row>
    <row r="141" spans="1:204" ht="12.75" customHeight="1" x14ac:dyDescent="0.2">
      <c r="A141" s="373"/>
      <c r="B141" s="382"/>
      <c r="BB141" s="387" t="s">
        <v>517</v>
      </c>
      <c r="BC141" s="362" t="s">
        <v>500</v>
      </c>
      <c r="BD141" s="362" t="s">
        <v>888</v>
      </c>
      <c r="BE141" s="388">
        <v>4.8</v>
      </c>
      <c r="BF141" s="388">
        <v>4</v>
      </c>
      <c r="BG141" s="388">
        <v>4</v>
      </c>
      <c r="BH141" s="388">
        <v>4</v>
      </c>
      <c r="BI141" s="388">
        <v>2</v>
      </c>
      <c r="BJ141" s="388">
        <v>1.2</v>
      </c>
      <c r="BK141" s="389">
        <v>0</v>
      </c>
      <c r="BL141" s="312"/>
      <c r="BM141" s="350" t="str">
        <f t="shared" si="43"/>
        <v>Soja</v>
      </c>
      <c r="BN141" s="351">
        <f t="array" ref="BN141">SUM((IF(QualitéAlimentsBisonneauxMâles_0_3_mois=BONNE,VLOOKUP("Soja",AlimentsRationHivernaleBisonsMâles,8,FALSE),0)+(IF(QualitéAlimentsBisonneauxFemelles_0_3_mois=BONNE,VLOOKUP("Soja",AlimentsRationHivernaleBisonsFemelles,8,FALSE),0)+(IF(QualitéAlimentsBisonneauxMâles_3_6_mois=BONNE,VLOOKUP("Soja",AlimentsRationHivernaleBisonsMâles,7,FALSE),0)+(IF(QualitéAlimentsBisonneauxFemelles_3_6_mois=BONNE,VLOOKUP("Soja",AlimentsRationHivernaleBisonsFemelles,7,FALSE),0)+(IF(QualitéAlimentsBisonneauxMâles_6_12_mois=BONNE,VLOOKUP("Soja",AlimentsRationHivernaleBisonsMâles,6,FALSE),0)+(IF(QualitéAlimentsBisonneauxFemelles_6_12_mois=BONNE,VLOOKUP("Soja",AlimentsRationHivernaleBisonsFemelles,6,FALSE),0)+(IF(QualitéAlimentsJeunesBisons_12_18_mois=BONNE,VLOOKUP("Soja",AlimentsRationHivernaleBisonsMâles,5,FALSE),0)+(IF(QualitéAlimentsJeunesBisonnes_12_18_mois=BONNE,VLOOKUP("Soja",AlimentsRationHivernaleBisonsFemelles,5,FALSE),0)+(IF(QualitéAlimentsJeunesBisons_18_24_mois=BONNE,VLOOKUP("Soja",AlimentsRationHivernaleBisonsMâles,4,FALSE),0)+(IF(QualitéAlimentsJeunesBisonnes_18_24_mois=BONNE,VLOOKUP("Soja",AlimentsRationHivernaleBisonsFemelles,4,FALSE),0)+(IF(QualitéAlimentsJeunesBisons_24_36_mois=BONNE,VLOOKUP("Soja",AlimentsRationHivernaleBisonsMâles,3,FALSE),0)+(IF(QualitéAlimentsJeunesBisonnes_24_36_mois=BONNE,VLOOKUP("Soja",AlimentsRationHivernaleBisonsFemelles,3,FALSE),0)+(IF(QualitéAlimentsBisons=BONNE,VLOOKUP("Soja",AlimentsRationHivernaleBisonsMâles,2,FALSE),0)+(IF(QualitéAlimentsBisonnes=BONNE,VLOOKUP("Soja",AlimentsRationHivernaleBisonsFemelles,2,FALSE),0))))))))))))))))</f>
        <v>0</v>
      </c>
      <c r="BO141" s="351">
        <f t="array" ref="BO141">SUM((IF(QualitéAlimentsBisonneauxMâles_0_3_mois=MOYENNE,VLOOKUP("Soja",AlimentsRationHivernaleBisonsMâles,8,FALSE),0)+(IF(QualitéAlimentsBisonneauxFemelles_0_3_mois=MOYENNE,VLOOKUP("Soja",AlimentsRationHivernaleBisonsFemelles,8,FALSE),0)+(IF(QualitéAlimentsBisonneauxMâles_3_6_mois=MOYENNE,VLOOKUP("Soja",AlimentsRationHivernaleBisonsMâles,7,FALSE),0)+(IF(QualitéAlimentsBisonneauxFemelles_3_6_mois=MOYENNE,VLOOKUP("Soja",AlimentsRationHivernaleBisonsFemelles,7,FALSE),0)+(IF(QualitéAlimentsBisonneauxMâles_6_12_mois=MOYENNE,VLOOKUP("Soja",AlimentsRationHivernaleBisonsMâles,6,FALSE),0)+(IF(QualitéAlimentsBisonneauxFemelles_6_12_mois=MOYENNE,VLOOKUP("Soja",AlimentsRationHivernaleBisonsFemelles,6,FALSE),0)+(IF(QualitéAlimentsJeunesBisons_12_18_mois=MOYENNE,VLOOKUP("Soja",AlimentsRationHivernaleBisonsMâles,5,FALSE),0)+(IF(QualitéAlimentsJeunesBisonnes_12_18_mois=MOYENNE,VLOOKUP("Soja",AlimentsRationHivernaleBisonsFemelles,5,FALSE),0)+(IF(QualitéAlimentsJeunesBisons_18_24_mois=MOYENNE,VLOOKUP("Soja",AlimentsRationHivernaleBisonsMâles,4,FALSE),0)+(IF(QualitéAlimentsJeunesBisonnes_18_24_mois=MOYENNE,VLOOKUP("Soja",AlimentsRationHivernaleBisonsFemelles,4,FALSE),0)+(IF(QualitéAlimentsJeunesBisons_24_36_mois=MOYENNE,VLOOKUP("Soja",AlimentsRationHivernaleBisonsMâles,3,FALSE),0)+(IF(QualitéAlimentsJeunesBisonnes_24_36_mois=MOYENNE,VLOOKUP("Soja",AlimentsRationHivernaleBisonsFemelles,3,FALSE),0)+(IF(QualitéAlimentsBisons=MOYENNE,VLOOKUP("Soja",AlimentsRationHivernaleBisonsMâles,2,FALSE),0)+(IF(QualitéAlimentsBisonnes=MOYENNE,VLOOKUP("Soja",AlimentsRationHivernaleBisonsFemelles,2,FALSE),0))))))))))))))))</f>
        <v>0</v>
      </c>
      <c r="BP141" s="351">
        <f t="array" ref="BP141">SUM((IF(QualitéAlimentsBisonneauxMâles_0_3_mois=MAUVAISE,VLOOKUP("Soja",AlimentsRationHivernaleBisonsMâles,8,FALSE),0)+(IF(QualitéAlimentsBisonneauxFemelles_0_3_mois=MAUVAISE,VLOOKUP("Soja",AlimentsRationHivernaleBisonsFemelles,8,FALSE),0)+(IF(QualitéAlimentsBisonneauxMâles_3_6_mois=MAUVAISE,VLOOKUP("Soja",AlimentsRationHivernaleBisonsMâles,7,FALSE),0)+(IF(QualitéAlimentsBisonneauxFemelles_3_6_mois=MAUVAISE,VLOOKUP("Soja",AlimentsRationHivernaleBisonsFemelles,7,FALSE),0)+(IF(QualitéAlimentsBisonneauxMâles_6_12_mois=MAUVAISE,VLOOKUP("Soja",AlimentsRationHivernaleBisonsMâles,6,FALSE),0)+(IF(QualitéAlimentsBisonneauxFemelles_6_12_mois=MAUVAISE,VLOOKUP("Soja",AlimentsRationHivernaleBisonsFemelles,6,FALSE),0)+(IF(QualitéAlimentsJeunesBisons_12_18_mois=MAUVAISE,VLOOKUP("Soja",AlimentsRationHivernaleBisonsMâles,5,FALSE),0)+(IF(QualitéAlimentsJeunesBisonnes_12_18_mois=MAUVAISE,VLOOKUP("Soja",AlimentsRationHivernaleBisonsFemelles,5,FALSE),0)+(IF(QualitéAlimentsJeunesBisons_18_24_mois=MAUVAISE,VLOOKUP("Soja",AlimentsRationHivernaleBisonsMâles,4,FALSE),0)+(IF(QualitéAlimentsJeunesBisonnes_18_24_mois=MAUVAISE,VLOOKUP("Soja",AlimentsRationHivernaleBisonsFemelles,4,FALSE),0)+(IF(QualitéAlimentsJeunesBisons_24_36_mois=MAUVAISE,VLOOKUP("Soja",AlimentsRationHivernaleBisonsMâles,3,FALSE),0)+(IF(QualitéAlimentsJeunesBisonnes_24_36_mois=MAUVAISE,VLOOKUP("Soja",AlimentsRationHivernaleBisonsFemelles,3,FALSE),0)+(IF(QualitéAlimentsBisons=MAUVAISE,VLOOKUP("Soja",AlimentsRationHivernaleBisonsMâles,2,FALSE),0)+(IF(QualitéAlimentsBisonnes=MAUVAISE,VLOOKUP("Soja",AlimentsRationHivernaleBisonsFemelles,2,FALSE),0))))))))))))))))</f>
        <v>0</v>
      </c>
      <c r="BQ141" s="282"/>
      <c r="BR141" s="282"/>
      <c r="BS141" s="282"/>
      <c r="BT141" s="282"/>
      <c r="BU141" s="282"/>
      <c r="CB141" s="281"/>
      <c r="CC141" s="281"/>
      <c r="CI141" s="277"/>
      <c r="CJ141" s="350" t="str">
        <f t="shared" si="45"/>
        <v>Blé</v>
      </c>
      <c r="CK141" s="351">
        <f t="array" ref="CK141">SUM((IF(QualitéAlimentsPorceletMâle_0_1_mois=BONNE,VLOOKUP("Blé",AlimentsRationPorcinsMâles[],6,FALSE),0)+(IF(QualitéAlimentsPorceletFemelle_0_1_mois=BONNE,VLOOKUP("Blé",AlimentsRationPorcinsFemelles[],6,FALSE),0)+(IF(QualitéAlimentsPorceletMâle_1_3_mois=BONNE,VLOOKUP("Blé",AlimentsRationPorcinsMâles[],5,FALSE),0)+(IF(QualitéAlimentsPorceletFemelle_1_3_mois=BONNE,VLOOKUP("Blé",AlimentsRationPorcinsFemelles[],5,FALSE),0)+(IF(QualitéAlimentsJeuneVerrat_3_6_mois=BONNE,VLOOKUP("Blé",AlimentsRationPorcinsMâles[],4,FALSE),0)+(IF(QualitéAlimentsJeuneTruie_3_6_mois=BONNE,VLOOKUP("Blé",AlimentsRationPorcinsFemelles[],4,FALSE),0)+(IF(QualitéAlimentsJeuneVerrat_6_12_mois=BONNE,VLOOKUP("Blé",AlimentsRationPorcinsMâles[],3,FALSE),0)+(IF(QualitéAlimentsJeuneTruie_6_12_mois=BONNE,VLOOKUP("Blé",AlimentsRationPorcinsFemelles[],3,FALSE),0)+(IF(QualitéAlimentsVerrat=BONNE,VLOOKUP("Avoine",AlimentsRationPorcinsMâles[],2,FALSE),0)+(IF(QualitéAlimentsTruie=BONNE,VLOOKUP("Avoine",AlimentsRationPorcinsFemelles[],2,FALSE),0))))))))))))</f>
        <v>0</v>
      </c>
      <c r="CL141" s="351">
        <f t="array" ref="CL141">SUM((IF(QualitéAlimentsPorceletMâle_0_1_mois=MOYENNE,VLOOKUP("Blé",AlimentsRationPorcinsMâles[],6,FALSE),0)+(IF(QualitéAlimentsPorceletFemelle_0_1_mois=MOYENNE,VLOOKUP("Blé",AlimentsRationPorcinsFemelles[],6,FALSE),0)+(IF(QualitéAlimentsPorceletMâle_1_3_mois=MOYENNE,VLOOKUP("Blé",AlimentsRationPorcinsMâles[],5,FALSE),0)+(IF(QualitéAlimentsPorceletFemelle_1_3_mois=MOYENNE,VLOOKUP("Blé",AlimentsRationPorcinsFemelles[],5,FALSE),0)+(IF(QualitéAlimentsJeuneVerrat_3_6_mois=MOYENNE,VLOOKUP("Blé",AlimentsRationPorcinsMâles[],4,FALSE),0)+(IF(QualitéAlimentsJeuneTruie_3_6_mois=MOYENNE,VLOOKUP("Blé",AlimentsRationPorcinsFemelles[],4,FALSE),0)+(IF(QualitéAlimentsJeuneVerrat_6_12_mois=MOYENNE,VLOOKUP("Blé",AlimentsRationPorcinsMâles[],3,FALSE),0)+(IF(QualitéAlimentsJeuneTruie_6_12_mois=MOYENNE,VLOOKUP("Blé",AlimentsRationPorcinsFemelles[],3,FALSE),0)+(IF(QualitéAlimentsVerrat=BONNE,VLOOKUP("Avoine",AlimentsRationPorcinsMâles[],2,FALSE),0)+(IF(QualitéAlimentsTruie=BONNE,VLOOKUP("Avoine",AlimentsRationPorcinsFemelles[],2,FALSE),0))))))))))))</f>
        <v>0</v>
      </c>
      <c r="CM141" s="351">
        <f t="array" ref="CM141">SUM((IF(QualitéAlimentsPorceletMâle_0_1_mois=MAUVAISE,VLOOKUP("Blé",AlimentsRationPorcinsMâles[],6,FALSE),0)+(IF(QualitéAlimentsPorceletFemelle_0_1_mois=MAUVAISE,VLOOKUP("Blé",AlimentsRationPorcinsFemelles[],6,FALSE),0)+(IF(QualitéAlimentsPorceletMâle_1_3_mois=MAUVAISE,VLOOKUP("Blé",AlimentsRationPorcinsMâles[],5,FALSE),0)+(IF(QualitéAlimentsPorceletFemelle_1_3_mois=MAUVAISE,VLOOKUP("Blé",AlimentsRationPorcinsFemelles[],5,FALSE),0)+(IF(QualitéAlimentsJeuneVerrat_3_6_mois=MAUVAISE,VLOOKUP("Blé",AlimentsRationPorcinsMâles[],4,FALSE),0)+(IF(QualitéAlimentsJeuneTruie_3_6_mois=MAUVAISE,VLOOKUP("Blé",AlimentsRationPorcinsFemelles[],4,FALSE),0)+(IF(QualitéAlimentsJeuneVerrat_6_12_mois=MAUVAISE,VLOOKUP("Blé",AlimentsRationPorcinsMâles[],3,FALSE),0)+(IF(QualitéAlimentsJeuneTruie_6_12_mois=MAUVAISE,VLOOKUP("Blé",AlimentsRationPorcinsFemelles[],3,FALSE),0)+(IF(QualitéAlimentsVerrat=BONNE,VLOOKUP("Avoine",AlimentsRationPorcinsMâles[],2,FALSE),0)+(IF(QualitéAlimentsTruie=BONNE,VLOOKUP("Avoine",AlimentsRationPorcinsFemelles[],2,FALSE),0))))))))))))</f>
        <v>0</v>
      </c>
      <c r="CN141" s="279"/>
      <c r="CO141" s="277"/>
      <c r="CP141" s="298"/>
      <c r="CS141" s="397" t="s">
        <v>508</v>
      </c>
      <c r="CT141" s="398">
        <f t="array" ref="CT141">IF(ChoixRationComplèteLapins=NON,0,IFERROR(IF(OR(AND(INDEX(Règles_lapins[Specificite],MATCH(ChoixRationLapins&amp;Ration_complète_lapins[aliment],Règles_lapins[Ration]&amp;Règles_lapins[Aliment],0))="s1",IF(Ration_complète_lapins[aliment]=Spécificité1Lapins,1)),
AND(INDEX(Règles_lapins[Specificite],MATCH(ChoixRationLapins&amp;Ration_complète_lapins[aliment],Règles_lapins[Ration]&amp;Règles_lapins[Aliment],0))="s2",IF(Ration_complète_lapins[aliment]=Spécificité2Lapins,1)),
INDEX(Règles_lapins[Specificite],MATCH(ChoixRationLapins&amp;Ration_complète_lapins[aliment],Règles_lapins[Ration]&amp;Règles_lapins[Aliment],0))="c",INDEX(Règles_lapins[Specificite],MATCH(ChoixRationLapins&amp;Ration_complète_lapins[aliment],Règles_lapins[Ration]&amp;Règles_lapins[Aliment],0))="complet"),
INDEX(Règles_lapins[Valeur 3 et plus],MATCH(ChoixRationLapins&amp;Ration_complète_lapins[aliment],Règles_lapins[Ration]&amp;Règles_lapins[Aliment],0)),0),0)*SUM(TotalLapinsAdultes)*SUM(Z76:Z100))</f>
        <v>0</v>
      </c>
      <c r="CU141" s="398">
        <f t="array" ref="CU141">IF(ChoixRationComplèteLapins=NON,0,IFERROR(IF(OR(AND(INDEX(Règles_lapins[Specificite],MATCH(ChoixRationLapins&amp;Ration_complète_lapins[aliment],Règles_lapins[Ration]&amp;Règles_lapins[Aliment],0))="s1",IF(Ration_complète_lapins[aliment]=Spécificité1Lapins,1)),
AND(INDEX(Règles_lapins[Specificite],MATCH(ChoixRationLapins&amp;Ration_complète_lapins[aliment],Règles_lapins[Ration]&amp;Règles_lapins[Aliment],0))="s2",IF(Ration_complète_lapins[aliment]=Spécificité2Lapins,1)),
INDEX(Règles_lapins[Specificite],MATCH(ChoixRationLapins&amp;Ration_complète_lapins[aliment],Règles_lapins[Ration]&amp;Règles_lapins[Aliment],0))="c",INDEX(Règles_lapins[Specificite],MATCH(ChoixRationLapins&amp;Ration_complète_lapins[aliment],Règles_lapins[Ration]&amp;Règles_lapins[Aliment],0))="complet"),
INDEX(Règles_lapins[Valeur 1-3],MATCH(ChoixRationLapins&amp;Ration_complète_lapins[aliment],Règles_lapins[Ration]&amp;Règles_lapins[Aliment],0)),0),0)*SUM(TotalJeunesLapins)*SUM(Z76:Z100))</f>
        <v>0</v>
      </c>
      <c r="CV141" s="398">
        <f t="array" ref="CV141">IF(ChoixRationComplèteLapins=NON,0,IFERROR(IF(OR(AND(INDEX(Règles_lapins[Specificite],MATCH(ChoixRationLapins&amp;Ration_complète_lapins[aliment],Règles_lapins[Ration]&amp;Règles_lapins[Aliment],0))="s1",IF(Ration_complète_lapins[aliment]=Spécificité1Lapins,1)),
AND(INDEX(Règles_lapins[Specificite],MATCH(ChoixRationLapins&amp;Ration_complète_lapins[aliment],Règles_lapins[Ration]&amp;Règles_lapins[Aliment],0))="s2",IF(Ration_complète_lapins[aliment]=Spécificité2Lapins,1)),
INDEX(Règles_lapins[Specificite],MATCH(ChoixRationLapins&amp;Ration_complète_lapins[aliment],Règles_lapins[Ration]&amp;Règles_lapins[Aliment],0))="c",INDEX(Règles_lapins[Specificite],MATCH(ChoixRationLapins&amp;Ration_complète_lapins[aliment],Règles_lapins[Ration]&amp;Règles_lapins[Aliment],0))="complet"),
INDEX(Règles_lapins[Valeur 0-1],MATCH(ChoixRationLapins&amp;Ration_complète_lapins[aliment],Règles_lapins[Ration]&amp;Règles_lapins[Aliment],0)),0),0)*SUM(TotalLapereaux)*SUM(Z76:Z100))</f>
        <v>0</v>
      </c>
      <c r="CW141" s="436">
        <f>SUM(Ration_complète_lapins[[Valeur 3 et plus]:[Valeur 0-1]])</f>
        <v>0</v>
      </c>
      <c r="CZ141" s="397" t="s">
        <v>508</v>
      </c>
      <c r="DA141" s="398">
        <f t="array" ref="DA141">IF(ChoixRationComplètePoules=NON,0,IFERROR(IF(OR(AND(INDEX(Règles_volailles[Specificite],MATCH(ChoixRationVolailles&amp;Ration_complète_volailles[aliment],Règles_volailles[Ration]&amp;Règles_volailles[Aliment],0))="s1",IF(Ration_complète_volailles[aliment]=Spécificité1Volailles,1)),
AND(INDEX(Règles_volailles[Specificite],MATCH(ChoixRationVolailles&amp;Ration_complète_volailles[aliment],Règles_volailles[Ration]&amp;Règles_volailles[Aliment],0))="s2",IF(Ration_complète_volailles[aliment]=Spécificité2Volailles,1)),
INDEX(Règles_volailles[Specificite],MATCH(ChoixRationVolailles&amp;Ration_complète_volailles[aliment],Règles_volailles[Ration]&amp;Règles_volailles[Aliment],0))="c",INDEX(Règles_volailles[Specificite],MATCH(ChoixRationVolailles&amp;Ration_complète_volailles[aliment],Règles_volailles[Ration]&amp;Règles_volailles[Aliment],0))="complet"),
INDEX(Règles_volailles[Valeur 6 et plus],MATCH(ChoixRationVolailles&amp;Ration_complète_volailles[aliment],Règles_volailles[Ration]&amp;Règles_volailles[Aliment],0)),0),0)*SUM(TotalVolailleAdulte)*SUM(Z76:Z100))</f>
        <v>0</v>
      </c>
      <c r="DB141" s="398">
        <f t="array" ref="DB141">IF(ChoixRationComplètePoules=NON,0,IFERROR(IF(OR(AND(INDEX(Règles_volailles[Specificite],MATCH(ChoixRationVolailles&amp;Ration_complète_volailles[aliment],Règles_volailles[Ration]&amp;Règles_volailles[Aliment],0))="s1",IF(Ration_complète_volailles[aliment]=Spécificité1Volailles,1)),
AND(INDEX(Règles_volailles[Specificite],MATCH(ChoixRationVolailles&amp;Ration_complète_volailles[aliment],Règles_volailles[Ration]&amp;Règles_volailles[Aliment],0))="s2",IF(Ration_complète_volailles[aliment]=Spécificité2Volailles,1)),
INDEX(Règles_volailles[Specificite],MATCH(ChoixRationVolailles&amp;Ration_complète_volailles[aliment],Règles_volailles[Ration]&amp;Règles_volailles[Aliment],0))="c",INDEX(Règles_volailles[Specificite],MATCH(ChoixRationVolailles&amp;Ration_complète_volailles[aliment],Règles_volailles[Ration]&amp;Règles_volailles[Aliment],0))="complet"),
INDEX(Règles_volailles[Valeur 1-6],MATCH(ChoixRationVolailles&amp;Ration_complète_volailles[aliment],Règles_volailles[Ration]&amp;Règles_volailles[Aliment],0)),0),0)*SUM(TotalJeuneVolaille)*SUM(Z76:Z100))</f>
        <v>0</v>
      </c>
      <c r="DC141" s="398">
        <f t="array" ref="DC141">IF(ChoixRationComplètePoules=NON,0,IFERROR(IF(OR(AND(INDEX(Règles_volailles[Specificite],MATCH(ChoixRationVolailles&amp;Ration_complète_volailles[aliment],Règles_volailles[Ration]&amp;Règles_volailles[Aliment],0))="s1",IF(Ration_complète_volailles[aliment]=Spécificité1Volailles,1)),
AND(INDEX(Règles_volailles[Specificite],MATCH(ChoixRationVolailles&amp;Ration_complète_volailles[aliment],Règles_volailles[Ration]&amp;Règles_volailles[Aliment],0))="s2",IF(Ration_complète_volailles[aliment]=Spécificité2Volailles,1)),
INDEX(Règles_volailles[Specificite],MATCH(ChoixRationVolailles&amp;Ration_complète_volailles[aliment],Règles_volailles[Ration]&amp;Règles_volailles[Aliment],0))="c",INDEX(Règles_volailles[Specificite],MATCH(ChoixRationVolailles&amp;Ration_complète_volailles[aliment],Règles_volailles[Ration]&amp;Règles_volailles[Aliment],0))="complet"),
INDEX(Règles_volailles[Valeur 0-1],MATCH(ChoixRationVolailles&amp;Ration_complète_volailles[aliment],Règles_volailles[Ration]&amp;Règles_volailles[Aliment],0)),0),0)*SUM(TotalPoussins)*SUM(Z76:Z100))</f>
        <v>0</v>
      </c>
      <c r="DD141" s="436">
        <f>SUM(Ration_complète_volailles[[Valeur 6 et plus]:[Valeur 0-1]])</f>
        <v>0</v>
      </c>
      <c r="DG141" s="277"/>
      <c r="DH141" s="277"/>
      <c r="DN141" s="373" t="s">
        <v>843</v>
      </c>
      <c r="DO141" s="280" t="s">
        <v>220</v>
      </c>
      <c r="DP141" s="280" t="s">
        <v>887</v>
      </c>
      <c r="DQ141" s="280">
        <v>1.6</v>
      </c>
      <c r="DR141" s="280">
        <v>1.28</v>
      </c>
      <c r="DS141" s="280">
        <v>0.96</v>
      </c>
      <c r="DT141" s="363">
        <v>0.8</v>
      </c>
      <c r="EG141" s="420" t="s">
        <v>651</v>
      </c>
      <c r="EH141" s="408">
        <f>EH24*TotalJars*SUM(Z76:Z100)</f>
        <v>0</v>
      </c>
      <c r="EN141" s="443" t="s">
        <v>959</v>
      </c>
      <c r="EO141" s="445">
        <f>EO24*TotalCanes*SUM(Z76:Z100)</f>
        <v>0</v>
      </c>
      <c r="EZ141" s="276"/>
      <c r="FD141" s="455" t="s">
        <v>910</v>
      </c>
      <c r="FE141" s="455" t="s">
        <v>895</v>
      </c>
      <c r="FF141" s="455" t="s">
        <v>894</v>
      </c>
      <c r="FG141" s="455" t="s">
        <v>938</v>
      </c>
      <c r="FH141" s="459" t="s">
        <v>937</v>
      </c>
      <c r="FI141" s="455" t="s">
        <v>903</v>
      </c>
      <c r="FJ141" s="298"/>
      <c r="FN141" s="457" t="str">
        <f>FN53</f>
        <v>Avoine</v>
      </c>
      <c r="FO141" s="458">
        <f t="array" ref="FO141">IF(OR(ChoixRationHivernaleComplètePoneys=OUI,ChoixRationHivernaleComplètePoneys="",ChoixPoneysPréHiver=NON),0,IFERROR(IF(OR(AND(INDEX(Règles_poneys[Specificite],MATCH(RationHivernaleAuPréPoneys&amp;$FN141,Règles_poneys[Ration]&amp;Règles_poneys[Aliment],0))="s1",IF($FN141=Spécificité1Poneys,1)),
AND(INDEX(Règles_poneys[Specificite],MATCH(RationHivernaleAuPréPoneys&amp;$FN141,Règles_poneys[Ration]&amp;Règles_poneys[Aliment],0))="s2",IF($FN141=Spécificité2Poneys,1)),
INDEX(Règles_poneys[Specificite],MATCH(RationHivernaleAuPréPoneys&amp;$FN141,Règles_poneys[Ration]&amp;Règles_poneys[Aliment],0))="c"),
INDEX(Règles_poneys[Valeur 36 et plus],MATCH(RationHivernaleAuPréPoneys&amp;$FN141,Règles_poneys[Ration]&amp;Règles_poneys[Aliment],0)),0),0)*SUM(TotalPoneysAdultes)*21)</f>
        <v>0</v>
      </c>
      <c r="FP141" s="458">
        <f t="array" ref="FP141">IF(OR(ChoixRationHivernaleComplètePoneys=OUI,ChoixRationHivernaleComplètePoneys="",ChoixPoneysPréHiver=NON),0,IFERROR(IF(OR(AND(INDEX(Règles_poneys[Specificite],MATCH(RationHivernaleAuPréPoneys&amp;$FN141,Règles_poneys[Ration]&amp;Règles_poneys[Aliment],0))="s1",IF($FN141=Spécificité1Poneys,1)),
AND(INDEX(Règles_poneys[Specificite],MATCH(RationHivernaleAuPréPoneys&amp;$FN141,Règles_poneys[Ration]&amp;Règles_poneys[Aliment],0))="s2",IF($FN141=Spécificité2Poneys,1)),
INDEX(Règles_poneys[Specificite],MATCH(RationHivernaleAuPréPoneys&amp;$FN141,Règles_poneys[Ration]&amp;Règles_poneys[Aliment],0))="c"),
INDEX(Règles_poneys[Valeur 24-36],MATCH(RationHivernaleAuPréPoneys&amp;$FN141,Règles_poneys[Ration]&amp;Règles_poneys[Aliment],0)),0),0)*SUM(TotalPoneys_24_36mois)*21)</f>
        <v>0</v>
      </c>
      <c r="FQ141" s="458">
        <f t="array" ref="FQ141">IF(OR(ChoixRationHivernaleComplètePoneys=OUI,ChoixRationHivernaleComplètePoneys="",ChoixPoneysPréHiver=NON),0,IFERROR(IF(OR(AND(INDEX(Règles_poneys[Specificite],MATCH(RationHivernaleAuPréPoneys&amp;$FN141,Règles_poneys[Ration]&amp;Règles_poneys[Aliment],0))="s1",IF($FN141=Spécificité1Poneys,1)),
AND(INDEX(Règles_poneys[Specificite],MATCH(RationHivernaleAuPréPoneys&amp;$FN141,Règles_poneys[Ration]&amp;Règles_poneys[Aliment],0))="s2",IF($FN141=Spécificité2Poneys,1)),
INDEX(Règles_poneys[Specificite],MATCH(RationHivernaleAuPréPoneys&amp;$FN141,Règles_poneys[Ration]&amp;Règles_poneys[Aliment],0))="c"),
INDEX(Règles_poneys[Valeur 12-24],MATCH(RationHivernaleAuPréPoneys&amp;$FN141,Règles_poneys[Ration]&amp;Règles_poneys[Aliment],0)),0),0)*SUM(TotalPoneys_12_24mois)*21)</f>
        <v>0</v>
      </c>
      <c r="FR141" s="458">
        <f t="array" ref="FR141">IF(OR(ChoixRationHivernaleComplètePoneys=OUI,ChoixRationHivernaleComplètePoneys="",ChoixPoneysPréHiver=NON),0,IFERROR(IF(OR(AND(INDEX(Règles_poneys[Specificite],MATCH(RationHivernaleAuPréPoneys&amp;$FN141,Règles_poneys[Ration]&amp;Règles_poneys[Aliment],0))="s1",IF($FN141=Spécificité1Poneys,1)),
AND(INDEX(Règles_poneys[Specificite],MATCH(RationHivernaleAuPréPoneys&amp;$FN141,Règles_poneys[Ration]&amp;Règles_poneys[Aliment],0))="s2",IF($FN141=Spécificité2Poneys,1)),
INDEX(Règles_poneys[Specificite],MATCH(RationHivernaleAuPréPoneys&amp;$FN141,Règles_poneys[Ration]&amp;Règles_poneys[Aliment],0))="c"),
INDEX(Règles_poneys[Valeur 0-12],MATCH(RationHivernaleAuPréPoneys&amp;$FN141,Règles_poneys[Ration]&amp;Règles_poneys[Aliment],0)),0),0)*SUM(TotalPoulainsPoneys)*21)</f>
        <v>0</v>
      </c>
      <c r="FS141" s="460">
        <f t="shared" ref="FS141:FS179" si="46">SUM($FO141:$FQ141)</f>
        <v>0</v>
      </c>
      <c r="FT141" s="298"/>
      <c r="FW141" s="457" t="str">
        <f t="shared" si="44"/>
        <v>Canola</v>
      </c>
      <c r="FX141" s="458">
        <f t="array" ref="FX141">SUM((IF(QualitéAlimentsGavageOison_0_1_mois=BONNE,VLOOKUP("Canola",AlimentsGavageOie,5,FALSE),0)+(IF(QualitéAlimentsGavageCaneton_0_1_mois=BONNE,VLOOKUP("Canola",AlimentsGavageCanard,5,FALSE),0)+(IF(QualitéAlimentsGavageOison_1_2_mois=BONNE,VLOOKUP("Canola",AlimentsGavageOie,4,FALSE),0)+(IF(QualitéAlimentsGavageCaneton_1_2_mois=BONNE,VLOOKUP("Canola",AlimentsGavageCanard,4,FALSE),0)+(IF(QualitéAlimentsGavageOison_2_3_mois=BONNE,VLOOKUP("Canola",AlimentsGavageOie,3,FALSE),0)+(IF(QualitéAlimentsGavageCaneton_2_3_mois=BONNE,VLOOKUP("Canola",AlimentsGavageCanard,3,FALSE),0)+(IF(QualitéAlimentsGavageJeunesOies=BONNE,VLOOKUP("Canola",AlimentsGavageOie,2,FALSE),0)+(IF(QualitéAlimentsGavageJeuneCanard=BONNE,VLOOKUP("Canola",AlimentsGavageCanard,2,FALSE),0))))))))))</f>
        <v>0</v>
      </c>
      <c r="FY141" s="458">
        <f t="array" ref="FY141">SUM((IF(QualitéAlimentsGavageOison_0_1_mois=MOYENNE,VLOOKUP("Canola",AlimentsGavageOie,5,FALSE),0)+(IF(QualitéAlimentsGavageCaneton_0_1_mois=MOYENNE,VLOOKUP("Canola",AlimentsGavageCanard,5,FALSE),0)+(IF(QualitéAlimentsGavageOison_1_2_mois=MOYENNE,VLOOKUP("Canola",AlimentsGavageOie,4,FALSE),0)+(IF(QualitéAlimentsGavageCaneton_1_2_mois=MOYENNE,VLOOKUP("Canola",AlimentsGavageCanard,4,FALSE),0)+(IF(QualitéAlimentsGavageOison_2_3_mois=MOYENNE,VLOOKUP("Canola",AlimentsGavageOie,3,FALSE),0)+(IF(QualitéAlimentsGavageCaneton_2_3_mois=MOYENNE,VLOOKUP("Canola",AlimentsGavageCanard,3,FALSE),0)+(IF(QualitéAlimentsGavageJeunesOies=MOYENNE,VLOOKUP("Canola",AlimentsGavageOie,2,FALSE),0)+(IF(QualitéAlimentsGavageJeuneCanard=MOYENNE,VLOOKUP("Canola",AlimentsGavageCanard,2,FALSE),0))))))))))</f>
        <v>0</v>
      </c>
      <c r="FZ141" s="458">
        <f t="array" ref="FZ141">SUM((IF(QualitéAlimentsGavageOison_0_1_mois=MAUVAISE,VLOOKUP("Canola",AlimentsGavageOie,5,FALSE),0)+(IF(QualitéAlimentsGavageCaneton_0_1_mois=MAUVAISE,VLOOKUP("Canola",AlimentsGavageCanard,5,FALSE),0)+(IF(QualitéAlimentsGavageOison_1_2_mois=MAUVAISE,VLOOKUP("Canola",AlimentsGavageOie,4,FALSE),0)+(IF(QualitéAlimentsGavageCaneton_1_2_mois=MAUVAISE,VLOOKUP("Canola",AlimentsGavageCanard,4,FALSE),0)+(IF(QualitéAlimentsGavageOison_2_3_mois=MAUVAISE,VLOOKUP("Canola",AlimentsGavageOie,3,FALSE),0)+(IF(QualitéAlimentsGavageCaneton_2_3_mois=MAUVAISE,VLOOKUP("Canola",AlimentsGavageCanard,3,FALSE),0)+(IF(QualitéAlimentsGavageJeunesOies=MAUVAISE,VLOOKUP("Canola",AlimentsGavageOie,2,FALSE),0)+(IF(QualitéAlimentsGavageJeuneCanard=MAUVAISE,VLOOKUP("Canola",AlimentsGavageCanard,2,FALSE),0))))))))))</f>
        <v>0</v>
      </c>
      <c r="GB141" s="281"/>
      <c r="GG141" s="276" t="s">
        <v>955</v>
      </c>
      <c r="GH141" s="276" t="s">
        <v>955</v>
      </c>
      <c r="GI141" s="276" t="s">
        <v>955</v>
      </c>
      <c r="GJ141" s="276" t="s">
        <v>955</v>
      </c>
      <c r="GK141" s="276" t="s">
        <v>955</v>
      </c>
      <c r="GL141" s="276" t="s">
        <v>955</v>
      </c>
      <c r="GM141" s="276" t="s">
        <v>955</v>
      </c>
      <c r="GN141" s="276" t="s">
        <v>955</v>
      </c>
      <c r="GO141" s="276" t="s">
        <v>955</v>
      </c>
      <c r="GP141" s="276" t="s">
        <v>955</v>
      </c>
      <c r="GQ141" s="276" t="s">
        <v>955</v>
      </c>
      <c r="GR141" s="276" t="s">
        <v>955</v>
      </c>
      <c r="GS141" s="276" t="s">
        <v>955</v>
      </c>
      <c r="GT141" s="276" t="s">
        <v>955</v>
      </c>
      <c r="GU141" s="276" t="s">
        <v>955</v>
      </c>
      <c r="GV141" s="276" t="s">
        <v>955</v>
      </c>
    </row>
    <row r="142" spans="1:204" ht="12.75" customHeight="1" x14ac:dyDescent="0.2">
      <c r="A142" s="373"/>
      <c r="B142" s="382"/>
      <c r="BB142" s="387" t="s">
        <v>517</v>
      </c>
      <c r="BC142" s="362" t="s">
        <v>57</v>
      </c>
      <c r="BD142" s="362" t="s">
        <v>888</v>
      </c>
      <c r="BE142" s="388">
        <v>4.8</v>
      </c>
      <c r="BF142" s="388">
        <v>4</v>
      </c>
      <c r="BG142" s="388">
        <v>4</v>
      </c>
      <c r="BH142" s="388">
        <v>4</v>
      </c>
      <c r="BI142" s="388">
        <v>2</v>
      </c>
      <c r="BJ142" s="388">
        <v>1.2</v>
      </c>
      <c r="BK142" s="389">
        <v>0</v>
      </c>
      <c r="BL142" s="312"/>
      <c r="BM142" s="350" t="str">
        <f t="shared" si="43"/>
        <v>Sorgho ensilé</v>
      </c>
      <c r="BN142" s="351">
        <f t="array" ref="BN142">SUM((IF(QualitéAlimentsBisonneauxMâles_0_3_mois=BONNE,VLOOKUP("Sorgho ensilé",AlimentsRationHivernaleBisonsMâles,8,FALSE),0)+(IF(QualitéAlimentsBisonneauxFemelles_0_3_mois=BONNE,VLOOKUP("Sorgho ensilé",AlimentsRationHivernaleBisonsFemelles,8,FALSE),0)+(IF(QualitéAlimentsBisonneauxMâles_3_6_mois=BONNE,VLOOKUP("Sorgho ensilé",AlimentsRationHivernaleBisonsMâles,7,FALSE),0)+(IF(QualitéAlimentsBisonneauxFemelles_3_6_mois=BONNE,VLOOKUP("Sorgho ensilé",AlimentsRationHivernaleBisonsFemelles,7,FALSE),0)+(IF(QualitéAlimentsBisonneauxMâles_6_12_mois=BONNE,VLOOKUP("Sorgho ensilé",AlimentsRationHivernaleBisonsMâles,6,FALSE),0)+(IF(QualitéAlimentsBisonneauxFemelles_6_12_mois=BONNE,VLOOKUP("Sorgho ensilé",AlimentsRationHivernaleBisonsFemelles,6,FALSE),0)+(IF(QualitéAlimentsJeunesBisons_12_18_mois=BONNE,VLOOKUP("Sorgho ensilé",AlimentsRationHivernaleBisonsMâles,5,FALSE),0)+(IF(QualitéAlimentsJeunesBisonnes_12_18_mois=BONNE,VLOOKUP("Sorgho ensilé",AlimentsRationHivernaleBisonsFemelles,5,FALSE),0)+(IF(QualitéAlimentsJeunesBisons_18_24_mois=BONNE,VLOOKUP("Sorgho ensilé",AlimentsRationHivernaleBisonsMâles,4,FALSE),0)+(IF(QualitéAlimentsJeunesBisonnes_18_24_mois=BONNE,VLOOKUP("Sorgho ensilé",AlimentsRationHivernaleBisonsFemelles,4,FALSE),0)+(IF(QualitéAlimentsJeunesBisons_24_36_mois=BONNE,VLOOKUP("Sorgho ensilé",AlimentsRationHivernaleBisonsMâles,3,FALSE),0)+(IF(QualitéAlimentsJeunesBisonnes_24_36_mois=BONNE,VLOOKUP("Sorgho ensilé",AlimentsRationHivernaleBisonsFemelles,3,FALSE),0)+(IF(QualitéAlimentsBisons=BONNE,VLOOKUP("Sorgho ensilé",AlimentsRationHivernaleBisonsMâles,2,FALSE),0)+(IF(QualitéAlimentsBisonnes=BONNE,VLOOKUP("Sorgho ensilé",AlimentsRationHivernaleBisonsFemelles,2,FALSE),0))))))))))))))))</f>
        <v>0</v>
      </c>
      <c r="BO142" s="351">
        <f t="array" ref="BO142">SUM((IF(QualitéAlimentsBisonneauxMâles_0_3_mois=MOYENNE,VLOOKUP("Sorgho ensilé",AlimentsRationHivernaleBisonsMâles,8,FALSE),0)+(IF(QualitéAlimentsBisonneauxFemelles_0_3_mois=MOYENNE,VLOOKUP("Sorgho ensilé",AlimentsRationHivernaleBisonsFemelles,8,FALSE),0)+(IF(QualitéAlimentsBisonneauxMâles_3_6_mois=MOYENNE,VLOOKUP("Sorgho ensilé",AlimentsRationHivernaleBisonsMâles,7,FALSE),0)+(IF(QualitéAlimentsBisonneauxFemelles_3_6_mois=MOYENNE,VLOOKUP("Sorgho ensilé",AlimentsRationHivernaleBisonsFemelles,7,FALSE),0)+(IF(QualitéAlimentsBisonneauxMâles_6_12_mois=MOYENNE,VLOOKUP("Sorgho ensilé",AlimentsRationHivernaleBisonsMâles,6,FALSE),0)+(IF(QualitéAlimentsBisonneauxFemelles_6_12_mois=MOYENNE,VLOOKUP("Sorgho ensilé",AlimentsRationHivernaleBisonsFemelles,6,FALSE),0)+(IF(QualitéAlimentsJeunesBisons_12_18_mois=MOYENNE,VLOOKUP("Sorgho ensilé",AlimentsRationHivernaleBisonsMâles,5,FALSE),0)+(IF(QualitéAlimentsJeunesBisonnes_12_18_mois=MOYENNE,VLOOKUP("Sorgho ensilé",AlimentsRationHivernaleBisonsFemelles,5,FALSE),0)+(IF(QualitéAlimentsJeunesBisons_18_24_mois=MOYENNE,VLOOKUP("Sorgho ensilé",AlimentsRationHivernaleBisonsMâles,4,FALSE),0)+(IF(QualitéAlimentsJeunesBisonnes_18_24_mois=MOYENNE,VLOOKUP("Sorgho ensilé",AlimentsRationHivernaleBisonsFemelles,4,FALSE),0)+(IF(QualitéAlimentsJeunesBisons_24_36_mois=MOYENNE,VLOOKUP("Sorgho ensilé",AlimentsRationHivernaleBisonsMâles,3,FALSE),0)+(IF(QualitéAlimentsJeunesBisonnes_24_36_mois=MOYENNE,VLOOKUP("Sorgho ensilé",AlimentsRationHivernaleBisonsFemelles,3,FALSE),0)+(IF(QualitéAlimentsBisons=MOYENNE,VLOOKUP("Sorgho ensilé",AlimentsRationHivernaleBisonsMâles,2,FALSE),0)+(IF(QualitéAlimentsBisonnes=MOYENNE,VLOOKUP("Sorgho ensilé",AlimentsRationHivernaleBisonsFemelles,2,FALSE),0))))))))))))))))</f>
        <v>0</v>
      </c>
      <c r="BP142" s="351">
        <f t="array" ref="BP142">SUM((IF(QualitéAlimentsBisonneauxMâles_0_3_mois=MAUVAISE,VLOOKUP("Sorgho ensilé",AlimentsRationHivernaleBisonsMâles,8,FALSE),0)+(IF(QualitéAlimentsBisonneauxFemelles_0_3_mois=MAUVAISE,VLOOKUP("Sorgho ensilé",AlimentsRationHivernaleBisonsFemelles,8,FALSE),0)+(IF(QualitéAlimentsBisonneauxMâles_3_6_mois=MAUVAISE,VLOOKUP("Sorgho ensilé",AlimentsRationHivernaleBisonsMâles,7,FALSE),0)+(IF(QualitéAlimentsBisonneauxFemelles_3_6_mois=MAUVAISE,VLOOKUP("Sorgho ensilé",AlimentsRationHivernaleBisonsFemelles,7,FALSE),0)+(IF(QualitéAlimentsBisonneauxMâles_6_12_mois=MAUVAISE,VLOOKUP("Sorgho ensilé",AlimentsRationHivernaleBisonsMâles,6,FALSE),0)+(IF(QualitéAlimentsBisonneauxFemelles_6_12_mois=MAUVAISE,VLOOKUP("Sorgho ensilé",AlimentsRationHivernaleBisonsFemelles,6,FALSE),0)+(IF(QualitéAlimentsJeunesBisons_12_18_mois=MAUVAISE,VLOOKUP("Sorgho ensilé",AlimentsRationHivernaleBisonsMâles,5,FALSE),0)+(IF(QualitéAlimentsJeunesBisonnes_12_18_mois=MAUVAISE,VLOOKUP("Sorgho ensilé",AlimentsRationHivernaleBisonsFemelles,5,FALSE),0)+(IF(QualitéAlimentsJeunesBisons_18_24_mois=MAUVAISE,VLOOKUP("Sorgho ensilé",AlimentsRationHivernaleBisonsMâles,4,FALSE),0)+(IF(QualitéAlimentsJeunesBisonnes_18_24_mois=MAUVAISE,VLOOKUP("Sorgho ensilé",AlimentsRationHivernaleBisonsFemelles,4,FALSE),0)+(IF(QualitéAlimentsJeunesBisons_24_36_mois=MAUVAISE,VLOOKUP("Sorgho ensilé",AlimentsRationHivernaleBisonsMâles,3,FALSE),0)+(IF(QualitéAlimentsJeunesBisonnes_24_36_mois=MAUVAISE,VLOOKUP("Sorgho ensilé",AlimentsRationHivernaleBisonsFemelles,3,FALSE),0)+(IF(QualitéAlimentsBisons=MAUVAISE,VLOOKUP("Sorgho ensilé",AlimentsRationHivernaleBisonsMâles,2,FALSE),0)+(IF(QualitéAlimentsBisonnes=MAUVAISE,VLOOKUP("Sorgho ensilé",AlimentsRationHivernaleBisonsFemelles,2,FALSE),0))))))))))))))))</f>
        <v>0</v>
      </c>
      <c r="BQ142" s="282"/>
      <c r="BR142" s="282"/>
      <c r="BS142" s="282"/>
      <c r="BT142" s="282"/>
      <c r="BU142" s="282"/>
      <c r="BX142" s="338" t="s">
        <v>1155</v>
      </c>
      <c r="BY142" s="229" t="str">
        <f>IF(animaux!D89="","",animaux!D89)</f>
        <v/>
      </c>
      <c r="BZ142" s="229" t="str">
        <f>IF(animaux!D87="","",animaux!D87)</f>
        <v/>
      </c>
      <c r="CA142" s="229" t="str">
        <f>IF(animaux!D85="","",animaux!D85)</f>
        <v/>
      </c>
      <c r="CB142" s="337" t="str">
        <f>IF(animaux!D83="","",animaux!D83)</f>
        <v/>
      </c>
      <c r="CC142" s="337"/>
      <c r="CI142" s="277"/>
      <c r="CJ142" s="350" t="str">
        <f t="shared" si="45"/>
        <v>Bouchons luzerne</v>
      </c>
      <c r="CK142" s="351">
        <f t="array" ref="CK142">SUM((IF(QualitéAlimentsPorceletMâle_0_1_mois=BONNE,VLOOKUP("Bouchons luzerne",AlimentsRationPorcinsMâles[],6,FALSE),0)+(IF(QualitéAlimentsPorceletFemelle_0_1_mois=BONNE,VLOOKUP("Bouchons luzerne",AlimentsRationPorcinsFemelles[],6,FALSE),0)+(IF(QualitéAlimentsPorceletMâle_1_3_mois=BONNE,VLOOKUP("Bouchons luzerne",AlimentsRationPorcinsMâles[],5,FALSE),0)+(IF(QualitéAlimentsPorceletFemelle_1_3_mois=BONNE,VLOOKUP("Bouchons luzerne",AlimentsRationPorcinsFemelles[],5,FALSE),0)+(IF(QualitéAlimentsJeuneVerrat_3_6_mois=BONNE,VLOOKUP("Bouchons luzerne",AlimentsRationPorcinsMâles[],4,FALSE),0)+(IF(QualitéAlimentsJeuneTruie_3_6_mois=BONNE,VLOOKUP("Bouchons luzerne",AlimentsRationPorcinsFemelles[],4,FALSE),0)+(IF(QualitéAlimentsJeuneVerrat_6_12_mois=BONNE,VLOOKUP("Bouchons luzerne",AlimentsRationPorcinsMâles[],3,FALSE),0)+(IF(QualitéAlimentsJeuneTruie_6_12_mois=BONNE,VLOOKUP("Bouchons luzerne",AlimentsRationPorcinsFemelles[],3,FALSE),0)+(IF(QualitéAlimentsVerrat=BONNE,VLOOKUP("Avoine",AlimentsRationPorcinsMâles[],2,FALSE),0)+(IF(QualitéAlimentsTruie=BONNE,VLOOKUP("Avoine",AlimentsRationPorcinsFemelles[],2,FALSE),0))))))))))))</f>
        <v>0</v>
      </c>
      <c r="CL142" s="351">
        <f t="array" ref="CL142">SUM((IF(QualitéAlimentsPorceletMâle_0_1_mois=MOYENNE,VLOOKUP("Bouchons luzerne",AlimentsRationPorcinsMâles[],6,FALSE),0)+(IF(QualitéAlimentsPorceletFemelle_0_1_mois=MOYENNE,VLOOKUP("Bouchons luzerne",AlimentsRationPorcinsFemelles[],6,FALSE),0)+(IF(QualitéAlimentsPorceletMâle_1_3_mois=MOYENNE,VLOOKUP("Bouchons luzerne",AlimentsRationPorcinsMâles[],5,FALSE),0)+(IF(QualitéAlimentsPorceletFemelle_1_3_mois=MOYENNE,VLOOKUP("Bouchons luzerne",AlimentsRationPorcinsFemelles[],5,FALSE),0)+(IF(QualitéAlimentsJeuneVerrat_3_6_mois=MOYENNE,VLOOKUP("Bouchons luzerne",AlimentsRationPorcinsMâles[],4,FALSE),0)+(IF(QualitéAlimentsJeuneTruie_3_6_mois=MOYENNE,VLOOKUP("Bouchons luzerne",AlimentsRationPorcinsFemelles[],4,FALSE),0)+(IF(QualitéAlimentsJeuneVerrat_6_12_mois=MOYENNE,VLOOKUP("Bouchons luzerne",AlimentsRationPorcinsMâles[],3,FALSE),0)+(IF(QualitéAlimentsJeuneTruie_6_12_mois=MOYENNE,VLOOKUP("Bouchons luzerne",AlimentsRationPorcinsFemelles[],3,FALSE),0)+(IF(QualitéAlimentsVerrat=BONNE,VLOOKUP("Avoine",AlimentsRationPorcinsMâles[],2,FALSE),0)+(IF(QualitéAlimentsTruie=BONNE,VLOOKUP("Avoine",AlimentsRationPorcinsFemelles[],2,FALSE),0))))))))))))</f>
        <v>0</v>
      </c>
      <c r="CM142" s="351">
        <f t="array" ref="CM142">SUM((IF(QualitéAlimentsPorceletMâle_0_1_mois=MAUVAISE,VLOOKUP("Bouchons luzerne",AlimentsRationPorcinsMâles[],6,FALSE),0)+(IF(QualitéAlimentsPorceletFemelle_0_1_mois=MAUVAISE,VLOOKUP("Bouchons luzerne",AlimentsRationPorcinsFemelles[],6,FALSE),0)+(IF(QualitéAlimentsPorceletMâle_1_3_mois=MAUVAISE,VLOOKUP("Bouchons luzerne",AlimentsRationPorcinsMâles[],5,FALSE),0)+(IF(QualitéAlimentsPorceletFemelle_1_3_mois=MAUVAISE,VLOOKUP("Bouchons luzerne",AlimentsRationPorcinsFemelles[],5,FALSE),0)+(IF(QualitéAlimentsJeuneVerrat_3_6_mois=MAUVAISE,VLOOKUP("Bouchons luzerne",AlimentsRationPorcinsMâles[],4,FALSE),0)+(IF(QualitéAlimentsJeuneTruie_3_6_mois=MAUVAISE,VLOOKUP("Bouchons luzerne",AlimentsRationPorcinsFemelles[],4,FALSE),0)+(IF(QualitéAlimentsJeuneVerrat_6_12_mois=MAUVAISE,VLOOKUP("Bouchons luzerne",AlimentsRationPorcinsMâles[],3,FALSE),0)+(IF(QualitéAlimentsJeuneTruie_6_12_mois=MAUVAISE,VLOOKUP("Bouchons luzerne",AlimentsRationPorcinsFemelles[],3,FALSE),0)+(IF(QualitéAlimentsVerrat=BONNE,VLOOKUP("Avoine",AlimentsRationPorcinsMâles[],2,FALSE),0)+(IF(QualitéAlimentsTruie=BONNE,VLOOKUP("Avoine",AlimentsRationPorcinsFemelles[],2,FALSE),0))))))))))))</f>
        <v>0</v>
      </c>
      <c r="CN142" s="277"/>
      <c r="CO142" s="277"/>
      <c r="CP142" s="298"/>
      <c r="CS142" s="277"/>
      <c r="CT142" s="277"/>
      <c r="CU142" s="277"/>
      <c r="CV142" s="277"/>
      <c r="DG142" s="229" t="s">
        <v>1195</v>
      </c>
      <c r="DH142" s="229"/>
      <c r="DI142" s="229"/>
      <c r="DJ142" s="229"/>
      <c r="DN142" s="373" t="s">
        <v>843</v>
      </c>
      <c r="DO142" s="280" t="s">
        <v>70</v>
      </c>
      <c r="DP142" s="280" t="s">
        <v>887</v>
      </c>
      <c r="DQ142" s="280">
        <v>1.6</v>
      </c>
      <c r="DR142" s="280">
        <v>1.28</v>
      </c>
      <c r="DS142" s="280">
        <v>0.96</v>
      </c>
      <c r="DT142" s="363">
        <v>0.8</v>
      </c>
      <c r="EG142" s="420" t="s">
        <v>652</v>
      </c>
      <c r="EH142" s="408">
        <f>EH25*TotalOiesFemellesAdultes*SUM(Z76:Z100)</f>
        <v>0</v>
      </c>
      <c r="EN142" s="443" t="s">
        <v>960</v>
      </c>
      <c r="EO142" s="445">
        <f>EO25*SUM(TotalJeunesCanards)*SUM(Z76:Z100)</f>
        <v>0</v>
      </c>
      <c r="EU142" s="335" t="s">
        <v>1031</v>
      </c>
      <c r="EV142" s="343"/>
      <c r="EW142" s="343"/>
      <c r="EX142" s="343"/>
      <c r="EY142" s="335"/>
      <c r="EZ142" s="335"/>
      <c r="FD142" s="457" t="str">
        <f>FD54</f>
        <v>Avoine</v>
      </c>
      <c r="FE142" s="458">
        <f t="array" ref="FE142">IF(OR(ChoixRationHivernaleComplèteChevauxTrait=OUI,ChoixRationHivernaleComplèteChevauxTrait="",ChoixChevauxTraitPréHiver=NON),0,IFERROR(IF(OR(AND(INDEX(Règles_chevaux_trait[Specificite],MATCH(RationHivernaleAuPréChevauxTrait&amp;$FD142,Règles_chevaux_trait[Ration]&amp;Règles_chevaux_trait[Aliment],0))="s1",IF($FD142=Spécificité1ChevauxTrait,1)),
AND(INDEX(Règles_chevaux_trait[Specificite],MATCH(RationHivernaleAuPréChevauxTrait&amp;$FD142,Règles_chevaux_trait[Ration]&amp;Règles_chevaux_trait[Aliment],0))="s2",IF($FD142=Spécificité2ChevauxTrait,1)),
INDEX(Règles_chevaux_trait[Specificite],MATCH(RationHivernaleAuPréChevauxTrait&amp;$FD142,Règles_chevaux_trait[Ration]&amp;Règles_chevaux_trait[Aliment],0))="c"),
INDEX(Règles_chevaux_trait[Valeur 36 et plus],MATCH(RationHivernaleAuPréChevauxTrait&amp;$FD142,Règles_chevaux_trait[Ration]&amp;Règles_chevaux_trait[Aliment],0)),0),0)*SUM(TotalChevauxTraitAdultes)*21)</f>
        <v>0</v>
      </c>
      <c r="FF142" s="458">
        <f t="array" ref="FF142">IF(OR(ChoixRationHivernaleComplèteChevauxTrait=OUI,ChoixRationHivernaleComplèteChevauxTrait="",ChoixChevauxTraitPréHiver=NON),0,IFERROR(IF(OR(AND(INDEX(Règles_chevaux_trait[Specificite],MATCH(RationHivernaleAuPréChevauxTrait&amp;$FD142,Règles_chevaux_trait[Ration]&amp;Règles_chevaux_trait[Aliment],0))="s1",IF($FD142=Spécificité1ChevauxTrait,1)),
AND(INDEX(Règles_chevaux_trait[Specificite],MATCH(RationHivernaleAuPréChevauxTrait&amp;$FD142,Règles_chevaux_trait[Ration]&amp;Règles_chevaux_trait[Aliment],0))="s2",IF($FD142=Spécificité2ChevauxTrait,1)),
INDEX(Règles_chevaux_trait[Specificite],MATCH(RationHivernaleAuPréChevauxTrait&amp;$FD142,Règles_chevaux_trait[Ration]&amp;Règles_chevaux_trait[Aliment],0))="c"),
INDEX(Règles_chevaux_trait[Valeur 24-36],MATCH(RationHivernaleAuPréChevauxTrait&amp;$FD142,Règles_chevaux_trait[Ration]&amp;Règles_chevaux_trait[Aliment],0)),0),0)*SUM(TotalChevauxTrait_24_36mois)*21)</f>
        <v>0</v>
      </c>
      <c r="FG142" s="458">
        <f t="array" ref="FG142">IF(OR(ChoixRationHivernaleComplèteChevauxTrait=OUI,ChoixRationHivernaleComplèteChevauxTrait="",ChoixChevauxTraitPréHiver=NON),0,IFERROR(IF(OR(AND(INDEX(Règles_chevaux_trait[Specificite],MATCH(RationHivernaleAuPréChevauxTrait&amp;$FD142,Règles_chevaux_trait[Ration]&amp;Règles_chevaux_trait[Aliment],0))="s1",IF($FD142=Spécificité1ChevauxTrait,1)),
AND(INDEX(Règles_chevaux_trait[Specificite],MATCH(RationHivernaleAuPréChevauxTrait&amp;$FD142,Règles_chevaux_trait[Ration]&amp;Règles_chevaux_trait[Aliment],0))="s2",IF($FD142=Spécificité2ChevauxTrait,1)),
INDEX(Règles_chevaux_trait[Specificite],MATCH(RationHivernaleAuPréChevauxTrait&amp;$FD142,Règles_chevaux_trait[Ration]&amp;Règles_chevaux_trait[Aliment],0))="c"),
INDEX(Règles_chevaux_trait[Valeur 12-24],MATCH(RationHivernaleAuPréChevauxTrait&amp;$FD142,Règles_chevaux_trait[Ration]&amp;Règles_chevaux_trait[Aliment],0)),0),0)*SUM(TotalChevauxTrait_12_24mois)*21)</f>
        <v>0</v>
      </c>
      <c r="FH142" s="458">
        <f t="array" ref="FH142">IF(OR(ChoixRationHivernaleComplèteChevauxTrait=OUI,ChoixRationHivernaleComplèteChevauxTrait="",ChoixChevauxTraitPréHiver=NON),0,IFERROR(IF(OR(AND(INDEX(Règles_chevaux_trait[Specificite],MATCH(RationHivernaleAuPréChevauxTrait&amp;$FD142,Règles_chevaux_trait[Ration]&amp;Règles_chevaux_trait[Aliment],0))="s1",IF($FD142=Spécificité1ChevauxTrait,1)),
AND(INDEX(Règles_chevaux_trait[Specificite],MATCH(RationHivernaleAuPréChevauxTrait&amp;$FD142,Règles_chevaux_trait[Ration]&amp;Règles_chevaux_trait[Aliment],0))="s2",IF($FD142=Spécificité2ChevauxTrait,1)),
INDEX(Règles_chevaux_trait[Specificite],MATCH(RationHivernaleAuPréChevauxTrait&amp;$FD142,Règles_chevaux_trait[Ration]&amp;Règles_chevaux_trait[Aliment],0))="c"),
INDEX(Règles_chevaux_trait[Valeur 0-12],MATCH(RationHivernaleAuPréChevauxTrait&amp;$FD142,Règles_chevaux_trait[Ration]&amp;Règles_chevaux_trait[Aliment],0)),0),0)*SUM(TotalPoulainsTrait)*21)</f>
        <v>0</v>
      </c>
      <c r="FI142" s="460">
        <f t="shared" ref="FI142:FI180" si="47">SUM($FE142:$FH142)</f>
        <v>0</v>
      </c>
      <c r="FJ142" s="298"/>
      <c r="FN142" s="457" t="str">
        <f t="shared" ref="FN142:FN179" si="48">FN54</f>
        <v>Betterave</v>
      </c>
      <c r="FO142" s="458">
        <f t="array" ref="FO142">IF(OR(ChoixRationHivernaleComplètePoneys=OUI,ChoixRationHivernaleComplètePoneys="",ChoixPoneysPréHiver=NON),0,IFERROR(IF(OR(AND(INDEX(Règles_poneys[Specificite],MATCH(RationHivernaleAuPréPoneys&amp;$FN142,Règles_poneys[Ration]&amp;Règles_poneys[Aliment],0))="s1",IF($FN142=Spécificité1Poneys,1)),
AND(INDEX(Règles_poneys[Specificite],MATCH(RationHivernaleAuPréPoneys&amp;$FN142,Règles_poneys[Ration]&amp;Règles_poneys[Aliment],0))="s2",IF($FN142=Spécificité2Poneys,1)),
INDEX(Règles_poneys[Specificite],MATCH(RationHivernaleAuPréPoneys&amp;$FN142,Règles_poneys[Ration]&amp;Règles_poneys[Aliment],0))="c"),
INDEX(Règles_poneys[Valeur 36 et plus],MATCH(RationHivernaleAuPréPoneys&amp;$FN142,Règles_poneys[Ration]&amp;Règles_poneys[Aliment],0)),0),0)*SUM(TotalPoneysAdultes)*21)</f>
        <v>0</v>
      </c>
      <c r="FP142" s="458">
        <f t="array" ref="FP142">IF(OR(ChoixRationHivernaleComplètePoneys=OUI,ChoixRationHivernaleComplètePoneys="",ChoixPoneysPréHiver=NON),0,IFERROR(IF(OR(AND(INDEX(Règles_poneys[Specificite],MATCH(RationHivernaleAuPréPoneys&amp;$FN142,Règles_poneys[Ration]&amp;Règles_poneys[Aliment],0))="s1",IF($FN142=Spécificité1Poneys,1)),
AND(INDEX(Règles_poneys[Specificite],MATCH(RationHivernaleAuPréPoneys&amp;$FN142,Règles_poneys[Ration]&amp;Règles_poneys[Aliment],0))="s2",IF($FN142=Spécificité2Poneys,1)),
INDEX(Règles_poneys[Specificite],MATCH(RationHivernaleAuPréPoneys&amp;$FN142,Règles_poneys[Ration]&amp;Règles_poneys[Aliment],0))="c"),
INDEX(Règles_poneys[Valeur 24-36],MATCH(RationHivernaleAuPréPoneys&amp;$FN142,Règles_poneys[Ration]&amp;Règles_poneys[Aliment],0)),0),0)*SUM(TotalPoneys_24_36mois)*21)</f>
        <v>0</v>
      </c>
      <c r="FQ142" s="458">
        <f t="array" ref="FQ142">IF(OR(ChoixRationHivernaleComplètePoneys=OUI,ChoixRationHivernaleComplètePoneys="",ChoixPoneysPréHiver=NON),0,IFERROR(IF(OR(AND(INDEX(Règles_poneys[Specificite],MATCH(RationHivernaleAuPréPoneys&amp;$FN142,Règles_poneys[Ration]&amp;Règles_poneys[Aliment],0))="s1",IF($FN142=Spécificité1Poneys,1)),
AND(INDEX(Règles_poneys[Specificite],MATCH(RationHivernaleAuPréPoneys&amp;$FN142,Règles_poneys[Ration]&amp;Règles_poneys[Aliment],0))="s2",IF($FN142=Spécificité2Poneys,1)),
INDEX(Règles_poneys[Specificite],MATCH(RationHivernaleAuPréPoneys&amp;$FN142,Règles_poneys[Ration]&amp;Règles_poneys[Aliment],0))="c"),
INDEX(Règles_poneys[Valeur 12-24],MATCH(RationHivernaleAuPréPoneys&amp;$FN142,Règles_poneys[Ration]&amp;Règles_poneys[Aliment],0)),0),0)*SUM(TotalPoneys_12_24mois)*21)</f>
        <v>0</v>
      </c>
      <c r="FR142" s="460">
        <f t="array" ref="FR142">IF(OR(ChoixRationHivernaleComplètePoneys=OUI,ChoixRationHivernaleComplètePoneys="",ChoixPoneysPréHiver=NON),0,IFERROR(IF(OR(AND(INDEX(Règles_poneys[Specificite],MATCH(RationHivernaleAuPréPoneys&amp;$FN142,Règles_poneys[Ration]&amp;Règles_poneys[Aliment],0))="s1",IF($FN142=Spécificité1Poneys,1)),
AND(INDEX(Règles_poneys[Specificite],MATCH(RationHivernaleAuPréPoneys&amp;$FN142,Règles_poneys[Ration]&amp;Règles_poneys[Aliment],0))="s2",IF($FN142=Spécificité2Poneys,1)),
INDEX(Règles_poneys[Specificite],MATCH(RationHivernaleAuPréPoneys&amp;$FN142,Règles_poneys[Ration]&amp;Règles_poneys[Aliment],0))="c"),
INDEX(Règles_poneys[Valeur 0-12],MATCH(RationHivernaleAuPréPoneys&amp;$FN142,Règles_poneys[Ration]&amp;Règles_poneys[Aliment],0)),0),0)*SUM(TotalPoulainsPoneys)*21)</f>
        <v>0</v>
      </c>
      <c r="FS142" s="460">
        <f t="shared" si="46"/>
        <v>0</v>
      </c>
      <c r="FT142" s="298"/>
      <c r="FW142" s="457" t="str">
        <f t="shared" si="44"/>
        <v>Colza</v>
      </c>
      <c r="FX142" s="458">
        <f t="array" ref="FX142">SUM((IF(QualitéAlimentsGavageOison_0_1_mois=BONNE,VLOOKUP("Colza",AlimentsGavageOie,5,FALSE),0)+(IF(QualitéAlimentsGavageCaneton_0_1_mois=BONNE,VLOOKUP("Colza",AlimentsGavageCanard,5,FALSE),0)+(IF(QualitéAlimentsGavageOison_1_2_mois=BONNE,VLOOKUP("Colza",AlimentsGavageOie,4,FALSE),0)+(IF(QualitéAlimentsGavageCaneton_1_2_mois=BONNE,VLOOKUP("Colza",AlimentsGavageCanard,4,FALSE),0)+(IF(QualitéAlimentsGavageOison_2_3_mois=BONNE,VLOOKUP("Colza",AlimentsGavageOie,3,FALSE),0)+(IF(QualitéAlimentsGavageCaneton_2_3_mois=BONNE,VLOOKUP("Colza",AlimentsGavageCanard,3,FALSE),0)+(IF(QualitéAlimentsGavageJeunesOies=BONNE,VLOOKUP("Colza",AlimentsGavageOie,2,FALSE),0)+(IF(QualitéAlimentsGavageJeuneCanard=BONNE,VLOOKUP("Colza",AlimentsGavageCanard,2,FALSE),0))))))))))</f>
        <v>0</v>
      </c>
      <c r="FY142" s="458">
        <f t="array" ref="FY142">SUM((IF(QualitéAlimentsGavageOison_0_1_mois=MOYENNE,VLOOKUP("Colza",AlimentsGavageOie,5,FALSE),0)+(IF(QualitéAlimentsGavageCaneton_0_1_mois=MOYENNE,VLOOKUP("Colza",AlimentsGavageCanard,5,FALSE),0)+(IF(QualitéAlimentsGavageOison_1_2_mois=MOYENNE,VLOOKUP("Colza",AlimentsGavageOie,4,FALSE),0)+(IF(QualitéAlimentsGavageCaneton_1_2_mois=MOYENNE,VLOOKUP("Colza",AlimentsGavageCanard,4,FALSE),0)+(IF(QualitéAlimentsGavageOison_2_3_mois=MOYENNE,VLOOKUP("Colza",AlimentsGavageOie,3,FALSE),0)+(IF(QualitéAlimentsGavageCaneton_2_3_mois=MOYENNE,VLOOKUP("Colza",AlimentsGavageCanard,3,FALSE),0)+(IF(QualitéAlimentsGavageJeunesOies=MOYENNE,VLOOKUP("Colza",AlimentsGavageOie,2,FALSE),0)+(IF(QualitéAlimentsGavageJeuneCanard=MOYENNE,VLOOKUP("Colza",AlimentsGavageCanard,2,FALSE),0))))))))))</f>
        <v>0</v>
      </c>
      <c r="FZ142" s="458">
        <f t="array" ref="FZ142">SUM((IF(QualitéAlimentsGavageOison_0_1_mois=MAUVAISE,VLOOKUP("Colza",AlimentsGavageOie,5,FALSE),0)+(IF(QualitéAlimentsGavageCaneton_0_1_mois=MAUVAISE,VLOOKUP("Colza",AlimentsGavageCanard,5,FALSE),0)+(IF(QualitéAlimentsGavageOison_1_2_mois=MAUVAISE,VLOOKUP("Colza",AlimentsGavageOie,4,FALSE),0)+(IF(QualitéAlimentsGavageCaneton_1_2_mois=MAUVAISE,VLOOKUP("Colza",AlimentsGavageCanard,4,FALSE),0)+(IF(QualitéAlimentsGavageOison_2_3_mois=MAUVAISE,VLOOKUP("Colza",AlimentsGavageOie,3,FALSE),0)+(IF(QualitéAlimentsGavageCaneton_2_3_mois=MAUVAISE,VLOOKUP("Colza",AlimentsGavageCanard,3,FALSE),0)+(IF(QualitéAlimentsGavageJeunesOies=MAUVAISE,VLOOKUP("Colza",AlimentsGavageOie,2,FALSE),0)+(IF(QualitéAlimentsGavageJeuneCanard=MAUVAISE,VLOOKUP("Colza",AlimentsGavageCanard,2,FALSE),0))))))))))</f>
        <v>0</v>
      </c>
      <c r="GB142" s="281"/>
      <c r="GG142" s="276" t="s">
        <v>955</v>
      </c>
      <c r="GH142" s="276" t="s">
        <v>955</v>
      </c>
      <c r="GI142" s="276" t="s">
        <v>955</v>
      </c>
      <c r="GJ142" s="276" t="s">
        <v>955</v>
      </c>
      <c r="GK142" s="276" t="s">
        <v>955</v>
      </c>
      <c r="GL142" s="276" t="s">
        <v>955</v>
      </c>
      <c r="GM142" s="276" t="s">
        <v>955</v>
      </c>
      <c r="GN142" s="276" t="s">
        <v>955</v>
      </c>
      <c r="GO142" s="276" t="s">
        <v>955</v>
      </c>
      <c r="GP142" s="276" t="s">
        <v>955</v>
      </c>
      <c r="GQ142" s="276" t="s">
        <v>955</v>
      </c>
      <c r="GR142" s="276" t="s">
        <v>955</v>
      </c>
      <c r="GS142" s="276" t="s">
        <v>955</v>
      </c>
      <c r="GT142" s="276" t="s">
        <v>955</v>
      </c>
      <c r="GU142" s="276" t="s">
        <v>955</v>
      </c>
      <c r="GV142" s="276" t="s">
        <v>955</v>
      </c>
    </row>
    <row r="143" spans="1:204" ht="12.75" customHeight="1" x14ac:dyDescent="0.2">
      <c r="A143" s="373"/>
      <c r="B143" s="382"/>
      <c r="BB143" s="387" t="s">
        <v>517</v>
      </c>
      <c r="BC143" s="362" t="s">
        <v>905</v>
      </c>
      <c r="BD143" s="362" t="s">
        <v>886</v>
      </c>
      <c r="BE143" s="388">
        <v>1</v>
      </c>
      <c r="BF143" s="388">
        <v>0.8</v>
      </c>
      <c r="BG143" s="388">
        <v>0.6</v>
      </c>
      <c r="BH143" s="388">
        <v>0.4</v>
      </c>
      <c r="BI143" s="388">
        <v>0.4</v>
      </c>
      <c r="BJ143" s="388">
        <v>0.4</v>
      </c>
      <c r="BK143" s="389">
        <v>0</v>
      </c>
      <c r="BL143" s="312"/>
      <c r="BM143" s="350" t="str">
        <f t="shared" si="43"/>
        <v>Tournesol</v>
      </c>
      <c r="BN143" s="351">
        <f t="array" ref="BN143">SUM((IF(QualitéAlimentsBisonneauxMâles_0_3_mois=BONNE,VLOOKUP("Tournesol",AlimentsRationHivernaleBisonsMâles,8,FALSE),0)+(IF(QualitéAlimentsBisonneauxFemelles_0_3_mois=BONNE,VLOOKUP("Tournesol",AlimentsRationHivernaleBisonsFemelles,8,FALSE),0)+(IF(QualitéAlimentsBisonneauxMâles_3_6_mois=BONNE,VLOOKUP("Tournesol",AlimentsRationHivernaleBisonsMâles,7,FALSE),0)+(IF(QualitéAlimentsBisonneauxFemelles_3_6_mois=BONNE,VLOOKUP("Tournesol",AlimentsRationHivernaleBisonsFemelles,7,FALSE),0)+(IF(QualitéAlimentsBisonneauxMâles_6_12_mois=BONNE,VLOOKUP("Tournesol",AlimentsRationHivernaleBisonsMâles,6,FALSE),0)+(IF(QualitéAlimentsBisonneauxFemelles_6_12_mois=BONNE,VLOOKUP("Tournesol",AlimentsRationHivernaleBisonsFemelles,6,FALSE),0)+(IF(QualitéAlimentsJeunesBisons_12_18_mois=BONNE,VLOOKUP("Tournesol",AlimentsRationHivernaleBisonsMâles,5,FALSE),0)+(IF(QualitéAlimentsJeunesBisonnes_12_18_mois=BONNE,VLOOKUP("Tournesol",AlimentsRationHivernaleBisonsFemelles,5,FALSE),0)+(IF(QualitéAlimentsJeunesBisons_18_24_mois=BONNE,VLOOKUP("Tournesol",AlimentsRationHivernaleBisonsMâles,4,FALSE),0)+(IF(QualitéAlimentsJeunesBisonnes_18_24_mois=BONNE,VLOOKUP("Tournesol",AlimentsRationHivernaleBisonsFemelles,4,FALSE),0)+(IF(QualitéAlimentsJeunesBisons_24_36_mois=BONNE,VLOOKUP("Tournesol",AlimentsRationHivernaleBisonsMâles,3,FALSE),0)+(IF(QualitéAlimentsJeunesBisonnes_24_36_mois=BONNE,VLOOKUP("Tournesol",AlimentsRationHivernaleBisonsFemelles,3,FALSE),0)+(IF(QualitéAlimentsBisons=BONNE,VLOOKUP("Tournesol",AlimentsRationHivernaleBisonsMâles,2,FALSE),0)+(IF(QualitéAlimentsBisonnes=BONNE,VLOOKUP("Tournesol",AlimentsRationHivernaleBisonsFemelles,2,FALSE),0))))))))))))))))</f>
        <v>0</v>
      </c>
      <c r="BO143" s="351">
        <f t="array" ref="BO143">SUM((IF(QualitéAlimentsBisonneauxMâles_0_3_mois=MOYENNE,VLOOKUP("Tournesol",AlimentsRationHivernaleBisonsMâles,8,FALSE),0)+(IF(QualitéAlimentsBisonneauxFemelles_0_3_mois=MOYENNE,VLOOKUP("Tournesol",AlimentsRationHivernaleBisonsFemelles,8,FALSE),0)+(IF(QualitéAlimentsBisonneauxMâles_3_6_mois=MOYENNE,VLOOKUP("Tournesol",AlimentsRationHivernaleBisonsMâles,7,FALSE),0)+(IF(QualitéAlimentsBisonneauxFemelles_3_6_mois=MOYENNE,VLOOKUP("Tournesol",AlimentsRationHivernaleBisonsFemelles,7,FALSE),0)+(IF(QualitéAlimentsBisonneauxMâles_6_12_mois=MOYENNE,VLOOKUP("Tournesol",AlimentsRationHivernaleBisonsMâles,6,FALSE),0)+(IF(QualitéAlimentsBisonneauxFemelles_6_12_mois=MOYENNE,VLOOKUP("Tournesol",AlimentsRationHivernaleBisonsFemelles,6,FALSE),0)+(IF(QualitéAlimentsJeunesBisons_12_18_mois=MOYENNE,VLOOKUP("Tournesol",AlimentsRationHivernaleBisonsMâles,5,FALSE),0)+(IF(QualitéAlimentsJeunesBisonnes_12_18_mois=MOYENNE,VLOOKUP("Tournesol",AlimentsRationHivernaleBisonsFemelles,5,FALSE),0)+(IF(QualitéAlimentsJeunesBisons_18_24_mois=MOYENNE,VLOOKUP("Tournesol",AlimentsRationHivernaleBisonsMâles,4,FALSE),0)+(IF(QualitéAlimentsJeunesBisonnes_18_24_mois=MOYENNE,VLOOKUP("Tournesol",AlimentsRationHivernaleBisonsFemelles,4,FALSE),0)+(IF(QualitéAlimentsJeunesBisons_24_36_mois=MOYENNE,VLOOKUP("Tournesol",AlimentsRationHivernaleBisonsMâles,3,FALSE),0)+(IF(QualitéAlimentsJeunesBisonnes_24_36_mois=MOYENNE,VLOOKUP("Tournesol",AlimentsRationHivernaleBisonsFemelles,3,FALSE),0)+(IF(QualitéAlimentsBisons=MOYENNE,VLOOKUP("Tournesol",AlimentsRationHivernaleBisonsMâles,2,FALSE),0)+(IF(QualitéAlimentsBisonnes=MOYENNE,VLOOKUP("Tournesol",AlimentsRationHivernaleBisonsFemelles,2,FALSE),0))))))))))))))))</f>
        <v>0</v>
      </c>
      <c r="BP143" s="351">
        <f t="array" ref="BP143">SUM((IF(QualitéAlimentsBisonneauxMâles_0_3_mois=MAUVAISE,VLOOKUP("Tournesol",AlimentsRationHivernaleBisonsMâles,8,FALSE),0)+(IF(QualitéAlimentsBisonneauxFemelles_0_3_mois=MAUVAISE,VLOOKUP("Tournesol",AlimentsRationHivernaleBisonsFemelles,8,FALSE),0)+(IF(QualitéAlimentsBisonneauxMâles_3_6_mois=MAUVAISE,VLOOKUP("Tournesol",AlimentsRationHivernaleBisonsMâles,7,FALSE),0)+(IF(QualitéAlimentsBisonneauxFemelles_3_6_mois=MAUVAISE,VLOOKUP("Tournesol",AlimentsRationHivernaleBisonsFemelles,7,FALSE),0)+(IF(QualitéAlimentsBisonneauxMâles_6_12_mois=MAUVAISE,VLOOKUP("Tournesol",AlimentsRationHivernaleBisonsMâles,6,FALSE),0)+(IF(QualitéAlimentsBisonneauxFemelles_6_12_mois=MAUVAISE,VLOOKUP("Tournesol",AlimentsRationHivernaleBisonsFemelles,6,FALSE),0)+(IF(QualitéAlimentsJeunesBisons_12_18_mois=MAUVAISE,VLOOKUP("Tournesol",AlimentsRationHivernaleBisonsMâles,5,FALSE),0)+(IF(QualitéAlimentsJeunesBisonnes_12_18_mois=MAUVAISE,VLOOKUP("Tournesol",AlimentsRationHivernaleBisonsFemelles,5,FALSE),0)+(IF(QualitéAlimentsJeunesBisons_18_24_mois=MAUVAISE,VLOOKUP("Tournesol",AlimentsRationHivernaleBisonsMâles,4,FALSE),0)+(IF(QualitéAlimentsJeunesBisonnes_18_24_mois=MAUVAISE,VLOOKUP("Tournesol",AlimentsRationHivernaleBisonsFemelles,4,FALSE),0)+(IF(QualitéAlimentsJeunesBisons_24_36_mois=MAUVAISE,VLOOKUP("Tournesol",AlimentsRationHivernaleBisonsMâles,3,FALSE),0)+(IF(QualitéAlimentsJeunesBisonnes_24_36_mois=MAUVAISE,VLOOKUP("Tournesol",AlimentsRationHivernaleBisonsFemelles,3,FALSE),0)+(IF(QualitéAlimentsBisons=MAUVAISE,VLOOKUP("Tournesol",AlimentsRationHivernaleBisonsMâles,2,FALSE),0)+(IF(QualitéAlimentsBisonnes=MAUVAISE,VLOOKUP("Tournesol",AlimentsRationHivernaleBisonsFemelles,2,FALSE),0))))))))))))))))</f>
        <v>0</v>
      </c>
      <c r="BQ143" s="282"/>
      <c r="BR143" s="282"/>
      <c r="BS143" s="282"/>
      <c r="BT143" s="282"/>
      <c r="BU143" s="282"/>
      <c r="BX143" s="354" t="s">
        <v>910</v>
      </c>
      <c r="BY143" s="349" t="s">
        <v>914</v>
      </c>
      <c r="BZ143" s="349" t="s">
        <v>891</v>
      </c>
      <c r="CA143" s="349" t="s">
        <v>890</v>
      </c>
      <c r="CB143" s="349" t="s">
        <v>889</v>
      </c>
      <c r="CC143" s="349" t="s">
        <v>903</v>
      </c>
      <c r="CI143" s="277"/>
      <c r="CJ143" s="350" t="str">
        <f t="shared" si="45"/>
        <v>Chanvre</v>
      </c>
      <c r="CK143" s="351">
        <f t="array" ref="CK143">SUM((IF(QualitéAlimentsPorceletMâle_0_1_mois=BONNE,VLOOKUP("Chanvre",AlimentsRationPorcinsMâles[],6,FALSE),0)+(IF(QualitéAlimentsPorceletFemelle_0_1_mois=BONNE,VLOOKUP("Chanvre",AlimentsRationPorcinsFemelles[],6,FALSE),0)+(IF(QualitéAlimentsPorceletMâle_1_3_mois=BONNE,VLOOKUP("Chanvre",AlimentsRationPorcinsMâles[],5,FALSE),0)+(IF(QualitéAlimentsPorceletFemelle_1_3_mois=BONNE,VLOOKUP("Chanvre",AlimentsRationPorcinsFemelles[],5,FALSE),0)+(IF(QualitéAlimentsJeuneVerrat_3_6_mois=BONNE,VLOOKUP("Chanvre",AlimentsRationPorcinsMâles[],4,FALSE),0)+(IF(QualitéAlimentsJeuneTruie_3_6_mois=BONNE,VLOOKUP("Chanvre",AlimentsRationPorcinsFemelles[],4,FALSE),0)+(IF(QualitéAlimentsJeuneVerrat_6_12_mois=BONNE,VLOOKUP("Chanvre",AlimentsRationPorcinsMâles[],3,FALSE),0)+(IF(QualitéAlimentsJeuneTruie_6_12_mois=BONNE,VLOOKUP("Chanvre",AlimentsRationPorcinsFemelles[],3,FALSE),0)+(IF(QualitéAlimentsVerrat=BONNE,VLOOKUP("Avoine",AlimentsRationPorcinsMâles[],2,FALSE),0)+(IF(QualitéAlimentsTruie=BONNE,VLOOKUP("Avoine",AlimentsRationPorcinsFemelles[],2,FALSE),0))))))))))))</f>
        <v>0</v>
      </c>
      <c r="CL143" s="351">
        <f t="array" ref="CL143">SUM((IF(QualitéAlimentsPorceletMâle_0_1_mois=MOYENNE,VLOOKUP("Chanvre",AlimentsRationPorcinsMâles[],6,FALSE),0)+(IF(QualitéAlimentsPorceletFemelle_0_1_mois=MOYENNE,VLOOKUP("Chanvre",AlimentsRationPorcinsFemelles[],6,FALSE),0)+(IF(QualitéAlimentsPorceletMâle_1_3_mois=MOYENNE,VLOOKUP("Chanvre",AlimentsRationPorcinsMâles[],5,FALSE),0)+(IF(QualitéAlimentsPorceletFemelle_1_3_mois=MOYENNE,VLOOKUP("Chanvre",AlimentsRationPorcinsFemelles[],5,FALSE),0)+(IF(QualitéAlimentsJeuneVerrat_3_6_mois=MOYENNE,VLOOKUP("Chanvre",AlimentsRationPorcinsMâles[],4,FALSE),0)+(IF(QualitéAlimentsJeuneTruie_3_6_mois=MOYENNE,VLOOKUP("Chanvre",AlimentsRationPorcinsFemelles[],4,FALSE),0)+(IF(QualitéAlimentsJeuneVerrat_6_12_mois=MOYENNE,VLOOKUP("Chanvre",AlimentsRationPorcinsMâles[],3,FALSE),0)+(IF(QualitéAlimentsJeuneTruie_6_12_mois=MOYENNE,VLOOKUP("Chanvre",AlimentsRationPorcinsFemelles[],3,FALSE),0)+(IF(QualitéAlimentsVerrat=BONNE,VLOOKUP("Avoine",AlimentsRationPorcinsMâles[],2,FALSE),0)+(IF(QualitéAlimentsTruie=BONNE,VLOOKUP("Avoine",AlimentsRationPorcinsFemelles[],2,FALSE),0))))))))))))</f>
        <v>0</v>
      </c>
      <c r="CM143" s="351">
        <f t="array" ref="CM143">SUM((IF(QualitéAlimentsPorceletMâle_0_1_mois=MAUVAISE,VLOOKUP("Chanvre",AlimentsRationPorcinsMâles[],6,FALSE),0)+(IF(QualitéAlimentsPorceletFemelle_0_1_mois=MAUVAISE,VLOOKUP("Chanvre",AlimentsRationPorcinsFemelles[],6,FALSE),0)+(IF(QualitéAlimentsPorceletMâle_1_3_mois=MAUVAISE,VLOOKUP("Chanvre",AlimentsRationPorcinsMâles[],5,FALSE),0)+(IF(QualitéAlimentsPorceletFemelle_1_3_mois=MAUVAISE,VLOOKUP("Chanvre",AlimentsRationPorcinsFemelles[],5,FALSE),0)+(IF(QualitéAlimentsJeuneVerrat_3_6_mois=MAUVAISE,VLOOKUP("Chanvre",AlimentsRationPorcinsMâles[],4,FALSE),0)+(IF(QualitéAlimentsJeuneTruie_3_6_mois=MAUVAISE,VLOOKUP("Chanvre",AlimentsRationPorcinsFemelles[],4,FALSE),0)+(IF(QualitéAlimentsJeuneVerrat_6_12_mois=MAUVAISE,VLOOKUP("Chanvre",AlimentsRationPorcinsMâles[],3,FALSE),0)+(IF(QualitéAlimentsJeuneTruie_6_12_mois=MAUVAISE,VLOOKUP("Chanvre",AlimentsRationPorcinsFemelles[],3,FALSE),0)+(IF(QualitéAlimentsVerrat=BONNE,VLOOKUP("Avoine",AlimentsRationPorcinsMâles[],2,FALSE),0)+(IF(QualitéAlimentsTruie=BONNE,VLOOKUP("Avoine",AlimentsRationPorcinsFemelles[],2,FALSE),0))))))))))))</f>
        <v>0</v>
      </c>
      <c r="CN143" s="277"/>
      <c r="CO143" s="277"/>
      <c r="CP143" s="298"/>
      <c r="CS143" s="277"/>
      <c r="CT143" s="277"/>
      <c r="CU143" s="277"/>
      <c r="CV143" s="277"/>
      <c r="CZ143" s="347" t="s">
        <v>1019</v>
      </c>
      <c r="DA143" s="229"/>
      <c r="DG143" s="349" t="s">
        <v>910</v>
      </c>
      <c r="DH143" s="353" t="s">
        <v>1192</v>
      </c>
      <c r="DI143" s="353" t="s">
        <v>1193</v>
      </c>
      <c r="DJ143" s="353" t="s">
        <v>1194</v>
      </c>
      <c r="DN143" s="373" t="s">
        <v>843</v>
      </c>
      <c r="DO143" s="280" t="s">
        <v>907</v>
      </c>
      <c r="DP143" s="280" t="s">
        <v>886</v>
      </c>
      <c r="DQ143" s="280">
        <v>0.6</v>
      </c>
      <c r="DR143" s="280">
        <v>0.48</v>
      </c>
      <c r="DS143" s="280">
        <v>0.36</v>
      </c>
      <c r="DT143" s="363">
        <v>0.3</v>
      </c>
      <c r="EG143" s="420" t="s">
        <v>653</v>
      </c>
      <c r="EH143" s="408">
        <f>EH26*SUM(TotalJeunesOies)*SUM(Z76:Z100)</f>
        <v>0</v>
      </c>
      <c r="EN143" s="443" t="s">
        <v>961</v>
      </c>
      <c r="EO143" s="445"/>
      <c r="EU143" s="394" t="s">
        <v>910</v>
      </c>
      <c r="EV143" s="395" t="s">
        <v>895</v>
      </c>
      <c r="EW143" s="395" t="s">
        <v>894</v>
      </c>
      <c r="EX143" s="395" t="s">
        <v>938</v>
      </c>
      <c r="EY143" s="449" t="s">
        <v>937</v>
      </c>
      <c r="EZ143" s="396" t="s">
        <v>903</v>
      </c>
      <c r="FD143" s="457" t="str">
        <f t="shared" ref="FD143:FD180" si="49">FD55</f>
        <v>Betterave</v>
      </c>
      <c r="FE143" s="458">
        <f t="array" ref="FE143">IF(OR(ChoixRationHivernaleComplèteChevauxTrait=OUI,ChoixRationHivernaleComplèteChevauxTrait="",ChoixChevauxTraitPréHiver=NON),0,IFERROR(IF(OR(AND(INDEX(Règles_chevaux_trait[Specificite],MATCH(RationHivernaleAuPréChevauxTrait&amp;$FD143,Règles_chevaux_trait[Ration]&amp;Règles_chevaux_trait[Aliment],0))="s1",IF($FD143=Spécificité1ChevauxTrait,1)),
AND(INDEX(Règles_chevaux_trait[Specificite],MATCH(RationHivernaleAuPréChevauxTrait&amp;$FD143,Règles_chevaux_trait[Ration]&amp;Règles_chevaux_trait[Aliment],0))="s2",IF($FD143=Spécificité2ChevauxTrait,1)),
INDEX(Règles_chevaux_trait[Specificite],MATCH(RationHivernaleAuPréChevauxTrait&amp;$FD143,Règles_chevaux_trait[Ration]&amp;Règles_chevaux_trait[Aliment],0))="c"),
INDEX(Règles_chevaux_trait[Valeur 36 et plus],MATCH(RationHivernaleAuPréChevauxTrait&amp;$FD143,Règles_chevaux_trait[Ration]&amp;Règles_chevaux_trait[Aliment],0)),0),0)*SUM(TotalChevauxTraitAdultes)*21)</f>
        <v>0</v>
      </c>
      <c r="FF143" s="458">
        <f t="array" ref="FF143">IF(OR(ChoixRationHivernaleComplèteChevauxTrait=OUI,ChoixRationHivernaleComplèteChevauxTrait="",ChoixChevauxTraitPréHiver=NON),0,IFERROR(IF(OR(AND(INDEX(Règles_chevaux_trait[Specificite],MATCH(RationHivernaleAuPréChevauxTrait&amp;$FD143,Règles_chevaux_trait[Ration]&amp;Règles_chevaux_trait[Aliment],0))="s1",IF($FD143=Spécificité1ChevauxTrait,1)),
AND(INDEX(Règles_chevaux_trait[Specificite],MATCH(RationHivernaleAuPréChevauxTrait&amp;$FD143,Règles_chevaux_trait[Ration]&amp;Règles_chevaux_trait[Aliment],0))="s2",IF($FD143=Spécificité2ChevauxTrait,1)),
INDEX(Règles_chevaux_trait[Specificite],MATCH(RationHivernaleAuPréChevauxTrait&amp;$FD143,Règles_chevaux_trait[Ration]&amp;Règles_chevaux_trait[Aliment],0))="c"),
INDEX(Règles_chevaux_trait[Valeur 24-36],MATCH(RationHivernaleAuPréChevauxTrait&amp;$FD143,Règles_chevaux_trait[Ration]&amp;Règles_chevaux_trait[Aliment],0)),0),0)*SUM(TotalChevauxTrait_24_36mois)*21)</f>
        <v>0</v>
      </c>
      <c r="FG143" s="458">
        <f t="array" ref="FG143">IF(OR(ChoixRationHivernaleComplèteChevauxTrait=OUI,ChoixRationHivernaleComplèteChevauxTrait="",ChoixChevauxTraitPréHiver=NON),0,IFERROR(IF(OR(AND(INDEX(Règles_chevaux_trait[Specificite],MATCH(RationHivernaleAuPréChevauxTrait&amp;$FD143,Règles_chevaux_trait[Ration]&amp;Règles_chevaux_trait[Aliment],0))="s1",IF($FD143=Spécificité1ChevauxTrait,1)),
AND(INDEX(Règles_chevaux_trait[Specificite],MATCH(RationHivernaleAuPréChevauxTrait&amp;$FD143,Règles_chevaux_trait[Ration]&amp;Règles_chevaux_trait[Aliment],0))="s2",IF($FD143=Spécificité2ChevauxTrait,1)),
INDEX(Règles_chevaux_trait[Specificite],MATCH(RationHivernaleAuPréChevauxTrait&amp;$FD143,Règles_chevaux_trait[Ration]&amp;Règles_chevaux_trait[Aliment],0))="c"),
INDEX(Règles_chevaux_trait[Valeur 12-24],MATCH(RationHivernaleAuPréChevauxTrait&amp;$FD143,Règles_chevaux_trait[Ration]&amp;Règles_chevaux_trait[Aliment],0)),0),0)*SUM(TotalChevauxTrait_12_24mois)*21)</f>
        <v>0</v>
      </c>
      <c r="FH143" s="460">
        <f t="array" ref="FH143">IF(OR(ChoixRationHivernaleComplèteChevauxTrait=OUI,ChoixRationHivernaleComplèteChevauxTrait="",ChoixChevauxTraitPréHiver=NON),0,IFERROR(IF(OR(AND(INDEX(Règles_chevaux_trait[Specificite],MATCH(RationHivernaleAuPréChevauxTrait&amp;$FD143,Règles_chevaux_trait[Ration]&amp;Règles_chevaux_trait[Aliment],0))="s1",IF($FD143=Spécificité1ChevauxTrait,1)),
AND(INDEX(Règles_chevaux_trait[Specificite],MATCH(RationHivernaleAuPréChevauxTrait&amp;$FD143,Règles_chevaux_trait[Ration]&amp;Règles_chevaux_trait[Aliment],0))="s2",IF($FD143=Spécificité2ChevauxTrait,1)),
INDEX(Règles_chevaux_trait[Specificite],MATCH(RationHivernaleAuPréChevauxTrait&amp;$FD143,Règles_chevaux_trait[Ration]&amp;Règles_chevaux_trait[Aliment],0))="c"),
INDEX(Règles_chevaux_trait[Valeur 0-12],MATCH(RationHivernaleAuPréChevauxTrait&amp;$FD143,Règles_chevaux_trait[Ration]&amp;Règles_chevaux_trait[Aliment],0)),0),0)*SUM(TotalPoulainsTrait)*21)</f>
        <v>0</v>
      </c>
      <c r="FI143" s="460">
        <f t="shared" si="47"/>
        <v>0</v>
      </c>
      <c r="FJ143" s="298"/>
      <c r="FN143" s="457" t="str">
        <f t="shared" si="48"/>
        <v>Blé</v>
      </c>
      <c r="FO143" s="458">
        <f t="array" ref="FO143">IF(OR(ChoixRationHivernaleComplètePoneys=OUI,ChoixRationHivernaleComplètePoneys="",ChoixPoneysPréHiver=NON),0,IFERROR(IF(OR(AND(INDEX(Règles_poneys[Specificite],MATCH(RationHivernaleAuPréPoneys&amp;$FN143,Règles_poneys[Ration]&amp;Règles_poneys[Aliment],0))="s1",IF($FN143=Spécificité1Poneys,1)),
AND(INDEX(Règles_poneys[Specificite],MATCH(RationHivernaleAuPréPoneys&amp;$FN143,Règles_poneys[Ration]&amp;Règles_poneys[Aliment],0))="s2",IF($FN143=Spécificité2Poneys,1)),
INDEX(Règles_poneys[Specificite],MATCH(RationHivernaleAuPréPoneys&amp;$FN143,Règles_poneys[Ration]&amp;Règles_poneys[Aliment],0))="c"),
INDEX(Règles_poneys[Valeur 36 et plus],MATCH(RationHivernaleAuPréPoneys&amp;$FN143,Règles_poneys[Ration]&amp;Règles_poneys[Aliment],0)),0),0)*SUM(TotalPoneysAdultes)*21)</f>
        <v>0</v>
      </c>
      <c r="FP143" s="458">
        <f t="array" ref="FP143">IF(OR(ChoixRationHivernaleComplètePoneys=OUI,ChoixRationHivernaleComplètePoneys="",ChoixPoneysPréHiver=NON),0,IFERROR(IF(OR(AND(INDEX(Règles_poneys[Specificite],MATCH(RationHivernaleAuPréPoneys&amp;$FN143,Règles_poneys[Ration]&amp;Règles_poneys[Aliment],0))="s1",IF($FN143=Spécificité1Poneys,1)),
AND(INDEX(Règles_poneys[Specificite],MATCH(RationHivernaleAuPréPoneys&amp;$FN143,Règles_poneys[Ration]&amp;Règles_poneys[Aliment],0))="s2",IF($FN143=Spécificité2Poneys,1)),
INDEX(Règles_poneys[Specificite],MATCH(RationHivernaleAuPréPoneys&amp;$FN143,Règles_poneys[Ration]&amp;Règles_poneys[Aliment],0))="c"),
INDEX(Règles_poneys[Valeur 24-36],MATCH(RationHivernaleAuPréPoneys&amp;$FN143,Règles_poneys[Ration]&amp;Règles_poneys[Aliment],0)),0),0)*SUM(TotalPoneys_24_36mois)*21)</f>
        <v>0</v>
      </c>
      <c r="FQ143" s="458">
        <f t="array" ref="FQ143">IF(OR(ChoixRationHivernaleComplètePoneys=OUI,ChoixRationHivernaleComplètePoneys="",ChoixPoneysPréHiver=NON),0,IFERROR(IF(OR(AND(INDEX(Règles_poneys[Specificite],MATCH(RationHivernaleAuPréPoneys&amp;$FN143,Règles_poneys[Ration]&amp;Règles_poneys[Aliment],0))="s1",IF($FN143=Spécificité1Poneys,1)),
AND(INDEX(Règles_poneys[Specificite],MATCH(RationHivernaleAuPréPoneys&amp;$FN143,Règles_poneys[Ration]&amp;Règles_poneys[Aliment],0))="s2",IF($FN143=Spécificité2Poneys,1)),
INDEX(Règles_poneys[Specificite],MATCH(RationHivernaleAuPréPoneys&amp;$FN143,Règles_poneys[Ration]&amp;Règles_poneys[Aliment],0))="c"),
INDEX(Règles_poneys[Valeur 12-24],MATCH(RationHivernaleAuPréPoneys&amp;$FN143,Règles_poneys[Ration]&amp;Règles_poneys[Aliment],0)),0),0)*SUM(TotalPoneys_12_24mois)*21)</f>
        <v>0</v>
      </c>
      <c r="FR143" s="460">
        <f t="array" ref="FR143">IF(OR(ChoixRationHivernaleComplètePoneys=OUI,ChoixRationHivernaleComplètePoneys="",ChoixPoneysPréHiver=NON),0,IFERROR(IF(OR(AND(INDEX(Règles_poneys[Specificite],MATCH(RationHivernaleAuPréPoneys&amp;$FN143,Règles_poneys[Ration]&amp;Règles_poneys[Aliment],0))="s1",IF($FN143=Spécificité1Poneys,1)),
AND(INDEX(Règles_poneys[Specificite],MATCH(RationHivernaleAuPréPoneys&amp;$FN143,Règles_poneys[Ration]&amp;Règles_poneys[Aliment],0))="s2",IF($FN143=Spécificité2Poneys,1)),
INDEX(Règles_poneys[Specificite],MATCH(RationHivernaleAuPréPoneys&amp;$FN143,Règles_poneys[Ration]&amp;Règles_poneys[Aliment],0))="c"),
INDEX(Règles_poneys[Valeur 0-12],MATCH(RationHivernaleAuPréPoneys&amp;$FN143,Règles_poneys[Ration]&amp;Règles_poneys[Aliment],0)),0),0)*SUM(TotalPoulainsPoneys)*21)</f>
        <v>0</v>
      </c>
      <c r="FS143" s="460">
        <f t="shared" si="46"/>
        <v>0</v>
      </c>
      <c r="FT143" s="298"/>
      <c r="FW143" s="457" t="str">
        <f t="shared" si="44"/>
        <v>concentré jeunes bovins</v>
      </c>
      <c r="FX143" s="458">
        <f t="array" ref="FX143">SUM((IF(QualitéAlimentsGavageOison_0_1_mois=BONNE,VLOOKUP("Concentré jeunes bovins",AlimentsGavageOie,5,FALSE),0)+(IF(QualitéAlimentsGavageCaneton_0_1_mois=BONNE,VLOOKUP("Concentré jeunes bovins",AlimentsGavageCanard,5,FALSE),0)+(IF(QualitéAlimentsGavageOison_1_2_mois=BONNE,VLOOKUP("Concentré jeunes bovins",AlimentsGavageOie,4,FALSE),0)+(IF(QualitéAlimentsGavageCaneton_1_2_mois=BONNE,VLOOKUP("Concentré jeunes bovins",AlimentsGavageCanard,4,FALSE),0)+(IF(QualitéAlimentsGavageOison_2_3_mois=BONNE,VLOOKUP("Concentré jeunes bovins",AlimentsGavageOie,3,FALSE),0)+(IF(QualitéAlimentsGavageCaneton_2_3_mois=BONNE,VLOOKUP("Concentré jeunes bovins",AlimentsGavageCanard,3,FALSE),0)+(IF(QualitéAlimentsGavageJeunesOies=BONNE,VLOOKUP("Concentré jeunes bovins",AlimentsGavageOie,2,FALSE),0)+(IF(QualitéAlimentsGavageJeuneCanard=BONNE,VLOOKUP("Concentré jeunes bovins",AlimentsGavageCanard,2,FALSE),0))))))))))</f>
        <v>0</v>
      </c>
      <c r="FY143" s="458">
        <f t="array" ref="FY143">SUM((IF(QualitéAlimentsGavageOison_0_1_mois=MOYENNE,VLOOKUP("Concentré jeunes bovins",AlimentsGavageOie,5,FALSE),0)+(IF(QualitéAlimentsGavageCaneton_0_1_mois=MOYENNE,VLOOKUP("Concentré jeunes bovins",AlimentsGavageCanard,5,FALSE),0)+(IF(QualitéAlimentsGavageOison_1_2_mois=MOYENNE,VLOOKUP("Concentré jeunes bovins",AlimentsGavageOie,4,FALSE),0)+(IF(QualitéAlimentsGavageCaneton_1_2_mois=MOYENNE,VLOOKUP("Concentré jeunes bovins",AlimentsGavageCanard,4,FALSE),0)+(IF(QualitéAlimentsGavageOison_2_3_mois=MOYENNE,VLOOKUP("Concentré jeunes bovins",AlimentsGavageOie,3,FALSE),0)+(IF(QualitéAlimentsGavageCaneton_2_3_mois=MOYENNE,VLOOKUP("Concentré jeunes bovins",AlimentsGavageCanard,3,FALSE),0)+(IF(QualitéAlimentsGavageJeunesOies=MOYENNE,VLOOKUP("Concentré jeunes bovins",AlimentsGavageOie,2,FALSE),0)+(IF(QualitéAlimentsGavageJeuneCanard=MOYENNE,VLOOKUP("Concentré jeunes bovins",AlimentsGavageCanard,2,FALSE),0))))))))))</f>
        <v>0</v>
      </c>
      <c r="FZ143" s="458">
        <f t="array" ref="FZ143">SUM((IF(QualitéAlimentsGavageOison_0_1_mois=MAUVAISE,VLOOKUP("Concentré jeunes bovins",AlimentsGavageOie,5,FALSE),0)+(IF(QualitéAlimentsGavageCaneton_0_1_mois=MAUVAISE,VLOOKUP("Concentré jeunes bovins",AlimentsGavageCanard,5,FALSE),0)+(IF(QualitéAlimentsGavageOison_1_2_mois=MAUVAISE,VLOOKUP("Concentré jeunes bovins",AlimentsGavageOie,4,FALSE),0)+(IF(QualitéAlimentsGavageCaneton_1_2_mois=MAUVAISE,VLOOKUP("Concentré jeunes bovins",AlimentsGavageCanard,4,FALSE),0)+(IF(QualitéAlimentsGavageOison_2_3_mois=MAUVAISE,VLOOKUP("Concentré jeunes bovins",AlimentsGavageOie,3,FALSE),0)+(IF(QualitéAlimentsGavageCaneton_2_3_mois=MAUVAISE,VLOOKUP("Concentré jeunes bovins",AlimentsGavageCanard,3,FALSE),0)+(IF(QualitéAlimentsGavageJeunesOies=MAUVAISE,VLOOKUP("Concentré jeunes bovins",AlimentsGavageOie,2,FALSE),0)+(IF(QualitéAlimentsGavageJeuneCanard=MAUVAISE,VLOOKUP("Concentré jeunes bovins",AlimentsGavageCanard,2,FALSE),0))))))))))</f>
        <v>0</v>
      </c>
      <c r="GB143" s="281"/>
      <c r="GG143" s="276" t="s">
        <v>955</v>
      </c>
      <c r="GH143" s="276" t="s">
        <v>955</v>
      </c>
      <c r="GI143" s="276" t="s">
        <v>955</v>
      </c>
      <c r="GJ143" s="276" t="s">
        <v>955</v>
      </c>
      <c r="GK143" s="276" t="s">
        <v>955</v>
      </c>
      <c r="GL143" s="276" t="s">
        <v>955</v>
      </c>
      <c r="GM143" s="276" t="s">
        <v>955</v>
      </c>
      <c r="GN143" s="276" t="s">
        <v>955</v>
      </c>
      <c r="GO143" s="276" t="s">
        <v>955</v>
      </c>
      <c r="GP143" s="276" t="s">
        <v>955</v>
      </c>
      <c r="GQ143" s="276" t="s">
        <v>955</v>
      </c>
      <c r="GR143" s="276" t="s">
        <v>955</v>
      </c>
      <c r="GS143" s="276" t="s">
        <v>955</v>
      </c>
      <c r="GT143" s="276" t="s">
        <v>955</v>
      </c>
      <c r="GU143" s="276" t="s">
        <v>955</v>
      </c>
      <c r="GV143" s="276" t="s">
        <v>955</v>
      </c>
    </row>
    <row r="144" spans="1:204" ht="12.75" customHeight="1" x14ac:dyDescent="0.2">
      <c r="A144" s="373"/>
      <c r="B144" s="382"/>
      <c r="BB144" s="387" t="s">
        <v>517</v>
      </c>
      <c r="BC144" s="362" t="s">
        <v>1166</v>
      </c>
      <c r="BD144" s="362" t="s">
        <v>886</v>
      </c>
      <c r="BE144" s="388">
        <v>0</v>
      </c>
      <c r="BF144" s="388">
        <v>0</v>
      </c>
      <c r="BG144" s="388">
        <v>0</v>
      </c>
      <c r="BH144" s="388">
        <v>0</v>
      </c>
      <c r="BI144" s="388">
        <v>0</v>
      </c>
      <c r="BJ144" s="388">
        <v>0</v>
      </c>
      <c r="BK144" s="389">
        <v>8</v>
      </c>
      <c r="BL144" s="312"/>
      <c r="BM144" s="350" t="str">
        <f t="shared" si="43"/>
        <v>Tourteau de colza</v>
      </c>
      <c r="BN144" s="351">
        <f t="array" ref="BN144">SUM((IF(QualitéAlimentsBisonneauxMâles_0_3_mois=BONNE,VLOOKUP("Tourteau de colza",AlimentsRationHivernaleBisonsMâles,8,FALSE),0)+(IF(QualitéAlimentsBisonneauxFemelles_0_3_mois=BONNE,VLOOKUP("Tourteau de colza",AlimentsRationHivernaleBisonsFemelles,8,FALSE),0)+(IF(QualitéAlimentsBisonneauxMâles_3_6_mois=BONNE,VLOOKUP("Tourteau de colza",AlimentsRationHivernaleBisonsMâles,7,FALSE),0)+(IF(QualitéAlimentsBisonneauxFemelles_3_6_mois=BONNE,VLOOKUP("Tourteau de colza",AlimentsRationHivernaleBisonsFemelles,7,FALSE),0)+(IF(QualitéAlimentsBisonneauxMâles_6_12_mois=BONNE,VLOOKUP("Tourteau de colza",AlimentsRationHivernaleBisonsMâles,6,FALSE),0)+(IF(QualitéAlimentsBisonneauxFemelles_6_12_mois=BONNE,VLOOKUP("Tourteau de colza",AlimentsRationHivernaleBisonsFemelles,6,FALSE),0)+(IF(QualitéAlimentsJeunesBisons_12_18_mois=BONNE,VLOOKUP("Tourteau de colza",AlimentsRationHivernaleBisonsMâles,5,FALSE),0)+(IF(QualitéAlimentsJeunesBisonnes_12_18_mois=BONNE,VLOOKUP("Tourteau de colza",AlimentsRationHivernaleBisonsFemelles,5,FALSE),0)+(IF(QualitéAlimentsJeunesBisons_18_24_mois=BONNE,VLOOKUP("Tourteau de colza",AlimentsRationHivernaleBisonsMâles,4,FALSE),0)+(IF(QualitéAlimentsJeunesBisonnes_18_24_mois=BONNE,VLOOKUP("Tourteau de colza",AlimentsRationHivernaleBisonsFemelles,4,FALSE),0)+(IF(QualitéAlimentsJeunesBisons_24_36_mois=BONNE,VLOOKUP("Tourteau de colza",AlimentsRationHivernaleBisonsMâles,3,FALSE),0)+(IF(QualitéAlimentsJeunesBisonnes_24_36_mois=BONNE,VLOOKUP("Tourteau de colza",AlimentsRationHivernaleBisonsFemelles,3,FALSE),0)+(IF(QualitéAlimentsBisons=BONNE,VLOOKUP("Tourteau de colza",AlimentsRationHivernaleBisonsMâles,2,FALSE),0)+(IF(QualitéAlimentsBisonnes=BONNE,VLOOKUP("Tourteau de colza",AlimentsRationHivernaleBisonsFemelles,2,FALSE),0))))))))))))))))</f>
        <v>0</v>
      </c>
      <c r="BO144" s="351">
        <f t="array" ref="BO144">SUM((IF(QualitéAlimentsBisonneauxMâles_0_3_mois=MOYENNE,VLOOKUP("Tourteau de colza",AlimentsRationHivernaleBisonsMâles,8,FALSE),0)+(IF(QualitéAlimentsBisonneauxFemelles_0_3_mois=MOYENNE,VLOOKUP("Tourteau de colza",AlimentsRationHivernaleBisonsFemelles,8,FALSE),0)+(IF(QualitéAlimentsBisonneauxMâles_3_6_mois=MOYENNE,VLOOKUP("Tourteau de colza",AlimentsRationHivernaleBisonsMâles,7,FALSE),0)+(IF(QualitéAlimentsBisonneauxFemelles_3_6_mois=MOYENNE,VLOOKUP("Tourteau de colza",AlimentsRationHivernaleBisonsFemelles,7,FALSE),0)+(IF(QualitéAlimentsBisonneauxMâles_6_12_mois=MOYENNE,VLOOKUP("Tourteau de colza",AlimentsRationHivernaleBisonsMâles,6,FALSE),0)+(IF(QualitéAlimentsBisonneauxFemelles_6_12_mois=MOYENNE,VLOOKUP("Tourteau de colza",AlimentsRationHivernaleBisonsFemelles,6,FALSE),0)+(IF(QualitéAlimentsJeunesBisons_12_18_mois=MOYENNE,VLOOKUP("Tourteau de colza",AlimentsRationHivernaleBisonsMâles,5,FALSE),0)+(IF(QualitéAlimentsJeunesBisonnes_12_18_mois=MOYENNE,VLOOKUP("Tourteau de colza",AlimentsRationHivernaleBisonsFemelles,5,FALSE),0)+(IF(QualitéAlimentsJeunesBisons_18_24_mois=MOYENNE,VLOOKUP("Tourteau de colza",AlimentsRationHivernaleBisonsMâles,4,FALSE),0)+(IF(QualitéAlimentsJeunesBisonnes_18_24_mois=MOYENNE,VLOOKUP("Tourteau de colza",AlimentsRationHivernaleBisonsFemelles,4,FALSE),0)+(IF(QualitéAlimentsJeunesBisons_24_36_mois=MOYENNE,VLOOKUP("Tourteau de colza",AlimentsRationHivernaleBisonsMâles,3,FALSE),0)+(IF(QualitéAlimentsJeunesBisonnes_24_36_mois=MOYENNE,VLOOKUP("Tourteau de colza",AlimentsRationHivernaleBisonsFemelles,3,FALSE),0)+(IF(QualitéAlimentsBisons=MOYENNE,VLOOKUP("Tourteau de colza",AlimentsRationHivernaleBisonsMâles,2,FALSE),0)+(IF(QualitéAlimentsBisonnes=MOYENNE,VLOOKUP("Tourteau de colza",AlimentsRationHivernaleBisonsFemelles,2,FALSE),0))))))))))))))))</f>
        <v>0</v>
      </c>
      <c r="BP144" s="351">
        <f t="array" ref="BP144">SUM((IF(QualitéAlimentsBisonneauxMâles_0_3_mois=MAUVAISE,VLOOKUP("Tourteau de colza",AlimentsRationHivernaleBisonsMâles,8,FALSE),0)+(IF(QualitéAlimentsBisonneauxFemelles_0_3_mois=MAUVAISE,VLOOKUP("Tourteau de colza",AlimentsRationHivernaleBisonsFemelles,8,FALSE),0)+(IF(QualitéAlimentsBisonneauxMâles_3_6_mois=MAUVAISE,VLOOKUP("Tourteau de colza",AlimentsRationHivernaleBisonsMâles,7,FALSE),0)+(IF(QualitéAlimentsBisonneauxFemelles_3_6_mois=MAUVAISE,VLOOKUP("Tourteau de colza",AlimentsRationHivernaleBisonsFemelles,7,FALSE),0)+(IF(QualitéAlimentsBisonneauxMâles_6_12_mois=MAUVAISE,VLOOKUP("Tourteau de colza",AlimentsRationHivernaleBisonsMâles,6,FALSE),0)+(IF(QualitéAlimentsBisonneauxFemelles_6_12_mois=MAUVAISE,VLOOKUP("Tourteau de colza",AlimentsRationHivernaleBisonsFemelles,6,FALSE),0)+(IF(QualitéAlimentsJeunesBisons_12_18_mois=MAUVAISE,VLOOKUP("Tourteau de colza",AlimentsRationHivernaleBisonsMâles,5,FALSE),0)+(IF(QualitéAlimentsJeunesBisonnes_12_18_mois=MAUVAISE,VLOOKUP("Tourteau de colza",AlimentsRationHivernaleBisonsFemelles,5,FALSE),0)+(IF(QualitéAlimentsJeunesBisons_18_24_mois=MAUVAISE,VLOOKUP("Tourteau de colza",AlimentsRationHivernaleBisonsMâles,4,FALSE),0)+(IF(QualitéAlimentsJeunesBisonnes_18_24_mois=MAUVAISE,VLOOKUP("Tourteau de colza",AlimentsRationHivernaleBisonsFemelles,4,FALSE),0)+(IF(QualitéAlimentsJeunesBisons_24_36_mois=MAUVAISE,VLOOKUP("Tourteau de colza",AlimentsRationHivernaleBisonsMâles,3,FALSE),0)+(IF(QualitéAlimentsJeunesBisonnes_24_36_mois=MAUVAISE,VLOOKUP("Tourteau de colza",AlimentsRationHivernaleBisonsFemelles,3,FALSE),0)+(IF(QualitéAlimentsBisons=MAUVAISE,VLOOKUP("Tourteau de colza",AlimentsRationHivernaleBisonsMâles,2,FALSE),0)+(IF(QualitéAlimentsBisonnes=MAUVAISE,VLOOKUP("Tourteau de colza",AlimentsRationHivernaleBisonsFemelles,2,FALSE),0))))))))))))))))</f>
        <v>0</v>
      </c>
      <c r="BQ144" s="282"/>
      <c r="BR144" s="282"/>
      <c r="BS144" s="282"/>
      <c r="BT144" s="282"/>
      <c r="BU144" s="282"/>
      <c r="BX144" s="350" t="str">
        <f>BX106</f>
        <v>Avoine</v>
      </c>
      <c r="BY144" s="350">
        <f t="array" ref="BY144">IF(ChoixRationComplèteCaprins=OUI,0,IFERROR(IF(OR(AND(INDEX(Règles_caprins[Specificite],MATCH(ChoixRationCaprins&amp;$BX144,Règles_caprins[Ration]&amp;Règles_caprins[Aliment],0))="s1",IF($BX144=Spécificité1Caprins,1)),
INDEX(Règles_caprins[Specificite],MATCH(ChoixRationCaprins&amp;$BX144,Règles_caprins[Ration]&amp;Règles_caprins[Aliment],0))="c"),
INDEX(Règles_caprins[Valeur 12 et plus],MATCH(ChoixRationCaprins&amp;$BX144,Règles_caprins[Ration]&amp;Règles_caprins[Aliment],0)),0),0)*TotalChèvres*NbreJoursNourrirCaprins)</f>
        <v>0</v>
      </c>
      <c r="BZ144" s="350">
        <f t="array" ref="BZ144">IF(ChoixRationComplèteCaprins=OUI,0,IFERROR(IF(OR(AND(INDEX(Règles_caprins[Specificite],MATCH(ChoixRationCaprins&amp;$BX144,Règles_caprins[Ration]&amp;Règles_caprins[Aliment],0))="s1",IF($BX144=Spécificité1Caprins,1)),
INDEX(Règles_caprins[Specificite],MATCH(ChoixRationCaprins&amp;$BX144,Règles_caprins[Ration]&amp;Règles_caprins[Aliment],0))="c"),
INDEX(Règles_caprins[Valeur 6-12],MATCH(ChoixRationCaprins&amp;$BX144,Règles_caprins[Ration]&amp;Règles_caprins[Aliment],0)),0),0)*jeune_chèvre_6_12_mois*NbreJoursNourrirCaprins)</f>
        <v>0</v>
      </c>
      <c r="CA144" s="350">
        <f t="array" ref="CA144">IF(ChoixRationComplèteCaprins=OUI,0,IFERROR(IF(OR(AND(INDEX(Règles_caprins[Specificite],MATCH(ChoixRationCaprins&amp;$BX144,Règles_caprins[Ration]&amp;Règles_caprins[Aliment],0))="s1",IF($BX144=Spécificité1Caprins,1)),
INDEX(Règles_caprins[Specificite],MATCH(ChoixRationCaprins&amp;$BX144,Règles_caprins[Ration]&amp;Règles_caprins[Aliment],0))="c"),
INDEX(Règles_caprins[Valeur 3-6],MATCH(ChoixRationCaprins&amp;$BX144,Règles_caprins[Ration]&amp;Règles_caprins[Aliment],0)),0),0)*chevrette_3_6_mois*NbreJoursNourrirCaprins)</f>
        <v>0</v>
      </c>
      <c r="CB144" s="350">
        <f t="array" ref="CB144">IF(ChoixRationComplèteCaprins=OUI,0,IFERROR(IF(OR(AND(INDEX(Règles_caprins[Specificite],MATCH(ChoixRationCaprins&amp;$BX144,Règles_caprins[Ration]&amp;Règles_caprins[Aliment],0))="s1",IF($BX144=Spécificité1Caprins,1)),
INDEX(Règles_caprins[Specificite],MATCH(ChoixRationCaprins&amp;$BX144,Règles_caprins[Ration]&amp;Règles_caprins[Aliment],0))="c"),
INDEX(Règles_caprins[Valeur 0-3],MATCH(ChoixRationCaprins&amp;$BX144,Règles_caprins[Ration]&amp;Règles_caprins[Aliment],0)),0),0)*chevrette_0_3_mois*NbreJoursNourrirCaprins)</f>
        <v>0</v>
      </c>
      <c r="CC144" s="350">
        <f t="shared" ref="CC144:CC178" si="50">SUM($BY144:$CB144)</f>
        <v>0</v>
      </c>
      <c r="CI144" s="277"/>
      <c r="CJ144" s="350" t="str">
        <f t="shared" si="45"/>
        <v>Canola</v>
      </c>
      <c r="CK144" s="351">
        <f t="array" ref="CK144">SUM((IF(QualitéAlimentsPorceletMâle_0_1_mois=BONNE,VLOOKUP("Canola",AlimentsRationPorcinsMâles[],6,FALSE),0)+(IF(QualitéAlimentsPorceletFemelle_0_1_mois=BONNE,VLOOKUP("Canola",AlimentsRationPorcinsFemelles[],6,FALSE),0)+(IF(QualitéAlimentsPorceletMâle_1_3_mois=BONNE,VLOOKUP("Canola",AlimentsRationPorcinsMâles[],5,FALSE),0)+(IF(QualitéAlimentsPorceletFemelle_1_3_mois=BONNE,VLOOKUP("Canola",AlimentsRationPorcinsFemelles[],5,FALSE),0)+(IF(QualitéAlimentsJeuneVerrat_3_6_mois=BONNE,VLOOKUP("Canola",AlimentsRationPorcinsMâles[],4,FALSE),0)+(IF(QualitéAlimentsJeuneTruie_3_6_mois=BONNE,VLOOKUP("Canola",AlimentsRationPorcinsFemelles[],4,FALSE),0)+(IF(QualitéAlimentsJeuneVerrat_6_12_mois=BONNE,VLOOKUP("Canola",AlimentsRationPorcinsMâles[],3,FALSE),0)+(IF(QualitéAlimentsJeuneTruie_6_12_mois=BONNE,VLOOKUP("Canola",AlimentsRationPorcinsFemelles[],3,FALSE),0)+(IF(QualitéAlimentsVerrat=BONNE,VLOOKUP("Avoine",AlimentsRationPorcinsMâles[],2,FALSE),0)+(IF(QualitéAlimentsTruie=BONNE,VLOOKUP("Avoine",AlimentsRationPorcinsFemelles[],2,FALSE),0))))))))))))</f>
        <v>0</v>
      </c>
      <c r="CL144" s="351">
        <f t="array" ref="CL144">SUM((IF(QualitéAlimentsPorceletMâle_0_1_mois=MOYENNE,VLOOKUP("Canola",AlimentsRationPorcinsMâles[],6,FALSE),0)+(IF(QualitéAlimentsPorceletFemelle_0_1_mois=MOYENNE,VLOOKUP("Canola",AlimentsRationPorcinsFemelles[],6,FALSE),0)+(IF(QualitéAlimentsPorceletMâle_1_3_mois=MOYENNE,VLOOKUP("Canola",AlimentsRationPorcinsMâles[],5,FALSE),0)+(IF(QualitéAlimentsPorceletFemelle_1_3_mois=MOYENNE,VLOOKUP("Canola",AlimentsRationPorcinsFemelles[],5,FALSE),0)+(IF(QualitéAlimentsJeuneVerrat_3_6_mois=MOYENNE,VLOOKUP("Canola",AlimentsRationPorcinsMâles[],4,FALSE),0)+(IF(QualitéAlimentsJeuneTruie_3_6_mois=MOYENNE,VLOOKUP("Canola",AlimentsRationPorcinsFemelles[],4,FALSE),0)+(IF(QualitéAlimentsJeuneVerrat_6_12_mois=MOYENNE,VLOOKUP("Canola",AlimentsRationPorcinsMâles[],3,FALSE),0)+(IF(QualitéAlimentsJeuneTruie_6_12_mois=MOYENNE,VLOOKUP("Canola",AlimentsRationPorcinsFemelles[],3,FALSE),0)+(IF(QualitéAlimentsVerrat=BONNE,VLOOKUP("Avoine",AlimentsRationPorcinsMâles[],2,FALSE),0)+(IF(QualitéAlimentsTruie=BONNE,VLOOKUP("Avoine",AlimentsRationPorcinsFemelles[],2,FALSE),0))))))))))))</f>
        <v>0</v>
      </c>
      <c r="CM144" s="351">
        <f t="array" ref="CM144">SUM((IF(QualitéAlimentsPorceletMâle_0_1_mois=MAUVAISE,VLOOKUP("Canola",AlimentsRationPorcinsMâles[],6,FALSE),0)+(IF(QualitéAlimentsPorceletFemelle_0_1_mois=MAUVAISE,VLOOKUP("Canola",AlimentsRationPorcinsFemelles[],6,FALSE),0)+(IF(QualitéAlimentsPorceletMâle_1_3_mois=MAUVAISE,VLOOKUP("Canola",AlimentsRationPorcinsMâles[],5,FALSE),0)+(IF(QualitéAlimentsPorceletFemelle_1_3_mois=MAUVAISE,VLOOKUP("Canola",AlimentsRationPorcinsFemelles[],5,FALSE),0)+(IF(QualitéAlimentsJeuneVerrat_3_6_mois=MAUVAISE,VLOOKUP("Canola",AlimentsRationPorcinsMâles[],4,FALSE),0)+(IF(QualitéAlimentsJeuneTruie_3_6_mois=MAUVAISE,VLOOKUP("Canola",AlimentsRationPorcinsFemelles[],4,FALSE),0)+(IF(QualitéAlimentsJeuneVerrat_6_12_mois=MAUVAISE,VLOOKUP("Canola",AlimentsRationPorcinsMâles[],3,FALSE),0)+(IF(QualitéAlimentsJeuneTruie_6_12_mois=MAUVAISE,VLOOKUP("Canola",AlimentsRationPorcinsFemelles[],3,FALSE),0)+(IF(QualitéAlimentsVerrat=BONNE,VLOOKUP("Avoine",AlimentsRationPorcinsMâles[],2,FALSE),0)+(IF(QualitéAlimentsTruie=BONNE,VLOOKUP("Avoine",AlimentsRationPorcinsFemelles[],2,FALSE),0))))))))))))</f>
        <v>0</v>
      </c>
      <c r="CN144" s="277"/>
      <c r="CO144" s="277"/>
      <c r="CP144" s="298"/>
      <c r="CS144" s="347" t="s">
        <v>1019</v>
      </c>
      <c r="CT144" s="229"/>
      <c r="CU144" s="277"/>
      <c r="CV144" s="277"/>
      <c r="CZ144" s="394" t="s">
        <v>976</v>
      </c>
      <c r="DA144" s="396" t="s">
        <v>127</v>
      </c>
      <c r="DG144" s="350" t="str">
        <f>DG48</f>
        <v>Avoine</v>
      </c>
      <c r="DH144" s="351">
        <f t="array" ref="DH144">SUM((IF(QualitéAlimentsPintadeauMâle_0_1_mois=BONNE,VLOOKUP("Avoine",AlimentsRationPintadesMâles[],4,FALSE),0)+(IF(QualitéAlimentsPintadeauFemelle_0_1_mois=BONNE,VLOOKUP("Avoine",AlimentsRationPintadesFemelles[],4,FALSE),0)+(IF(QualitéAlimentsJeunePintadeMâle=BONNE,VLOOKUP("Avoine",AlimentsRationPintadesMâles[],3,FALSE),0)+(IF(QualitéAlimentsJeunePintadeFemelle=BONNE,VLOOKUP("Avoine",AlimentsRationPintadesFemelles[],3,FALSE),0)+(IF(QualitéAlimentsPintadeMâle=BONNE,VLOOKUP("Avoine",AlimentsRationPintadesMâles[],2,FALSE),0)+(IF(QualitéAlimentsPintadeFemelle=BONNE,VLOOKUP("Avoine",AlimentsRationPintadesFemelles[],2,FALSE),0))))))))</f>
        <v>0</v>
      </c>
      <c r="DI144" s="351">
        <f t="array" ref="DI144">SUM((IF(QualitéAlimentsPintadeauMâle_0_1_mois=MOYENNE,VLOOKUP("Avoine",AlimentsRationPintadesMâles[],4,FALSE),0)+(IF(QualitéAlimentsPintadeauFemelle_0_1_mois=MOYENNE,VLOOKUP("Avoine",AlimentsRationPintadesFemelles[],4,FALSE),0)+(IF(QualitéAlimentsJeunePintadeMâle=MOYENNE,VLOOKUP("Avoine",AlimentsRationPintadesMâles[],3,FALSE),0)+(IF(QualitéAlimentsJeunePintadeFemelle=MOYENNE,VLOOKUP("Avoine",AlimentsRationPintadesFemelles[],3,FALSE),0)+(IF(QualitéAlimentsPintadeMâle=MOYENNE,VLOOKUP("Avoine",AlimentsRationPintadesMâles[],2,FALSE),0)+(IF(QualitéAlimentsPintadeFemelle=MOYENNE,VLOOKUP("Avoine",AlimentsRationPintadesFemelles[],2,FALSE),0))))))))</f>
        <v>0</v>
      </c>
      <c r="DJ144" s="351">
        <f t="array" ref="DJ144">SUM((IF(QualitéAlimentsPintadeauMâle_0_1_mois=MAUVAISE,VLOOKUP("Avoine",AlimentsRationPintadesMâles[],4,FALSE),0)+(IF(QualitéAlimentsPintadeauFemelle_0_1_mois=MAUVAISE,VLOOKUP("Avoine",AlimentsRationPintadesFemelles[],4,FALSE),0)+(IF(QualitéAlimentsJeunePintadeMâle=MAUVAISE,VLOOKUP("Avoine",AlimentsRationPintadesMâles[],3,FALSE),0)+(IF(QualitéAlimentsJeunePintadeFemelle=MAUVAISE,VLOOKUP("Avoine",AlimentsRationPintadesFemelles[],3,FALSE),0)+(IF(QualitéAlimentsPintadeMâle=MAUVAISE,VLOOKUP("Avoine",AlimentsRationPintadesMâles[],2,FALSE),0)+(IF(QualitéAlimentsPintadeFemelle=MAUVAISE,VLOOKUP("Avoine",AlimentsRationPintadesFemelles[],2,FALSE),0))))))))</f>
        <v>0</v>
      </c>
      <c r="DN144" s="373" t="s">
        <v>843</v>
      </c>
      <c r="DO144" s="280" t="s">
        <v>500</v>
      </c>
      <c r="DP144" s="280" t="s">
        <v>886</v>
      </c>
      <c r="DQ144" s="280">
        <v>0.6</v>
      </c>
      <c r="DR144" s="280">
        <v>0.48</v>
      </c>
      <c r="DS144" s="280">
        <v>0.36</v>
      </c>
      <c r="DT144" s="363">
        <v>0.3</v>
      </c>
      <c r="EG144" s="420" t="s">
        <v>654</v>
      </c>
      <c r="EH144" s="408"/>
      <c r="EN144" s="443" t="s">
        <v>962</v>
      </c>
      <c r="EO144" s="445">
        <f>EO27*SUM(TotalCanetons)*SUM(Z76:Z100)</f>
        <v>0</v>
      </c>
      <c r="EU144" s="421" t="s">
        <v>508</v>
      </c>
      <c r="EV144" s="452">
        <f t="array" ref="EV144">IF(ChoixRationComplèteEtéChevauxSelle=NON,0,IFERROR(IF(OR(AND(INDEX(Règles_chevaux_selle[Specificite],MATCH(RationEtéChevauxSelle&amp;Ration_complète_chevaux_selle[aliment],Règles_chevaux_selle[Ration]&amp;Règles_chevaux_selle[Aliment],0))="s1",IF(Ration_complète_chevaux_selle[aliment]=Spécificité1ChevauxSelle,1)),
AND(INDEX(Règles_chevaux_selle[Specificite],MATCH(RationEtéChevauxSelle&amp;Ration_complète_chevaux_selle[aliment],Règles_chevaux_selle[Ration]&amp;Règles_chevaux_selle[Aliment],0))="s2",IF(Ration_complète_chevaux_selle[aliment]=Spécificité2ChevauxSelle,1)),
INDEX(Règles_chevaux_selle[Specificite],MATCH(RationEtéChevauxSelle&amp;Ration_complète_chevaux_selle[aliment],Règles_chevaux_selle[Ration]&amp;Règles_chevaux_selle[Aliment],0))="c",INDEX(Règles_chevaux_selle[Specificite],MATCH(RationEtéChevauxSelle&amp;Ration_complète_chevaux_selle[aliment],Règles_chevaux_selle[Ration]&amp;Règles_chevaux_selle[Aliment],0))="complet"),
INDEX(Règles_chevaux_selle[Valeur 36 et plus],MATCH(RationEtéChevauxSelle&amp;Ration_complète_chevaux_selle[aliment],Règles_chevaux_selle[Ration]&amp;Règles_chevaux_selle[Aliment],0)),0),0)*SUM(TotalChevauxSelleAdultes)*SUM(AE76:AE100))</f>
        <v>0</v>
      </c>
      <c r="EW144" s="452">
        <f t="array" ref="EW144">IF(ChoixRationComplèteEtéChevauxSelle=NON,0,IFERROR(IF(OR(AND(INDEX(Règles_chevaux_selle[Specificite],MATCH(RationEtéChevauxSelle&amp;Ration_complète_chevaux_selle[aliment],Règles_chevaux_selle[Ration]&amp;Règles_chevaux_selle[Aliment],0))="s1",IF(Ration_complète_chevaux_selle[aliment]=Spécificité1ChevauxSelle,1)),
AND(INDEX(Règles_chevaux_selle[Specificite],MATCH(RationEtéChevauxSelle&amp;Ration_complète_chevaux_selle[aliment],Règles_chevaux_selle[Ration]&amp;Règles_chevaux_selle[Aliment],0))="s2",IF(Ration_complète_chevaux_selle[aliment]=Spécificité2ChevauxSelle,1)),
INDEX(Règles_chevaux_selle[Specificite],MATCH(RationEtéChevauxSelle&amp;Ration_complète_chevaux_selle[aliment],Règles_chevaux_selle[Ration]&amp;Règles_chevaux_selle[Aliment],0))="c",INDEX(Règles_chevaux_selle[Specificite],MATCH(RationEtéChevauxSelle&amp;Ration_complète_chevaux_selle[aliment],Règles_chevaux_selle[Ration]&amp;Règles_chevaux_selle[Aliment],0))="complet"),
INDEX(Règles_chevaux_selle[Valeur 24-36],MATCH(RationEtéChevauxSelle&amp;Ration_complète_chevaux_selle[aliment],Règles_chevaux_selle[Ration]&amp;Règles_chevaux_selle[Aliment],0)),0),0)*SUM(TotalChevauxSelle_24_36mois)*SUM(AE76:AE100))</f>
        <v>0</v>
      </c>
      <c r="EX144" s="452">
        <f t="array" ref="EX144">IF(ChoixRationComplèteEtéChevauxSelle=NON,0,IFERROR(IF(OR(AND(INDEX(Règles_chevaux_selle[Specificite],MATCH(RationEtéChevauxSelle&amp;Ration_complète_chevaux_selle[aliment],Règles_chevaux_selle[Ration]&amp;Règles_chevaux_selle[Aliment],0))="s1",IF(Ration_complète_chevaux_selle[aliment]=Spécificité1ChevauxSelle,1)),
AND(INDEX(Règles_chevaux_selle[Specificite],MATCH(RationEtéChevauxSelle&amp;Ration_complète_chevaux_selle[aliment],Règles_chevaux_selle[Ration]&amp;Règles_chevaux_selle[Aliment],0))="s2",IF(Ration_complète_chevaux_selle[aliment]=Spécificité2ChevauxSelle,1)),
INDEX(Règles_chevaux_selle[Specificite],MATCH(RationEtéChevauxSelle&amp;Ration_complète_chevaux_selle[aliment],Règles_chevaux_selle[Ration]&amp;Règles_chevaux_selle[Aliment],0))="c",INDEX(Règles_chevaux_selle[Specificite],MATCH(RationEtéChevauxSelle&amp;Ration_complète_chevaux_selle[aliment],Règles_chevaux_selle[Ration]&amp;Règles_chevaux_selle[Aliment],0))="complet"),
INDEX(Règles_chevaux_selle[Valeur 12-24],MATCH(RationEtéChevauxSelle&amp;Ration_complète_chevaux_selle[aliment],Règles_chevaux_selle[Ration]&amp;Règles_chevaux_selle[Aliment],0)),0),0)*SUM(TotalChevauxSelle_12_24mois)*SUM(AE76:AE100))</f>
        <v>0</v>
      </c>
      <c r="EY144" s="452">
        <f t="array" ref="EY144">IF(ChoixRationComplèteEtéChevauxSelle=NON,0,IFERROR(IF(OR(AND(INDEX(Règles_chevaux_selle[Specificite],MATCH(RationEtéChevauxSelle&amp;Ration_complète_chevaux_selle[aliment],Règles_chevaux_selle[Ration]&amp;Règles_chevaux_selle[Aliment],0))="s1",IF(Ration_complète_chevaux_selle[aliment]=Spécificité1ChevauxSelle,1)),
AND(INDEX(Règles_chevaux_selle[Specificite],MATCH(RationEtéChevauxSelle&amp;Ration_complète_chevaux_selle[aliment],Règles_chevaux_selle[Ration]&amp;Règles_chevaux_selle[Aliment],0))="s2",IF(Ration_complète_chevaux_selle[aliment]=Spécificité2ChevauxSelle,1)),
INDEX(Règles_chevaux_selle[Specificite],MATCH(RationEtéChevauxSelle&amp;Ration_complète_chevaux_selle[aliment],Règles_chevaux_selle[Ration]&amp;Règles_chevaux_selle[Aliment],0))="c",INDEX(Règles_chevaux_selle[Specificite],MATCH(RationEtéChevauxSelle&amp;Ration_complète_chevaux_selle[aliment],Règles_chevaux_selle[Ration]&amp;Règles_chevaux_selle[Aliment],0))="complet"),
INDEX(Règles_chevaux_selle[Valeur 0-12],MATCH(RationEtéChevauxSelle&amp;Ration_complète_chevaux_selle[aliment],Règles_chevaux_selle[Ration]&amp;Règles_chevaux_selle[Aliment],0)),0),0)*SUM(TotalPoulainsSelle)*SUM(AE76:AE100))</f>
        <v>0</v>
      </c>
      <c r="EZ144" s="454">
        <f>SUM(Ration_complète_chevaux_selle[[Valeur 36 et plus]:[Valeur 0-12]])</f>
        <v>0</v>
      </c>
      <c r="FD144" s="457" t="str">
        <f t="shared" si="49"/>
        <v>Blé</v>
      </c>
      <c r="FE144" s="458">
        <f t="array" ref="FE144">IF(OR(ChoixRationHivernaleComplèteChevauxTrait=OUI,ChoixRationHivernaleComplèteChevauxTrait="",ChoixChevauxTraitPréHiver=NON),0,IFERROR(IF(OR(AND(INDEX(Règles_chevaux_trait[Specificite],MATCH(RationHivernaleAuPréChevauxTrait&amp;$FD144,Règles_chevaux_trait[Ration]&amp;Règles_chevaux_trait[Aliment],0))="s1",IF($FD144=Spécificité1ChevauxTrait,1)),
AND(INDEX(Règles_chevaux_trait[Specificite],MATCH(RationHivernaleAuPréChevauxTrait&amp;$FD144,Règles_chevaux_trait[Ration]&amp;Règles_chevaux_trait[Aliment],0))="s2",IF($FD144=Spécificité2ChevauxTrait,1)),
INDEX(Règles_chevaux_trait[Specificite],MATCH(RationHivernaleAuPréChevauxTrait&amp;$FD144,Règles_chevaux_trait[Ration]&amp;Règles_chevaux_trait[Aliment],0))="c"),
INDEX(Règles_chevaux_trait[Valeur 36 et plus],MATCH(RationHivernaleAuPréChevauxTrait&amp;$FD144,Règles_chevaux_trait[Ration]&amp;Règles_chevaux_trait[Aliment],0)),0),0)*SUM(TotalChevauxTraitAdultes)*21)</f>
        <v>0</v>
      </c>
      <c r="FF144" s="458">
        <f t="array" ref="FF144">IF(OR(ChoixRationHivernaleComplèteChevauxTrait=OUI,ChoixRationHivernaleComplèteChevauxTrait="",ChoixChevauxTraitPréHiver=NON),0,IFERROR(IF(OR(AND(INDEX(Règles_chevaux_trait[Specificite],MATCH(RationHivernaleAuPréChevauxTrait&amp;$FD144,Règles_chevaux_trait[Ration]&amp;Règles_chevaux_trait[Aliment],0))="s1",IF($FD144=Spécificité1ChevauxTrait,1)),
AND(INDEX(Règles_chevaux_trait[Specificite],MATCH(RationHivernaleAuPréChevauxTrait&amp;$FD144,Règles_chevaux_trait[Ration]&amp;Règles_chevaux_trait[Aliment],0))="s2",IF($FD144=Spécificité2ChevauxTrait,1)),
INDEX(Règles_chevaux_trait[Specificite],MATCH(RationHivernaleAuPréChevauxTrait&amp;$FD144,Règles_chevaux_trait[Ration]&amp;Règles_chevaux_trait[Aliment],0))="c"),
INDEX(Règles_chevaux_trait[Valeur 24-36],MATCH(RationHivernaleAuPréChevauxTrait&amp;$FD144,Règles_chevaux_trait[Ration]&amp;Règles_chevaux_trait[Aliment],0)),0),0)*SUM(TotalChevauxTrait_24_36mois)*21)</f>
        <v>0</v>
      </c>
      <c r="FG144" s="458">
        <f t="array" ref="FG144">IF(OR(ChoixRationHivernaleComplèteChevauxTrait=OUI,ChoixRationHivernaleComplèteChevauxTrait="",ChoixChevauxTraitPréHiver=NON),0,IFERROR(IF(OR(AND(INDEX(Règles_chevaux_trait[Specificite],MATCH(RationHivernaleAuPréChevauxTrait&amp;$FD144,Règles_chevaux_trait[Ration]&amp;Règles_chevaux_trait[Aliment],0))="s1",IF($FD144=Spécificité1ChevauxTrait,1)),
AND(INDEX(Règles_chevaux_trait[Specificite],MATCH(RationHivernaleAuPréChevauxTrait&amp;$FD144,Règles_chevaux_trait[Ration]&amp;Règles_chevaux_trait[Aliment],0))="s2",IF($FD144=Spécificité2ChevauxTrait,1)),
INDEX(Règles_chevaux_trait[Specificite],MATCH(RationHivernaleAuPréChevauxTrait&amp;$FD144,Règles_chevaux_trait[Ration]&amp;Règles_chevaux_trait[Aliment],0))="c"),
INDEX(Règles_chevaux_trait[Valeur 12-24],MATCH(RationHivernaleAuPréChevauxTrait&amp;$FD144,Règles_chevaux_trait[Ration]&amp;Règles_chevaux_trait[Aliment],0)),0),0)*SUM(TotalChevauxTrait_12_24mois)*21)</f>
        <v>0</v>
      </c>
      <c r="FH144" s="460">
        <f t="array" ref="FH144">IF(OR(ChoixRationHivernaleComplèteChevauxTrait=OUI,ChoixRationHivernaleComplèteChevauxTrait="",ChoixChevauxTraitPréHiver=NON),0,IFERROR(IF(OR(AND(INDEX(Règles_chevaux_trait[Specificite],MATCH(RationHivernaleAuPréChevauxTrait&amp;$FD144,Règles_chevaux_trait[Ration]&amp;Règles_chevaux_trait[Aliment],0))="s1",IF($FD144=Spécificité1ChevauxTrait,1)),
AND(INDEX(Règles_chevaux_trait[Specificite],MATCH(RationHivernaleAuPréChevauxTrait&amp;$FD144,Règles_chevaux_trait[Ration]&amp;Règles_chevaux_trait[Aliment],0))="s2",IF($FD144=Spécificité2ChevauxTrait,1)),
INDEX(Règles_chevaux_trait[Specificite],MATCH(RationHivernaleAuPréChevauxTrait&amp;$FD144,Règles_chevaux_trait[Ration]&amp;Règles_chevaux_trait[Aliment],0))="c"),
INDEX(Règles_chevaux_trait[Valeur 0-12],MATCH(RationHivernaleAuPréChevauxTrait&amp;$FD144,Règles_chevaux_trait[Ration]&amp;Règles_chevaux_trait[Aliment],0)),0),0)*SUM(TotalPoulainsTrait)*21)</f>
        <v>0</v>
      </c>
      <c r="FI144" s="460">
        <f t="shared" si="47"/>
        <v>0</v>
      </c>
      <c r="FN144" s="457" t="str">
        <f t="shared" si="48"/>
        <v>Bouchons luzerne</v>
      </c>
      <c r="FO144" s="458">
        <f t="array" ref="FO144">IF(OR(ChoixRationHivernaleComplètePoneys=OUI,ChoixRationHivernaleComplètePoneys="",ChoixPoneysPréHiver=NON),0,IFERROR(IF(OR(AND(INDEX(Règles_poneys[Specificite],MATCH(RationHivernaleAuPréPoneys&amp;$FN144,Règles_poneys[Ration]&amp;Règles_poneys[Aliment],0))="s1",IF($FN144=Spécificité1Poneys,1)),
AND(INDEX(Règles_poneys[Specificite],MATCH(RationHivernaleAuPréPoneys&amp;$FN144,Règles_poneys[Ration]&amp;Règles_poneys[Aliment],0))="s2",IF($FN144=Spécificité2Poneys,1)),
INDEX(Règles_poneys[Specificite],MATCH(RationHivernaleAuPréPoneys&amp;$FN144,Règles_poneys[Ration]&amp;Règles_poneys[Aliment],0))="c"),
INDEX(Règles_poneys[Valeur 36 et plus],MATCH(RationHivernaleAuPréPoneys&amp;$FN144,Règles_poneys[Ration]&amp;Règles_poneys[Aliment],0)),0),0)*SUM(TotalPoneysAdultes)*21)</f>
        <v>0</v>
      </c>
      <c r="FP144" s="458">
        <f t="array" ref="FP144">IF(OR(ChoixRationHivernaleComplètePoneys=OUI,ChoixRationHivernaleComplètePoneys="",ChoixPoneysPréHiver=NON),0,IFERROR(IF(OR(AND(INDEX(Règles_poneys[Specificite],MATCH(RationHivernaleAuPréPoneys&amp;$FN144,Règles_poneys[Ration]&amp;Règles_poneys[Aliment],0))="s1",IF($FN144=Spécificité1Poneys,1)),
AND(INDEX(Règles_poneys[Specificite],MATCH(RationHivernaleAuPréPoneys&amp;$FN144,Règles_poneys[Ration]&amp;Règles_poneys[Aliment],0))="s2",IF($FN144=Spécificité2Poneys,1)),
INDEX(Règles_poneys[Specificite],MATCH(RationHivernaleAuPréPoneys&amp;$FN144,Règles_poneys[Ration]&amp;Règles_poneys[Aliment],0))="c"),
INDEX(Règles_poneys[Valeur 24-36],MATCH(RationHivernaleAuPréPoneys&amp;$FN144,Règles_poneys[Ration]&amp;Règles_poneys[Aliment],0)),0),0)*SUM(TotalPoneys_24_36mois)*21)</f>
        <v>0</v>
      </c>
      <c r="FQ144" s="458">
        <f t="array" ref="FQ144">IF(OR(ChoixRationHivernaleComplètePoneys=OUI,ChoixRationHivernaleComplètePoneys="",ChoixPoneysPréHiver=NON),0,IFERROR(IF(OR(AND(INDEX(Règles_poneys[Specificite],MATCH(RationHivernaleAuPréPoneys&amp;$FN144,Règles_poneys[Ration]&amp;Règles_poneys[Aliment],0))="s1",IF($FN144=Spécificité1Poneys,1)),
AND(INDEX(Règles_poneys[Specificite],MATCH(RationHivernaleAuPréPoneys&amp;$FN144,Règles_poneys[Ration]&amp;Règles_poneys[Aliment],0))="s2",IF($FN144=Spécificité2Poneys,1)),
INDEX(Règles_poneys[Specificite],MATCH(RationHivernaleAuPréPoneys&amp;$FN144,Règles_poneys[Ration]&amp;Règles_poneys[Aliment],0))="c"),
INDEX(Règles_poneys[Valeur 12-24],MATCH(RationHivernaleAuPréPoneys&amp;$FN144,Règles_poneys[Ration]&amp;Règles_poneys[Aliment],0)),0),0)*SUM(TotalPoneys_12_24mois)*21)</f>
        <v>0</v>
      </c>
      <c r="FR144" s="460">
        <f t="array" ref="FR144">IF(OR(ChoixRationHivernaleComplètePoneys=OUI,ChoixRationHivernaleComplètePoneys="",ChoixPoneysPréHiver=NON),0,IFERROR(IF(OR(AND(INDEX(Règles_poneys[Specificite],MATCH(RationHivernaleAuPréPoneys&amp;$FN144,Règles_poneys[Ration]&amp;Règles_poneys[Aliment],0))="s1",IF($FN144=Spécificité1Poneys,1)),
AND(INDEX(Règles_poneys[Specificite],MATCH(RationHivernaleAuPréPoneys&amp;$FN144,Règles_poneys[Ration]&amp;Règles_poneys[Aliment],0))="s2",IF($FN144=Spécificité2Poneys,1)),
INDEX(Règles_poneys[Specificite],MATCH(RationHivernaleAuPréPoneys&amp;$FN144,Règles_poneys[Ration]&amp;Règles_poneys[Aliment],0))="c"),
INDEX(Règles_poneys[Valeur 0-12],MATCH(RationHivernaleAuPréPoneys&amp;$FN144,Règles_poneys[Ration]&amp;Règles_poneys[Aliment],0)),0),0)*SUM(TotalPoulainsPoneys)*21)</f>
        <v>0</v>
      </c>
      <c r="FS144" s="460">
        <f t="shared" si="46"/>
        <v>0</v>
      </c>
      <c r="FT144" s="298"/>
      <c r="FW144" s="457" t="str">
        <f t="shared" si="44"/>
        <v>concentré jeunes lapins</v>
      </c>
      <c r="FX144" s="458">
        <f t="array" ref="FX144">SUM((IF(QualitéAlimentsGavageOison_0_1_mois=BONNE,VLOOKUP("Concentré jeunes lapins",AlimentsGavageOie,5,FALSE),0)+(IF(QualitéAlimentsGavageCaneton_0_1_mois=BONNE,VLOOKUP("Concentré jeunes lapins",AlimentsGavageCanard,5,FALSE),0)+(IF(QualitéAlimentsGavageOison_1_2_mois=BONNE,VLOOKUP("Concentré jeunes lapins",AlimentsGavageOie,4,FALSE),0)+(IF(QualitéAlimentsGavageCaneton_1_2_mois=BONNE,VLOOKUP("Concentré jeunes lapins",AlimentsGavageCanard,4,FALSE),0)+(IF(QualitéAlimentsGavageOison_2_3_mois=BONNE,VLOOKUP("Concentré jeunes lapins",AlimentsGavageOie,3,FALSE),0)+(IF(QualitéAlimentsGavageCaneton_2_3_mois=BONNE,VLOOKUP("Concentré jeunes lapins",AlimentsGavageCanard,3,FALSE),0)+(IF(QualitéAlimentsGavageJeunesOies=BONNE,VLOOKUP("Concentré jeunes lapins",AlimentsGavageOie,2,FALSE),0)+(IF(QualitéAlimentsGavageJeuneCanard=BONNE,VLOOKUP("Concentré jeunes lapins",AlimentsGavageCanard,2,FALSE),0))))))))))</f>
        <v>0</v>
      </c>
      <c r="FY144" s="458">
        <f t="array" ref="FY144">SUM((IF(QualitéAlimentsGavageOison_0_1_mois=MOYENNE,VLOOKUP("Concentré jeunes lapins",AlimentsGavageOie,5,FALSE),0)+(IF(QualitéAlimentsGavageCaneton_0_1_mois=MOYENNE,VLOOKUP("Concentré jeunes lapins",AlimentsGavageCanard,5,FALSE),0)+(IF(QualitéAlimentsGavageOison_1_2_mois=MOYENNE,VLOOKUP("Concentré jeunes lapins",AlimentsGavageOie,4,FALSE),0)+(IF(QualitéAlimentsGavageCaneton_1_2_mois=MOYENNE,VLOOKUP("Concentré jeunes lapins",AlimentsGavageCanard,4,FALSE),0)+(IF(QualitéAlimentsGavageOison_2_3_mois=MOYENNE,VLOOKUP("Concentré jeunes lapins",AlimentsGavageOie,3,FALSE),0)+(IF(QualitéAlimentsGavageCaneton_2_3_mois=MOYENNE,VLOOKUP("Concentré jeunes lapins",AlimentsGavageCanard,3,FALSE),0)+(IF(QualitéAlimentsGavageJeunesOies=MOYENNE,VLOOKUP("Concentré jeunes lapins",AlimentsGavageOie,2,FALSE),0)+(IF(QualitéAlimentsGavageJeuneCanard=MOYENNE,VLOOKUP("Concentré jeunes lapins",AlimentsGavageCanard,2,FALSE),0))))))))))</f>
        <v>0</v>
      </c>
      <c r="FZ144" s="458">
        <f t="array" ref="FZ144">SUM((IF(QualitéAlimentsGavageOison_0_1_mois=MAUVAISE,VLOOKUP("Concentré jeunes lapins",AlimentsGavageOie,5,FALSE),0)+(IF(QualitéAlimentsGavageCaneton_0_1_mois=MAUVAISE,VLOOKUP("Concentré jeunes lapins",AlimentsGavageCanard,5,FALSE),0)+(IF(QualitéAlimentsGavageOison_1_2_mois=MAUVAISE,VLOOKUP("Concentré jeunes lapins",AlimentsGavageOie,4,FALSE),0)+(IF(QualitéAlimentsGavageCaneton_1_2_mois=MAUVAISE,VLOOKUP("Concentré jeunes lapins",AlimentsGavageCanard,4,FALSE),0)+(IF(QualitéAlimentsGavageOison_2_3_mois=MAUVAISE,VLOOKUP("Concentré jeunes lapins",AlimentsGavageOie,3,FALSE),0)+(IF(QualitéAlimentsGavageCaneton_2_3_mois=MAUVAISE,VLOOKUP("Concentré jeunes lapins",AlimentsGavageCanard,3,FALSE),0)+(IF(QualitéAlimentsGavageJeunesOies=MAUVAISE,VLOOKUP("Concentré jeunes lapins",AlimentsGavageOie,2,FALSE),0)+(IF(QualitéAlimentsGavageJeuneCanard=MAUVAISE,VLOOKUP("Concentré jeunes lapins",AlimentsGavageCanard,2,FALSE),0))))))))))</f>
        <v>0</v>
      </c>
      <c r="GB144" s="281"/>
      <c r="GG144" s="276" t="s">
        <v>955</v>
      </c>
      <c r="GH144" s="276" t="s">
        <v>955</v>
      </c>
      <c r="GI144" s="276" t="s">
        <v>955</v>
      </c>
      <c r="GJ144" s="276" t="s">
        <v>955</v>
      </c>
      <c r="GK144" s="276" t="s">
        <v>955</v>
      </c>
      <c r="GL144" s="276" t="s">
        <v>955</v>
      </c>
      <c r="GM144" s="276" t="s">
        <v>955</v>
      </c>
      <c r="GN144" s="276" t="s">
        <v>955</v>
      </c>
      <c r="GO144" s="276" t="s">
        <v>955</v>
      </c>
      <c r="GP144" s="276" t="s">
        <v>955</v>
      </c>
      <c r="GQ144" s="276" t="s">
        <v>955</v>
      </c>
      <c r="GR144" s="276" t="s">
        <v>955</v>
      </c>
      <c r="GS144" s="276" t="s">
        <v>955</v>
      </c>
      <c r="GT144" s="276" t="s">
        <v>955</v>
      </c>
      <c r="GU144" s="276" t="s">
        <v>955</v>
      </c>
      <c r="GV144" s="276" t="s">
        <v>955</v>
      </c>
    </row>
    <row r="145" spans="1:204" ht="12.75" customHeight="1" x14ac:dyDescent="0.2">
      <c r="A145" s="373"/>
      <c r="B145" s="382"/>
      <c r="BB145" s="387" t="s">
        <v>517</v>
      </c>
      <c r="BC145" s="362" t="s">
        <v>518</v>
      </c>
      <c r="BD145" s="362" t="s">
        <v>886</v>
      </c>
      <c r="BE145" s="388">
        <v>200</v>
      </c>
      <c r="BF145" s="388">
        <v>100</v>
      </c>
      <c r="BG145" s="388">
        <v>80</v>
      </c>
      <c r="BH145" s="388">
        <v>60</v>
      </c>
      <c r="BI145" s="388">
        <v>40</v>
      </c>
      <c r="BJ145" s="388">
        <v>28</v>
      </c>
      <c r="BK145" s="389">
        <v>12</v>
      </c>
      <c r="BL145" s="312"/>
      <c r="BM145" s="350" t="str">
        <f t="shared" si="43"/>
        <v>Tourteau de tournesol</v>
      </c>
      <c r="BN145" s="351">
        <f t="array" ref="BN145">SUM((IF(QualitéAlimentsBisonneauxMâles_0_3_mois=BONNE,VLOOKUP("Tourteau de tournesol",AlimentsRationHivernaleBisonsMâles,8,FALSE),0)+(IF(QualitéAlimentsBisonneauxFemelles_0_3_mois=BONNE,VLOOKUP("Tourteau de tournesol",AlimentsRationHivernaleBisonsFemelles,8,FALSE),0)+(IF(QualitéAlimentsBisonneauxMâles_3_6_mois=BONNE,VLOOKUP("Tourteau de tournesol",AlimentsRationHivernaleBisonsMâles,7,FALSE),0)+(IF(QualitéAlimentsBisonneauxFemelles_3_6_mois=BONNE,VLOOKUP("Tourteau de tournesol",AlimentsRationHivernaleBisonsFemelles,7,FALSE),0)+(IF(QualitéAlimentsBisonneauxMâles_6_12_mois=BONNE,VLOOKUP("Tourteau de tournesol",AlimentsRationHivernaleBisonsMâles,6,FALSE),0)+(IF(QualitéAlimentsBisonneauxFemelles_6_12_mois=BONNE,VLOOKUP("Tourteau de tournesol",AlimentsRationHivernaleBisonsFemelles,6,FALSE),0)+(IF(QualitéAlimentsJeunesBisons_12_18_mois=BONNE,VLOOKUP("Tourteau de tournesol",AlimentsRationHivernaleBisonsMâles,5,FALSE),0)+(IF(QualitéAlimentsJeunesBisonnes_12_18_mois=BONNE,VLOOKUP("Tourteau de tournesol",AlimentsRationHivernaleBisonsFemelles,5,FALSE),0)+(IF(QualitéAlimentsJeunesBisons_18_24_mois=BONNE,VLOOKUP("Tourteau de tournesol",AlimentsRationHivernaleBisonsMâles,4,FALSE),0)+(IF(QualitéAlimentsJeunesBisonnes_18_24_mois=BONNE,VLOOKUP("Tourteau de tournesol",AlimentsRationHivernaleBisonsFemelles,4,FALSE),0)+(IF(QualitéAlimentsJeunesBisons_24_36_mois=BONNE,VLOOKUP("Tourteau de tournesol",AlimentsRationHivernaleBisonsMâles,3,FALSE),0)+(IF(QualitéAlimentsJeunesBisonnes_24_36_mois=BONNE,VLOOKUP("Tourteau de tournesol",AlimentsRationHivernaleBisonsFemelles,3,FALSE),0)+(IF(QualitéAlimentsBisons=BONNE,VLOOKUP("Tourteau de tournesol",AlimentsRationHivernaleBisonsMâles,2,FALSE),0)+(IF(QualitéAlimentsBisonnes=BONNE,VLOOKUP("Tourteau de tournesol",AlimentsRationHivernaleBisonsFemelles,2,FALSE),0))))))))))))))))</f>
        <v>0</v>
      </c>
      <c r="BO145" s="351">
        <f t="array" ref="BO145">SUM((IF(QualitéAlimentsBisonneauxMâles_0_3_mois=MOYENNE,VLOOKUP("Tourteau de tournesol",AlimentsRationHivernaleBisonsMâles,8,FALSE),0)+(IF(QualitéAlimentsBisonneauxFemelles_0_3_mois=MOYENNE,VLOOKUP("Tourteau de tournesol",AlimentsRationHivernaleBisonsFemelles,8,FALSE),0)+(IF(QualitéAlimentsBisonneauxMâles_3_6_mois=MOYENNE,VLOOKUP("Tourteau de tournesol",AlimentsRationHivernaleBisonsMâles,7,FALSE),0)+(IF(QualitéAlimentsBisonneauxFemelles_3_6_mois=MOYENNE,VLOOKUP("Tourteau de tournesol",AlimentsRationHivernaleBisonsFemelles,7,FALSE),0)+(IF(QualitéAlimentsBisonneauxMâles_6_12_mois=MOYENNE,VLOOKUP("Tourteau de tournesol",AlimentsRationHivernaleBisonsMâles,6,FALSE),0)+(IF(QualitéAlimentsBisonneauxFemelles_6_12_mois=MOYENNE,VLOOKUP("Tourteau de tournesol",AlimentsRationHivernaleBisonsFemelles,6,FALSE),0)+(IF(QualitéAlimentsJeunesBisons_12_18_mois=MOYENNE,VLOOKUP("Tourteau de tournesol",AlimentsRationHivernaleBisonsMâles,5,FALSE),0)+(IF(QualitéAlimentsJeunesBisonnes_12_18_mois=MOYENNE,VLOOKUP("Tourteau de tournesol",AlimentsRationHivernaleBisonsFemelles,5,FALSE),0)+(IF(QualitéAlimentsJeunesBisons_18_24_mois=MOYENNE,VLOOKUP("Tourteau de tournesol",AlimentsRationHivernaleBisonsMâles,4,FALSE),0)+(IF(QualitéAlimentsJeunesBisonnes_18_24_mois=MOYENNE,VLOOKUP("Tourteau de tournesol",AlimentsRationHivernaleBisonsFemelles,4,FALSE),0)+(IF(QualitéAlimentsJeunesBisons_24_36_mois=MOYENNE,VLOOKUP("Tourteau de tournesol",AlimentsRationHivernaleBisonsMâles,3,FALSE),0)+(IF(QualitéAlimentsJeunesBisonnes_24_36_mois=MOYENNE,VLOOKUP("Tourteau de tournesol",AlimentsRationHivernaleBisonsFemelles,3,FALSE),0)+(IF(QualitéAlimentsBisons=MOYENNE,VLOOKUP("Tourteau de tournesol",AlimentsRationHivernaleBisonsMâles,2,FALSE),0)+(IF(QualitéAlimentsBisonnes=MOYENNE,VLOOKUP("Tourteau de tournesol",AlimentsRationHivernaleBisonsFemelles,2,FALSE),0))))))))))))))))</f>
        <v>0</v>
      </c>
      <c r="BP145" s="351">
        <f t="array" ref="BP145">SUM((IF(QualitéAlimentsBisonneauxMâles_0_3_mois=MAUVAISE,VLOOKUP("Tourteau de tournesol",AlimentsRationHivernaleBisonsMâles,8,FALSE),0)+(IF(QualitéAlimentsBisonneauxFemelles_0_3_mois=MAUVAISE,VLOOKUP("Tourteau de tournesol",AlimentsRationHivernaleBisonsFemelles,8,FALSE),0)+(IF(QualitéAlimentsBisonneauxMâles_3_6_mois=MAUVAISE,VLOOKUP("Tourteau de tournesol",AlimentsRationHivernaleBisonsMâles,7,FALSE),0)+(IF(QualitéAlimentsBisonneauxFemelles_3_6_mois=MAUVAISE,VLOOKUP("Tourteau de tournesol",AlimentsRationHivernaleBisonsFemelles,7,FALSE),0)+(IF(QualitéAlimentsBisonneauxMâles_6_12_mois=MAUVAISE,VLOOKUP("Tourteau de tournesol",AlimentsRationHivernaleBisonsMâles,6,FALSE),0)+(IF(QualitéAlimentsBisonneauxFemelles_6_12_mois=MAUVAISE,VLOOKUP("Tourteau de tournesol",AlimentsRationHivernaleBisonsFemelles,6,FALSE),0)+(IF(QualitéAlimentsJeunesBisons_12_18_mois=MAUVAISE,VLOOKUP("Tourteau de tournesol",AlimentsRationHivernaleBisonsMâles,5,FALSE),0)+(IF(QualitéAlimentsJeunesBisonnes_12_18_mois=MAUVAISE,VLOOKUP("Tourteau de tournesol",AlimentsRationHivernaleBisonsFemelles,5,FALSE),0)+(IF(QualitéAlimentsJeunesBisons_18_24_mois=MAUVAISE,VLOOKUP("Tourteau de tournesol",AlimentsRationHivernaleBisonsMâles,4,FALSE),0)+(IF(QualitéAlimentsJeunesBisonnes_18_24_mois=MAUVAISE,VLOOKUP("Tourteau de tournesol",AlimentsRationHivernaleBisonsFemelles,4,FALSE),0)+(IF(QualitéAlimentsJeunesBisons_24_36_mois=MAUVAISE,VLOOKUP("Tourteau de tournesol",AlimentsRationHivernaleBisonsMâles,3,FALSE),0)+(IF(QualitéAlimentsJeunesBisonnes_24_36_mois=MAUVAISE,VLOOKUP("Tourteau de tournesol",AlimentsRationHivernaleBisonsFemelles,3,FALSE),0)+(IF(QualitéAlimentsBisons=MAUVAISE,VLOOKUP("Tourteau de tournesol",AlimentsRationHivernaleBisonsMâles,2,FALSE),0)+(IF(QualitéAlimentsBisonnes=MAUVAISE,VLOOKUP("Tourteau de tournesol",AlimentsRationHivernaleBisonsFemelles,2,FALSE),0))))))))))))))))</f>
        <v>0</v>
      </c>
      <c r="BX145" s="350" t="str">
        <f t="shared" ref="BX145:BX178" si="51">BX107</f>
        <v>Betterave</v>
      </c>
      <c r="BY145" s="350">
        <f t="array" ref="BY145">IF(ChoixRationComplèteCaprins=OUI,0,IFERROR(IF(OR(AND(INDEX(Règles_caprins[Specificite],MATCH(ChoixRationCaprins&amp;$BX145,Règles_caprins[Ration]&amp;Règles_caprins[Aliment],0))="s1",IF($BX145=Spécificité1Caprins,1)),
INDEX(Règles_caprins[Specificite],MATCH(ChoixRationCaprins&amp;$BX145,Règles_caprins[Ration]&amp;Règles_caprins[Aliment],0))="c"),
INDEX(Règles_caprins[Valeur 12 et plus],MATCH(ChoixRationCaprins&amp;$BX145,Règles_caprins[Ration]&amp;Règles_caprins[Aliment],0)),0),0)*TotalChèvres*NbreJoursNourrirCaprins)</f>
        <v>0</v>
      </c>
      <c r="BZ145" s="350">
        <f t="array" ref="BZ145">IF(ChoixRationComplèteCaprins=OUI,0,IFERROR(IF(OR(AND(INDEX(Règles_caprins[Specificite],MATCH(ChoixRationCaprins&amp;$BX145,Règles_caprins[Ration]&amp;Règles_caprins[Aliment],0))="s1",IF($BX145=Spécificité1Caprins,1)),
INDEX(Règles_caprins[Specificite],MATCH(ChoixRationCaprins&amp;$BX145,Règles_caprins[Ration]&amp;Règles_caprins[Aliment],0))="c"),
INDEX(Règles_caprins[Valeur 6-12],MATCH(ChoixRationCaprins&amp;$BX145,Règles_caprins[Ration]&amp;Règles_caprins[Aliment],0)),0),0)*jeune_chèvre_6_12_mois*NbreJoursNourrirCaprins)</f>
        <v>0</v>
      </c>
      <c r="CA145" s="350">
        <f t="array" ref="CA145">IF(ChoixRationComplèteCaprins=OUI,0,IFERROR(IF(OR(AND(INDEX(Règles_caprins[Specificite],MATCH(ChoixRationCaprins&amp;$BX145,Règles_caprins[Ration]&amp;Règles_caprins[Aliment],0))="s1",IF($BX145=Spécificité1Caprins,1)),
INDEX(Règles_caprins[Specificite],MATCH(ChoixRationCaprins&amp;$BX145,Règles_caprins[Ration]&amp;Règles_caprins[Aliment],0))="c"),
INDEX(Règles_caprins[Valeur 3-6],MATCH(ChoixRationCaprins&amp;$BX145,Règles_caprins[Ration]&amp;Règles_caprins[Aliment],0)),0),0)*chevrette_3_6_mois*NbreJoursNourrirCaprins)</f>
        <v>0</v>
      </c>
      <c r="CB145" s="350">
        <f t="array" ref="CB145">IF(ChoixRationComplèteCaprins=OUI,0,IFERROR(IF(OR(AND(INDEX(Règles_caprins[Specificite],MATCH(ChoixRationCaprins&amp;$BX145,Règles_caprins[Ration]&amp;Règles_caprins[Aliment],0))="s1",IF($BX145=Spécificité1Caprins,1)),
INDEX(Règles_caprins[Specificite],MATCH(ChoixRationCaprins&amp;$BX145,Règles_caprins[Ration]&amp;Règles_caprins[Aliment],0))="c"),
INDEX(Règles_caprins[Valeur 0-3],MATCH(ChoixRationCaprins&amp;$BX145,Règles_caprins[Ration]&amp;Règles_caprins[Aliment],0)),0),0)*chevrette_0_3_mois*NbreJoursNourrirCaprins)</f>
        <v>0</v>
      </c>
      <c r="CC145" s="350">
        <f t="shared" si="50"/>
        <v>0</v>
      </c>
      <c r="CI145" s="277"/>
      <c r="CJ145" s="350" t="str">
        <f t="shared" si="45"/>
        <v>Colza</v>
      </c>
      <c r="CK145" s="351">
        <f>SUM((IF(QualitéAlimentsPorceletMâle_0_1_mois=BONNE,VLOOKUP("Colza",AlimentsRationPorcinsMâles[],6,FALSE),0)+(IF(QualitéAlimentsPorceletFemelle_0_1_mois=BONNE,VLOOKUP("Colza",AlimentsRationPorcinsFemelles[],6,FALSE),0)+(IF(QualitéAlimentsPorceletMâle_1_3_mois=BONNE,VLOOKUP("Colza",AlimentsRationPorcinsMâles[],5,FALSE),0)+(IF(QualitéAlimentsPorceletFemelle_1_3_mois=BONNE,VLOOKUP("Colza",AlimentsRationPorcinsFemelles[],5,FALSE),0)+(IF(QualitéAlimentsJeuneVerrat_3_6_mois=BONNE,VLOOKUP("Colza",AlimentsRationPorcinsMâles[],4,FALSE),0)+(IF(QualitéAlimentsJeuneTruie_3_6_mois=BONNE,VLOOKUP("Colza",AlimentsRationPorcinsFemelles[],4,FALSE),0)+(IF(QualitéAlimentsJeuneVerrat_6_12_mois=BONNE,VLOOKUP("Colza",AlimentsRationPorcinsMâles[],3,FALSE),0)+(IF(QualitéAlimentsJeuneTruie_6_12_mois=BONNE,VLOOKUP("Colza",AlimentsRationPorcinsFemelles[],3,FALSE),0)+(IF(QualitéAlimentsVerrat=BONNE,VLOOKUP("Avoine",AlimentsRationPorcinsMâles[],2,FALSE),0)+(IF(QualitéAlimentsTruie=BONNE,VLOOKUP("Avoine",AlimentsRationPorcinsFemelles[],2,FALSE),0))))))))))))</f>
        <v>0</v>
      </c>
      <c r="CL145" s="351">
        <f t="array" ref="CL145">SUM((IF(QualitéAlimentsPorceletMâle_0_1_mois=MOYENNE,VLOOKUP("Colza",AlimentsRationPorcinsMâles[],6,FALSE),0)+(IF(QualitéAlimentsPorceletFemelle_0_1_mois=MOYENNE,VLOOKUP("Colza",AlimentsRationPorcinsFemelles[],6,FALSE),0)+(IF(QualitéAlimentsPorceletMâle_1_3_mois=MOYENNE,VLOOKUP("Colza",AlimentsRationPorcinsMâles[],5,FALSE),0)+(IF(QualitéAlimentsPorceletFemelle_1_3_mois=MOYENNE,VLOOKUP("Colza",AlimentsRationPorcinsFemelles[],5,FALSE),0)+(IF(QualitéAlimentsJeuneVerrat_3_6_mois=MOYENNE,VLOOKUP("Colza",AlimentsRationPorcinsMâles[],4,FALSE),0)+(IF(QualitéAlimentsJeuneTruie_3_6_mois=MOYENNE,VLOOKUP("Colza",AlimentsRationPorcinsFemelles[],4,FALSE),0)+(IF(QualitéAlimentsJeuneVerrat_6_12_mois=MOYENNE,VLOOKUP("Colza",AlimentsRationPorcinsMâles[],3,FALSE),0)+(IF(QualitéAlimentsJeuneTruie_6_12_mois=MOYENNE,VLOOKUP("Colza",AlimentsRationPorcinsFemelles[],3,FALSE),0)+(IF(QualitéAlimentsVerrat=BONNE,VLOOKUP("Avoine",AlimentsRationPorcinsMâles[],2,FALSE),0)+(IF(QualitéAlimentsTruie=BONNE,VLOOKUP("Avoine",AlimentsRationPorcinsFemelles[],2,FALSE),0))))))))))))</f>
        <v>0</v>
      </c>
      <c r="CM145" s="351">
        <f t="array" ref="CM145">SUM((IF(QualitéAlimentsPorceletMâle_0_1_mois=MAUVAISE,VLOOKUP("Colza",AlimentsRationPorcinsMâles[],6,FALSE),0)+(IF(QualitéAlimentsPorceletFemelle_0_1_mois=MAUVAISE,VLOOKUP("Colza",AlimentsRationPorcinsFemelles[],6,FALSE),0)+(IF(QualitéAlimentsPorceletMâle_1_3_mois=MAUVAISE,VLOOKUP("Colza",AlimentsRationPorcinsMâles[],5,FALSE),0)+(IF(QualitéAlimentsPorceletFemelle_1_3_mois=MAUVAISE,VLOOKUP("Colza",AlimentsRationPorcinsFemelles[],5,FALSE),0)+(IF(QualitéAlimentsJeuneVerrat_3_6_mois=MAUVAISE,VLOOKUP("Colza",AlimentsRationPorcinsMâles[],4,FALSE),0)+(IF(QualitéAlimentsJeuneTruie_3_6_mois=MAUVAISE,VLOOKUP("Colza",AlimentsRationPorcinsFemelles[],4,FALSE),0)+(IF(QualitéAlimentsJeuneVerrat_6_12_mois=MAUVAISE,VLOOKUP("Colza",AlimentsRationPorcinsMâles[],3,FALSE),0)+(IF(QualitéAlimentsJeuneTruie_6_12_mois=MAUVAISE,VLOOKUP("Colza",AlimentsRationPorcinsFemelles[],3,FALSE),0)+(IF(QualitéAlimentsVerrat=BONNE,VLOOKUP("Avoine",AlimentsRationPorcinsMâles[],2,FALSE),0)+(IF(QualitéAlimentsTruie=BONNE,VLOOKUP("Avoine",AlimentsRationPorcinsFemelles[],2,FALSE),0))))))))))))</f>
        <v>0</v>
      </c>
      <c r="CN145" s="277"/>
      <c r="CO145" s="277"/>
      <c r="CP145" s="298"/>
      <c r="CS145" s="394" t="s">
        <v>976</v>
      </c>
      <c r="CT145" s="396" t="s">
        <v>127</v>
      </c>
      <c r="CU145" s="277"/>
      <c r="CV145" s="277"/>
      <c r="CZ145" s="420" t="s">
        <v>597</v>
      </c>
      <c r="DA145" s="408">
        <f>DC16*TotalCoqs*SUM(Z76:Z100)</f>
        <v>0</v>
      </c>
      <c r="DG145" s="350" t="str">
        <f t="shared" ref="DG145:DG182" si="52">DG49</f>
        <v>Betterave</v>
      </c>
      <c r="DH145" s="351">
        <f t="array" ref="DH145">SUM((IF(QualitéAlimentsPintadeauMâle_0_1_mois=BONNE,VLOOKUP("Betterave",AlimentsRationPintadesMâles[],4,FALSE),0)+(IF(QualitéAlimentsPintadeauFemelle_0_1_mois=BONNE,VLOOKUP("Betterave",AlimentsRationPintadesFemelles[],4,FALSE),0)+(IF(QualitéAlimentsJeunePintadeMâle=BONNE,VLOOKUP("Betterave",AlimentsRationPintadesMâles[],3,FALSE),0)+(IF(QualitéAlimentsJeunePintadeFemelle=BONNE,VLOOKUP("Betterave",AlimentsRationPintadesFemelles[],3,FALSE),0)+(IF(QualitéAlimentsPintadeMâle=BONNE,VLOOKUP("Betterave",AlimentsRationPintadesMâles[],2,FALSE),0)+(IF(QualitéAlimentsPintadeFemelle=BONNE,VLOOKUP("Betterave",AlimentsRationPintadesFemelles[],2,FALSE),0))))))))</f>
        <v>0</v>
      </c>
      <c r="DI145" s="351">
        <f t="array" ref="DI145">SUM((IF(QualitéAlimentsPintadeauMâle_0_1_mois=MOYENNE,VLOOKUP("Betterave",AlimentsRationPintadesMâles[],4,FALSE),0)+(IF(QualitéAlimentsPintadeauFemelle_0_1_mois=MOYENNE,VLOOKUP("Betterave",AlimentsRationPintadesFemelles[],4,FALSE),0)+(IF(QualitéAlimentsJeunePintadeMâle=MOYENNE,VLOOKUP("Betterave",AlimentsRationPintadesMâles[],3,FALSE),0)+(IF(QualitéAlimentsJeunePintadeFemelle=MOYENNE,VLOOKUP("Betterave",AlimentsRationPintadesFemelles[],3,FALSE),0)+(IF(QualitéAlimentsPintadeMâle=MOYENNE,VLOOKUP("Betterave",AlimentsRationPintadesMâles[],2,FALSE),0)+(IF(QualitéAlimentsPintadeFemelle=MOYENNE,VLOOKUP("Betterave",AlimentsRationPintadesFemelles[],2,FALSE),0))))))))</f>
        <v>0</v>
      </c>
      <c r="DJ145" s="351">
        <f t="array" ref="DJ145">SUM((IF(QualitéAlimentsPintadeauMâle_0_1_mois=MAUVAISE,VLOOKUP("Betterave",AlimentsRationPintadesMâles[],4,FALSE),0)+(IF(QualitéAlimentsPintadeauFemelle_0_1_mois=MAUVAISE,VLOOKUP("Betterave",AlimentsRationPintadesFemelles[],4,FALSE),0)+(IF(QualitéAlimentsJeunePintadeMâle=MAUVAISE,VLOOKUP("Betterave",AlimentsRationPintadesMâles[],3,FALSE),0)+(IF(QualitéAlimentsJeunePintadeFemelle=MAUVAISE,VLOOKUP("Betterave",AlimentsRationPintadesFemelles[],3,FALSE),0)+(IF(QualitéAlimentsPintadeMâle=MAUVAISE,VLOOKUP("Betterave",AlimentsRationPintadesMâles[],2,FALSE),0)+(IF(QualitéAlimentsPintadeFemelle=MAUVAISE,VLOOKUP("Betterave",AlimentsRationPintadesFemelles[],2,FALSE),0))))))))</f>
        <v>0</v>
      </c>
      <c r="DN145" s="373" t="s">
        <v>843</v>
      </c>
      <c r="DO145" s="280" t="s">
        <v>905</v>
      </c>
      <c r="DP145" s="280" t="s">
        <v>886</v>
      </c>
      <c r="DQ145" s="280">
        <v>0.1</v>
      </c>
      <c r="DR145" s="280">
        <v>0.08</v>
      </c>
      <c r="DS145" s="280">
        <v>0.06</v>
      </c>
      <c r="DT145" s="363">
        <v>0.05</v>
      </c>
      <c r="EG145" s="420" t="s">
        <v>655</v>
      </c>
      <c r="EH145" s="408">
        <f>EH28*SUM(TotalOisons)*SUM(Z76:Z100)</f>
        <v>0</v>
      </c>
      <c r="EN145" s="421" t="s">
        <v>973</v>
      </c>
      <c r="EO145" s="422">
        <f>IF(ChoixPaillageCanards=OUI,SUBTOTAL(109,LitièreCanards[litière]),0)</f>
        <v>0</v>
      </c>
      <c r="FD145" s="457" t="str">
        <f t="shared" si="49"/>
        <v>Bouchons luzerne</v>
      </c>
      <c r="FE145" s="458">
        <f t="array" ref="FE145">IF(OR(ChoixRationHivernaleComplèteChevauxTrait=OUI,ChoixRationHivernaleComplèteChevauxTrait="",ChoixChevauxTraitPréHiver=NON),0,IFERROR(IF(OR(AND(INDEX(Règles_chevaux_trait[Specificite],MATCH(RationHivernaleAuPréChevauxTrait&amp;$FD145,Règles_chevaux_trait[Ration]&amp;Règles_chevaux_trait[Aliment],0))="s1",IF($FD145=Spécificité1ChevauxTrait,1)),
AND(INDEX(Règles_chevaux_trait[Specificite],MATCH(RationHivernaleAuPréChevauxTrait&amp;$FD145,Règles_chevaux_trait[Ration]&amp;Règles_chevaux_trait[Aliment],0))="s2",IF($FD145=Spécificité2ChevauxTrait,1)),
INDEX(Règles_chevaux_trait[Specificite],MATCH(RationHivernaleAuPréChevauxTrait&amp;$FD145,Règles_chevaux_trait[Ration]&amp;Règles_chevaux_trait[Aliment],0))="c"),
INDEX(Règles_chevaux_trait[Valeur 36 et plus],MATCH(RationHivernaleAuPréChevauxTrait&amp;$FD145,Règles_chevaux_trait[Ration]&amp;Règles_chevaux_trait[Aliment],0)),0),0)*SUM(TotalChevauxTraitAdultes)*21)</f>
        <v>0</v>
      </c>
      <c r="FF145" s="458">
        <f t="array" ref="FF145">IF(OR(ChoixRationHivernaleComplèteChevauxTrait=OUI,ChoixRationHivernaleComplèteChevauxTrait="",ChoixChevauxTraitPréHiver=NON),0,IFERROR(IF(OR(AND(INDEX(Règles_chevaux_trait[Specificite],MATCH(RationHivernaleAuPréChevauxTrait&amp;$FD145,Règles_chevaux_trait[Ration]&amp;Règles_chevaux_trait[Aliment],0))="s1",IF($FD145=Spécificité1ChevauxTrait,1)),
AND(INDEX(Règles_chevaux_trait[Specificite],MATCH(RationHivernaleAuPréChevauxTrait&amp;$FD145,Règles_chevaux_trait[Ration]&amp;Règles_chevaux_trait[Aliment],0))="s2",IF($FD145=Spécificité2ChevauxTrait,1)),
INDEX(Règles_chevaux_trait[Specificite],MATCH(RationHivernaleAuPréChevauxTrait&amp;$FD145,Règles_chevaux_trait[Ration]&amp;Règles_chevaux_trait[Aliment],0))="c"),
INDEX(Règles_chevaux_trait[Valeur 24-36],MATCH(RationHivernaleAuPréChevauxTrait&amp;$FD145,Règles_chevaux_trait[Ration]&amp;Règles_chevaux_trait[Aliment],0)),0),0)*SUM(TotalChevauxTrait_24_36mois)*21)</f>
        <v>0</v>
      </c>
      <c r="FG145" s="458">
        <f t="array" ref="FG145">IF(OR(ChoixRationHivernaleComplèteChevauxTrait=OUI,ChoixRationHivernaleComplèteChevauxTrait="",ChoixChevauxTraitPréHiver=NON),0,IFERROR(IF(OR(AND(INDEX(Règles_chevaux_trait[Specificite],MATCH(RationHivernaleAuPréChevauxTrait&amp;$FD145,Règles_chevaux_trait[Ration]&amp;Règles_chevaux_trait[Aliment],0))="s1",IF($FD145=Spécificité1ChevauxTrait,1)),
AND(INDEX(Règles_chevaux_trait[Specificite],MATCH(RationHivernaleAuPréChevauxTrait&amp;$FD145,Règles_chevaux_trait[Ration]&amp;Règles_chevaux_trait[Aliment],0))="s2",IF($FD145=Spécificité2ChevauxTrait,1)),
INDEX(Règles_chevaux_trait[Specificite],MATCH(RationHivernaleAuPréChevauxTrait&amp;$FD145,Règles_chevaux_trait[Ration]&amp;Règles_chevaux_trait[Aliment],0))="c"),
INDEX(Règles_chevaux_trait[Valeur 12-24],MATCH(RationHivernaleAuPréChevauxTrait&amp;$FD145,Règles_chevaux_trait[Ration]&amp;Règles_chevaux_trait[Aliment],0)),0),0)*SUM(TotalChevauxTrait_12_24mois)*21)</f>
        <v>0</v>
      </c>
      <c r="FH145" s="460">
        <f t="array" ref="FH145">IF(OR(ChoixRationHivernaleComplèteChevauxTrait=OUI,ChoixRationHivernaleComplèteChevauxTrait="",ChoixChevauxTraitPréHiver=NON),0,IFERROR(IF(OR(AND(INDEX(Règles_chevaux_trait[Specificite],MATCH(RationHivernaleAuPréChevauxTrait&amp;$FD145,Règles_chevaux_trait[Ration]&amp;Règles_chevaux_trait[Aliment],0))="s1",IF($FD145=Spécificité1ChevauxTrait,1)),
AND(INDEX(Règles_chevaux_trait[Specificite],MATCH(RationHivernaleAuPréChevauxTrait&amp;$FD145,Règles_chevaux_trait[Ration]&amp;Règles_chevaux_trait[Aliment],0))="s2",IF($FD145=Spécificité2ChevauxTrait,1)),
INDEX(Règles_chevaux_trait[Specificite],MATCH(RationHivernaleAuPréChevauxTrait&amp;$FD145,Règles_chevaux_trait[Ration]&amp;Règles_chevaux_trait[Aliment],0))="c"),
INDEX(Règles_chevaux_trait[Valeur 0-12],MATCH(RationHivernaleAuPréChevauxTrait&amp;$FD145,Règles_chevaux_trait[Ration]&amp;Règles_chevaux_trait[Aliment],0)),0),0)*SUM(TotalPoulainsTrait)*21)</f>
        <v>0</v>
      </c>
      <c r="FI145" s="460">
        <f t="shared" si="47"/>
        <v>0</v>
      </c>
      <c r="FJ145" s="298"/>
      <c r="FN145" s="457" t="str">
        <f t="shared" si="48"/>
        <v>Chanvre</v>
      </c>
      <c r="FO145" s="458">
        <f t="array" ref="FO145">IF(OR(ChoixRationHivernaleComplètePoneys=OUI,ChoixRationHivernaleComplètePoneys="",ChoixPoneysPréHiver=NON),0,IFERROR(IF(OR(AND(INDEX(Règles_poneys[Specificite],MATCH(RationHivernaleAuPréPoneys&amp;$FN145,Règles_poneys[Ration]&amp;Règles_poneys[Aliment],0))="s1",IF($FN145=Spécificité1Poneys,1)),
AND(INDEX(Règles_poneys[Specificite],MATCH(RationHivernaleAuPréPoneys&amp;$FN145,Règles_poneys[Ration]&amp;Règles_poneys[Aliment],0))="s2",IF($FN145=Spécificité2Poneys,1)),
INDEX(Règles_poneys[Specificite],MATCH(RationHivernaleAuPréPoneys&amp;$FN145,Règles_poneys[Ration]&amp;Règles_poneys[Aliment],0))="c"),
INDEX(Règles_poneys[Valeur 36 et plus],MATCH(RationHivernaleAuPréPoneys&amp;$FN145,Règles_poneys[Ration]&amp;Règles_poneys[Aliment],0)),0),0)*SUM(TotalPoneysAdultes)*21)</f>
        <v>0</v>
      </c>
      <c r="FP145" s="458">
        <f t="array" ref="FP145">IF(OR(ChoixRationHivernaleComplètePoneys=OUI,ChoixRationHivernaleComplètePoneys="",ChoixPoneysPréHiver=NON),0,IFERROR(IF(OR(AND(INDEX(Règles_poneys[Specificite],MATCH(RationHivernaleAuPréPoneys&amp;$FN145,Règles_poneys[Ration]&amp;Règles_poneys[Aliment],0))="s1",IF($FN145=Spécificité1Poneys,1)),
AND(INDEX(Règles_poneys[Specificite],MATCH(RationHivernaleAuPréPoneys&amp;$FN145,Règles_poneys[Ration]&amp;Règles_poneys[Aliment],0))="s2",IF($FN145=Spécificité2Poneys,1)),
INDEX(Règles_poneys[Specificite],MATCH(RationHivernaleAuPréPoneys&amp;$FN145,Règles_poneys[Ration]&amp;Règles_poneys[Aliment],0))="c"),
INDEX(Règles_poneys[Valeur 24-36],MATCH(RationHivernaleAuPréPoneys&amp;$FN145,Règles_poneys[Ration]&amp;Règles_poneys[Aliment],0)),0),0)*SUM(TotalPoneys_24_36mois)*21)</f>
        <v>0</v>
      </c>
      <c r="FQ145" s="458">
        <f t="array" ref="FQ145">IF(OR(ChoixRationHivernaleComplètePoneys=OUI,ChoixRationHivernaleComplètePoneys="",ChoixPoneysPréHiver=NON),0,IFERROR(IF(OR(AND(INDEX(Règles_poneys[Specificite],MATCH(RationHivernaleAuPréPoneys&amp;$FN145,Règles_poneys[Ration]&amp;Règles_poneys[Aliment],0))="s1",IF($FN145=Spécificité1Poneys,1)),
AND(INDEX(Règles_poneys[Specificite],MATCH(RationHivernaleAuPréPoneys&amp;$FN145,Règles_poneys[Ration]&amp;Règles_poneys[Aliment],0))="s2",IF($FN145=Spécificité2Poneys,1)),
INDEX(Règles_poneys[Specificite],MATCH(RationHivernaleAuPréPoneys&amp;$FN145,Règles_poneys[Ration]&amp;Règles_poneys[Aliment],0))="c"),
INDEX(Règles_poneys[Valeur 12-24],MATCH(RationHivernaleAuPréPoneys&amp;$FN145,Règles_poneys[Ration]&amp;Règles_poneys[Aliment],0)),0),0)*SUM(TotalPoneys_12_24mois)*21)</f>
        <v>0</v>
      </c>
      <c r="FR145" s="460">
        <f t="array" ref="FR145">IF(OR(ChoixRationHivernaleComplètePoneys=OUI,ChoixRationHivernaleComplètePoneys="",ChoixPoneysPréHiver=NON),0,IFERROR(IF(OR(AND(INDEX(Règles_poneys[Specificite],MATCH(RationHivernaleAuPréPoneys&amp;$FN145,Règles_poneys[Ration]&amp;Règles_poneys[Aliment],0))="s1",IF($FN145=Spécificité1Poneys,1)),
AND(INDEX(Règles_poneys[Specificite],MATCH(RationHivernaleAuPréPoneys&amp;$FN145,Règles_poneys[Ration]&amp;Règles_poneys[Aliment],0))="s2",IF($FN145=Spécificité2Poneys,1)),
INDEX(Règles_poneys[Specificite],MATCH(RationHivernaleAuPréPoneys&amp;$FN145,Règles_poneys[Ration]&amp;Règles_poneys[Aliment],0))="c"),
INDEX(Règles_poneys[Valeur 0-12],MATCH(RationHivernaleAuPréPoneys&amp;$FN145,Règles_poneys[Ration]&amp;Règles_poneys[Aliment],0)),0),0)*SUM(TotalPoulainsPoneys)*21)</f>
        <v>0</v>
      </c>
      <c r="FS145" s="460">
        <f t="shared" si="46"/>
        <v>0</v>
      </c>
      <c r="FW145" s="457" t="str">
        <f t="shared" si="44"/>
        <v>concentré jeunes porcins</v>
      </c>
      <c r="FX145" s="458">
        <f t="array" ref="FX145">SUM((IF(QualitéAlimentsGavageOison_0_1_mois=BONNE,VLOOKUP("Concentré jeunes porcins",AlimentsGavageOie,5,FALSE),0)+(IF(QualitéAlimentsGavageCaneton_0_1_mois=BONNE,VLOOKUP("Concentré jeunes porcins",AlimentsGavageCanard,5,FALSE),0)+(IF(QualitéAlimentsGavageOison_1_2_mois=BONNE,VLOOKUP("Concentré jeunes porcins",AlimentsGavageOie,4,FALSE),0)+(IF(QualitéAlimentsGavageCaneton_1_2_mois=BONNE,VLOOKUP("Concentré jeunes porcins",AlimentsGavageCanard,4,FALSE),0)+(IF(QualitéAlimentsGavageOison_2_3_mois=BONNE,VLOOKUP("Concentré jeunes porcins",AlimentsGavageOie,3,FALSE),0)+(IF(QualitéAlimentsGavageCaneton_2_3_mois=BONNE,VLOOKUP("Concentré jeunes porcins",AlimentsGavageCanard,3,FALSE),0)+(IF(QualitéAlimentsGavageJeunesOies=BONNE,VLOOKUP("Concentré jeunes porcins",AlimentsGavageOie,2,FALSE),0)+(IF(QualitéAlimentsGavageJeuneCanard=BONNE,VLOOKUP("Concentré jeunes porcins",AlimentsGavageCanard,2,FALSE),0))))))))))</f>
        <v>0</v>
      </c>
      <c r="FY145" s="458">
        <f t="array" ref="FY145">SUM((IF(QualitéAlimentsGavageOison_0_1_mois=MOYENNE,VLOOKUP("Concentré jeunes porcins",AlimentsGavageOie,5,FALSE),0)+(IF(QualitéAlimentsGavageCaneton_0_1_mois=MOYENNE,VLOOKUP("Concentré jeunes porcins",AlimentsGavageCanard,5,FALSE),0)+(IF(QualitéAlimentsGavageOison_1_2_mois=MOYENNE,VLOOKUP("Concentré jeunes porcins",AlimentsGavageOie,4,FALSE),0)+(IF(QualitéAlimentsGavageCaneton_1_2_mois=MOYENNE,VLOOKUP("Concentré jeunes porcins",AlimentsGavageCanard,4,FALSE),0)+(IF(QualitéAlimentsGavageOison_2_3_mois=MOYENNE,VLOOKUP("Concentré jeunes porcins",AlimentsGavageOie,3,FALSE),0)+(IF(QualitéAlimentsGavageCaneton_2_3_mois=MOYENNE,VLOOKUP("Concentré jeunes porcins",AlimentsGavageCanard,3,FALSE),0)+(IF(QualitéAlimentsGavageJeunesOies=MOYENNE,VLOOKUP("Concentré jeunes porcins",AlimentsGavageOie,2,FALSE),0)+(IF(QualitéAlimentsGavageJeuneCanard=MOYENNE,VLOOKUP("Concentré jeunes porcins",AlimentsGavageCanard,2,FALSE),0))))))))))</f>
        <v>0</v>
      </c>
      <c r="FZ145" s="458">
        <f t="array" ref="FZ145">SUM((IF(QualitéAlimentsGavageOison_0_1_mois=MAUVAISE,VLOOKUP("Concentré jeunes porcins",AlimentsGavageOie,5,FALSE),0)+(IF(QualitéAlimentsGavageCaneton_0_1_mois=MAUVAISE,VLOOKUP("Concentré jeunes porcins",AlimentsGavageCanard,5,FALSE),0)+(IF(QualitéAlimentsGavageOison_1_2_mois=MAUVAISE,VLOOKUP("Concentré jeunes porcins",AlimentsGavageOie,4,FALSE),0)+(IF(QualitéAlimentsGavageCaneton_1_2_mois=MAUVAISE,VLOOKUP("Concentré jeunes porcins",AlimentsGavageCanard,4,FALSE),0)+(IF(QualitéAlimentsGavageOison_2_3_mois=MAUVAISE,VLOOKUP("Concentré jeunes porcins",AlimentsGavageOie,3,FALSE),0)+(IF(QualitéAlimentsGavageCaneton_2_3_mois=MAUVAISE,VLOOKUP("Concentré jeunes porcins",AlimentsGavageCanard,3,FALSE),0)+(IF(QualitéAlimentsGavageJeunesOies=MAUVAISE,VLOOKUP("Concentré jeunes porcins",AlimentsGavageOie,2,FALSE),0)+(IF(QualitéAlimentsGavageJeuneCanard=MAUVAISE,VLOOKUP("Concentré jeunes porcins",AlimentsGavageCanard,2,FALSE),0))))))))))</f>
        <v>0</v>
      </c>
      <c r="GB145" s="281"/>
      <c r="GG145" s="276" t="s">
        <v>955</v>
      </c>
      <c r="GH145" s="276" t="s">
        <v>955</v>
      </c>
      <c r="GI145" s="276" t="s">
        <v>955</v>
      </c>
      <c r="GJ145" s="276" t="s">
        <v>955</v>
      </c>
      <c r="GK145" s="276" t="s">
        <v>955</v>
      </c>
      <c r="GL145" s="276" t="s">
        <v>955</v>
      </c>
      <c r="GM145" s="276" t="s">
        <v>955</v>
      </c>
      <c r="GN145" s="276" t="s">
        <v>955</v>
      </c>
      <c r="GO145" s="276" t="s">
        <v>955</v>
      </c>
      <c r="GP145" s="276" t="s">
        <v>955</v>
      </c>
      <c r="GQ145" s="276" t="s">
        <v>955</v>
      </c>
      <c r="GR145" s="276" t="s">
        <v>955</v>
      </c>
      <c r="GS145" s="276" t="s">
        <v>955</v>
      </c>
      <c r="GT145" s="276" t="s">
        <v>955</v>
      </c>
      <c r="GU145" s="276" t="s">
        <v>955</v>
      </c>
      <c r="GV145" s="276" t="s">
        <v>955</v>
      </c>
    </row>
    <row r="146" spans="1:204" ht="12.75" customHeight="1" x14ac:dyDescent="0.2">
      <c r="A146" s="373"/>
      <c r="B146" s="382"/>
      <c r="BB146" s="387" t="s">
        <v>516</v>
      </c>
      <c r="BC146" s="362" t="s">
        <v>508</v>
      </c>
      <c r="BD146" s="362" t="s">
        <v>911</v>
      </c>
      <c r="BE146" s="388">
        <v>0</v>
      </c>
      <c r="BF146" s="388">
        <v>0</v>
      </c>
      <c r="BG146" s="388">
        <v>0</v>
      </c>
      <c r="BH146" s="388">
        <v>0</v>
      </c>
      <c r="BI146" s="388">
        <v>0</v>
      </c>
      <c r="BJ146" s="388">
        <v>0</v>
      </c>
      <c r="BK146" s="389">
        <v>0</v>
      </c>
      <c r="BL146" s="312"/>
      <c r="BM146" s="350" t="str">
        <f t="shared" si="43"/>
        <v>Triticale</v>
      </c>
      <c r="BN146" s="351">
        <f t="array" ref="BN146">SUM((IF(QualitéAlimentsBisonneauxMâles_0_3_mois=BONNE,VLOOKUP("Triticale",AlimentsRationHivernaleBisonsMâles,8,FALSE),0)+(IF(QualitéAlimentsBisonneauxFemelles_0_3_mois=BONNE,VLOOKUP("Triticale",AlimentsRationHivernaleBisonsFemelles,8,FALSE),0)+(IF(QualitéAlimentsBisonneauxMâles_3_6_mois=BONNE,VLOOKUP("Triticale",AlimentsRationHivernaleBisonsMâles,7,FALSE),0)+(IF(QualitéAlimentsBisonneauxFemelles_3_6_mois=BONNE,VLOOKUP("Triticale",AlimentsRationHivernaleBisonsFemelles,7,FALSE),0)+(IF(QualitéAlimentsBisonneauxMâles_6_12_mois=BONNE,VLOOKUP("Triticale",AlimentsRationHivernaleBisonsMâles,6,FALSE),0)+(IF(QualitéAlimentsBisonneauxFemelles_6_12_mois=BONNE,VLOOKUP("Triticale",AlimentsRationHivernaleBisonsFemelles,6,FALSE),0)+(IF(QualitéAlimentsJeunesBisons_12_18_mois=BONNE,VLOOKUP("Triticale",AlimentsRationHivernaleBisonsMâles,5,FALSE),0)+(IF(QualitéAlimentsJeunesBisonnes_12_18_mois=BONNE,VLOOKUP("Triticale",AlimentsRationHivernaleBisonsFemelles,5,FALSE),0)+(IF(QualitéAlimentsJeunesBisons_18_24_mois=BONNE,VLOOKUP("Triticale",AlimentsRationHivernaleBisonsMâles,4,FALSE),0)+(IF(QualitéAlimentsJeunesBisonnes_18_24_mois=BONNE,VLOOKUP("Triticale",AlimentsRationHivernaleBisonsFemelles,4,FALSE),0)+(IF(QualitéAlimentsJeunesBisons_24_36_mois=BONNE,VLOOKUP("Triticale",AlimentsRationHivernaleBisonsMâles,3,FALSE),0)+(IF(QualitéAlimentsJeunesBisonnes_24_36_mois=BONNE,VLOOKUP("Triticale",AlimentsRationHivernaleBisonsFemelles,3,FALSE),0)+(IF(QualitéAlimentsBisons=BONNE,VLOOKUP("Triticale",AlimentsRationHivernaleBisonsMâles,2,FALSE),0)+(IF(QualitéAlimentsBisonnes=BONNE,VLOOKUP("Triticale",AlimentsRationHivernaleBisonsFemelles,2,FALSE),0))))))))))))))))</f>
        <v>0</v>
      </c>
      <c r="BO146" s="351">
        <f t="array" ref="BO146">SUM((IF(QualitéAlimentsBisonneauxMâles_0_3_mois=MOYENNE,VLOOKUP("Triticale",AlimentsRationHivernaleBisonsMâles,8,FALSE),0)+(IF(QualitéAlimentsBisonneauxFemelles_0_3_mois=MOYENNE,VLOOKUP("Triticale",AlimentsRationHivernaleBisonsFemelles,8,FALSE),0)+(IF(QualitéAlimentsBisonneauxMâles_3_6_mois=MOYENNE,VLOOKUP("Triticale",AlimentsRationHivernaleBisonsMâles,7,FALSE),0)+(IF(QualitéAlimentsBisonneauxFemelles_3_6_mois=MOYENNE,VLOOKUP("Triticale",AlimentsRationHivernaleBisonsFemelles,7,FALSE),0)+(IF(QualitéAlimentsBisonneauxMâles_6_12_mois=MOYENNE,VLOOKUP("Triticale",AlimentsRationHivernaleBisonsMâles,6,FALSE),0)+(IF(QualitéAlimentsBisonneauxFemelles_6_12_mois=MOYENNE,VLOOKUP("Triticale",AlimentsRationHivernaleBisonsFemelles,6,FALSE),0)+(IF(QualitéAlimentsJeunesBisons_12_18_mois=MOYENNE,VLOOKUP("Triticale",AlimentsRationHivernaleBisonsMâles,5,FALSE),0)+(IF(QualitéAlimentsJeunesBisonnes_12_18_mois=MOYENNE,VLOOKUP("Triticale",AlimentsRationHivernaleBisonsFemelles,5,FALSE),0)+(IF(QualitéAlimentsJeunesBisons_18_24_mois=MOYENNE,VLOOKUP("Triticale",AlimentsRationHivernaleBisonsMâles,4,FALSE),0)+(IF(QualitéAlimentsJeunesBisonnes_18_24_mois=MOYENNE,VLOOKUP("Triticale",AlimentsRationHivernaleBisonsFemelles,4,FALSE),0)+(IF(QualitéAlimentsJeunesBisons_24_36_mois=MOYENNE,VLOOKUP("Triticale",AlimentsRationHivernaleBisonsMâles,3,FALSE),0)+(IF(QualitéAlimentsJeunesBisonnes_24_36_mois=MOYENNE,VLOOKUP("Triticale",AlimentsRationHivernaleBisonsFemelles,3,FALSE),0)+(IF(QualitéAlimentsBisons=MOYENNE,VLOOKUP("Triticale",AlimentsRationHivernaleBisonsMâles,2,FALSE),0)+(IF(QualitéAlimentsBisonnes=MOYENNE,VLOOKUP("Triticale",AlimentsRationHivernaleBisonsFemelles,2,FALSE),0))))))))))))))))</f>
        <v>0</v>
      </c>
      <c r="BP146" s="351">
        <f t="array" ref="BP146">SUM((IF(QualitéAlimentsBisonneauxMâles_0_3_mois=MAUVAISE,VLOOKUP("Triticale",AlimentsRationHivernaleBisonsMâles,8,FALSE),0)+(IF(QualitéAlimentsBisonneauxFemelles_0_3_mois=MAUVAISE,VLOOKUP("Triticale",AlimentsRationHivernaleBisonsFemelles,8,FALSE),0)+(IF(QualitéAlimentsBisonneauxMâles_3_6_mois=MAUVAISE,VLOOKUP("Triticale",AlimentsRationHivernaleBisonsMâles,7,FALSE),0)+(IF(QualitéAlimentsBisonneauxFemelles_3_6_mois=MAUVAISE,VLOOKUP("Triticale",AlimentsRationHivernaleBisonsFemelles,7,FALSE),0)+(IF(QualitéAlimentsBisonneauxMâles_6_12_mois=MAUVAISE,VLOOKUP("Triticale",AlimentsRationHivernaleBisonsMâles,6,FALSE),0)+(IF(QualitéAlimentsBisonneauxFemelles_6_12_mois=MAUVAISE,VLOOKUP("Triticale",AlimentsRationHivernaleBisonsFemelles,6,FALSE),0)+(IF(QualitéAlimentsJeunesBisons_12_18_mois=MAUVAISE,VLOOKUP("Triticale",AlimentsRationHivernaleBisonsMâles,5,FALSE),0)+(IF(QualitéAlimentsJeunesBisonnes_12_18_mois=MAUVAISE,VLOOKUP("Triticale",AlimentsRationHivernaleBisonsFemelles,5,FALSE),0)+(IF(QualitéAlimentsJeunesBisons_18_24_mois=MAUVAISE,VLOOKUP("Triticale",AlimentsRationHivernaleBisonsMâles,4,FALSE),0)+(IF(QualitéAlimentsJeunesBisonnes_18_24_mois=MAUVAISE,VLOOKUP("Triticale",AlimentsRationHivernaleBisonsFemelles,4,FALSE),0)+(IF(QualitéAlimentsJeunesBisons_24_36_mois=MAUVAISE,VLOOKUP("Triticale",AlimentsRationHivernaleBisonsMâles,3,FALSE),0)+(IF(QualitéAlimentsJeunesBisonnes_24_36_mois=MAUVAISE,VLOOKUP("Triticale",AlimentsRationHivernaleBisonsFemelles,3,FALSE),0)+(IF(QualitéAlimentsBisons=MAUVAISE,VLOOKUP("Triticale",AlimentsRationHivernaleBisonsMâles,2,FALSE),0)+(IF(QualitéAlimentsBisonnes=MAUVAISE,VLOOKUP("Triticale",AlimentsRationHivernaleBisonsFemelles,2,FALSE),0))))))))))))))))</f>
        <v>0</v>
      </c>
      <c r="BX146" s="350" t="str">
        <f t="shared" si="51"/>
        <v>Blé</v>
      </c>
      <c r="BY146" s="350">
        <f t="array" ref="BY146">IF(ChoixRationComplèteCaprins=OUI,0,IFERROR(IF(OR(AND(INDEX(Règles_caprins[Specificite],MATCH(ChoixRationCaprins&amp;$BX146,Règles_caprins[Ration]&amp;Règles_caprins[Aliment],0))="s1",IF($BX146=Spécificité1Caprins,1)),
INDEX(Règles_caprins[Specificite],MATCH(ChoixRationCaprins&amp;$BX146,Règles_caprins[Ration]&amp;Règles_caprins[Aliment],0))="c"),
INDEX(Règles_caprins[Valeur 12 et plus],MATCH(ChoixRationCaprins&amp;$BX146,Règles_caprins[Ration]&amp;Règles_caprins[Aliment],0)),0),0)*TotalChèvres*NbreJoursNourrirCaprins)</f>
        <v>0</v>
      </c>
      <c r="BZ146" s="350">
        <f t="array" ref="BZ146">IF(ChoixRationComplèteCaprins=OUI,0,IFERROR(IF(OR(AND(INDEX(Règles_caprins[Specificite],MATCH(ChoixRationCaprins&amp;$BX146,Règles_caprins[Ration]&amp;Règles_caprins[Aliment],0))="s1",IF($BX146=Spécificité1Caprins,1)),
INDEX(Règles_caprins[Specificite],MATCH(ChoixRationCaprins&amp;$BX146,Règles_caprins[Ration]&amp;Règles_caprins[Aliment],0))="c"),
INDEX(Règles_caprins[Valeur 6-12],MATCH(ChoixRationCaprins&amp;$BX146,Règles_caprins[Ration]&amp;Règles_caprins[Aliment],0)),0),0)*jeune_chèvre_6_12_mois*NbreJoursNourrirCaprins)</f>
        <v>0</v>
      </c>
      <c r="CA146" s="350">
        <f t="array" ref="CA146">IF(ChoixRationComplèteCaprins=OUI,0,IFERROR(IF(OR(AND(INDEX(Règles_caprins[Specificite],MATCH(ChoixRationCaprins&amp;$BX146,Règles_caprins[Ration]&amp;Règles_caprins[Aliment],0))="s1",IF($BX146=Spécificité1Caprins,1)),
INDEX(Règles_caprins[Specificite],MATCH(ChoixRationCaprins&amp;$BX146,Règles_caprins[Ration]&amp;Règles_caprins[Aliment],0))="c"),
INDEX(Règles_caprins[Valeur 3-6],MATCH(ChoixRationCaprins&amp;$BX146,Règles_caprins[Ration]&amp;Règles_caprins[Aliment],0)),0),0)*chevrette_3_6_mois*NbreJoursNourrirCaprins)</f>
        <v>0</v>
      </c>
      <c r="CB146" s="350">
        <f t="array" ref="CB146">IF(ChoixRationComplèteCaprins=OUI,0,IFERROR(IF(OR(AND(INDEX(Règles_caprins[Specificite],MATCH(ChoixRationCaprins&amp;$BX146,Règles_caprins[Ration]&amp;Règles_caprins[Aliment],0))="s1",IF($BX146=Spécificité1Caprins,1)),
INDEX(Règles_caprins[Specificite],MATCH(ChoixRationCaprins&amp;$BX146,Règles_caprins[Ration]&amp;Règles_caprins[Aliment],0))="c"),
INDEX(Règles_caprins[Valeur 0-3],MATCH(ChoixRationCaprins&amp;$BX146,Règles_caprins[Ration]&amp;Règles_caprins[Aliment],0)),0),0)*chevrette_0_3_mois*NbreJoursNourrirCaprins)</f>
        <v>0</v>
      </c>
      <c r="CC146" s="350">
        <f t="shared" si="50"/>
        <v>0</v>
      </c>
      <c r="CH146" s="298"/>
      <c r="CI146" s="277"/>
      <c r="CJ146" s="350" t="str">
        <f t="shared" si="45"/>
        <v>concentré jeunes bovins</v>
      </c>
      <c r="CK146" s="351">
        <f t="array" ref="CK146">SUM((IF(QualitéAlimentsPorceletMâle_0_1_mois=BONNE,VLOOKUP("Concentré jeunes bovins",AlimentsRationPorcinsMâles[],6,FALSE),0)+(IF(QualitéAlimentsPorceletFemelle_0_1_mois=BONNE,VLOOKUP("Concentré jeunes bovins",AlimentsRationPorcinsFemelles[],6,FALSE),0)+(IF(QualitéAlimentsPorceletMâle_1_3_mois=BONNE,VLOOKUP("Concentré jeunes bovins",AlimentsRationPorcinsMâles[],5,FALSE),0)+(IF(QualitéAlimentsPorceletFemelle_1_3_mois=BONNE,VLOOKUP("Concentré jeunes bovins",AlimentsRationPorcinsFemelles[],5,FALSE),0)+(IF(QualitéAlimentsJeuneVerrat_3_6_mois=BONNE,VLOOKUP("Concentré jeunes bovins",AlimentsRationPorcinsMâles[],4,FALSE),0)+(IF(QualitéAlimentsJeuneTruie_3_6_mois=BONNE,VLOOKUP("Concentré jeunes bovins",AlimentsRationPorcinsFemelles[],4,FALSE),0)+(IF(QualitéAlimentsJeuneVerrat_6_12_mois=BONNE,VLOOKUP("Concentré jeunes bovins",AlimentsRationPorcinsMâles[],3,FALSE),0)+(IF(QualitéAlimentsJeuneTruie_6_12_mois=BONNE,VLOOKUP("Concentré jeunes bovins",AlimentsRationPorcinsFemelles[],3,FALSE),0))))))))))</f>
        <v>0</v>
      </c>
      <c r="CL146" s="351">
        <f t="array" ref="CL146">SUM((IF(QualitéAlimentsPorceletMâle_0_1_mois=MOYENNE,VLOOKUP("Concentré jeunes bovins",AlimentsRationPorcinsMâles[],6,FALSE),0)+(IF(QualitéAlimentsPorceletFemelle_0_1_mois=MOYENNE,VLOOKUP("Concentré jeunes bovins",AlimentsRationPorcinsFemelles[],6,FALSE),0)+(IF(QualitéAlimentsPorceletMâle_1_3_mois=MOYENNE,VLOOKUP("Concentré jeunes bovins",AlimentsRationPorcinsMâles[],5,FALSE),0)+(IF(QualitéAlimentsPorceletFemelle_1_3_mois=MOYENNE,VLOOKUP("Concentré jeunes bovins",AlimentsRationPorcinsFemelles[],5,FALSE),0)+(IF(QualitéAlimentsJeuneVerrat_3_6_mois=MOYENNE,VLOOKUP("Concentré jeunes bovins",AlimentsRationPorcinsMâles[],4,FALSE),0)+(IF(QualitéAlimentsJeuneTruie_3_6_mois=MOYENNE,VLOOKUP("Concentré jeunes bovins",AlimentsRationPorcinsFemelles[],4,FALSE),0)+(IF(QualitéAlimentsJeuneVerrat_6_12_mois=MOYENNE,VLOOKUP("Concentré jeunes bovins",AlimentsRationPorcinsMâles[],3,FALSE),0)+(IF(QualitéAlimentsJeuneTruie_6_12_mois=MOYENNE,VLOOKUP("Concentré jeunes bovins",AlimentsRationPorcinsFemelles[],3,FALSE),0)+(IF(QualitéAlimentsVerrat=BONNE,VLOOKUP("Avoine",AlimentsRationPorcinsMâles[],2,FALSE),0)+(IF(QualitéAlimentsTruie=BONNE,VLOOKUP("Avoine",AlimentsRationPorcinsFemelles[],2,FALSE),0))))))))))))</f>
        <v>0</v>
      </c>
      <c r="CM146" s="351">
        <f t="array" ref="CM146">SUM((IF(QualitéAlimentsPorceletMâle_0_1_mois=MAUVAISE,VLOOKUP("Concentré jeunes bovins",AlimentsRationPorcinsMâles[],6,FALSE),0)+(IF(QualitéAlimentsPorceletFemelle_0_1_mois=MAUVAISE,VLOOKUP("Concentré jeunes bovins",AlimentsRationPorcinsFemelles[],6,FALSE),0)+(IF(QualitéAlimentsPorceletMâle_1_3_mois=MAUVAISE,VLOOKUP("Concentré jeunes bovins",AlimentsRationPorcinsMâles[],5,FALSE),0)+(IF(QualitéAlimentsPorceletFemelle_1_3_mois=MAUVAISE,VLOOKUP("Concentré jeunes bovins",AlimentsRationPorcinsFemelles[],5,FALSE),0)+(IF(QualitéAlimentsJeuneVerrat_3_6_mois=MAUVAISE,VLOOKUP("Concentré jeunes bovins",AlimentsRationPorcinsMâles[],4,FALSE),0)+(IF(QualitéAlimentsJeuneTruie_3_6_mois=MAUVAISE,VLOOKUP("Concentré jeunes bovins",AlimentsRationPorcinsFemelles[],4,FALSE),0)+(IF(QualitéAlimentsJeuneVerrat_6_12_mois=MAUVAISE,VLOOKUP("Concentré jeunes bovins",AlimentsRationPorcinsMâles[],3,FALSE),0)+(IF(QualitéAlimentsJeuneTruie_6_12_mois=MAUVAISE,VLOOKUP("Concentré jeunes bovins",AlimentsRationPorcinsFemelles[],3,FALSE),0)+(IF(QualitéAlimentsVerrat=BONNE,VLOOKUP("Avoine",AlimentsRationPorcinsMâles[],2,FALSE),0)+(IF(QualitéAlimentsTruie=BONNE,VLOOKUP("Avoine",AlimentsRationPorcinsFemelles[],2,FALSE),0))))))))))))</f>
        <v>0</v>
      </c>
      <c r="CN146" s="277"/>
      <c r="CO146" s="277"/>
      <c r="CP146" s="298"/>
      <c r="CS146" s="420" t="s">
        <v>577</v>
      </c>
      <c r="CT146" s="408">
        <f>CT22*TotalLapins*SUM(Z76:Z100)</f>
        <v>0</v>
      </c>
      <c r="CZ146" s="420" t="s">
        <v>598</v>
      </c>
      <c r="DA146" s="408">
        <f>DC17*TotalPoules*SUM(Z76:Z100)</f>
        <v>0</v>
      </c>
      <c r="DB146" s="277"/>
      <c r="DC146" s="277"/>
      <c r="DD146" s="277"/>
      <c r="DG146" s="350" t="str">
        <f t="shared" si="52"/>
        <v>Blé</v>
      </c>
      <c r="DH146" s="351">
        <f t="array" ref="DH146">SUM((IF(QualitéAlimentsPintadeauMâle_0_1_mois=BONNE,VLOOKUP("Blé",AlimentsRationPintadesMâles[],4,FALSE),0)+(IF(QualitéAlimentsPintadeauFemelle_0_1_mois=BONNE,VLOOKUP("Blé",AlimentsRationPintadesFemelles[],4,FALSE),0)+(IF(QualitéAlimentsJeunePintadeMâle=BONNE,VLOOKUP("Blé",AlimentsRationPintadesMâles[],3,FALSE),0)+(IF(QualitéAlimentsJeunePintadeFemelle=BONNE,VLOOKUP("Blé",AlimentsRationPintadesFemelles[],3,FALSE),0)+(IF(QualitéAlimentsPintadeMâle=BONNE,VLOOKUP("Blé",AlimentsRationPintadesMâles[],2,FALSE),0)+(IF(QualitéAlimentsPintadeFemelle=BONNE,VLOOKUP("Blé",AlimentsRationPintadesFemelles[],2,FALSE),0))))))))</f>
        <v>0</v>
      </c>
      <c r="DI146" s="351">
        <f t="array" ref="DI146">SUM((IF(QualitéAlimentsPintadeauMâle_0_1_mois=MOYENNE,VLOOKUP("Blé",AlimentsRationPintadesMâles[],4,FALSE),0)+(IF(QualitéAlimentsPintadeauFemelle_0_1_mois=MOYENNE,VLOOKUP("Blé",AlimentsRationPintadesFemelles[],4,FALSE),0)+(IF(QualitéAlimentsJeunePintadeMâle=MOYENNE,VLOOKUP("Blé",AlimentsRationPintadesMâles[],3,FALSE),0)+(IF(QualitéAlimentsJeunePintadeFemelle=MOYENNE,VLOOKUP("Blé",AlimentsRationPintadesFemelles[],3,FALSE),0)+(IF(QualitéAlimentsPintadeMâle=MOYENNE,VLOOKUP("Blé",AlimentsRationPintadesMâles[],2,FALSE),0)+(IF(QualitéAlimentsPintadeFemelle=MOYENNE,VLOOKUP("Blé",AlimentsRationPintadesFemelles[],2,FALSE),0))))))))</f>
        <v>0</v>
      </c>
      <c r="DJ146" s="351">
        <f t="array" ref="DJ146">SUM((IF(QualitéAlimentsPintadeauMâle_0_1_mois=MAUVAISE,VLOOKUP("Blé",AlimentsRationPintadesMâles[],4,FALSE),0)+(IF(QualitéAlimentsPintadeauFemelle_0_1_mois=MAUVAISE,VLOOKUP("Blé",AlimentsRationPintadesFemelles[],4,FALSE),0)+(IF(QualitéAlimentsJeunePintadeMâle=MAUVAISE,VLOOKUP("Blé",AlimentsRationPintadesMâles[],3,FALSE),0)+(IF(QualitéAlimentsJeunePintadeFemelle=MAUVAISE,VLOOKUP("Blé",AlimentsRationPintadesFemelles[],3,FALSE),0)+(IF(QualitéAlimentsPintadeMâle=MAUVAISE,VLOOKUP("Blé",AlimentsRationPintadesMâles[],2,FALSE),0)+(IF(QualitéAlimentsPintadeFemelle=MAUVAISE,VLOOKUP("Blé",AlimentsRationPintadesFemelles[],2,FALSE),0))))))))</f>
        <v>0</v>
      </c>
      <c r="DN146" s="376" t="s">
        <v>843</v>
      </c>
      <c r="DO146" s="305" t="s">
        <v>518</v>
      </c>
      <c r="DP146" s="305" t="s">
        <v>886</v>
      </c>
      <c r="DQ146" s="305">
        <v>20</v>
      </c>
      <c r="DR146" s="305">
        <v>12</v>
      </c>
      <c r="DS146" s="305">
        <v>8</v>
      </c>
      <c r="DT146" s="365">
        <v>4</v>
      </c>
      <c r="EG146" s="421" t="s">
        <v>973</v>
      </c>
      <c r="EH146" s="422">
        <f>IF(ChoixPaillageOies=OUI,SUBTOTAL(109,LitièreOies[litière]),0)</f>
        <v>0</v>
      </c>
      <c r="EU146" s="335" t="s">
        <v>1030</v>
      </c>
      <c r="EV146" s="335"/>
      <c r="EW146" s="335"/>
      <c r="EX146" s="335"/>
      <c r="EY146" s="335"/>
      <c r="EZ146" s="335"/>
      <c r="FD146" s="457" t="str">
        <f t="shared" si="49"/>
        <v>Chanvre</v>
      </c>
      <c r="FE146" s="458">
        <f t="array" ref="FE146">IF(OR(ChoixRationHivernaleComplèteChevauxTrait=OUI,ChoixRationHivernaleComplèteChevauxTrait="",ChoixChevauxTraitPréHiver=NON),0,IFERROR(IF(OR(AND(INDEX(Règles_chevaux_trait[Specificite],MATCH(RationHivernaleAuPréChevauxTrait&amp;$FD146,Règles_chevaux_trait[Ration]&amp;Règles_chevaux_trait[Aliment],0))="s1",IF($FD146=Spécificité1ChevauxTrait,1)),
AND(INDEX(Règles_chevaux_trait[Specificite],MATCH(RationHivernaleAuPréChevauxTrait&amp;$FD146,Règles_chevaux_trait[Ration]&amp;Règles_chevaux_trait[Aliment],0))="s2",IF($FD146=Spécificité2ChevauxTrait,1)),
INDEX(Règles_chevaux_trait[Specificite],MATCH(RationHivernaleAuPréChevauxTrait&amp;$FD146,Règles_chevaux_trait[Ration]&amp;Règles_chevaux_trait[Aliment],0))="c"),
INDEX(Règles_chevaux_trait[Valeur 36 et plus],MATCH(RationHivernaleAuPréChevauxTrait&amp;$FD146,Règles_chevaux_trait[Ration]&amp;Règles_chevaux_trait[Aliment],0)),0),0)*SUM(TotalChevauxTraitAdultes)*21)</f>
        <v>0</v>
      </c>
      <c r="FF146" s="458">
        <f t="array" ref="FF146">IF(OR(ChoixRationHivernaleComplèteChevauxTrait=OUI,ChoixRationHivernaleComplèteChevauxTrait="",ChoixChevauxTraitPréHiver=NON),0,IFERROR(IF(OR(AND(INDEX(Règles_chevaux_trait[Specificite],MATCH(RationHivernaleAuPréChevauxTrait&amp;$FD146,Règles_chevaux_trait[Ration]&amp;Règles_chevaux_trait[Aliment],0))="s1",IF($FD146=Spécificité1ChevauxTrait,1)),
AND(INDEX(Règles_chevaux_trait[Specificite],MATCH(RationHivernaleAuPréChevauxTrait&amp;$FD146,Règles_chevaux_trait[Ration]&amp;Règles_chevaux_trait[Aliment],0))="s2",IF($FD146=Spécificité2ChevauxTrait,1)),
INDEX(Règles_chevaux_trait[Specificite],MATCH(RationHivernaleAuPréChevauxTrait&amp;$FD146,Règles_chevaux_trait[Ration]&amp;Règles_chevaux_trait[Aliment],0))="c"),
INDEX(Règles_chevaux_trait[Valeur 24-36],MATCH(RationHivernaleAuPréChevauxTrait&amp;$FD146,Règles_chevaux_trait[Ration]&amp;Règles_chevaux_trait[Aliment],0)),0),0)*SUM(TotalChevauxTrait_24_36mois)*21)</f>
        <v>0</v>
      </c>
      <c r="FG146" s="458">
        <f t="array" ref="FG146">IF(OR(ChoixRationHivernaleComplèteChevauxTrait=OUI,ChoixRationHivernaleComplèteChevauxTrait="",ChoixChevauxTraitPréHiver=NON),0,IFERROR(IF(OR(AND(INDEX(Règles_chevaux_trait[Specificite],MATCH(RationHivernaleAuPréChevauxTrait&amp;$FD146,Règles_chevaux_trait[Ration]&amp;Règles_chevaux_trait[Aliment],0))="s1",IF($FD146=Spécificité1ChevauxTrait,1)),
AND(INDEX(Règles_chevaux_trait[Specificite],MATCH(RationHivernaleAuPréChevauxTrait&amp;$FD146,Règles_chevaux_trait[Ration]&amp;Règles_chevaux_trait[Aliment],0))="s2",IF($FD146=Spécificité2ChevauxTrait,1)),
INDEX(Règles_chevaux_trait[Specificite],MATCH(RationHivernaleAuPréChevauxTrait&amp;$FD146,Règles_chevaux_trait[Ration]&amp;Règles_chevaux_trait[Aliment],0))="c"),
INDEX(Règles_chevaux_trait[Valeur 12-24],MATCH(RationHivernaleAuPréChevauxTrait&amp;$FD146,Règles_chevaux_trait[Ration]&amp;Règles_chevaux_trait[Aliment],0)),0),0)*SUM(TotalChevauxTrait_12_24mois)*21)</f>
        <v>0</v>
      </c>
      <c r="FH146" s="460">
        <f t="array" ref="FH146">IF(OR(ChoixRationHivernaleComplèteChevauxTrait=OUI,ChoixRationHivernaleComplèteChevauxTrait="",ChoixChevauxTraitPréHiver=NON),0,IFERROR(IF(OR(AND(INDEX(Règles_chevaux_trait[Specificite],MATCH(RationHivernaleAuPréChevauxTrait&amp;$FD146,Règles_chevaux_trait[Ration]&amp;Règles_chevaux_trait[Aliment],0))="s1",IF($FD146=Spécificité1ChevauxTrait,1)),
AND(INDEX(Règles_chevaux_trait[Specificite],MATCH(RationHivernaleAuPréChevauxTrait&amp;$FD146,Règles_chevaux_trait[Ration]&amp;Règles_chevaux_trait[Aliment],0))="s2",IF($FD146=Spécificité2ChevauxTrait,1)),
INDEX(Règles_chevaux_trait[Specificite],MATCH(RationHivernaleAuPréChevauxTrait&amp;$FD146,Règles_chevaux_trait[Ration]&amp;Règles_chevaux_trait[Aliment],0))="c"),
INDEX(Règles_chevaux_trait[Valeur 0-12],MATCH(RationHivernaleAuPréChevauxTrait&amp;$FD146,Règles_chevaux_trait[Ration]&amp;Règles_chevaux_trait[Aliment],0)),0),0)*SUM(TotalPoulainsTrait)*21)</f>
        <v>0</v>
      </c>
      <c r="FI146" s="460">
        <f t="shared" si="47"/>
        <v>0</v>
      </c>
      <c r="FJ146" s="298"/>
      <c r="FN146" s="457" t="str">
        <f t="shared" si="48"/>
        <v>Canola</v>
      </c>
      <c r="FO146" s="458">
        <f t="array" ref="FO146">IF(OR(ChoixRationHivernaleComplètePoneys=OUI,ChoixRationHivernaleComplètePoneys="",ChoixPoneysPréHiver=NON),0,IFERROR(IF(OR(AND(INDEX(Règles_poneys[Specificite],MATCH(RationHivernaleAuPréPoneys&amp;$FN146,Règles_poneys[Ration]&amp;Règles_poneys[Aliment],0))="s1",IF($FN146=Spécificité1Poneys,1)),
AND(INDEX(Règles_poneys[Specificite],MATCH(RationHivernaleAuPréPoneys&amp;$FN146,Règles_poneys[Ration]&amp;Règles_poneys[Aliment],0))="s2",IF($FN146=Spécificité2Poneys,1)),
INDEX(Règles_poneys[Specificite],MATCH(RationHivernaleAuPréPoneys&amp;$FN146,Règles_poneys[Ration]&amp;Règles_poneys[Aliment],0))="c"),
INDEX(Règles_poneys[Valeur 36 et plus],MATCH(RationHivernaleAuPréPoneys&amp;$FN146,Règles_poneys[Ration]&amp;Règles_poneys[Aliment],0)),0),0)*SUM(TotalPoneysAdultes)*21)</f>
        <v>0</v>
      </c>
      <c r="FP146" s="458">
        <f t="array" ref="FP146">IF(OR(ChoixRationHivernaleComplètePoneys=OUI,ChoixRationHivernaleComplètePoneys="",ChoixPoneysPréHiver=NON),0,IFERROR(IF(OR(AND(INDEX(Règles_poneys[Specificite],MATCH(RationHivernaleAuPréPoneys&amp;$FN146,Règles_poneys[Ration]&amp;Règles_poneys[Aliment],0))="s1",IF($FN146=Spécificité1Poneys,1)),
AND(INDEX(Règles_poneys[Specificite],MATCH(RationHivernaleAuPréPoneys&amp;$FN146,Règles_poneys[Ration]&amp;Règles_poneys[Aliment],0))="s2",IF($FN146=Spécificité2Poneys,1)),
INDEX(Règles_poneys[Specificite],MATCH(RationHivernaleAuPréPoneys&amp;$FN146,Règles_poneys[Ration]&amp;Règles_poneys[Aliment],0))="c"),
INDEX(Règles_poneys[Valeur 24-36],MATCH(RationHivernaleAuPréPoneys&amp;$FN146,Règles_poneys[Ration]&amp;Règles_poneys[Aliment],0)),0),0)*SUM(TotalPoneys_24_36mois)*21)</f>
        <v>0</v>
      </c>
      <c r="FQ146" s="458">
        <f t="array" ref="FQ146">IF(OR(ChoixRationHivernaleComplètePoneys=OUI,ChoixRationHivernaleComplètePoneys="",ChoixPoneysPréHiver=NON),0,IFERROR(IF(OR(AND(INDEX(Règles_poneys[Specificite],MATCH(RationHivernaleAuPréPoneys&amp;$FN146,Règles_poneys[Ration]&amp;Règles_poneys[Aliment],0))="s1",IF($FN146=Spécificité1Poneys,1)),
AND(INDEX(Règles_poneys[Specificite],MATCH(RationHivernaleAuPréPoneys&amp;$FN146,Règles_poneys[Ration]&amp;Règles_poneys[Aliment],0))="s2",IF($FN146=Spécificité2Poneys,1)),
INDEX(Règles_poneys[Specificite],MATCH(RationHivernaleAuPréPoneys&amp;$FN146,Règles_poneys[Ration]&amp;Règles_poneys[Aliment],0))="c"),
INDEX(Règles_poneys[Valeur 12-24],MATCH(RationHivernaleAuPréPoneys&amp;$FN146,Règles_poneys[Ration]&amp;Règles_poneys[Aliment],0)),0),0)*SUM(TotalPoneys_12_24mois)*21)</f>
        <v>0</v>
      </c>
      <c r="FR146" s="460">
        <f t="array" ref="FR146">IF(OR(ChoixRationHivernaleComplètePoneys=OUI,ChoixRationHivernaleComplètePoneys="",ChoixPoneysPréHiver=NON),0,IFERROR(IF(OR(AND(INDEX(Règles_poneys[Specificite],MATCH(RationHivernaleAuPréPoneys&amp;$FN146,Règles_poneys[Ration]&amp;Règles_poneys[Aliment],0))="s1",IF($FN146=Spécificité1Poneys,1)),
AND(INDEX(Règles_poneys[Specificite],MATCH(RationHivernaleAuPréPoneys&amp;$FN146,Règles_poneys[Ration]&amp;Règles_poneys[Aliment],0))="s2",IF($FN146=Spécificité2Poneys,1)),
INDEX(Règles_poneys[Specificite],MATCH(RationHivernaleAuPréPoneys&amp;$FN146,Règles_poneys[Ration]&amp;Règles_poneys[Aliment],0))="c"),
INDEX(Règles_poneys[Valeur 0-12],MATCH(RationHivernaleAuPréPoneys&amp;$FN146,Règles_poneys[Ration]&amp;Règles_poneys[Aliment],0)),0),0)*SUM(TotalPoulainsPoneys)*21)</f>
        <v>0</v>
      </c>
      <c r="FS146" s="460">
        <f t="shared" si="46"/>
        <v>0</v>
      </c>
      <c r="FW146" s="457" t="str">
        <f t="shared" si="44"/>
        <v>Ensilage d'herbe</v>
      </c>
      <c r="FX146" s="458">
        <f t="array" ref="FX146">SUM((IF(QualitéAlimentsGavageOison_0_1_mois=BONNE,VLOOKUP("Ensilage d'herbe",AlimentsGavageOie,5,FALSE),0)+(IF(QualitéAlimentsGavageCaneton_0_1_mois=BONNE,VLOOKUP("Ensilage d'herbe",AlimentsGavageCanard,5,FALSE),0)+(IF(QualitéAlimentsGavageOison_1_2_mois=BONNE,VLOOKUP("Ensilage d'herbe",AlimentsGavageOie,4,FALSE),0)+(IF(QualitéAlimentsGavageCaneton_1_2_mois=BONNE,VLOOKUP("Ensilage d'herbe",AlimentsGavageCanard,4,FALSE),0)+(IF(QualitéAlimentsGavageOison_2_3_mois=BONNE,VLOOKUP("Ensilage d'herbe",AlimentsGavageOie,3,FALSE),0)+(IF(QualitéAlimentsGavageCaneton_2_3_mois=BONNE,VLOOKUP("Ensilage d'herbe",AlimentsGavageCanard,3,FALSE),0)+(IF(QualitéAlimentsGavageJeunesOies=BONNE,VLOOKUP("Ensilage d'herbe",AlimentsGavageOie,2,FALSE),0)+(IF(QualitéAlimentsGavageJeuneCanard=BONNE,VLOOKUP("Ensilage d'herbe",AlimentsGavageCanard,2,FALSE),0))))))))))</f>
        <v>0</v>
      </c>
      <c r="FY146" s="458">
        <f t="array" ref="FY146">SUM((IF(QualitéAlimentsGavageOison_0_1_mois=MOYENNE,VLOOKUP("Ensilage d'herbe",AlimentsGavageOie,5,FALSE),0)+(IF(QualitéAlimentsGavageCaneton_0_1_mois=MOYENNE,VLOOKUP("Ensilage d'herbe",AlimentsGavageCanard,5,FALSE),0)+(IF(QualitéAlimentsGavageOison_1_2_mois=MOYENNE,VLOOKUP("Ensilage d'herbe",AlimentsGavageOie,4,FALSE),0)+(IF(QualitéAlimentsGavageCaneton_1_2_mois=MOYENNE,VLOOKUP("Ensilage d'herbe",AlimentsGavageCanard,4,FALSE),0)+(IF(QualitéAlimentsGavageOison_2_3_mois=MOYENNE,VLOOKUP("Ensilage d'herbe",AlimentsGavageOie,3,FALSE),0)+(IF(QualitéAlimentsGavageCaneton_2_3_mois=MOYENNE,VLOOKUP("Ensilage d'herbe",AlimentsGavageCanard,3,FALSE),0)+(IF(QualitéAlimentsGavageJeunesOies=MOYENNE,VLOOKUP("Ensilage d'herbe",AlimentsGavageOie,2,FALSE),0)+(IF(QualitéAlimentsGavageJeuneCanard=MOYENNE,VLOOKUP("Ensilage d'herbe",AlimentsGavageCanard,2,FALSE),0))))))))))</f>
        <v>0</v>
      </c>
      <c r="FZ146" s="458">
        <f t="array" ref="FZ146">SUM((IF(QualitéAlimentsGavageOison_0_1_mois=MAUVAISE,VLOOKUP("Ensilage d'herbe",AlimentsGavageOie,5,FALSE),0)+(IF(QualitéAlimentsGavageCaneton_0_1_mois=MAUVAISE,VLOOKUP("Ensilage d'herbe",AlimentsGavageCanard,5,FALSE),0)+(IF(QualitéAlimentsGavageOison_1_2_mois=MAUVAISE,VLOOKUP("Ensilage d'herbe",AlimentsGavageOie,4,FALSE),0)+(IF(QualitéAlimentsGavageCaneton_1_2_mois=MAUVAISE,VLOOKUP("Ensilage d'herbe",AlimentsGavageCanard,4,FALSE),0)+(IF(QualitéAlimentsGavageOison_2_3_mois=MAUVAISE,VLOOKUP("Ensilage d'herbe",AlimentsGavageOie,3,FALSE),0)+(IF(QualitéAlimentsGavageCaneton_2_3_mois=MAUVAISE,VLOOKUP("Ensilage d'herbe",AlimentsGavageCanard,3,FALSE),0)+(IF(QualitéAlimentsGavageJeunesOies=MAUVAISE,VLOOKUP("Ensilage d'herbe",AlimentsGavageOie,2,FALSE),0)+(IF(QualitéAlimentsGavageJeuneCanard=MAUVAISE,VLOOKUP("Ensilage d'herbe",AlimentsGavageCanard,2,FALSE),0))))))))))</f>
        <v>0</v>
      </c>
      <c r="GB146" s="281"/>
      <c r="GG146" s="276" t="s">
        <v>955</v>
      </c>
      <c r="GH146" s="276" t="s">
        <v>955</v>
      </c>
      <c r="GI146" s="276" t="s">
        <v>955</v>
      </c>
      <c r="GJ146" s="276" t="s">
        <v>955</v>
      </c>
      <c r="GK146" s="276" t="s">
        <v>955</v>
      </c>
      <c r="GL146" s="276" t="s">
        <v>955</v>
      </c>
      <c r="GM146" s="276" t="s">
        <v>955</v>
      </c>
      <c r="GN146" s="276" t="s">
        <v>955</v>
      </c>
      <c r="GO146" s="276" t="s">
        <v>955</v>
      </c>
      <c r="GP146" s="276" t="s">
        <v>955</v>
      </c>
      <c r="GQ146" s="276" t="s">
        <v>955</v>
      </c>
      <c r="GR146" s="276" t="s">
        <v>955</v>
      </c>
      <c r="GS146" s="276" t="s">
        <v>955</v>
      </c>
      <c r="GT146" s="276" t="s">
        <v>955</v>
      </c>
      <c r="GU146" s="276" t="s">
        <v>955</v>
      </c>
      <c r="GV146" s="276" t="s">
        <v>955</v>
      </c>
    </row>
    <row r="147" spans="1:204" ht="12.75" customHeight="1" x14ac:dyDescent="0.2">
      <c r="A147" s="373"/>
      <c r="B147" s="382"/>
      <c r="BB147" s="387" t="s">
        <v>516</v>
      </c>
      <c r="BC147" s="362" t="s">
        <v>168</v>
      </c>
      <c r="BD147" s="362" t="s">
        <v>886</v>
      </c>
      <c r="BE147" s="388">
        <v>56</v>
      </c>
      <c r="BF147" s="388">
        <v>48</v>
      </c>
      <c r="BG147" s="388">
        <v>32</v>
      </c>
      <c r="BH147" s="388">
        <v>24</v>
      </c>
      <c r="BI147" s="388">
        <v>16</v>
      </c>
      <c r="BJ147" s="388">
        <v>8</v>
      </c>
      <c r="BK147" s="389">
        <v>0</v>
      </c>
      <c r="BL147" s="312"/>
      <c r="BM147" s="350">
        <f t="shared" si="43"/>
        <v>0</v>
      </c>
      <c r="BN147" s="351"/>
      <c r="BO147" s="351"/>
      <c r="BP147" s="351"/>
      <c r="BX147" s="350" t="str">
        <f t="shared" si="51"/>
        <v>Bouchons luzerne</v>
      </c>
      <c r="BY147" s="350">
        <f t="array" ref="BY147">IF(ChoixRationComplèteCaprins=OUI,0,IFERROR(IF(OR(AND(INDEX(Règles_caprins[Specificite],MATCH(ChoixRationCaprins&amp;$BX147,Règles_caprins[Ration]&amp;Règles_caprins[Aliment],0))="s1",IF($BX147=Spécificité1Caprins,1)),
INDEX(Règles_caprins[Specificite],MATCH(ChoixRationCaprins&amp;$BX147,Règles_caprins[Ration]&amp;Règles_caprins[Aliment],0))="c"),
INDEX(Règles_caprins[Valeur 12 et plus],MATCH(ChoixRationCaprins&amp;$BX147,Règles_caprins[Ration]&amp;Règles_caprins[Aliment],0)),0),0)*TotalChèvres*NbreJoursNourrirCaprins)</f>
        <v>0</v>
      </c>
      <c r="BZ147" s="350">
        <f t="array" ref="BZ147">IF(ChoixRationComplèteCaprins=OUI,0,IFERROR(IF(OR(AND(INDEX(Règles_caprins[Specificite],MATCH(ChoixRationCaprins&amp;$BX147,Règles_caprins[Ration]&amp;Règles_caprins[Aliment],0))="s1",IF($BX147=Spécificité1Caprins,1)),
INDEX(Règles_caprins[Specificite],MATCH(ChoixRationCaprins&amp;$BX147,Règles_caprins[Ration]&amp;Règles_caprins[Aliment],0))="c"),
INDEX(Règles_caprins[Valeur 6-12],MATCH(ChoixRationCaprins&amp;$BX147,Règles_caprins[Ration]&amp;Règles_caprins[Aliment],0)),0),0)*jeune_chèvre_6_12_mois*NbreJoursNourrirCaprins)</f>
        <v>0</v>
      </c>
      <c r="CA147" s="350">
        <f t="array" ref="CA147">IF(ChoixRationComplèteCaprins=OUI,0,IFERROR(IF(OR(AND(INDEX(Règles_caprins[Specificite],MATCH(ChoixRationCaprins&amp;$BX147,Règles_caprins[Ration]&amp;Règles_caprins[Aliment],0))="s1",IF($BX147=Spécificité1Caprins,1)),
INDEX(Règles_caprins[Specificite],MATCH(ChoixRationCaprins&amp;$BX147,Règles_caprins[Ration]&amp;Règles_caprins[Aliment],0))="c"),
INDEX(Règles_caprins[Valeur 3-6],MATCH(ChoixRationCaprins&amp;$BX147,Règles_caprins[Ration]&amp;Règles_caprins[Aliment],0)),0),0)*chevrette_3_6_mois*NbreJoursNourrirCaprins)</f>
        <v>0</v>
      </c>
      <c r="CB147" s="350">
        <f t="array" ref="CB147">IF(ChoixRationComplèteCaprins=OUI,0,IFERROR(IF(OR(AND(INDEX(Règles_caprins[Specificite],MATCH(ChoixRationCaprins&amp;$BX147,Règles_caprins[Ration]&amp;Règles_caprins[Aliment],0))="s1",IF($BX147=Spécificité1Caprins,1)),
INDEX(Règles_caprins[Specificite],MATCH(ChoixRationCaprins&amp;$BX147,Règles_caprins[Ration]&amp;Règles_caprins[Aliment],0))="c"),
INDEX(Règles_caprins[Valeur 0-3],MATCH(ChoixRationCaprins&amp;$BX147,Règles_caprins[Ration]&amp;Règles_caprins[Aliment],0)),0),0)*chevrette_0_3_mois*NbreJoursNourrirCaprins)</f>
        <v>0</v>
      </c>
      <c r="CC147" s="350">
        <f t="shared" si="50"/>
        <v>0</v>
      </c>
      <c r="CH147" s="298"/>
      <c r="CI147" s="277"/>
      <c r="CJ147" s="350" t="str">
        <f t="shared" si="45"/>
        <v>concentré jeunes lapins</v>
      </c>
      <c r="CK147" s="351">
        <f>SUM((IF(QualitéAlimentsPorceletMâle_0_1_mois=BONNE,VLOOKUP("Concentré jeunes lapins",AlimentsRationPorcinsMâles[],6,FALSE),0)+(IF(QualitéAlimentsPorceletFemelle_0_1_mois=BONNE,VLOOKUP("Concentré jeunes lapins",AlimentsRationPorcinsFemelles[],6,FALSE),0)+(IF(QualitéAlimentsPorceletMâle_1_3_mois=BONNE,VLOOKUP("Concentré jeunes lapins",AlimentsRationPorcinsMâles[],5,FALSE),0)+(IF(QualitéAlimentsPorceletFemelle_1_3_mois=BONNE,VLOOKUP("Concentré jeunes lapins",AlimentsRationPorcinsFemelles[],5,FALSE),0)+(IF(QualitéAlimentsJeuneVerrat_3_6_mois=BONNE,VLOOKUP("Concentré jeunes lapins",AlimentsRationPorcinsMâles[],4,FALSE),0)+(IF(QualitéAlimentsJeuneTruie_3_6_mois=BONNE,VLOOKUP("Concentré jeunes lapins",AlimentsRationPorcinsFemelles[],4,FALSE),0)+(IF(QualitéAlimentsJeuneVerrat_6_12_mois=BONNE,VLOOKUP("Concentré jeunes lapins",AlimentsRationPorcinsMâles[],3,FALSE),0)+(IF(QualitéAlimentsJeuneTruie_6_12_mois=BONNE,VLOOKUP("Concentré jeunes lapins",AlimentsRationPorcinsFemelles[],3,FALSE),0)+(IF(QualitéAlimentsVerrat=BONNE,VLOOKUP("Avoine",AlimentsRationPorcinsMâles[],2,FALSE),0)+(IF(QualitéAlimentsTruie=BONNE,VLOOKUP("Avoine",AlimentsRationPorcinsFemelles[],2,FALSE),0))))))))))))</f>
        <v>0</v>
      </c>
      <c r="CL147" s="351">
        <f t="array" ref="CL147">SUM((IF(QualitéAlimentsPorceletMâle_0_1_mois=MOYENNE,VLOOKUP("Concentré jeunes lapins",AlimentsRationPorcinsMâles[],6,FALSE),0)+(IF(QualitéAlimentsPorceletFemelle_0_1_mois=MOYENNE,VLOOKUP("Concentré jeunes lapins",AlimentsRationPorcinsFemelles[],6,FALSE),0)+(IF(QualitéAlimentsPorceletMâle_1_3_mois=MOYENNE,VLOOKUP("Concentré jeunes lapins",AlimentsRationPorcinsMâles[],5,FALSE),0)+(IF(QualitéAlimentsPorceletFemelle_1_3_mois=MOYENNE,VLOOKUP("Concentré jeunes lapins",AlimentsRationPorcinsFemelles[],5,FALSE),0)+(IF(QualitéAlimentsJeuneVerrat_3_6_mois=MOYENNE,VLOOKUP("Concentré jeunes lapins",AlimentsRationPorcinsMâles[],4,FALSE),0)+(IF(QualitéAlimentsJeuneTruie_3_6_mois=MOYENNE,VLOOKUP("Concentré jeunes lapins",AlimentsRationPorcinsFemelles[],4,FALSE),0)+(IF(QualitéAlimentsJeuneVerrat_6_12_mois=MOYENNE,VLOOKUP("Concentré jeunes lapins",AlimentsRationPorcinsMâles[],3,FALSE),0)+(IF(QualitéAlimentsJeuneTruie_6_12_mois=MOYENNE,VLOOKUP("Concentré jeunes lapins",AlimentsRationPorcinsFemelles[],3,FALSE),0)+(IF(QualitéAlimentsVerrat=BONNE,VLOOKUP("Avoine",AlimentsRationPorcinsMâles[],2,FALSE),0)+(IF(QualitéAlimentsTruie=BONNE,VLOOKUP("Avoine",AlimentsRationPorcinsFemelles[],2,FALSE),0))))))))))))</f>
        <v>0</v>
      </c>
      <c r="CM147" s="351">
        <f t="array" ref="CM147">SUM((IF(QualitéAlimentsPorceletMâle_0_1_mois=MAUVAISE,VLOOKUP("Concentré jeunes lapins",AlimentsRationPorcinsMâles[],6,FALSE),0)+(IF(QualitéAlimentsPorceletFemelle_0_1_mois=MAUVAISE,VLOOKUP("Concentré jeunes lapins",AlimentsRationPorcinsFemelles[],6,FALSE),0)+(IF(QualitéAlimentsPorceletMâle_1_3_mois=MAUVAISE,VLOOKUP("Concentré jeunes lapins",AlimentsRationPorcinsMâles[],5,FALSE),0)+(IF(QualitéAlimentsPorceletFemelle_1_3_mois=MAUVAISE,VLOOKUP("Concentré jeunes lapins",AlimentsRationPorcinsFemelles[],5,FALSE),0)+(IF(QualitéAlimentsJeuneVerrat_3_6_mois=MAUVAISE,VLOOKUP("Concentré jeunes lapins",AlimentsRationPorcinsMâles[],4,FALSE),0)+(IF(QualitéAlimentsJeuneTruie_3_6_mois=MAUVAISE,VLOOKUP("Concentré jeunes lapins",AlimentsRationPorcinsFemelles[],4,FALSE),0)+(IF(QualitéAlimentsJeuneVerrat_6_12_mois=MAUVAISE,VLOOKUP("Concentré jeunes lapins",AlimentsRationPorcinsMâles[],3,FALSE),0)+(IF(QualitéAlimentsJeuneTruie_6_12_mois=MAUVAISE,VLOOKUP("Concentré jeunes lapins",AlimentsRationPorcinsFemelles[],3,FALSE),0)+(IF(QualitéAlimentsVerrat=BONNE,VLOOKUP("Avoine",AlimentsRationPorcinsMâles[],2,FALSE),0)+(IF(QualitéAlimentsTruie=BONNE,VLOOKUP("Avoine",AlimentsRationPorcinsFemelles[],2,FALSE),0))))))))))))</f>
        <v>0</v>
      </c>
      <c r="CN147" s="277"/>
      <c r="CO147" s="277"/>
      <c r="CP147" s="298"/>
      <c r="CS147" s="420" t="s">
        <v>578</v>
      </c>
      <c r="CT147" s="408">
        <f>CT23*TotalLapines*SUM(Z76:Z100)</f>
        <v>0</v>
      </c>
      <c r="CZ147" s="420" t="s">
        <v>599</v>
      </c>
      <c r="DA147" s="408">
        <f>DC18*SUM(TotalJeuneVolaille)*SUM(Z76:Z100)</f>
        <v>0</v>
      </c>
      <c r="DB147" s="277"/>
      <c r="DC147" s="277"/>
      <c r="DD147" s="277"/>
      <c r="DG147" s="350" t="str">
        <f t="shared" si="52"/>
        <v>Bouchons luzerne</v>
      </c>
      <c r="DH147" s="351">
        <f t="array" ref="DH147">SUM((IF(QualitéAlimentsPintadeauMâle_0_1_mois=BONNE,VLOOKUP("Bouchons luzerne",AlimentsRationPintadesMâles[],4,FALSE),0)+(IF(QualitéAlimentsPintadeauFemelle_0_1_mois=BONNE,VLOOKUP("Bouchons luzerne",AlimentsRationPintadesFemelles[],4,FALSE),0)+(IF(QualitéAlimentsJeunePintadeMâle=BONNE,VLOOKUP("Bouchons luzerne",AlimentsRationPintadesMâles[],3,FALSE),0)+(IF(QualitéAlimentsJeunePintadeFemelle=BONNE,VLOOKUP("Bouchons luzerne",AlimentsRationPintadesFemelles[],3,FALSE),0)+(IF(QualitéAlimentsPintadeMâle=BONNE,VLOOKUP("Bouchons luzerne",AlimentsRationPintadesMâles[],2,FALSE),0)+(IF(QualitéAlimentsPintadeFemelle=BONNE,VLOOKUP("Bouchons luzerne",AlimentsRationPintadesFemelles[],2,FALSE),0))))))))</f>
        <v>0</v>
      </c>
      <c r="DI147" s="351">
        <f t="array" ref="DI147">SUM((IF(QualitéAlimentsPintadeauMâle_0_1_mois=MOYENNE,VLOOKUP("Bouchons luzerne",AlimentsRationPintadesMâles[],4,FALSE),0)+(IF(QualitéAlimentsPintadeauFemelle_0_1_mois=MOYENNE,VLOOKUP("Bouchons luzerne",AlimentsRationPintadesFemelles[],4,FALSE),0)+(IF(QualitéAlimentsJeunePintadeMâle=MOYENNE,VLOOKUP("Bouchons luzerne",AlimentsRationPintadesMâles[],3,FALSE),0)+(IF(QualitéAlimentsJeunePintadeFemelle=MOYENNE,VLOOKUP("Bouchons luzerne",AlimentsRationPintadesFemelles[],3,FALSE),0)+(IF(QualitéAlimentsPintadeMâle=MOYENNE,VLOOKUP("Bouchons luzerne",AlimentsRationPintadesMâles[],2,FALSE),0)+(IF(QualitéAlimentsPintadeFemelle=MOYENNE,VLOOKUP("Bouchons luzerne",AlimentsRationPintadesFemelles[],2,FALSE),0))))))))</f>
        <v>0</v>
      </c>
      <c r="DJ147" s="351">
        <f t="array" ref="DJ147">SUM((IF(QualitéAlimentsPintadeauMâle_0_1_mois=MAUVAISE,VLOOKUP("Bouchons luzerne",AlimentsRationPintadesMâles[],4,FALSE),0)+(IF(QualitéAlimentsPintadeauFemelle_0_1_mois=MAUVAISE,VLOOKUP("Bouchons luzerne",AlimentsRationPintadesFemelles[],4,FALSE),0)+(IF(QualitéAlimentsJeunePintadeMâle=MAUVAISE,VLOOKUP("Bouchons luzerne",AlimentsRationPintadesMâles[],3,FALSE),0)+(IF(QualitéAlimentsJeunePintadeFemelle=MAUVAISE,VLOOKUP("Bouchons luzerne",AlimentsRationPintadesFemelles[],3,FALSE),0)+(IF(QualitéAlimentsPintadeMâle=MAUVAISE,VLOOKUP("Bouchons luzerne",AlimentsRationPintadesMâles[],2,FALSE),0)+(IF(QualitéAlimentsPintadeFemelle=MAUVAISE,VLOOKUP("Bouchons luzerne",AlimentsRationPintadesFemelles[],2,FALSE),0))))))))</f>
        <v>0</v>
      </c>
      <c r="DN147" s="277"/>
      <c r="DO147" s="277"/>
      <c r="DQ147" s="277"/>
      <c r="DR147" s="277"/>
      <c r="EN147" s="335" t="s">
        <v>1195</v>
      </c>
      <c r="EO147" s="335"/>
      <c r="EP147" s="335"/>
      <c r="EQ147" s="335"/>
      <c r="EU147" s="455" t="s">
        <v>910</v>
      </c>
      <c r="EV147" s="455" t="s">
        <v>895</v>
      </c>
      <c r="EW147" s="455" t="s">
        <v>894</v>
      </c>
      <c r="EX147" s="455" t="s">
        <v>938</v>
      </c>
      <c r="EY147" s="459" t="s">
        <v>937</v>
      </c>
      <c r="EZ147" s="455" t="s">
        <v>903</v>
      </c>
      <c r="FD147" s="457" t="str">
        <f t="shared" si="49"/>
        <v>Canola</v>
      </c>
      <c r="FE147" s="458">
        <f t="array" ref="FE147">IF(OR(ChoixRationHivernaleComplèteChevauxTrait=OUI,ChoixRationHivernaleComplèteChevauxTrait="",ChoixChevauxTraitPréHiver=NON),0,IFERROR(IF(OR(AND(INDEX(Règles_chevaux_trait[Specificite],MATCH(RationHivernaleAuPréChevauxTrait&amp;$FD147,Règles_chevaux_trait[Ration]&amp;Règles_chevaux_trait[Aliment],0))="s1",IF($FD147=Spécificité1ChevauxTrait,1)),
AND(INDEX(Règles_chevaux_trait[Specificite],MATCH(RationHivernaleAuPréChevauxTrait&amp;$FD147,Règles_chevaux_trait[Ration]&amp;Règles_chevaux_trait[Aliment],0))="s2",IF($FD147=Spécificité2ChevauxTrait,1)),
INDEX(Règles_chevaux_trait[Specificite],MATCH(RationHivernaleAuPréChevauxTrait&amp;$FD147,Règles_chevaux_trait[Ration]&amp;Règles_chevaux_trait[Aliment],0))="c"),
INDEX(Règles_chevaux_trait[Valeur 36 et plus],MATCH(RationHivernaleAuPréChevauxTrait&amp;$FD147,Règles_chevaux_trait[Ration]&amp;Règles_chevaux_trait[Aliment],0)),0),0)*SUM(TotalChevauxTraitAdultes)*21)</f>
        <v>0</v>
      </c>
      <c r="FF147" s="458">
        <f t="array" ref="FF147">IF(OR(ChoixRationHivernaleComplèteChevauxTrait=OUI,ChoixRationHivernaleComplèteChevauxTrait="",ChoixChevauxTraitPréHiver=NON),0,IFERROR(IF(OR(AND(INDEX(Règles_chevaux_trait[Specificite],MATCH(RationHivernaleAuPréChevauxTrait&amp;$FD147,Règles_chevaux_trait[Ration]&amp;Règles_chevaux_trait[Aliment],0))="s1",IF($FD147=Spécificité1ChevauxTrait,1)),
AND(INDEX(Règles_chevaux_trait[Specificite],MATCH(RationHivernaleAuPréChevauxTrait&amp;$FD147,Règles_chevaux_trait[Ration]&amp;Règles_chevaux_trait[Aliment],0))="s2",IF($FD147=Spécificité2ChevauxTrait,1)),
INDEX(Règles_chevaux_trait[Specificite],MATCH(RationHivernaleAuPréChevauxTrait&amp;$FD147,Règles_chevaux_trait[Ration]&amp;Règles_chevaux_trait[Aliment],0))="c"),
INDEX(Règles_chevaux_trait[Valeur 24-36],MATCH(RationHivernaleAuPréChevauxTrait&amp;$FD147,Règles_chevaux_trait[Ration]&amp;Règles_chevaux_trait[Aliment],0)),0),0)*SUM(TotalChevauxTrait_24_36mois)*21)</f>
        <v>0</v>
      </c>
      <c r="FG147" s="458">
        <f t="array" ref="FG147">IF(OR(ChoixRationHivernaleComplèteChevauxTrait=OUI,ChoixRationHivernaleComplèteChevauxTrait="",ChoixChevauxTraitPréHiver=NON),0,IFERROR(IF(OR(AND(INDEX(Règles_chevaux_trait[Specificite],MATCH(RationHivernaleAuPréChevauxTrait&amp;$FD147,Règles_chevaux_trait[Ration]&amp;Règles_chevaux_trait[Aliment],0))="s1",IF($FD147=Spécificité1ChevauxTrait,1)),
AND(INDEX(Règles_chevaux_trait[Specificite],MATCH(RationHivernaleAuPréChevauxTrait&amp;$FD147,Règles_chevaux_trait[Ration]&amp;Règles_chevaux_trait[Aliment],0))="s2",IF($FD147=Spécificité2ChevauxTrait,1)),
INDEX(Règles_chevaux_trait[Specificite],MATCH(RationHivernaleAuPréChevauxTrait&amp;$FD147,Règles_chevaux_trait[Ration]&amp;Règles_chevaux_trait[Aliment],0))="c"),
INDEX(Règles_chevaux_trait[Valeur 12-24],MATCH(RationHivernaleAuPréChevauxTrait&amp;$FD147,Règles_chevaux_trait[Ration]&amp;Règles_chevaux_trait[Aliment],0)),0),0)*SUM(TotalChevauxTrait_12_24mois)*21)</f>
        <v>0</v>
      </c>
      <c r="FH147" s="460">
        <f t="array" ref="FH147">IF(OR(ChoixRationHivernaleComplèteChevauxTrait=OUI,ChoixRationHivernaleComplèteChevauxTrait="",ChoixChevauxTraitPréHiver=NON),0,IFERROR(IF(OR(AND(INDEX(Règles_chevaux_trait[Specificite],MATCH(RationHivernaleAuPréChevauxTrait&amp;$FD147,Règles_chevaux_trait[Ration]&amp;Règles_chevaux_trait[Aliment],0))="s1",IF($FD147=Spécificité1ChevauxTrait,1)),
AND(INDEX(Règles_chevaux_trait[Specificite],MATCH(RationHivernaleAuPréChevauxTrait&amp;$FD147,Règles_chevaux_trait[Ration]&amp;Règles_chevaux_trait[Aliment],0))="s2",IF($FD147=Spécificité2ChevauxTrait,1)),
INDEX(Règles_chevaux_trait[Specificite],MATCH(RationHivernaleAuPréChevauxTrait&amp;$FD147,Règles_chevaux_trait[Ration]&amp;Règles_chevaux_trait[Aliment],0))="c"),
INDEX(Règles_chevaux_trait[Valeur 0-12],MATCH(RationHivernaleAuPréChevauxTrait&amp;$FD147,Règles_chevaux_trait[Ration]&amp;Règles_chevaux_trait[Aliment],0)),0),0)*SUM(TotalPoulainsTrait)*21)</f>
        <v>0</v>
      </c>
      <c r="FI147" s="460">
        <f t="shared" si="47"/>
        <v>0</v>
      </c>
      <c r="FJ147" s="298"/>
      <c r="FN147" s="457" t="str">
        <f t="shared" si="48"/>
        <v>Colza</v>
      </c>
      <c r="FO147" s="458">
        <f t="array" ref="FO147">IF(OR(ChoixRationHivernaleComplètePoneys=OUI,ChoixRationHivernaleComplètePoneys="",ChoixPoneysPréHiver=NON),0,IFERROR(IF(OR(AND(INDEX(Règles_poneys[Specificite],MATCH(RationHivernaleAuPréPoneys&amp;$FN147,Règles_poneys[Ration]&amp;Règles_poneys[Aliment],0))="s1",IF($FN147=Spécificité1Poneys,1)),
AND(INDEX(Règles_poneys[Specificite],MATCH(RationHivernaleAuPréPoneys&amp;$FN147,Règles_poneys[Ration]&amp;Règles_poneys[Aliment],0))="s2",IF($FN147=Spécificité2Poneys,1)),
INDEX(Règles_poneys[Specificite],MATCH(RationHivernaleAuPréPoneys&amp;$FN147,Règles_poneys[Ration]&amp;Règles_poneys[Aliment],0))="c"),
INDEX(Règles_poneys[Valeur 36 et plus],MATCH(RationHivernaleAuPréPoneys&amp;$FN147,Règles_poneys[Ration]&amp;Règles_poneys[Aliment],0)),0),0)*SUM(TotalPoneysAdultes)*21)</f>
        <v>0</v>
      </c>
      <c r="FP147" s="458">
        <f t="array" ref="FP147">IF(OR(ChoixRationHivernaleComplètePoneys=OUI,ChoixRationHivernaleComplètePoneys="",ChoixPoneysPréHiver=NON),0,IFERROR(IF(OR(AND(INDEX(Règles_poneys[Specificite],MATCH(RationHivernaleAuPréPoneys&amp;$FN147,Règles_poneys[Ration]&amp;Règles_poneys[Aliment],0))="s1",IF($FN147=Spécificité1Poneys,1)),
AND(INDEX(Règles_poneys[Specificite],MATCH(RationHivernaleAuPréPoneys&amp;$FN147,Règles_poneys[Ration]&amp;Règles_poneys[Aliment],0))="s2",IF($FN147=Spécificité2Poneys,1)),
INDEX(Règles_poneys[Specificite],MATCH(RationHivernaleAuPréPoneys&amp;$FN147,Règles_poneys[Ration]&amp;Règles_poneys[Aliment],0))="c"),
INDEX(Règles_poneys[Valeur 24-36],MATCH(RationHivernaleAuPréPoneys&amp;$FN147,Règles_poneys[Ration]&amp;Règles_poneys[Aliment],0)),0),0)*SUM(TotalPoneys_24_36mois)*21)</f>
        <v>0</v>
      </c>
      <c r="FQ147" s="458">
        <f t="array" ref="FQ147">IF(OR(ChoixRationHivernaleComplètePoneys=OUI,ChoixRationHivernaleComplètePoneys="",ChoixPoneysPréHiver=NON),0,IFERROR(IF(OR(AND(INDEX(Règles_poneys[Specificite],MATCH(RationHivernaleAuPréPoneys&amp;$FN147,Règles_poneys[Ration]&amp;Règles_poneys[Aliment],0))="s1",IF($FN147=Spécificité1Poneys,1)),
AND(INDEX(Règles_poneys[Specificite],MATCH(RationHivernaleAuPréPoneys&amp;$FN147,Règles_poneys[Ration]&amp;Règles_poneys[Aliment],0))="s2",IF($FN147=Spécificité2Poneys,1)),
INDEX(Règles_poneys[Specificite],MATCH(RationHivernaleAuPréPoneys&amp;$FN147,Règles_poneys[Ration]&amp;Règles_poneys[Aliment],0))="c"),
INDEX(Règles_poneys[Valeur 12-24],MATCH(RationHivernaleAuPréPoneys&amp;$FN147,Règles_poneys[Ration]&amp;Règles_poneys[Aliment],0)),0),0)*SUM(TotalPoneys_12_24mois)*21)</f>
        <v>0</v>
      </c>
      <c r="FR147" s="460">
        <f t="array" ref="FR147">IF(OR(ChoixRationHivernaleComplètePoneys=OUI,ChoixRationHivernaleComplètePoneys="",ChoixPoneysPréHiver=NON),0,IFERROR(IF(OR(AND(INDEX(Règles_poneys[Specificite],MATCH(RationHivernaleAuPréPoneys&amp;$FN147,Règles_poneys[Ration]&amp;Règles_poneys[Aliment],0))="s1",IF($FN147=Spécificité1Poneys,1)),
AND(INDEX(Règles_poneys[Specificite],MATCH(RationHivernaleAuPréPoneys&amp;$FN147,Règles_poneys[Ration]&amp;Règles_poneys[Aliment],0))="s2",IF($FN147=Spécificité2Poneys,1)),
INDEX(Règles_poneys[Specificite],MATCH(RationHivernaleAuPréPoneys&amp;$FN147,Règles_poneys[Ration]&amp;Règles_poneys[Aliment],0))="c"),
INDEX(Règles_poneys[Valeur 0-12],MATCH(RationHivernaleAuPréPoneys&amp;$FN147,Règles_poneys[Ration]&amp;Règles_poneys[Aliment],0)),0),0)*SUM(TotalPoulainsPoneys)*21)</f>
        <v>0</v>
      </c>
      <c r="FS147" s="460">
        <f t="shared" si="46"/>
        <v>0</v>
      </c>
      <c r="FW147" s="457" t="str">
        <f t="shared" si="44"/>
        <v>Eau</v>
      </c>
      <c r="FX147" s="458">
        <f t="array" ref="FX147">SUM((IF(QualitéAlimentsGavageOison_0_1_mois=BONNE,VLOOKUP("Eau",AlimentsGavageOie,5,FALSE),0)+(IF(QualitéAlimentsGavageCaneton_0_1_mois=BONNE,VLOOKUP("Eau",AlimentsGavageCanard,5,FALSE),0)+(IF(QualitéAlimentsGavageOison_1_2_mois=BONNE,VLOOKUP("Eau",AlimentsGavageOie,4,FALSE),0)+(IF(QualitéAlimentsGavageCaneton_1_2_mois=BONNE,VLOOKUP("Eau",AlimentsGavageCanard,4,FALSE),0)+(IF(QualitéAlimentsGavageOison_2_3_mois=BONNE,VLOOKUP("Eau",AlimentsGavageOie,3,FALSE),0)+(IF(QualitéAlimentsGavageCaneton_2_3_mois=BONNE,VLOOKUP("Eau",AlimentsGavageCanard,3,FALSE),0)+(IF(QualitéAlimentsGavageJeunesOies=BONNE,VLOOKUP("Eau",AlimentsGavageOie,2,FALSE),0)+(IF(QualitéAlimentsGavageJeuneCanard=BONNE,VLOOKUP("Eau",AlimentsGavageCanard,2,FALSE),0))))))))))</f>
        <v>0</v>
      </c>
      <c r="FY147" s="458">
        <f t="array" ref="FY147">SUM((IF(QualitéAlimentsGavageOison_0_1_mois=MOYENNE,VLOOKUP("Eau",AlimentsGavageOie,5,FALSE),0)+(IF(QualitéAlimentsGavageCaneton_0_1_mois=MOYENNE,VLOOKUP("Eau",AlimentsGavageCanard,5,FALSE),0)+(IF(QualitéAlimentsGavageOison_1_2_mois=MOYENNE,VLOOKUP("Eau",AlimentsGavageOie,4,FALSE),0)+(IF(QualitéAlimentsGavageCaneton_1_2_mois=MOYENNE,VLOOKUP("Eau",AlimentsGavageCanard,4,FALSE),0)+(IF(QualitéAlimentsGavageOison_2_3_mois=MOYENNE,VLOOKUP("Eau",AlimentsGavageOie,3,FALSE),0)+(IF(QualitéAlimentsGavageCaneton_2_3_mois=MOYENNE,VLOOKUP("Eau",AlimentsGavageCanard,3,FALSE),0)+(IF(QualitéAlimentsGavageJeunesOies=MOYENNE,VLOOKUP("Eau",AlimentsGavageOie,2,FALSE),0)+(IF(QualitéAlimentsGavageJeuneCanard=MOYENNE,VLOOKUP("Eau",AlimentsGavageCanard,2,FALSE),0))))))))))</f>
        <v>0</v>
      </c>
      <c r="FZ147" s="458">
        <f t="array" ref="FZ147">SUM((IF(QualitéAlimentsGavageOison_0_1_mois=MAUVAISE,VLOOKUP("Eau",AlimentsGavageOie,5,FALSE),0)+(IF(QualitéAlimentsGavageCaneton_0_1_mois=MAUVAISE,VLOOKUP("Eau",AlimentsGavageCanard,5,FALSE),0)+(IF(QualitéAlimentsGavageOison_1_2_mois=MAUVAISE,VLOOKUP("Eau",AlimentsGavageOie,4,FALSE),0)+(IF(QualitéAlimentsGavageCaneton_1_2_mois=MAUVAISE,VLOOKUP("Eau",AlimentsGavageCanard,4,FALSE),0)+(IF(QualitéAlimentsGavageOison_2_3_mois=MAUVAISE,VLOOKUP("Eau",AlimentsGavageOie,3,FALSE),0)+(IF(QualitéAlimentsGavageCaneton_2_3_mois=MAUVAISE,VLOOKUP("Eau",AlimentsGavageCanard,3,FALSE),0)+(IF(QualitéAlimentsGavageJeunesOies=MAUVAISE,VLOOKUP("Eau",AlimentsGavageOie,2,FALSE),0)+(IF(QualitéAlimentsGavageJeuneCanard=MAUVAISE,VLOOKUP("Eau",AlimentsGavageCanard,2,FALSE),0))))))))))</f>
        <v>0</v>
      </c>
      <c r="GB147" s="281"/>
      <c r="GG147" s="276" t="s">
        <v>955</v>
      </c>
      <c r="GH147" s="276" t="s">
        <v>955</v>
      </c>
      <c r="GI147" s="276" t="s">
        <v>955</v>
      </c>
      <c r="GJ147" s="276" t="s">
        <v>955</v>
      </c>
      <c r="GK147" s="276" t="s">
        <v>955</v>
      </c>
      <c r="GL147" s="276" t="s">
        <v>955</v>
      </c>
      <c r="GM147" s="276" t="s">
        <v>955</v>
      </c>
      <c r="GN147" s="276" t="s">
        <v>955</v>
      </c>
      <c r="GO147" s="276" t="s">
        <v>955</v>
      </c>
      <c r="GP147" s="276" t="s">
        <v>955</v>
      </c>
      <c r="GQ147" s="276" t="s">
        <v>955</v>
      </c>
      <c r="GR147" s="276" t="s">
        <v>955</v>
      </c>
      <c r="GS147" s="276" t="s">
        <v>955</v>
      </c>
      <c r="GT147" s="276" t="s">
        <v>955</v>
      </c>
      <c r="GU147" s="276" t="s">
        <v>955</v>
      </c>
      <c r="GV147" s="276" t="s">
        <v>955</v>
      </c>
    </row>
    <row r="148" spans="1:204" ht="12.75" customHeight="1" x14ac:dyDescent="0.2">
      <c r="A148" s="373"/>
      <c r="B148" s="382"/>
      <c r="BB148" s="387" t="s">
        <v>516</v>
      </c>
      <c r="BC148" s="362" t="s">
        <v>269</v>
      </c>
      <c r="BD148" s="362" t="s">
        <v>886</v>
      </c>
      <c r="BE148" s="388">
        <v>24</v>
      </c>
      <c r="BF148" s="388">
        <v>24</v>
      </c>
      <c r="BG148" s="388">
        <v>16</v>
      </c>
      <c r="BH148" s="388">
        <v>12</v>
      </c>
      <c r="BI148" s="388">
        <v>8</v>
      </c>
      <c r="BJ148" s="388">
        <v>4</v>
      </c>
      <c r="BK148" s="389">
        <v>0</v>
      </c>
      <c r="BL148" s="312"/>
      <c r="BM148" s="350">
        <f t="shared" si="43"/>
        <v>0</v>
      </c>
      <c r="BN148" s="351"/>
      <c r="BO148" s="351"/>
      <c r="BP148" s="351"/>
      <c r="BX148" s="350" t="str">
        <f t="shared" si="51"/>
        <v>Chanvre</v>
      </c>
      <c r="BY148" s="350">
        <f t="array" ref="BY148">IF(ChoixRationComplèteCaprins=OUI,0,IFERROR(IF(OR(AND(INDEX(Règles_caprins[Specificite],MATCH(ChoixRationCaprins&amp;$BX148,Règles_caprins[Ration]&amp;Règles_caprins[Aliment],0))="s1",IF($BX148=Spécificité1Caprins,1)),
INDEX(Règles_caprins[Specificite],MATCH(ChoixRationCaprins&amp;$BX148,Règles_caprins[Ration]&amp;Règles_caprins[Aliment],0))="c"),
INDEX(Règles_caprins[Valeur 12 et plus],MATCH(ChoixRationCaprins&amp;$BX148,Règles_caprins[Ration]&amp;Règles_caprins[Aliment],0)),0),0)*TotalChèvres*NbreJoursNourrirCaprins)</f>
        <v>0</v>
      </c>
      <c r="BZ148" s="350">
        <f t="array" ref="BZ148">IF(ChoixRationComplèteCaprins=OUI,0,IFERROR(IF(OR(AND(INDEX(Règles_caprins[Specificite],MATCH(ChoixRationCaprins&amp;$BX148,Règles_caprins[Ration]&amp;Règles_caprins[Aliment],0))="s1",IF($BX148=Spécificité1Caprins,1)),
INDEX(Règles_caprins[Specificite],MATCH(ChoixRationCaprins&amp;$BX148,Règles_caprins[Ration]&amp;Règles_caprins[Aliment],0))="c"),
INDEX(Règles_caprins[Valeur 6-12],MATCH(ChoixRationCaprins&amp;$BX148,Règles_caprins[Ration]&amp;Règles_caprins[Aliment],0)),0),0)*jeune_chèvre_6_12_mois*NbreJoursNourrirCaprins)</f>
        <v>0</v>
      </c>
      <c r="CA148" s="350">
        <f t="array" ref="CA148">IF(ChoixRationComplèteCaprins=OUI,0,IFERROR(IF(OR(AND(INDEX(Règles_caprins[Specificite],MATCH(ChoixRationCaprins&amp;$BX148,Règles_caprins[Ration]&amp;Règles_caprins[Aliment],0))="s1",IF($BX148=Spécificité1Caprins,1)),
INDEX(Règles_caprins[Specificite],MATCH(ChoixRationCaprins&amp;$BX148,Règles_caprins[Ration]&amp;Règles_caprins[Aliment],0))="c"),
INDEX(Règles_caprins[Valeur 3-6],MATCH(ChoixRationCaprins&amp;$BX148,Règles_caprins[Ration]&amp;Règles_caprins[Aliment],0)),0),0)*chevrette_3_6_mois*NbreJoursNourrirCaprins)</f>
        <v>0</v>
      </c>
      <c r="CB148" s="350">
        <f t="array" ref="CB148">IF(ChoixRationComplèteCaprins=OUI,0,IFERROR(IF(OR(AND(INDEX(Règles_caprins[Specificite],MATCH(ChoixRationCaprins&amp;$BX148,Règles_caprins[Ration]&amp;Règles_caprins[Aliment],0))="s1",IF($BX148=Spécificité1Caprins,1)),
INDEX(Règles_caprins[Specificite],MATCH(ChoixRationCaprins&amp;$BX148,Règles_caprins[Ration]&amp;Règles_caprins[Aliment],0))="c"),
INDEX(Règles_caprins[Valeur 0-3],MATCH(ChoixRationCaprins&amp;$BX148,Règles_caprins[Ration]&amp;Règles_caprins[Aliment],0)),0),0)*chevrette_0_3_mois*NbreJoursNourrirCaprins)</f>
        <v>0</v>
      </c>
      <c r="CC148" s="350">
        <f t="shared" si="50"/>
        <v>0</v>
      </c>
      <c r="CH148" s="298"/>
      <c r="CI148" s="277"/>
      <c r="CJ148" s="350" t="str">
        <f t="shared" si="45"/>
        <v>concentré jeunes porcins</v>
      </c>
      <c r="CK148" s="351">
        <f t="array" ref="CK148">SUM((IF(QualitéAlimentsPorceletMâle_0_1_mois=BONNE,VLOOKUP("Concentré jeunes porcins",AlimentsRationPorcinsMâles[],6,FALSE),0)+(IF(QualitéAlimentsPorceletFemelle_0_1_mois=BONNE,VLOOKUP("Concentré jeunes porcins",AlimentsRationPorcinsFemelles[],6,FALSE),0)+(IF(QualitéAlimentsPorceletMâle_1_3_mois=BONNE,VLOOKUP("Concentré jeunes porcins",AlimentsRationPorcinsMâles[],5,FALSE),0)+(IF(QualitéAlimentsPorceletFemelle_1_3_mois=BONNE,VLOOKUP("Concentré jeunes porcins",AlimentsRationPorcinsFemelles[],5,FALSE),0)+(IF(QualitéAlimentsJeuneVerrat_3_6_mois=BONNE,VLOOKUP("Concentré jeunes porcins",AlimentsRationPorcinsMâles[],4,FALSE),0)+(IF(QualitéAlimentsJeuneTruie_3_6_mois=BONNE,VLOOKUP("Concentré jeunes porcins",AlimentsRationPorcinsFemelles[],4,FALSE),0)+(IF(QualitéAlimentsJeuneVerrat_6_12_mois=BONNE,VLOOKUP("Concentré jeunes porcins",AlimentsRationPorcinsMâles[],3,FALSE),0)+(IF(QualitéAlimentsJeuneTruie_6_12_mois=BONNE,VLOOKUP("Concentré jeunes porcins",AlimentsRationPorcinsFemelles[],3,FALSE),0)+(IF(QualitéAlimentsVerrat=BONNE,VLOOKUP("Avoine",AlimentsRationPorcinsMâles[],2,FALSE),0)+(IF(QualitéAlimentsTruie=BONNE,VLOOKUP("Avoine",AlimentsRationPorcinsFemelles[],2,FALSE),0))))))))))))</f>
        <v>0</v>
      </c>
      <c r="CL148" s="351">
        <f t="array" ref="CL148">SUM((IF(QualitéAlimentsPorceletMâle_0_1_mois=MOYENNE,VLOOKUP("Concentré jeunes porcins",AlimentsRationPorcinsMâles[],6,FALSE),0)+(IF(QualitéAlimentsPorceletFemelle_0_1_mois=MOYENNE,VLOOKUP("Concentré jeunes porcins",AlimentsRationPorcinsFemelles[],6,FALSE),0)+(IF(QualitéAlimentsPorceletMâle_1_3_mois=MOYENNE,VLOOKUP("Concentré jeunes porcins",AlimentsRationPorcinsMâles[],5,FALSE),0)+(IF(QualitéAlimentsPorceletFemelle_1_3_mois=MOYENNE,VLOOKUP("Concentré jeunes porcins",AlimentsRationPorcinsFemelles[],5,FALSE),0)+(IF(QualitéAlimentsJeuneVerrat_3_6_mois=MOYENNE,VLOOKUP("Concentré jeunes porcins",AlimentsRationPorcinsMâles[],4,FALSE),0)+(IF(QualitéAlimentsJeuneTruie_3_6_mois=MOYENNE,VLOOKUP("Concentré jeunes porcins",AlimentsRationPorcinsFemelles[],4,FALSE),0)+(IF(QualitéAlimentsJeuneVerrat_6_12_mois=MOYENNE,VLOOKUP("Concentré jeunes porcins",AlimentsRationPorcinsMâles[],3,FALSE),0)+(IF(QualitéAlimentsJeuneTruie_6_12_mois=MOYENNE,VLOOKUP("Concentré jeunes porcins",AlimentsRationPorcinsFemelles[],3,FALSE),0)+(IF(QualitéAlimentsVerrat=BONNE,VLOOKUP("Avoine",AlimentsRationPorcinsMâles[],2,FALSE),0)+(IF(QualitéAlimentsTruie=BONNE,VLOOKUP("Avoine",AlimentsRationPorcinsFemelles[],2,FALSE),0))))))))))))</f>
        <v>0</v>
      </c>
      <c r="CM148" s="351">
        <f t="array" ref="CM148">SUM((IF(QualitéAlimentsPorceletMâle_0_1_mois=MAUVAISE,VLOOKUP("Concentré jeunes porcins",AlimentsRationPorcinsMâles[],6,FALSE),0)+(IF(QualitéAlimentsPorceletFemelle_0_1_mois=MAUVAISE,VLOOKUP("Concentré jeunes porcins",AlimentsRationPorcinsFemelles[],6,FALSE),0)+(IF(QualitéAlimentsPorceletMâle_1_3_mois=MAUVAISE,VLOOKUP("Concentré jeunes porcins",AlimentsRationPorcinsMâles[],5,FALSE),0)+(IF(QualitéAlimentsPorceletFemelle_1_3_mois=MAUVAISE,VLOOKUP("Concentré jeunes porcins",AlimentsRationPorcinsFemelles[],5,FALSE),0)+(IF(QualitéAlimentsJeuneVerrat_3_6_mois=MAUVAISE,VLOOKUP("Concentré jeunes porcins",AlimentsRationPorcinsMâles[],4,FALSE),0)+(IF(QualitéAlimentsJeuneTruie_3_6_mois=MAUVAISE,VLOOKUP("Concentré jeunes porcins",AlimentsRationPorcinsFemelles[],4,FALSE),0)+(IF(QualitéAlimentsJeuneVerrat_6_12_mois=MAUVAISE,VLOOKUP("Concentré jeunes porcins",AlimentsRationPorcinsMâles[],3,FALSE),0)+(IF(QualitéAlimentsJeuneTruie_6_12_mois=MAUVAISE,VLOOKUP("Concentré jeunes porcins",AlimentsRationPorcinsFemelles[],3,FALSE),0)+(IF(QualitéAlimentsVerrat=BONNE,VLOOKUP("Avoine",AlimentsRationPorcinsMâles[],2,FALSE),0)+(IF(QualitéAlimentsTruie=BONNE,VLOOKUP("Avoine",AlimentsRationPorcinsFemelles[],2,FALSE),0))))))))))))</f>
        <v>0</v>
      </c>
      <c r="CN148" s="277"/>
      <c r="CO148" s="277"/>
      <c r="CP148" s="277"/>
      <c r="CS148" s="420" t="s">
        <v>957</v>
      </c>
      <c r="CT148" s="408">
        <f>CT24*SUM(TotalJeunesLapins)*SUM(Z76:Z100)</f>
        <v>0</v>
      </c>
      <c r="CZ148" s="420" t="s">
        <v>600</v>
      </c>
      <c r="DA148" s="408"/>
      <c r="DB148" s="277"/>
      <c r="DC148" s="277"/>
      <c r="DD148" s="277"/>
      <c r="DG148" s="350" t="str">
        <f t="shared" si="52"/>
        <v>Chanvre</v>
      </c>
      <c r="DH148" s="351">
        <f t="array" ref="DH148">SUM((IF(QualitéAlimentsPintadeauMâle_0_1_mois=BONNE,VLOOKUP("Chanvre",AlimentsRationPintadesMâles[],4,FALSE),0)+(IF(QualitéAlimentsPintadeauFemelle_0_1_mois=BONNE,VLOOKUP("Chanvre",AlimentsRationPintadesFemelles[],4,FALSE),0)+(IF(QualitéAlimentsJeunePintadeMâle=BONNE,VLOOKUP("Chanvre",AlimentsRationPintadesMâles[],3,FALSE),0)+(IF(QualitéAlimentsJeunePintadeFemelle=BONNE,VLOOKUP("Chanvre",AlimentsRationPintadesFemelles[],3,FALSE),0)+(IF(QualitéAlimentsPintadeMâle=BONNE,VLOOKUP("Chanvre",AlimentsRationPintadesMâles[],2,FALSE),0)+(IF(QualitéAlimentsPintadeFemelle=BONNE,VLOOKUP("Chanvre",AlimentsRationPintadesFemelles[],2,FALSE),0))))))))</f>
        <v>0</v>
      </c>
      <c r="DI148" s="351">
        <f t="array" ref="DI148">SUM((IF(QualitéAlimentsPintadeauMâle_0_1_mois=MOYENNE,VLOOKUP("Chanvre",AlimentsRationPintadesMâles[],4,FALSE),0)+(IF(QualitéAlimentsPintadeauFemelle_0_1_mois=MOYENNE,VLOOKUP("Chanvre",AlimentsRationPintadesFemelles[],4,FALSE),0)+(IF(QualitéAlimentsJeunePintadeMâle=MOYENNE,VLOOKUP("Chanvre",AlimentsRationPintadesMâles[],3,FALSE),0)+(IF(QualitéAlimentsJeunePintadeFemelle=MOYENNE,VLOOKUP("Chanvre",AlimentsRationPintadesFemelles[],3,FALSE),0)+(IF(QualitéAlimentsPintadeMâle=MOYENNE,VLOOKUP("Chanvre",AlimentsRationPintadesMâles[],2,FALSE),0)+(IF(QualitéAlimentsPintadeFemelle=MOYENNE,VLOOKUP("Chanvre",AlimentsRationPintadesFemelles[],2,FALSE),0))))))))</f>
        <v>0</v>
      </c>
      <c r="DJ148" s="351">
        <f t="array" ref="DJ148">SUM((IF(QualitéAlimentsPintadeauMâle_0_1_mois=MAUVAISE,VLOOKUP("Chanvre",AlimentsRationPintadesMâles[],4,FALSE),0)+(IF(QualitéAlimentsPintadeauFemelle_0_1_mois=MAUVAISE,VLOOKUP("Chanvre",AlimentsRationPintadesFemelles[],4,FALSE),0)+(IF(QualitéAlimentsJeunePintadeMâle=MAUVAISE,VLOOKUP("Chanvre",AlimentsRationPintadesMâles[],3,FALSE),0)+(IF(QualitéAlimentsJeunePintadeFemelle=MAUVAISE,VLOOKUP("Chanvre",AlimentsRationPintadesFemelles[],3,FALSE),0)+(IF(QualitéAlimentsPintadeMâle=MAUVAISE,VLOOKUP("Chanvre",AlimentsRationPintadesMâles[],2,FALSE),0)+(IF(QualitéAlimentsPintadeFemelle=MAUVAISE,VLOOKUP("Chanvre",AlimentsRationPintadesFemelles[],2,FALSE),0))))))))</f>
        <v>0</v>
      </c>
      <c r="DN148" s="229" t="s">
        <v>1157</v>
      </c>
      <c r="DO148" s="229"/>
      <c r="DP148" s="229"/>
      <c r="DQ148" s="229"/>
      <c r="DR148" s="229"/>
      <c r="DS148" s="337"/>
      <c r="EG148" s="229" t="s">
        <v>1195</v>
      </c>
      <c r="EH148" s="229"/>
      <c r="EI148" s="229"/>
      <c r="EJ148" s="229"/>
      <c r="EN148" s="455" t="s">
        <v>910</v>
      </c>
      <c r="EO148" s="456" t="s">
        <v>1192</v>
      </c>
      <c r="EP148" s="456" t="s">
        <v>1193</v>
      </c>
      <c r="EQ148" s="456" t="s">
        <v>1194</v>
      </c>
      <c r="EU148" s="457" t="str">
        <f>EU60</f>
        <v>Avoine</v>
      </c>
      <c r="EV148" s="458">
        <f t="array" ref="EV148">IF(OR(ChoixRationHivernaleComplèteChevauxSelle=OUI,ChoixRationHivernaleComplèteChevauxSelle="",ChoixChevauxSellePréHiver=NON),0,IFERROR(IF(OR(AND(INDEX(Règles_chevaux_selle[Specificite],MATCH(RationHivernaleAuPréChevauxSelle&amp;$EU148,Règles_chevaux_selle[Ration]&amp;Règles_chevaux_selle[Aliment],0))="s1",IF($EU148=Spécificité1ChevauxSelle,1)),
AND(INDEX(Règles_chevaux_selle[Specificite],MATCH(RationHivernaleAuPréChevauxSelle&amp;$EU148,Règles_chevaux_selle[Ration]&amp;Règles_chevaux_selle[Aliment],0))="s2",IF($EU148=Spécificité2ChevauxSelle,1)),
INDEX(Règles_chevaux_selle[Specificite],MATCH(RationHivernaleAuPréChevauxSelle&amp;$EU148,Règles_chevaux_selle[Ration]&amp;Règles_chevaux_selle[Aliment],0))="c"),
INDEX(Règles_chevaux_selle[Valeur 36 et plus],MATCH(RationHivernaleAuPréChevauxSelle&amp;$EU148,Règles_chevaux_selle[Ration]&amp;Règles_chevaux_selle[Aliment],0)),0),0)*SUM(TotalChevauxSelleAdultes)*21)</f>
        <v>0</v>
      </c>
      <c r="EW148" s="458">
        <f t="array" ref="EW148">IF(OR(ChoixRationHivernaleComplèteChevauxSelle=OUI,ChoixRationHivernaleComplèteChevauxSelle="",ChoixChevauxSellePréHiver=NON),0,IFERROR(IF(OR(AND(INDEX(Règles_chevaux_selle[Specificite],MATCH(RationHivernaleAuPréChevauxSelle&amp;$EU148,Règles_chevaux_selle[Ration]&amp;Règles_chevaux_selle[Aliment],0))="s1",IF($EU148=Spécificité1ChevauxSelle,1)),
AND(INDEX(Règles_chevaux_selle[Specificite],MATCH(RationHivernaleAuPréChevauxSelle&amp;$EU148,Règles_chevaux_selle[Ration]&amp;Règles_chevaux_selle[Aliment],0))="s2",IF($EU148=Spécificité2ChevauxSelle,1)),
INDEX(Règles_chevaux_selle[Specificite],MATCH(RationHivernaleAuPréChevauxSelle&amp;$EU148,Règles_chevaux_selle[Ration]&amp;Règles_chevaux_selle[Aliment],0))="c"),
INDEX(Règles_chevaux_selle[Valeur 24-36],MATCH(RationHivernaleAuPréChevauxSelle&amp;$EU148,Règles_chevaux_selle[Ration]&amp;Règles_chevaux_selle[Aliment],0)),0),0)*SUM(TotalChevauxSelle_24_36mois)*21)</f>
        <v>0</v>
      </c>
      <c r="EX148" s="458">
        <f t="array" ref="EX148">IF(OR(ChoixRationHivernaleComplèteChevauxSelle=OUI,ChoixRationHivernaleComplèteChevauxSelle="",ChoixChevauxSellePréHiver=NON),0,IFERROR(IF(OR(AND(INDEX(Règles_chevaux_selle[Specificite],MATCH(RationHivernaleAuPréChevauxSelle&amp;$EU148,Règles_chevaux_selle[Ration]&amp;Règles_chevaux_selle[Aliment],0))="s1",IF($EU148=Spécificité1ChevauxSelle,1)),
AND(INDEX(Règles_chevaux_selle[Specificite],MATCH(RationHivernaleAuPréChevauxSelle&amp;$EU148,Règles_chevaux_selle[Ration]&amp;Règles_chevaux_selle[Aliment],0))="s2",IF($EU148=Spécificité2ChevauxSelle,1)),
INDEX(Règles_chevaux_selle[Specificite],MATCH(RationHivernaleAuPréChevauxSelle&amp;$EU148,Règles_chevaux_selle[Ration]&amp;Règles_chevaux_selle[Aliment],0))="c"),
INDEX(Règles_chevaux_selle[Valeur 12-24],MATCH(RationHivernaleAuPréChevauxSelle&amp;$EU148,Règles_chevaux_selle[Ration]&amp;Règles_chevaux_selle[Aliment],0)),0),0)*SUM(TotalChevauxSelle_12_24mois)*21)</f>
        <v>0</v>
      </c>
      <c r="EY148" s="458">
        <f t="array" ref="EY148">IF(OR(ChoixRationHivernaleComplèteChevauxSelle=OUI,ChoixRationHivernaleComplèteChevauxSelle="",ChoixChevauxSellePréHiver=NON),0,IFERROR(IF(OR(AND(INDEX(Règles_chevaux_selle[Specificite],MATCH(RationHivernaleAuPréChevauxSelle&amp;$EU148,Règles_chevaux_selle[Ration]&amp;Règles_chevaux_selle[Aliment],0))="s1",IF($EU148=Spécificité1ChevauxSelle,1)),
AND(INDEX(Règles_chevaux_selle[Specificite],MATCH(RationHivernaleAuPréChevauxSelle&amp;$EU148,Règles_chevaux_selle[Ration]&amp;Règles_chevaux_selle[Aliment],0))="s2",IF($EU148=Spécificité2ChevauxSelle,1)),
INDEX(Règles_chevaux_selle[Specificite],MATCH(RationHivernaleAuPréChevauxSelle&amp;$EU148,Règles_chevaux_selle[Ration]&amp;Règles_chevaux_selle[Aliment],0))="c"),
INDEX(Règles_chevaux_selle[Valeur 0-12],MATCH(RationHivernaleAuPréChevauxSelle&amp;$EU148,Règles_chevaux_selle[Ration]&amp;Règles_chevaux_selle[Aliment],0)),0),0)*SUM(TotalPoulainsSelle)*21)</f>
        <v>0</v>
      </c>
      <c r="EZ148" s="460">
        <f t="shared" ref="EZ148:EZ186" si="53">SUM($EV148:$EY148)</f>
        <v>0</v>
      </c>
      <c r="FD148" s="457" t="str">
        <f t="shared" si="49"/>
        <v>Colza</v>
      </c>
      <c r="FE148" s="458">
        <f t="array" ref="FE148">IF(OR(ChoixRationHivernaleComplèteChevauxTrait=OUI,ChoixRationHivernaleComplèteChevauxTrait="",ChoixChevauxTraitPréHiver=NON),0,IFERROR(IF(OR(AND(INDEX(Règles_chevaux_trait[Specificite],MATCH(RationHivernaleAuPréChevauxTrait&amp;$FD148,Règles_chevaux_trait[Ration]&amp;Règles_chevaux_trait[Aliment],0))="s1",IF($FD148=Spécificité1ChevauxTrait,1)),
AND(INDEX(Règles_chevaux_trait[Specificite],MATCH(RationHivernaleAuPréChevauxTrait&amp;$FD148,Règles_chevaux_trait[Ration]&amp;Règles_chevaux_trait[Aliment],0))="s2",IF($FD148=Spécificité2ChevauxTrait,1)),
INDEX(Règles_chevaux_trait[Specificite],MATCH(RationHivernaleAuPréChevauxTrait&amp;$FD148,Règles_chevaux_trait[Ration]&amp;Règles_chevaux_trait[Aliment],0))="c"),
INDEX(Règles_chevaux_trait[Valeur 36 et plus],MATCH(RationHivernaleAuPréChevauxTrait&amp;$FD148,Règles_chevaux_trait[Ration]&amp;Règles_chevaux_trait[Aliment],0)),0),0)*SUM(TotalChevauxTraitAdultes)*21)</f>
        <v>0</v>
      </c>
      <c r="FF148" s="458">
        <f t="array" ref="FF148">IF(OR(ChoixRationHivernaleComplèteChevauxTrait=OUI,ChoixRationHivernaleComplèteChevauxTrait="",ChoixChevauxTraitPréHiver=NON),0,IFERROR(IF(OR(AND(INDEX(Règles_chevaux_trait[Specificite],MATCH(RationHivernaleAuPréChevauxTrait&amp;$FD148,Règles_chevaux_trait[Ration]&amp;Règles_chevaux_trait[Aliment],0))="s1",IF($FD148=Spécificité1ChevauxTrait,1)),
AND(INDEX(Règles_chevaux_trait[Specificite],MATCH(RationHivernaleAuPréChevauxTrait&amp;$FD148,Règles_chevaux_trait[Ration]&amp;Règles_chevaux_trait[Aliment],0))="s2",IF($FD148=Spécificité2ChevauxTrait,1)),
INDEX(Règles_chevaux_trait[Specificite],MATCH(RationHivernaleAuPréChevauxTrait&amp;$FD148,Règles_chevaux_trait[Ration]&amp;Règles_chevaux_trait[Aliment],0))="c"),
INDEX(Règles_chevaux_trait[Valeur 24-36],MATCH(RationHivernaleAuPréChevauxTrait&amp;$FD148,Règles_chevaux_trait[Ration]&amp;Règles_chevaux_trait[Aliment],0)),0),0)*SUM(TotalChevauxTrait_24_36mois)*21)</f>
        <v>0</v>
      </c>
      <c r="FG148" s="458">
        <f t="array" ref="FG148">IF(OR(ChoixRationHivernaleComplèteChevauxTrait=OUI,ChoixRationHivernaleComplèteChevauxTrait="",ChoixChevauxTraitPréHiver=NON),0,IFERROR(IF(OR(AND(INDEX(Règles_chevaux_trait[Specificite],MATCH(RationHivernaleAuPréChevauxTrait&amp;$FD148,Règles_chevaux_trait[Ration]&amp;Règles_chevaux_trait[Aliment],0))="s1",IF($FD148=Spécificité1ChevauxTrait,1)),
AND(INDEX(Règles_chevaux_trait[Specificite],MATCH(RationHivernaleAuPréChevauxTrait&amp;$FD148,Règles_chevaux_trait[Ration]&amp;Règles_chevaux_trait[Aliment],0))="s2",IF($FD148=Spécificité2ChevauxTrait,1)),
INDEX(Règles_chevaux_trait[Specificite],MATCH(RationHivernaleAuPréChevauxTrait&amp;$FD148,Règles_chevaux_trait[Ration]&amp;Règles_chevaux_trait[Aliment],0))="c"),
INDEX(Règles_chevaux_trait[Valeur 12-24],MATCH(RationHivernaleAuPréChevauxTrait&amp;$FD148,Règles_chevaux_trait[Ration]&amp;Règles_chevaux_trait[Aliment],0)),0),0)*SUM(TotalChevauxTrait_12_24mois)*21)</f>
        <v>0</v>
      </c>
      <c r="FH148" s="460">
        <f t="array" ref="FH148">IF(OR(ChoixRationHivernaleComplèteChevauxTrait=OUI,ChoixRationHivernaleComplèteChevauxTrait="",ChoixChevauxTraitPréHiver=NON),0,IFERROR(IF(OR(AND(INDEX(Règles_chevaux_trait[Specificite],MATCH(RationHivernaleAuPréChevauxTrait&amp;$FD148,Règles_chevaux_trait[Ration]&amp;Règles_chevaux_trait[Aliment],0))="s1",IF($FD148=Spécificité1ChevauxTrait,1)),
AND(INDEX(Règles_chevaux_trait[Specificite],MATCH(RationHivernaleAuPréChevauxTrait&amp;$FD148,Règles_chevaux_trait[Ration]&amp;Règles_chevaux_trait[Aliment],0))="s2",IF($FD148=Spécificité2ChevauxTrait,1)),
INDEX(Règles_chevaux_trait[Specificite],MATCH(RationHivernaleAuPréChevauxTrait&amp;$FD148,Règles_chevaux_trait[Ration]&amp;Règles_chevaux_trait[Aliment],0))="c"),
INDEX(Règles_chevaux_trait[Valeur 0-12],MATCH(RationHivernaleAuPréChevauxTrait&amp;$FD148,Règles_chevaux_trait[Ration]&amp;Règles_chevaux_trait[Aliment],0)),0),0)*SUM(TotalPoulainsTrait)*21)</f>
        <v>0</v>
      </c>
      <c r="FI148" s="460">
        <f t="shared" si="47"/>
        <v>0</v>
      </c>
      <c r="FJ148" s="298"/>
      <c r="FN148" s="457" t="str">
        <f t="shared" si="48"/>
        <v>concentré jeunes bovins</v>
      </c>
      <c r="FO148" s="458">
        <f t="array" ref="FO148">IF(OR(ChoixRationHivernaleComplètePoneys=OUI,ChoixRationHivernaleComplètePoneys="",ChoixPoneysPréHiver=NON),0,IFERROR(IF(OR(AND(INDEX(Règles_poneys[Specificite],MATCH(RationHivernaleAuPréPoneys&amp;$FN148,Règles_poneys[Ration]&amp;Règles_poneys[Aliment],0))="s1",IF($FN148=Spécificité1Poneys,1)),
AND(INDEX(Règles_poneys[Specificite],MATCH(RationHivernaleAuPréPoneys&amp;$FN148,Règles_poneys[Ration]&amp;Règles_poneys[Aliment],0))="s2",IF($FN148=Spécificité2Poneys,1)),
INDEX(Règles_poneys[Specificite],MATCH(RationHivernaleAuPréPoneys&amp;$FN148,Règles_poneys[Ration]&amp;Règles_poneys[Aliment],0))="c"),
INDEX(Règles_poneys[Valeur 36 et plus],MATCH(RationHivernaleAuPréPoneys&amp;$FN148,Règles_poneys[Ration]&amp;Règles_poneys[Aliment],0)),0),0)*SUM(TotalPoneysAdultes)*21)</f>
        <v>0</v>
      </c>
      <c r="FP148" s="458">
        <f t="array" ref="FP148">IF(OR(ChoixRationHivernaleComplètePoneys=OUI,ChoixRationHivernaleComplètePoneys="",ChoixPoneysPréHiver=NON),0,IFERROR(IF(OR(AND(INDEX(Règles_poneys[Specificite],MATCH(RationHivernaleAuPréPoneys&amp;$FN148,Règles_poneys[Ration]&amp;Règles_poneys[Aliment],0))="s1",IF($FN148=Spécificité1Poneys,1)),
AND(INDEX(Règles_poneys[Specificite],MATCH(RationHivernaleAuPréPoneys&amp;$FN148,Règles_poneys[Ration]&amp;Règles_poneys[Aliment],0))="s2",IF($FN148=Spécificité2Poneys,1)),
INDEX(Règles_poneys[Specificite],MATCH(RationHivernaleAuPréPoneys&amp;$FN148,Règles_poneys[Ration]&amp;Règles_poneys[Aliment],0))="c"),
INDEX(Règles_poneys[Valeur 24-36],MATCH(RationHivernaleAuPréPoneys&amp;$FN148,Règles_poneys[Ration]&amp;Règles_poneys[Aliment],0)),0),0)*SUM(TotalPoneys_24_36mois)*21)</f>
        <v>0</v>
      </c>
      <c r="FQ148" s="458">
        <f t="array" ref="FQ148">IF(OR(ChoixRationHivernaleComplètePoneys=OUI,ChoixRationHivernaleComplètePoneys="",ChoixPoneysPréHiver=NON),0,IFERROR(IF(OR(AND(INDEX(Règles_poneys[Specificite],MATCH(RationHivernaleAuPréPoneys&amp;$FN148,Règles_poneys[Ration]&amp;Règles_poneys[Aliment],0))="s1",IF($FN148=Spécificité1Poneys,1)),
AND(INDEX(Règles_poneys[Specificite],MATCH(RationHivernaleAuPréPoneys&amp;$FN148,Règles_poneys[Ration]&amp;Règles_poneys[Aliment],0))="s2",IF($FN148=Spécificité2Poneys,1)),
INDEX(Règles_poneys[Specificite],MATCH(RationHivernaleAuPréPoneys&amp;$FN148,Règles_poneys[Ration]&amp;Règles_poneys[Aliment],0))="c"),
INDEX(Règles_poneys[Valeur 12-24],MATCH(RationHivernaleAuPréPoneys&amp;$FN148,Règles_poneys[Ration]&amp;Règles_poneys[Aliment],0)),0),0)*SUM(TotalPoneys_12_24mois)*21)</f>
        <v>0</v>
      </c>
      <c r="FR148" s="460">
        <f t="array" ref="FR148">IF(OR(ChoixRationHivernaleComplètePoneys=OUI,ChoixRationHivernaleComplètePoneys="",ChoixPoneysPréHiver=NON),0,IFERROR(IF(OR(AND(INDEX(Règles_poneys[Specificite],MATCH(RationHivernaleAuPréPoneys&amp;$FN148,Règles_poneys[Ration]&amp;Règles_poneys[Aliment],0))="s1",IF($FN148=Spécificité1Poneys,1)),
AND(INDEX(Règles_poneys[Specificite],MATCH(RationHivernaleAuPréPoneys&amp;$FN148,Règles_poneys[Ration]&amp;Règles_poneys[Aliment],0))="s2",IF($FN148=Spécificité2Poneys,1)),
INDEX(Règles_poneys[Specificite],MATCH(RationHivernaleAuPréPoneys&amp;$FN148,Règles_poneys[Ration]&amp;Règles_poneys[Aliment],0))="c"),
INDEX(Règles_poneys[Valeur 0-12],MATCH(RationHivernaleAuPréPoneys&amp;$FN148,Règles_poneys[Ration]&amp;Règles_poneys[Aliment],0)),0),0)*SUM(TotalPoulainsPoneys)*21)</f>
        <v>0</v>
      </c>
      <c r="FS148" s="460">
        <f t="shared" si="46"/>
        <v>0</v>
      </c>
      <c r="FW148" s="457" t="str">
        <f t="shared" si="44"/>
        <v>Epinard</v>
      </c>
      <c r="FX148" s="458">
        <f t="array" ref="FX148">SUM((IF(QualitéAlimentsGavageOison_0_1_mois=BONNE,VLOOKUP("Epinard",AlimentsGavageOie,5,FALSE),0)+(IF(QualitéAlimentsGavageCaneton_0_1_mois=BONNE,VLOOKUP("Epinard",AlimentsGavageCanard,5,FALSE),0)+(IF(QualitéAlimentsGavageOison_1_2_mois=BONNE,VLOOKUP("Epinard",AlimentsGavageOie,4,FALSE),0)+(IF(QualitéAlimentsGavageCaneton_1_2_mois=BONNE,VLOOKUP("Epinard",AlimentsGavageCanard,4,FALSE),0)+(IF(QualitéAlimentsGavageOison_2_3_mois=BONNE,VLOOKUP("Epinard",AlimentsGavageOie,3,FALSE),0)+(IF(QualitéAlimentsGavageCaneton_2_3_mois=BONNE,VLOOKUP("Epinard",AlimentsGavageCanard,3,FALSE),0)+(IF(QualitéAlimentsGavageJeunesOies=BONNE,VLOOKUP("Epinard",AlimentsGavageOie,2,FALSE),0)+(IF(QualitéAlimentsGavageJeuneCanard=BONNE,VLOOKUP("Epinard",AlimentsGavageCanard,2,FALSE),0))))))))))</f>
        <v>0</v>
      </c>
      <c r="FY148" s="458">
        <f t="array" ref="FY148">SUM((IF(QualitéAlimentsGavageOison_0_1_mois=MOYENNE,VLOOKUP("Epinard",AlimentsGavageOie,5,FALSE),0)+(IF(QualitéAlimentsGavageCaneton_0_1_mois=MOYENNE,VLOOKUP("Epinard",AlimentsGavageCanard,5,FALSE),0)+(IF(QualitéAlimentsGavageOison_1_2_mois=MOYENNE,VLOOKUP("Epinard",AlimentsGavageOie,4,FALSE),0)+(IF(QualitéAlimentsGavageCaneton_1_2_mois=MOYENNE,VLOOKUP("Epinard",AlimentsGavageCanard,4,FALSE),0)+(IF(QualitéAlimentsGavageOison_2_3_mois=MOYENNE,VLOOKUP("Epinard",AlimentsGavageOie,3,FALSE),0)+(IF(QualitéAlimentsGavageCaneton_2_3_mois=MOYENNE,VLOOKUP("Epinard",AlimentsGavageCanard,3,FALSE),0)+(IF(QualitéAlimentsGavageJeunesOies=MOYENNE,VLOOKUP("Epinard",AlimentsGavageOie,2,FALSE),0)+(IF(QualitéAlimentsGavageJeuneCanard=MOYENNE,VLOOKUP("Epinard",AlimentsGavageCanard,2,FALSE),0))))))))))</f>
        <v>0</v>
      </c>
      <c r="FZ148" s="458">
        <f t="array" ref="FZ148">SUM((IF(QualitéAlimentsGavageOison_0_1_mois=MAUVAISE,VLOOKUP("Epinard",AlimentsGavageOie,5,FALSE),0)+(IF(QualitéAlimentsGavageCaneton_0_1_mois=MAUVAISE,VLOOKUP("Epinard",AlimentsGavageCanard,5,FALSE),0)+(IF(QualitéAlimentsGavageOison_1_2_mois=MAUVAISE,VLOOKUP("Epinard",AlimentsGavageOie,4,FALSE),0)+(IF(QualitéAlimentsGavageCaneton_1_2_mois=MAUVAISE,VLOOKUP("Epinard",AlimentsGavageCanard,4,FALSE),0)+(IF(QualitéAlimentsGavageOison_2_3_mois=MAUVAISE,VLOOKUP("Epinard",AlimentsGavageOie,3,FALSE),0)+(IF(QualitéAlimentsGavageCaneton_2_3_mois=MAUVAISE,VLOOKUP("Epinard",AlimentsGavageCanard,3,FALSE),0)+(IF(QualitéAlimentsGavageJeunesOies=MAUVAISE,VLOOKUP("Epinard",AlimentsGavageOie,2,FALSE),0)+(IF(QualitéAlimentsGavageJeuneCanard=MAUVAISE,VLOOKUP("Epinard",AlimentsGavageCanard,2,FALSE),0))))))))))</f>
        <v>0</v>
      </c>
      <c r="GB148" s="281"/>
      <c r="GG148" s="276" t="s">
        <v>955</v>
      </c>
      <c r="GH148" s="276" t="s">
        <v>955</v>
      </c>
      <c r="GI148" s="276" t="s">
        <v>955</v>
      </c>
      <c r="GJ148" s="276" t="s">
        <v>955</v>
      </c>
      <c r="GK148" s="276" t="s">
        <v>955</v>
      </c>
      <c r="GL148" s="276" t="s">
        <v>955</v>
      </c>
      <c r="GM148" s="276" t="s">
        <v>955</v>
      </c>
      <c r="GN148" s="276" t="s">
        <v>955</v>
      </c>
      <c r="GO148" s="276" t="s">
        <v>955</v>
      </c>
      <c r="GP148" s="276" t="s">
        <v>955</v>
      </c>
      <c r="GQ148" s="276" t="s">
        <v>955</v>
      </c>
      <c r="GR148" s="276" t="s">
        <v>955</v>
      </c>
      <c r="GS148" s="276" t="s">
        <v>955</v>
      </c>
      <c r="GT148" s="276" t="s">
        <v>955</v>
      </c>
      <c r="GU148" s="276" t="s">
        <v>955</v>
      </c>
      <c r="GV148" s="276" t="s">
        <v>955</v>
      </c>
    </row>
    <row r="149" spans="1:204" ht="12.75" customHeight="1" x14ac:dyDescent="0.2">
      <c r="A149" s="373"/>
      <c r="B149" s="382"/>
      <c r="BB149" s="387" t="s">
        <v>516</v>
      </c>
      <c r="BC149" s="362" t="s">
        <v>488</v>
      </c>
      <c r="BD149" s="362" t="s">
        <v>886</v>
      </c>
      <c r="BE149" s="388">
        <v>24</v>
      </c>
      <c r="BF149" s="388">
        <v>24</v>
      </c>
      <c r="BG149" s="388">
        <v>16</v>
      </c>
      <c r="BH149" s="388">
        <v>12</v>
      </c>
      <c r="BI149" s="388">
        <v>8</v>
      </c>
      <c r="BJ149" s="388">
        <v>4</v>
      </c>
      <c r="BK149" s="389">
        <v>0</v>
      </c>
      <c r="BL149" s="312"/>
      <c r="BM149" s="350"/>
      <c r="BN149" s="351"/>
      <c r="BO149" s="351"/>
      <c r="BP149" s="351"/>
      <c r="BX149" s="350" t="str">
        <f t="shared" si="51"/>
        <v>Canola</v>
      </c>
      <c r="BY149" s="350">
        <f t="array" ref="BY149">IF(ChoixRationComplèteCaprins=OUI,0,IFERROR(IF(OR(AND(INDEX(Règles_caprins[Specificite],MATCH(ChoixRationCaprins&amp;$BX149,Règles_caprins[Ration]&amp;Règles_caprins[Aliment],0))="s1",IF($BX149=Spécificité1Caprins,1)),
INDEX(Règles_caprins[Specificite],MATCH(ChoixRationCaprins&amp;$BX149,Règles_caprins[Ration]&amp;Règles_caprins[Aliment],0))="c"),
INDEX(Règles_caprins[Valeur 12 et plus],MATCH(ChoixRationCaprins&amp;$BX149,Règles_caprins[Ration]&amp;Règles_caprins[Aliment],0)),0),0)*TotalChèvres*NbreJoursNourrirCaprins)</f>
        <v>0</v>
      </c>
      <c r="BZ149" s="350">
        <f t="array" ref="BZ149">IF(ChoixRationComplèteCaprins=OUI,0,IFERROR(IF(OR(AND(INDEX(Règles_caprins[Specificite],MATCH(ChoixRationCaprins&amp;$BX149,Règles_caprins[Ration]&amp;Règles_caprins[Aliment],0))="s1",IF($BX149=Spécificité1Caprins,1)),
INDEX(Règles_caprins[Specificite],MATCH(ChoixRationCaprins&amp;$BX149,Règles_caprins[Ration]&amp;Règles_caprins[Aliment],0))="c"),
INDEX(Règles_caprins[Valeur 6-12],MATCH(ChoixRationCaprins&amp;$BX149,Règles_caprins[Ration]&amp;Règles_caprins[Aliment],0)),0),0)*jeune_chèvre_6_12_mois*NbreJoursNourrirCaprins)</f>
        <v>0</v>
      </c>
      <c r="CA149" s="350">
        <f t="array" ref="CA149">IF(ChoixRationComplèteCaprins=OUI,0,IFERROR(IF(OR(AND(INDEX(Règles_caprins[Specificite],MATCH(ChoixRationCaprins&amp;$BX149,Règles_caprins[Ration]&amp;Règles_caprins[Aliment],0))="s1",IF($BX149=Spécificité1Caprins,1)),
INDEX(Règles_caprins[Specificite],MATCH(ChoixRationCaprins&amp;$BX149,Règles_caprins[Ration]&amp;Règles_caprins[Aliment],0))="c"),
INDEX(Règles_caprins[Valeur 3-6],MATCH(ChoixRationCaprins&amp;$BX149,Règles_caprins[Ration]&amp;Règles_caprins[Aliment],0)),0),0)*chevrette_3_6_mois*NbreJoursNourrirCaprins)</f>
        <v>0</v>
      </c>
      <c r="CB149" s="350">
        <f t="array" ref="CB149">IF(ChoixRationComplèteCaprins=OUI,0,IFERROR(IF(OR(AND(INDEX(Règles_caprins[Specificite],MATCH(ChoixRationCaprins&amp;$BX149,Règles_caprins[Ration]&amp;Règles_caprins[Aliment],0))="s1",IF($BX149=Spécificité1Caprins,1)),
INDEX(Règles_caprins[Specificite],MATCH(ChoixRationCaprins&amp;$BX149,Règles_caprins[Ration]&amp;Règles_caprins[Aliment],0))="c"),
INDEX(Règles_caprins[Valeur 0-3],MATCH(ChoixRationCaprins&amp;$BX149,Règles_caprins[Ration]&amp;Règles_caprins[Aliment],0)),0),0)*chevrette_0_3_mois*NbreJoursNourrirCaprins)</f>
        <v>0</v>
      </c>
      <c r="CC149" s="350">
        <f t="shared" si="50"/>
        <v>0</v>
      </c>
      <c r="CH149" s="298"/>
      <c r="CI149" s="277"/>
      <c r="CJ149" s="350" t="str">
        <f t="shared" si="45"/>
        <v>Ensilage d'herbe</v>
      </c>
      <c r="CK149" s="351">
        <f t="array" ref="CK149">SUM((IF(QualitéAlimentsPorceletMâle_0_1_mois=BONNE,VLOOKUP("Ensilage d'herbe",AlimentsRationPorcinsMâles[],6,FALSE),0)+(IF(QualitéAlimentsPorceletFemelle_0_1_mois=BONNE,VLOOKUP("Ensilage d'herbe",AlimentsRationPorcinsFemelles[],6,FALSE),0)+(IF(QualitéAlimentsPorceletMâle_1_3_mois=BONNE,VLOOKUP("Ensilage d'herbe",AlimentsRationPorcinsMâles[],5,FALSE),0)+(IF(QualitéAlimentsPorceletFemelle_1_3_mois=BONNE,VLOOKUP("Ensilage d'herbe",AlimentsRationPorcinsFemelles[],5,FALSE),0)+(IF(QualitéAlimentsJeuneVerrat_3_6_mois=BONNE,VLOOKUP("Ensilage d'herbe",AlimentsRationPorcinsMâles[],4,FALSE),0)+(IF(QualitéAlimentsJeuneTruie_3_6_mois=BONNE,VLOOKUP("Ensilage d'herbe",AlimentsRationPorcinsFemelles[],4,FALSE),0)+(IF(QualitéAlimentsJeuneVerrat_6_12_mois=BONNE,VLOOKUP("Ensilage d'herbe",AlimentsRationPorcinsMâles[],3,FALSE),0)+(IF(QualitéAlimentsJeuneTruie_6_12_mois=BONNE,VLOOKUP("Ensilage d'herbe",AlimentsRationPorcinsFemelles[],3,FALSE),0)+(IF(QualitéAlimentsVerrat=BONNE,VLOOKUP("Avoine",AlimentsRationPorcinsMâles[],2,FALSE),0)+(IF(QualitéAlimentsTruie=BONNE,VLOOKUP("Avoine",AlimentsRationPorcinsFemelles[],2,FALSE),0))))))))))))</f>
        <v>0</v>
      </c>
      <c r="CL149" s="351">
        <f t="array" ref="CL149">SUM((IF(QualitéAlimentsPorceletMâle_0_1_mois=MOYENNE,VLOOKUP("Ensilage d'herbe",AlimentsRationPorcinsMâles[],6,FALSE),0)+(IF(QualitéAlimentsPorceletFemelle_0_1_mois=MOYENNE,VLOOKUP("Ensilage d'herbe",AlimentsRationPorcinsFemelles[],6,FALSE),0)+(IF(QualitéAlimentsPorceletMâle_1_3_mois=MOYENNE,VLOOKUP("Ensilage d'herbe",AlimentsRationPorcinsMâles[],5,FALSE),0)+(IF(QualitéAlimentsPorceletFemelle_1_3_mois=MOYENNE,VLOOKUP("Ensilage d'herbe",AlimentsRationPorcinsFemelles[],5,FALSE),0)+(IF(QualitéAlimentsJeuneVerrat_3_6_mois=MOYENNE,VLOOKUP("Ensilage d'herbe",AlimentsRationPorcinsMâles[],4,FALSE),0)+(IF(QualitéAlimentsJeuneTruie_3_6_mois=MOYENNE,VLOOKUP("Ensilage d'herbe",AlimentsRationPorcinsFemelles[],4,FALSE),0)+(IF(QualitéAlimentsJeuneVerrat_6_12_mois=MOYENNE,VLOOKUP("Ensilage d'herbe",AlimentsRationPorcinsMâles[],3,FALSE),0)+(IF(QualitéAlimentsJeuneTruie_6_12_mois=MOYENNE,VLOOKUP("Ensilage d'herbe",AlimentsRationPorcinsFemelles[],3,FALSE),0)+(IF(QualitéAlimentsVerrat=BONNE,VLOOKUP("Avoine",AlimentsRationPorcinsMâles[],2,FALSE),0)+(IF(QualitéAlimentsTruie=BONNE,VLOOKUP("Avoine",AlimentsRationPorcinsFemelles[],2,FALSE),0))))))))))))</f>
        <v>0</v>
      </c>
      <c r="CM149" s="351">
        <f t="array" ref="CM149">SUM((IF(QualitéAlimentsPorceletMâle_0_1_mois=MAUVAISE,VLOOKUP("Ensilage d'herbe",AlimentsRationPorcinsMâles[],6,FALSE),0)+(IF(QualitéAlimentsPorceletFemelle_0_1_mois=MAUVAISE,VLOOKUP("Ensilage d'herbe",AlimentsRationPorcinsFemelles[],6,FALSE),0)+(IF(QualitéAlimentsPorceletMâle_1_3_mois=MAUVAISE,VLOOKUP("Ensilage d'herbe",AlimentsRationPorcinsMâles[],5,FALSE),0)+(IF(QualitéAlimentsPorceletFemelle_1_3_mois=MAUVAISE,VLOOKUP("Ensilage d'herbe",AlimentsRationPorcinsFemelles[],5,FALSE),0)+(IF(QualitéAlimentsJeuneVerrat_3_6_mois=MAUVAISE,VLOOKUP("Ensilage d'herbe",AlimentsRationPorcinsMâles[],4,FALSE),0)+(IF(QualitéAlimentsJeuneTruie_3_6_mois=MAUVAISE,VLOOKUP("Ensilage d'herbe",AlimentsRationPorcinsFemelles[],4,FALSE),0)+(IF(QualitéAlimentsJeuneVerrat_6_12_mois=MAUVAISE,VLOOKUP("Ensilage d'herbe",AlimentsRationPorcinsMâles[],3,FALSE),0)+(IF(QualitéAlimentsJeuneTruie_6_12_mois=MAUVAISE,VLOOKUP("Ensilage d'herbe",AlimentsRationPorcinsFemelles[],3,FALSE),0)+(IF(QualitéAlimentsVerrat=BONNE,VLOOKUP("Avoine",AlimentsRationPorcinsMâles[],2,FALSE),0)+(IF(QualitéAlimentsTruie=BONNE,VLOOKUP("Avoine",AlimentsRationPorcinsFemelles[],2,FALSE),0))))))))))))</f>
        <v>0</v>
      </c>
      <c r="CN149" s="277"/>
      <c r="CO149" s="325"/>
      <c r="CP149" s="277"/>
      <c r="CS149" s="420" t="s">
        <v>956</v>
      </c>
      <c r="CT149" s="408"/>
      <c r="CZ149" s="420" t="s">
        <v>601</v>
      </c>
      <c r="DA149" s="408">
        <f>DC20*SUM(TotalPoussins)*SUM(Z76:Z100)</f>
        <v>0</v>
      </c>
      <c r="DB149" s="297"/>
      <c r="DC149" s="297"/>
      <c r="DD149" s="279"/>
      <c r="DG149" s="350" t="str">
        <f t="shared" si="52"/>
        <v>Canola</v>
      </c>
      <c r="DH149" s="351">
        <f t="array" ref="DH149">SUM((IF(QualitéAlimentsPintadeauMâle_0_1_mois=BONNE,VLOOKUP("Canola",AlimentsRationPintadesMâles[],4,FALSE),0)+(IF(QualitéAlimentsPintadeauFemelle_0_1_mois=BONNE,VLOOKUP("Canola",AlimentsRationPintadesFemelles[],4,FALSE),0)+(IF(QualitéAlimentsJeunePintadeMâle=BONNE,VLOOKUP("Canola",AlimentsRationPintadesMâles[],3,FALSE),0)+(IF(QualitéAlimentsJeunePintadeFemelle=BONNE,VLOOKUP("Canola",AlimentsRationPintadesFemelles[],3,FALSE),0)+(IF(QualitéAlimentsPintadeMâle=BONNE,VLOOKUP("Canola",AlimentsRationPintadesMâles[],2,FALSE),0)+(IF(QualitéAlimentsPintadeFemelle=BONNE,VLOOKUP("Canola",AlimentsRationPintadesFemelles[],2,FALSE),0))))))))</f>
        <v>0</v>
      </c>
      <c r="DI149" s="351">
        <f t="array" ref="DI149">SUM((IF(QualitéAlimentsPintadeauMâle_0_1_mois=MOYENNE,VLOOKUP("Canola",AlimentsRationPintadesMâles[],4,FALSE),0)+(IF(QualitéAlimentsPintadeauFemelle_0_1_mois=MOYENNE,VLOOKUP("Canola",AlimentsRationPintadesFemelles[],4,FALSE),0)+(IF(QualitéAlimentsJeunePintadeMâle=MOYENNE,VLOOKUP("Canola",AlimentsRationPintadesMâles[],3,FALSE),0)+(IF(QualitéAlimentsJeunePintadeFemelle=MOYENNE,VLOOKUP("Canola",AlimentsRationPintadesFemelles[],3,FALSE),0)+(IF(QualitéAlimentsPintadeMâle=MOYENNE,VLOOKUP("Canola",AlimentsRationPintadesMâles[],2,FALSE),0)+(IF(QualitéAlimentsPintadeFemelle=MOYENNE,VLOOKUP("Canola",AlimentsRationPintadesFemelles[],2,FALSE),0))))))))</f>
        <v>0</v>
      </c>
      <c r="DJ149" s="351">
        <f t="array" ref="DJ149">SUM((IF(QualitéAlimentsPintadeauMâle_0_1_mois=MAUVAISE,VLOOKUP("Canola",AlimentsRationPintadesMâles[],4,FALSE),0)+(IF(QualitéAlimentsPintadeauFemelle_0_1_mois=MAUVAISE,VLOOKUP("Canola",AlimentsRationPintadesFemelles[],4,FALSE),0)+(IF(QualitéAlimentsJeunePintadeMâle=MAUVAISE,VLOOKUP("Canola",AlimentsRationPintadesMâles[],3,FALSE),0)+(IF(QualitéAlimentsJeunePintadeFemelle=MAUVAISE,VLOOKUP("Canola",AlimentsRationPintadesFemelles[],3,FALSE),0)+(IF(QualitéAlimentsPintadeMâle=MAUVAISE,VLOOKUP("Canola",AlimentsRationPintadesMâles[],2,FALSE),0)+(IF(QualitéAlimentsPintadeFemelle=MAUVAISE,VLOOKUP("Canola",AlimentsRationPintadesFemelles[],2,FALSE),0))))))))</f>
        <v>0</v>
      </c>
      <c r="DN149" s="349" t="s">
        <v>910</v>
      </c>
      <c r="DO149" s="349" t="s">
        <v>914</v>
      </c>
      <c r="DP149" s="349" t="s">
        <v>891</v>
      </c>
      <c r="DQ149" s="349" t="s">
        <v>890</v>
      </c>
      <c r="DR149" s="440" t="s">
        <v>889</v>
      </c>
      <c r="DS149" s="349" t="s">
        <v>903</v>
      </c>
      <c r="EG149" s="349" t="s">
        <v>910</v>
      </c>
      <c r="EH149" s="353" t="s">
        <v>1192</v>
      </c>
      <c r="EI149" s="353" t="s">
        <v>1193</v>
      </c>
      <c r="EJ149" s="353" t="s">
        <v>1194</v>
      </c>
      <c r="EN149" s="457" t="str">
        <f>EN52</f>
        <v>Avoine</v>
      </c>
      <c r="EO149" s="458">
        <f t="array" ref="EO149">SUM((IF(QualitéAlimentsCanetonMâle=BONNE,VLOOKUP("Avoine",AlimentsRationCanardsMâles,4,FALSE),0)+(IF(QualitéAlimentsCanetonFemelle=BONNE,VLOOKUP("Avoine",AlimentsRationCanardsFemelles,4,FALSE),0)+(IF(QualitéAlimentsJeuneCanard=BONNE,VLOOKUP("Avoine",AlimentsRationCanardsMâles,3,FALSE),0)+(IF(QualitéAlimentsJeuneCane=BONNE,VLOOKUP("Avoine",AlimentsRationCanardsFemelles,3,FALSE),0)+(IF(QualitéAlimentsCanard=BONNE,VLOOKUP("Avoine",AlimentsRationCanardsMâles,2,FALSE),0)+(IF(QualitéAlimentsCane=BONNE,VLOOKUP("Avoine",AlimentsRationCanardsFemelles,2,FALSE),0))))))))</f>
        <v>0</v>
      </c>
      <c r="EP149" s="458">
        <f t="array" ref="EP149">SUM((IF(QualitéAlimentsCanetonMâle=MOYENNE,VLOOKUP("Avoine",AlimentsRationCanardsMâles,4,FALSE),0)+(IF(QualitéAlimentsCanetonFemelle=MOYENNE,VLOOKUP("Avoine",AlimentsRationCanardsFemelles,4,FALSE),0)+(IF(QualitéAlimentsJeuneCanard=MOYENNE,VLOOKUP("Avoine",AlimentsRationCanardsMâles,3,FALSE),0)+(IF(QualitéAlimentsJeuneCane=MOYENNE,VLOOKUP("Avoine",AlimentsRationCanardsFemelles,3,FALSE),0)+(IF(QualitéAlimentsCanard=MOYENNE,VLOOKUP("Avoine",AlimentsRationCanardsMâles,2,FALSE),0)+(IF(QualitéAlimentsCane=MOYENNE,VLOOKUP("Avoine",AlimentsRationCanardsFemelles,2,FALSE),0))))))))</f>
        <v>0</v>
      </c>
      <c r="EQ149" s="458">
        <f t="array" ref="EQ149">SUM((IF(QualitéAlimentsCanetonMâle=MAUVAISE,VLOOKUP("Avoine",AlimentsRationCanardsMâles,4,FALSE),0)+(IF(QualitéAlimentsCanetonFemelle=MAUVAISE,VLOOKUP("Avoine",AlimentsRationCanardsFemelles,4,FALSE),0)+(IF(QualitéAlimentsJeuneCanard=MAUVAISE,VLOOKUP("Avoine",AlimentsRationCanardsMâles,3,FALSE),0)+(IF(QualitéAlimentsJeuneCane=MAUVAISE,VLOOKUP("Avoine",AlimentsRationCanardsFemelles,3,FALSE),0)+(IF(QualitéAlimentsCanard=MAUVAISE,VLOOKUP("Avoine",AlimentsRationCanardsMâles,2,FALSE),0)+(IF(QualitéAlimentsCane=MAUVAISE,VLOOKUP("Avoine",AlimentsRationCanardsFemelles,2,FALSE),0))))))))</f>
        <v>0</v>
      </c>
      <c r="EU149" s="457" t="str">
        <f t="shared" ref="EU149:EU186" si="54">EU61</f>
        <v>Betterave</v>
      </c>
      <c r="EV149" s="458">
        <f t="array" ref="EV149">IF(OR(ChoixRationHivernaleComplèteChevauxSelle=OUI,ChoixRationHivernaleComplèteChevauxSelle="",ChoixChevauxSellePréHiver=NON),0,IFERROR(IF(OR(AND(INDEX(Règles_chevaux_selle[Specificite],MATCH(RationHivernaleAuPréChevauxSelle&amp;$EU149,Règles_chevaux_selle[Ration]&amp;Règles_chevaux_selle[Aliment],0))="s1",IF($EU149=Spécificité1ChevauxSelle,1)),
AND(INDEX(Règles_chevaux_selle[Specificite],MATCH(RationHivernaleAuPréChevauxSelle&amp;$EU149,Règles_chevaux_selle[Ration]&amp;Règles_chevaux_selle[Aliment],0))="s2",IF($EU149=Spécificité2ChevauxSelle,1)),
INDEX(Règles_chevaux_selle[Specificite],MATCH(RationHivernaleAuPréChevauxSelle&amp;$EU149,Règles_chevaux_selle[Ration]&amp;Règles_chevaux_selle[Aliment],0))="c"),
INDEX(Règles_chevaux_selle[Valeur 36 et plus],MATCH(RationHivernaleAuPréChevauxSelle&amp;$EU149,Règles_chevaux_selle[Ration]&amp;Règles_chevaux_selle[Aliment],0)),0),0)*SUM(TotalChevauxSelleAdultes)*21)</f>
        <v>0</v>
      </c>
      <c r="EW149" s="458">
        <f t="array" ref="EW149">IF(OR(ChoixRationHivernaleComplèteChevauxSelle=OUI,ChoixRationHivernaleComplèteChevauxSelle="",ChoixChevauxSellePréHiver=NON),0,IFERROR(IF(OR(AND(INDEX(Règles_chevaux_selle[Specificite],MATCH(RationHivernaleAuPréChevauxSelle&amp;$EU149,Règles_chevaux_selle[Ration]&amp;Règles_chevaux_selle[Aliment],0))="s1",IF($EU149=Spécificité1ChevauxSelle,1)),
AND(INDEX(Règles_chevaux_selle[Specificite],MATCH(RationHivernaleAuPréChevauxSelle&amp;$EU149,Règles_chevaux_selle[Ration]&amp;Règles_chevaux_selle[Aliment],0))="s2",IF($EU149=Spécificité2ChevauxSelle,1)),
INDEX(Règles_chevaux_selle[Specificite],MATCH(RationHivernaleAuPréChevauxSelle&amp;$EU149,Règles_chevaux_selle[Ration]&amp;Règles_chevaux_selle[Aliment],0))="c"),
INDEX(Règles_chevaux_selle[Valeur 24-36],MATCH(RationHivernaleAuPréChevauxSelle&amp;$EU149,Règles_chevaux_selle[Ration]&amp;Règles_chevaux_selle[Aliment],0)),0),0)*SUM(TotalChevauxSelle_24_36mois)*21)</f>
        <v>0</v>
      </c>
      <c r="EX149" s="458">
        <f t="array" ref="EX149">IF(OR(ChoixRationHivernaleComplèteChevauxSelle=OUI,ChoixRationHivernaleComplèteChevauxSelle="",ChoixChevauxSellePréHiver=NON),0,IFERROR(IF(OR(AND(INDEX(Règles_chevaux_selle[Specificite],MATCH(RationHivernaleAuPréChevauxSelle&amp;$EU149,Règles_chevaux_selle[Ration]&amp;Règles_chevaux_selle[Aliment],0))="s1",IF($EU149=Spécificité1ChevauxSelle,1)),
AND(INDEX(Règles_chevaux_selle[Specificite],MATCH(RationHivernaleAuPréChevauxSelle&amp;$EU149,Règles_chevaux_selle[Ration]&amp;Règles_chevaux_selle[Aliment],0))="s2",IF($EU149=Spécificité2ChevauxSelle,1)),
INDEX(Règles_chevaux_selle[Specificite],MATCH(RationHivernaleAuPréChevauxSelle&amp;$EU149,Règles_chevaux_selle[Ration]&amp;Règles_chevaux_selle[Aliment],0))="c"),
INDEX(Règles_chevaux_selle[Valeur 12-24],MATCH(RationHivernaleAuPréChevauxSelle&amp;$EU149,Règles_chevaux_selle[Ration]&amp;Règles_chevaux_selle[Aliment],0)),0),0)*SUM(TotalChevauxSelle_12_24mois)*21)</f>
        <v>0</v>
      </c>
      <c r="EY149" s="460">
        <f t="array" ref="EY149">IF(OR(ChoixRationHivernaleComplèteChevauxSelle=OUI,ChoixRationHivernaleComplèteChevauxSelle="",ChoixChevauxSellePréHiver=NON),0,IFERROR(IF(OR(AND(INDEX(Règles_chevaux_selle[Specificite],MATCH(RationHivernaleAuPréChevauxSelle&amp;$EU149,Règles_chevaux_selle[Ration]&amp;Règles_chevaux_selle[Aliment],0))="s1",IF($EU149=Spécificité1ChevauxSelle,1)),
AND(INDEX(Règles_chevaux_selle[Specificite],MATCH(RationHivernaleAuPréChevauxSelle&amp;$EU149,Règles_chevaux_selle[Ration]&amp;Règles_chevaux_selle[Aliment],0))="s2",IF($EU149=Spécificité2ChevauxSelle,1)),
INDEX(Règles_chevaux_selle[Specificite],MATCH(RationHivernaleAuPréChevauxSelle&amp;$EU149,Règles_chevaux_selle[Ration]&amp;Règles_chevaux_selle[Aliment],0))="c"),
INDEX(Règles_chevaux_selle[Valeur 0-12],MATCH(RationHivernaleAuPréChevauxSelle&amp;$EU149,Règles_chevaux_selle[Ration]&amp;Règles_chevaux_selle[Aliment],0)),0),0)*SUM(TotalPoulainsSelle)*21)</f>
        <v>0</v>
      </c>
      <c r="EZ149" s="460">
        <f t="shared" si="53"/>
        <v>0</v>
      </c>
      <c r="FD149" s="457" t="str">
        <f t="shared" si="49"/>
        <v>concentré jeunes bovins</v>
      </c>
      <c r="FE149" s="458">
        <f t="array" ref="FE149">IF(OR(ChoixRationHivernaleComplèteChevauxTrait=OUI,ChoixRationHivernaleComplèteChevauxTrait="",ChoixChevauxTraitPréHiver=NON),0,IFERROR(IF(OR(AND(INDEX(Règles_chevaux_trait[Specificite],MATCH(RationHivernaleAuPréChevauxTrait&amp;$FD149,Règles_chevaux_trait[Ration]&amp;Règles_chevaux_trait[Aliment],0))="s1",IF($FD149=Spécificité1ChevauxTrait,1)),
AND(INDEX(Règles_chevaux_trait[Specificite],MATCH(RationHivernaleAuPréChevauxTrait&amp;$FD149,Règles_chevaux_trait[Ration]&amp;Règles_chevaux_trait[Aliment],0))="s2",IF($FD149=Spécificité2ChevauxTrait,1)),
INDEX(Règles_chevaux_trait[Specificite],MATCH(RationHivernaleAuPréChevauxTrait&amp;$FD149,Règles_chevaux_trait[Ration]&amp;Règles_chevaux_trait[Aliment],0))="c"),
INDEX(Règles_chevaux_trait[Valeur 36 et plus],MATCH(RationHivernaleAuPréChevauxTrait&amp;$FD149,Règles_chevaux_trait[Ration]&amp;Règles_chevaux_trait[Aliment],0)),0),0)*SUM(TotalChevauxTraitAdultes)*21)</f>
        <v>0</v>
      </c>
      <c r="FF149" s="458">
        <f t="array" ref="FF149">IF(OR(ChoixRationHivernaleComplèteChevauxTrait=OUI,ChoixRationHivernaleComplèteChevauxTrait="",ChoixChevauxTraitPréHiver=NON),0,IFERROR(IF(OR(AND(INDEX(Règles_chevaux_trait[Specificite],MATCH(RationHivernaleAuPréChevauxTrait&amp;$FD149,Règles_chevaux_trait[Ration]&amp;Règles_chevaux_trait[Aliment],0))="s1",IF($FD149=Spécificité1ChevauxTrait,1)),
AND(INDEX(Règles_chevaux_trait[Specificite],MATCH(RationHivernaleAuPréChevauxTrait&amp;$FD149,Règles_chevaux_trait[Ration]&amp;Règles_chevaux_trait[Aliment],0))="s2",IF($FD149=Spécificité2ChevauxTrait,1)),
INDEX(Règles_chevaux_trait[Specificite],MATCH(RationHivernaleAuPréChevauxTrait&amp;$FD149,Règles_chevaux_trait[Ration]&amp;Règles_chevaux_trait[Aliment],0))="c"),
INDEX(Règles_chevaux_trait[Valeur 24-36],MATCH(RationHivernaleAuPréChevauxTrait&amp;$FD149,Règles_chevaux_trait[Ration]&amp;Règles_chevaux_trait[Aliment],0)),0),0)*SUM(TotalChevauxTrait_24_36mois)*21)</f>
        <v>0</v>
      </c>
      <c r="FG149" s="458">
        <f t="array" ref="FG149">IF(OR(ChoixRationHivernaleComplèteChevauxTrait=OUI,ChoixRationHivernaleComplèteChevauxTrait="",ChoixChevauxTraitPréHiver=NON),0,IFERROR(IF(OR(AND(INDEX(Règles_chevaux_trait[Specificite],MATCH(RationHivernaleAuPréChevauxTrait&amp;$FD149,Règles_chevaux_trait[Ration]&amp;Règles_chevaux_trait[Aliment],0))="s1",IF($FD149=Spécificité1ChevauxTrait,1)),
AND(INDEX(Règles_chevaux_trait[Specificite],MATCH(RationHivernaleAuPréChevauxTrait&amp;$FD149,Règles_chevaux_trait[Ration]&amp;Règles_chevaux_trait[Aliment],0))="s2",IF($FD149=Spécificité2ChevauxTrait,1)),
INDEX(Règles_chevaux_trait[Specificite],MATCH(RationHivernaleAuPréChevauxTrait&amp;$FD149,Règles_chevaux_trait[Ration]&amp;Règles_chevaux_trait[Aliment],0))="c"),
INDEX(Règles_chevaux_trait[Valeur 12-24],MATCH(RationHivernaleAuPréChevauxTrait&amp;$FD149,Règles_chevaux_trait[Ration]&amp;Règles_chevaux_trait[Aliment],0)),0),0)*SUM(TotalChevauxTrait_12_24mois)*21)</f>
        <v>0</v>
      </c>
      <c r="FH149" s="460">
        <f t="array" ref="FH149">IF(OR(ChoixRationHivernaleComplèteChevauxTrait=OUI,ChoixRationHivernaleComplèteChevauxTrait="",ChoixChevauxTraitPréHiver=NON),0,IFERROR(IF(OR(AND(INDEX(Règles_chevaux_trait[Specificite],MATCH(RationHivernaleAuPréChevauxTrait&amp;$FD149,Règles_chevaux_trait[Ration]&amp;Règles_chevaux_trait[Aliment],0))="s1",IF($FD149=Spécificité1ChevauxTrait,1)),
AND(INDEX(Règles_chevaux_trait[Specificite],MATCH(RationHivernaleAuPréChevauxTrait&amp;$FD149,Règles_chevaux_trait[Ration]&amp;Règles_chevaux_trait[Aliment],0))="s2",IF($FD149=Spécificité2ChevauxTrait,1)),
INDEX(Règles_chevaux_trait[Specificite],MATCH(RationHivernaleAuPréChevauxTrait&amp;$FD149,Règles_chevaux_trait[Ration]&amp;Règles_chevaux_trait[Aliment],0))="c"),
INDEX(Règles_chevaux_trait[Valeur 0-12],MATCH(RationHivernaleAuPréChevauxTrait&amp;$FD149,Règles_chevaux_trait[Ration]&amp;Règles_chevaux_trait[Aliment],0)),0),0)*SUM(TotalPoulainsTrait)*21)</f>
        <v>0</v>
      </c>
      <c r="FI149" s="460">
        <f t="shared" si="47"/>
        <v>0</v>
      </c>
      <c r="FJ149" s="298"/>
      <c r="FN149" s="457" t="str">
        <f t="shared" si="48"/>
        <v>concentré jeunes lapins</v>
      </c>
      <c r="FO149" s="458">
        <f t="array" ref="FO149">IF(OR(ChoixRationHivernaleComplètePoneys=OUI,ChoixRationHivernaleComplètePoneys="",ChoixPoneysPréHiver=NON),0,IFERROR(IF(OR(AND(INDEX(Règles_poneys[Specificite],MATCH(RationHivernaleAuPréPoneys&amp;$FN149,Règles_poneys[Ration]&amp;Règles_poneys[Aliment],0))="s1",IF($FN149=Spécificité1Poneys,1)),
AND(INDEX(Règles_poneys[Specificite],MATCH(RationHivernaleAuPréPoneys&amp;$FN149,Règles_poneys[Ration]&amp;Règles_poneys[Aliment],0))="s2",IF($FN149=Spécificité2Poneys,1)),
INDEX(Règles_poneys[Specificite],MATCH(RationHivernaleAuPréPoneys&amp;$FN149,Règles_poneys[Ration]&amp;Règles_poneys[Aliment],0))="c"),
INDEX(Règles_poneys[Valeur 36 et plus],MATCH(RationHivernaleAuPréPoneys&amp;$FN149,Règles_poneys[Ration]&amp;Règles_poneys[Aliment],0)),0),0)*SUM(TotalPoneysAdultes)*21)</f>
        <v>0</v>
      </c>
      <c r="FP149" s="458">
        <f t="array" ref="FP149">IF(OR(ChoixRationHivernaleComplètePoneys=OUI,ChoixRationHivernaleComplètePoneys="",ChoixPoneysPréHiver=NON),0,IFERROR(IF(OR(AND(INDEX(Règles_poneys[Specificite],MATCH(RationHivernaleAuPréPoneys&amp;$FN149,Règles_poneys[Ration]&amp;Règles_poneys[Aliment],0))="s1",IF($FN149=Spécificité1Poneys,1)),
AND(INDEX(Règles_poneys[Specificite],MATCH(RationHivernaleAuPréPoneys&amp;$FN149,Règles_poneys[Ration]&amp;Règles_poneys[Aliment],0))="s2",IF($FN149=Spécificité2Poneys,1)),
INDEX(Règles_poneys[Specificite],MATCH(RationHivernaleAuPréPoneys&amp;$FN149,Règles_poneys[Ration]&amp;Règles_poneys[Aliment],0))="c"),
INDEX(Règles_poneys[Valeur 24-36],MATCH(RationHivernaleAuPréPoneys&amp;$FN149,Règles_poneys[Ration]&amp;Règles_poneys[Aliment],0)),0),0)*SUM(TotalPoneys_24_36mois)*21)</f>
        <v>0</v>
      </c>
      <c r="FQ149" s="458">
        <f t="array" ref="FQ149">IF(OR(ChoixRationHivernaleComplètePoneys=OUI,ChoixRationHivernaleComplètePoneys="",ChoixPoneysPréHiver=NON),0,IFERROR(IF(OR(AND(INDEX(Règles_poneys[Specificite],MATCH(RationHivernaleAuPréPoneys&amp;$FN149,Règles_poneys[Ration]&amp;Règles_poneys[Aliment],0))="s1",IF($FN149=Spécificité1Poneys,1)),
AND(INDEX(Règles_poneys[Specificite],MATCH(RationHivernaleAuPréPoneys&amp;$FN149,Règles_poneys[Ration]&amp;Règles_poneys[Aliment],0))="s2",IF($FN149=Spécificité2Poneys,1)),
INDEX(Règles_poneys[Specificite],MATCH(RationHivernaleAuPréPoneys&amp;$FN149,Règles_poneys[Ration]&amp;Règles_poneys[Aliment],0))="c"),
INDEX(Règles_poneys[Valeur 12-24],MATCH(RationHivernaleAuPréPoneys&amp;$FN149,Règles_poneys[Ration]&amp;Règles_poneys[Aliment],0)),0),0)*SUM(TotalPoneys_12_24mois)*21)</f>
        <v>0</v>
      </c>
      <c r="FR149" s="460">
        <f t="array" ref="FR149">IF(OR(ChoixRationHivernaleComplètePoneys=OUI,ChoixRationHivernaleComplètePoneys="",ChoixPoneysPréHiver=NON),0,IFERROR(IF(OR(AND(INDEX(Règles_poneys[Specificite],MATCH(RationHivernaleAuPréPoneys&amp;$FN149,Règles_poneys[Ration]&amp;Règles_poneys[Aliment],0))="s1",IF($FN149=Spécificité1Poneys,1)),
AND(INDEX(Règles_poneys[Specificite],MATCH(RationHivernaleAuPréPoneys&amp;$FN149,Règles_poneys[Ration]&amp;Règles_poneys[Aliment],0))="s2",IF($FN149=Spécificité2Poneys,1)),
INDEX(Règles_poneys[Specificite],MATCH(RationHivernaleAuPréPoneys&amp;$FN149,Règles_poneys[Ration]&amp;Règles_poneys[Aliment],0))="c"),
INDEX(Règles_poneys[Valeur 0-12],MATCH(RationHivernaleAuPréPoneys&amp;$FN149,Règles_poneys[Ration]&amp;Règles_poneys[Aliment],0)),0),0)*SUM(TotalPoulainsPoneys)*21)</f>
        <v>0</v>
      </c>
      <c r="FS149" s="460">
        <f t="shared" si="46"/>
        <v>0</v>
      </c>
      <c r="FW149" s="457" t="str">
        <f t="shared" si="44"/>
        <v>Féverole</v>
      </c>
      <c r="FX149" s="458">
        <f t="array" ref="FX149">SUM((IF(QualitéAlimentsGavageOison_0_1_mois=BONNE,VLOOKUP("Féverole",AlimentsGavageOie,5,FALSE),0)+(IF(QualitéAlimentsGavageCaneton_0_1_mois=BONNE,VLOOKUP("Féverole",AlimentsGavageCanard,5,FALSE),0)+(IF(QualitéAlimentsGavageOison_1_2_mois=BONNE,VLOOKUP("Féverole",AlimentsGavageOie,4,FALSE),0)+(IF(QualitéAlimentsGavageCaneton_1_2_mois=BONNE,VLOOKUP("Féverole",AlimentsGavageCanard,4,FALSE),0)+(IF(QualitéAlimentsGavageOison_2_3_mois=BONNE,VLOOKUP("Féverole",AlimentsGavageOie,3,FALSE),0)+(IF(QualitéAlimentsGavageCaneton_2_3_mois=BONNE,VLOOKUP("Féverole",AlimentsGavageCanard,3,FALSE),0)+(IF(QualitéAlimentsGavageJeunesOies=BONNE,VLOOKUP("Féverole",AlimentsGavageOie,2,FALSE),0)+(IF(QualitéAlimentsGavageJeuneCanard=BONNE,VLOOKUP("Féverole",AlimentsGavageCanard,2,FALSE),0))))))))))</f>
        <v>0</v>
      </c>
      <c r="FY149" s="458">
        <f t="array" ref="FY149">SUM((IF(QualitéAlimentsGavageOison_0_1_mois=MOYENNE,VLOOKUP("Féverole",AlimentsGavageOie,5,FALSE),0)+(IF(QualitéAlimentsGavageCaneton_0_1_mois=MOYENNE,VLOOKUP("Féverole",AlimentsGavageCanard,5,FALSE),0)+(IF(QualitéAlimentsGavageOison_1_2_mois=MOYENNE,VLOOKUP("Féverole",AlimentsGavageOie,4,FALSE),0)+(IF(QualitéAlimentsGavageCaneton_1_2_mois=MOYENNE,VLOOKUP("Féverole",AlimentsGavageCanard,4,FALSE),0)+(IF(QualitéAlimentsGavageOison_2_3_mois=MOYENNE,VLOOKUP("Féverole",AlimentsGavageOie,3,FALSE),0)+(IF(QualitéAlimentsGavageCaneton_2_3_mois=MOYENNE,VLOOKUP("Féverole",AlimentsGavageCanard,3,FALSE),0)+(IF(QualitéAlimentsGavageJeunesOies=MOYENNE,VLOOKUP("Féverole",AlimentsGavageOie,2,FALSE),0)+(IF(QualitéAlimentsGavageJeuneCanard=MOYENNE,VLOOKUP("Féverole",AlimentsGavageCanard,2,FALSE),0))))))))))</f>
        <v>0</v>
      </c>
      <c r="FZ149" s="458">
        <f t="array" ref="FZ149">SUM((IF(QualitéAlimentsGavageOison_0_1_mois=MAUVAISE,VLOOKUP("Féverole",AlimentsGavageOie,5,FALSE),0)+(IF(QualitéAlimentsGavageCaneton_0_1_mois=MAUVAISE,VLOOKUP("Féverole",AlimentsGavageCanard,5,FALSE),0)+(IF(QualitéAlimentsGavageOison_1_2_mois=MAUVAISE,VLOOKUP("Féverole",AlimentsGavageOie,4,FALSE),0)+(IF(QualitéAlimentsGavageCaneton_1_2_mois=MAUVAISE,VLOOKUP("Féverole",AlimentsGavageCanard,4,FALSE),0)+(IF(QualitéAlimentsGavageOison_2_3_mois=MAUVAISE,VLOOKUP("Féverole",AlimentsGavageOie,3,FALSE),0)+(IF(QualitéAlimentsGavageCaneton_2_3_mois=MAUVAISE,VLOOKUP("Féverole",AlimentsGavageCanard,3,FALSE),0)+(IF(QualitéAlimentsGavageJeunesOies=MAUVAISE,VLOOKUP("Féverole",AlimentsGavageOie,2,FALSE),0)+(IF(QualitéAlimentsGavageJeuneCanard=MAUVAISE,VLOOKUP("Féverole",AlimentsGavageCanard,2,FALSE),0))))))))))</f>
        <v>0</v>
      </c>
      <c r="GB149" s="281"/>
      <c r="GG149" s="276" t="s">
        <v>955</v>
      </c>
      <c r="GH149" s="276" t="s">
        <v>955</v>
      </c>
      <c r="GI149" s="276" t="s">
        <v>955</v>
      </c>
      <c r="GJ149" s="276" t="s">
        <v>955</v>
      </c>
      <c r="GK149" s="276" t="s">
        <v>955</v>
      </c>
      <c r="GL149" s="276" t="s">
        <v>955</v>
      </c>
      <c r="GM149" s="276" t="s">
        <v>955</v>
      </c>
      <c r="GN149" s="276" t="s">
        <v>955</v>
      </c>
      <c r="GO149" s="276" t="s">
        <v>955</v>
      </c>
      <c r="GP149" s="276" t="s">
        <v>955</v>
      </c>
      <c r="GQ149" s="276" t="s">
        <v>955</v>
      </c>
      <c r="GR149" s="276" t="s">
        <v>955</v>
      </c>
      <c r="GS149" s="276" t="s">
        <v>955</v>
      </c>
      <c r="GT149" s="276" t="s">
        <v>955</v>
      </c>
      <c r="GU149" s="276" t="s">
        <v>955</v>
      </c>
      <c r="GV149" s="276" t="s">
        <v>955</v>
      </c>
    </row>
    <row r="150" spans="1:204" ht="12.75" customHeight="1" x14ac:dyDescent="0.2">
      <c r="A150" s="373"/>
      <c r="B150" s="382"/>
      <c r="BB150" s="387" t="s">
        <v>516</v>
      </c>
      <c r="BC150" s="362" t="s">
        <v>513</v>
      </c>
      <c r="BD150" s="362" t="s">
        <v>886</v>
      </c>
      <c r="BE150" s="388">
        <v>28</v>
      </c>
      <c r="BF150" s="388">
        <v>24</v>
      </c>
      <c r="BG150" s="388">
        <v>16</v>
      </c>
      <c r="BH150" s="388">
        <v>12</v>
      </c>
      <c r="BI150" s="388">
        <v>8</v>
      </c>
      <c r="BJ150" s="388">
        <v>4</v>
      </c>
      <c r="BK150" s="389">
        <v>0</v>
      </c>
      <c r="BL150" s="312"/>
      <c r="BM150" s="350"/>
      <c r="BN150" s="351"/>
      <c r="BO150" s="351"/>
      <c r="BP150" s="351"/>
      <c r="BX150" s="350" t="str">
        <f t="shared" si="51"/>
        <v>Colza</v>
      </c>
      <c r="BY150" s="350">
        <f t="array" ref="BY150">IF(ChoixRationComplèteCaprins=OUI,0,IFERROR(IF(OR(AND(INDEX(Règles_caprins[Specificite],MATCH(ChoixRationCaprins&amp;$BX150,Règles_caprins[Ration]&amp;Règles_caprins[Aliment],0))="s1",IF($BX150=Spécificité1Caprins,1)),
INDEX(Règles_caprins[Specificite],MATCH(ChoixRationCaprins&amp;$BX150,Règles_caprins[Ration]&amp;Règles_caprins[Aliment],0))="c"),
INDEX(Règles_caprins[Valeur 12 et plus],MATCH(ChoixRationCaprins&amp;$BX150,Règles_caprins[Ration]&amp;Règles_caprins[Aliment],0)),0),0)*TotalChèvres*NbreJoursNourrirCaprins)</f>
        <v>0</v>
      </c>
      <c r="BZ150" s="350">
        <f t="array" ref="BZ150">IF(ChoixRationComplèteCaprins=OUI,0,IFERROR(IF(OR(AND(INDEX(Règles_caprins[Specificite],MATCH(ChoixRationCaprins&amp;$BX150,Règles_caprins[Ration]&amp;Règles_caprins[Aliment],0))="s1",IF($BX150=Spécificité1Caprins,1)),
INDEX(Règles_caprins[Specificite],MATCH(ChoixRationCaprins&amp;$BX150,Règles_caprins[Ration]&amp;Règles_caprins[Aliment],0))="c"),
INDEX(Règles_caprins[Valeur 6-12],MATCH(ChoixRationCaprins&amp;$BX150,Règles_caprins[Ration]&amp;Règles_caprins[Aliment],0)),0),0)*jeune_chèvre_6_12_mois*NbreJoursNourrirCaprins)</f>
        <v>0</v>
      </c>
      <c r="CA150" s="350">
        <f t="array" ref="CA150">IF(ChoixRationComplèteCaprins=OUI,0,IFERROR(IF(OR(AND(INDEX(Règles_caprins[Specificite],MATCH(ChoixRationCaprins&amp;$BX150,Règles_caprins[Ration]&amp;Règles_caprins[Aliment],0))="s1",IF($BX150=Spécificité1Caprins,1)),
INDEX(Règles_caprins[Specificite],MATCH(ChoixRationCaprins&amp;$BX150,Règles_caprins[Ration]&amp;Règles_caprins[Aliment],0))="c"),
INDEX(Règles_caprins[Valeur 3-6],MATCH(ChoixRationCaprins&amp;$BX150,Règles_caprins[Ration]&amp;Règles_caprins[Aliment],0)),0),0)*chevrette_3_6_mois*NbreJoursNourrirCaprins)</f>
        <v>0</v>
      </c>
      <c r="CB150" s="350">
        <f t="array" ref="CB150">IF(ChoixRationComplèteCaprins=OUI,0,IFERROR(IF(OR(AND(INDEX(Règles_caprins[Specificite],MATCH(ChoixRationCaprins&amp;$BX150,Règles_caprins[Ration]&amp;Règles_caprins[Aliment],0))="s1",IF($BX150=Spécificité1Caprins,1)),
INDEX(Règles_caprins[Specificite],MATCH(ChoixRationCaprins&amp;$BX150,Règles_caprins[Ration]&amp;Règles_caprins[Aliment],0))="c"),
INDEX(Règles_caprins[Valeur 0-3],MATCH(ChoixRationCaprins&amp;$BX150,Règles_caprins[Ration]&amp;Règles_caprins[Aliment],0)),0),0)*chevrette_0_3_mois*NbreJoursNourrirCaprins)</f>
        <v>0</v>
      </c>
      <c r="CC150" s="350">
        <f t="shared" si="50"/>
        <v>0</v>
      </c>
      <c r="CH150" s="298"/>
      <c r="CI150" s="277"/>
      <c r="CJ150" s="350" t="str">
        <f t="shared" si="45"/>
        <v>Eau</v>
      </c>
      <c r="CK150" s="351">
        <f t="array" ref="CK150">SUM((IF(QualitéAlimentsPorceletMâle_0_1_mois=BONNE,VLOOKUP("Eau",AlimentsRationPorcinsMâles[],6,FALSE),0)+(IF(QualitéAlimentsPorceletFemelle_0_1_mois=BONNE,VLOOKUP("Eau",AlimentsRationPorcinsFemelles[],6,FALSE),0)+(IF(QualitéAlimentsPorceletMâle_1_3_mois=BONNE,VLOOKUP("Eau",AlimentsRationPorcinsMâles[],5,FALSE),0)+(IF(QualitéAlimentsPorceletFemelle_1_3_mois=BONNE,VLOOKUP("Eau",AlimentsRationPorcinsFemelles[],5,FALSE),0)+(IF(QualitéAlimentsJeuneVerrat_3_6_mois=BONNE,VLOOKUP("Eau",AlimentsRationPorcinsMâles[],4,FALSE),0)+(IF(QualitéAlimentsJeuneTruie_3_6_mois=BONNE,VLOOKUP("Eau",AlimentsRationPorcinsFemelles[],4,FALSE),0)+(IF(QualitéAlimentsJeuneVerrat_6_12_mois=BONNE,VLOOKUP("Eau",AlimentsRationPorcinsMâles[],3,FALSE),0)+(IF(QualitéAlimentsJeuneTruie_6_12_mois=BONNE,VLOOKUP("Eau",AlimentsRationPorcinsFemelles[],3,FALSE),0)+(IF(QualitéAlimentsVerrat=BONNE,VLOOKUP("Avoine",AlimentsRationPorcinsMâles[],2,FALSE),0)+(IF(QualitéAlimentsTruie=BONNE,VLOOKUP("Avoine",AlimentsRationPorcinsFemelles[],2,FALSE),0))))))))))))</f>
        <v>0</v>
      </c>
      <c r="CL150" s="351">
        <f t="array" ref="CL150">SUM((IF(QualitéAlimentsPorceletMâle_0_1_mois=MOYENNE,VLOOKUP("Eau",AlimentsRationPorcinsMâles[],6,FALSE),0)+(IF(QualitéAlimentsPorceletFemelle_0_1_mois=MOYENNE,VLOOKUP("Eau",AlimentsRationPorcinsFemelles[],6,FALSE),0)+(IF(QualitéAlimentsPorceletMâle_1_3_mois=MOYENNE,VLOOKUP("Eau",AlimentsRationPorcinsMâles[],5,FALSE),0)+(IF(QualitéAlimentsPorceletFemelle_1_3_mois=MOYENNE,VLOOKUP("Eau",AlimentsRationPorcinsFemelles[],5,FALSE),0)+(IF(QualitéAlimentsJeuneVerrat_3_6_mois=MOYENNE,VLOOKUP("Eau",AlimentsRationPorcinsMâles[],4,FALSE),0)+(IF(QualitéAlimentsJeuneTruie_3_6_mois=MOYENNE,VLOOKUP("Eau",AlimentsRationPorcinsFemelles[],4,FALSE),0)+(IF(QualitéAlimentsJeuneVerrat_6_12_mois=MOYENNE,VLOOKUP("Eau",AlimentsRationPorcinsMâles[],3,FALSE),0)+(IF(QualitéAlimentsJeuneTruie_6_12_mois=MOYENNE,VLOOKUP("Eau",AlimentsRationPorcinsFemelles[],3,FALSE),0)+(IF(QualitéAlimentsVerrat=BONNE,VLOOKUP("Avoine",AlimentsRationPorcinsMâles[],2,FALSE),0)+(IF(QualitéAlimentsTruie=BONNE,VLOOKUP("Avoine",AlimentsRationPorcinsFemelles[],2,FALSE),0))))))))))))</f>
        <v>0</v>
      </c>
      <c r="CM150" s="351">
        <f t="array" ref="CM150">SUM((IF(QualitéAlimentsPorceletMâle_0_1_mois=MAUVAISE,VLOOKUP("Eau",AlimentsRationPorcinsMâles[],6,FALSE),0)+(IF(QualitéAlimentsPorceletFemelle_0_1_mois=MAUVAISE,VLOOKUP("Eau",AlimentsRationPorcinsFemelles[],6,FALSE),0)+(IF(QualitéAlimentsPorceletMâle_1_3_mois=MAUVAISE,VLOOKUP("Eau",AlimentsRationPorcinsMâles[],5,FALSE),0)+(IF(QualitéAlimentsPorceletFemelle_1_3_mois=MAUVAISE,VLOOKUP("Eau",AlimentsRationPorcinsFemelles[],5,FALSE),0)+(IF(QualitéAlimentsJeuneVerrat_3_6_mois=MAUVAISE,VLOOKUP("Eau",AlimentsRationPorcinsMâles[],4,FALSE),0)+(IF(QualitéAlimentsJeuneTruie_3_6_mois=MAUVAISE,VLOOKUP("Eau",AlimentsRationPorcinsFemelles[],4,FALSE),0)+(IF(QualitéAlimentsJeuneVerrat_6_12_mois=MAUVAISE,VLOOKUP("Eau",AlimentsRationPorcinsMâles[],3,FALSE),0)+(IF(QualitéAlimentsJeuneTruie_6_12_mois=MAUVAISE,VLOOKUP("Eau",AlimentsRationPorcinsFemelles[],3,FALSE),0)+(IF(QualitéAlimentsVerrat=BONNE,VLOOKUP("Avoine",AlimentsRationPorcinsMâles[],2,FALSE),0)+(IF(QualitéAlimentsTruie=BONNE,VLOOKUP("Avoine",AlimentsRationPorcinsFemelles[],2,FALSE),0))))))))))))</f>
        <v>0</v>
      </c>
      <c r="CN150" s="277"/>
      <c r="CO150" s="279"/>
      <c r="CP150" s="279"/>
      <c r="CS150" s="420" t="s">
        <v>579</v>
      </c>
      <c r="CT150" s="408">
        <f>CT26*SUM(TotalLapereaux)*SUM(Z76:Z100)</f>
        <v>0</v>
      </c>
      <c r="CZ150" s="421" t="s">
        <v>973</v>
      </c>
      <c r="DA150" s="422">
        <f>IF(ChoixPaillageVolailles=OUI,SUBTOTAL(109,LitièreVolailles[litière]),0)</f>
        <v>0</v>
      </c>
      <c r="DB150" s="277"/>
      <c r="DC150" s="277"/>
      <c r="DD150" s="277"/>
      <c r="DG150" s="350" t="str">
        <f t="shared" si="52"/>
        <v>Colza</v>
      </c>
      <c r="DH150" s="351">
        <f t="array" ref="DH150">SUM((IF(QualitéAlimentsPintadeauMâle_0_1_mois=BONNE,VLOOKUP("Colza",AlimentsRationPintadesMâles[],4,FALSE),0)+(IF(QualitéAlimentsPintadeauFemelle_0_1_mois=BONNE,VLOOKUP("Colza",AlimentsRationPintadesFemelles[],4,FALSE),0)+(IF(QualitéAlimentsJeunePintadeMâle=BONNE,VLOOKUP("Colza",AlimentsRationPintadesMâles[],3,FALSE),0)+(IF(QualitéAlimentsJeunePintadeFemelle=BONNE,VLOOKUP("Colza",AlimentsRationPintadesFemelles[],3,FALSE),0)+(IF(QualitéAlimentsPintadeMâle=BONNE,VLOOKUP("Colza",AlimentsRationPintadesMâles[],2,FALSE),0)+(IF(QualitéAlimentsPintadeFemelle=BONNE,VLOOKUP("Colza",AlimentsRationPintadesFemelles[],2,FALSE),0))))))))</f>
        <v>0</v>
      </c>
      <c r="DI150" s="351">
        <f t="array" ref="DI150">SUM((IF(QualitéAlimentsPintadeauMâle_0_1_mois=MOYENNE,VLOOKUP("Colza",AlimentsRationPintadesMâles[],4,FALSE),0)+(IF(QualitéAlimentsPintadeauFemelle_0_1_mois=MOYENNE,VLOOKUP("Colza",AlimentsRationPintadesFemelles[],4,FALSE),0)+(IF(QualitéAlimentsJeunePintadeMâle=MOYENNE,VLOOKUP("Colza",AlimentsRationPintadesMâles[],3,FALSE),0)+(IF(QualitéAlimentsJeunePintadeFemelle=MOYENNE,VLOOKUP("Colza",AlimentsRationPintadesFemelles[],3,FALSE),0)+(IF(QualitéAlimentsPintadeMâle=MOYENNE,VLOOKUP("Colza",AlimentsRationPintadesMâles[],2,FALSE),0)+(IF(QualitéAlimentsPintadeFemelle=MOYENNE,VLOOKUP("Colza",AlimentsRationPintadesFemelles[],2,FALSE),0))))))))</f>
        <v>0</v>
      </c>
      <c r="DJ150" s="351">
        <f t="array" ref="DJ150">SUM((IF(QualitéAlimentsPintadeauMâle_0_1_mois=MAUVAISE,VLOOKUP("Colza",AlimentsRationPintadesMâles[],4,FALSE),0)+(IF(QualitéAlimentsPintadeauFemelle_0_1_mois=MAUVAISE,VLOOKUP("Colza",AlimentsRationPintadesFemelles[],4,FALSE),0)+(IF(QualitéAlimentsJeunePintadeMâle=MAUVAISE,VLOOKUP("Colza",AlimentsRationPintadesMâles[],3,FALSE),0)+(IF(QualitéAlimentsJeunePintadeFemelle=MAUVAISE,VLOOKUP("Colza",AlimentsRationPintadesFemelles[],3,FALSE),0)+(IF(QualitéAlimentsPintadeMâle=MAUVAISE,VLOOKUP("Colza",AlimentsRationPintadesMâles[],2,FALSE),0)+(IF(QualitéAlimentsPintadeFemelle=MAUVAISE,VLOOKUP("Colza",AlimentsRationPintadesFemelles[],2,FALSE),0))))))))</f>
        <v>0</v>
      </c>
      <c r="DN150" s="350" t="s">
        <v>490</v>
      </c>
      <c r="DO150" s="351">
        <f t="array" ref="DO150">IF(ChoixRationComplèteOvins=OUI,0,IFERROR(IF(OR(AND(INDEX(Règles_ovins[Specificite],MATCH(ChoixRationOvins&amp;$DN150,Règles_ovins[Ration]&amp;Règles_ovins[Aliment],0))="s1",IF($DN150=Spécificité1Ovins,1)),
AND(INDEX(Règles_ovins[Specificite],MATCH(ChoixRationOvins&amp;$DN150,Règles_ovins[Ration]&amp;Règles_ovins[Aliment],0))="s2",IF($DN150=Spécificité2Ovins,1)),
INDEX(Règles_ovins[Specificite],MATCH(ChoixRationOvins&amp;$DN150,Règles_ovins[Ration]&amp;Règles_ovins[Aliment],0))="c"),
INDEX(Règles_ovins[Valeur 12 et plus],MATCH(ChoixRationOvins&amp;$DN150,Règles_ovins[Ration]&amp;Règles_ovins[Aliment],0)),0),0)*IF(ChoixOvinsPréHiver=OUI,SUM(TotalOvinsAdultesRacesLaitières)*NbreJoursNourrirOvins,TotalBéliers*NbreJoursNourrirOvins))</f>
        <v>0</v>
      </c>
      <c r="DP150" s="351">
        <f t="array" ref="DP150">IF(ChoixRationComplèteOvins=OUI,0,IFERROR(IF(OR(AND(INDEX(Règles_ovins[Specificite],MATCH(ChoixRationOvins&amp;$DN150,Règles_ovins[Ration]&amp;Règles_ovins[Aliment],0))="s1",IF($DN150=Spécificité1Ovins,1)),
AND(INDEX(Règles_ovins[Specificite],MATCH(ChoixRationOvins&amp;$DN150,Règles_ovins[Ration]&amp;Règles_ovins[Aliment],0))="s2",IF($DN150=Spécificité2Ovins,1)),
INDEX(Règles_ovins[Specificite],MATCH(ChoixRationOvins&amp;$DN150,Règles_ovins[Ration]&amp;Règles_ovins[Aliment],0))="c"),
INDEX(Règles_ovins[Valeur 6-12],MATCH(ChoixRationOvins&amp;$DN150,Règles_ovins[Ration]&amp;Règles_ovins[Aliment],0)),0),0)*IF(ChoixOvinsPréHiver=OUI,SUM(TotalJeunesOvinsRacesLaitières)*NbreJoursNourrirOvins,TotalJeune_bélier_6_12_mois*NbreJoursNourrirOvins))</f>
        <v>0</v>
      </c>
      <c r="DQ150" s="351">
        <f t="array" ref="DQ150">IF(ChoixRationComplèteOvins=OUI,0,IFERROR(IF(OR(AND(INDEX(Règles_ovins[Specificite],MATCH(ChoixRationOvins&amp;$DN150,Règles_ovins[Ration]&amp;Règles_ovins[Aliment],0))="s1",IF($DN150=Spécificité1Ovins,1)),
AND(INDEX(Règles_ovins[Specificite],MATCH(ChoixRationOvins&amp;$DN150,Règles_ovins[Ration]&amp;Règles_ovins[Aliment],0))="s2",IF($DN150=Spécificité2Ovins,1)),
INDEX(Règles_ovins[Specificite],MATCH(ChoixRationOvins&amp;$DN150,Règles_ovins[Ration]&amp;Règles_ovins[Aliment],0))="c"),
INDEX(Règles_ovins[Valeur 3-6],MATCH(ChoixRationOvins&amp;$DN150,Règles_ovins[Ration]&amp;Règles_ovins[Aliment],0)),0),0)*IF(ChoixOvinsPréHiver=OUI,SUM(TotalOvins_3_6moisRacesLaitières)*NbreJoursNourrirOvins,TotalAgneau_3_6_mois*NbreJoursNourrirOvins))</f>
        <v>0</v>
      </c>
      <c r="DR150" s="351">
        <f t="array" ref="DR150">IF(ChoixRationComplèteOvins=OUI,0,IFERROR(IF(OR(AND(INDEX(Règles_ovins[Specificite],MATCH(ChoixRationOvins&amp;$DN150,Règles_ovins[Ration]&amp;Règles_ovins[Aliment],0))="s1",IF($DN150=Spécificité1Ovins,1)),
AND(INDEX(Règles_ovins[Specificite],MATCH(ChoixRationOvins&amp;$DN150,Règles_ovins[Ration]&amp;Règles_ovins[Aliment],0))="s2",IF($DN150=Spécificité2Ovins,1)),
INDEX(Règles_ovins[Specificite],MATCH(ChoixRationOvins&amp;$DN150,Règles_ovins[Ration]&amp;Règles_ovins[Aliment],0))="c"),
INDEX(Règles_ovins[Valeur 0-3],MATCH(ChoixRationOvins&amp;$DN150,Règles_ovins[Ration]&amp;Règles_ovins[Aliment],0)),0),0)*IF(ChoixOvinsPréHiver=OUI,SUM(TotalOvins_3_6moisRacesLaitières)*NbreJoursNourrirOvins,TotalAgneau_0_3_mois*NbreJoursNourrirOvins))</f>
        <v>0</v>
      </c>
      <c r="DS150" s="441">
        <f t="shared" ref="DS150:DS188" si="55">SUM($DO150:$DR150)</f>
        <v>0</v>
      </c>
      <c r="EG150" s="350" t="str">
        <f>EG53</f>
        <v>Avoine</v>
      </c>
      <c r="EH150" s="351">
        <f t="array" ref="EH150">SUM((IF(QualitéAlimentsOisonMâle_0_3_mois=BONNE,VLOOKUP("Avoine",AlimentsRationOiesMâles[],4,FALSE),0)+(IF(QualitéAlimentsOisonFemelle_0_3_mois=BONNE,VLOOKUP("Avoine",AlimentsRationOiesFemelles[],4,FALSE),0)+(IF(QualitéAlimentsJeuneJars=BONNE,VLOOKUP("Avoine",AlimentsRationOiesMâles[],3,FALSE),0)+(IF(QualitéAlimentsJeuneOie=BONNE,VLOOKUP("Avoine",AlimentsRationOiesFemelles[],3,FALSE),0)+(IF(QualitéAlimentsJars=BONNE,VLOOKUP("Avoine",AlimentsRationOiesMâles[],2,FALSE),0)+(IF(QualitéAlimentsOie=BONNE,VLOOKUP("Avoine",AlimentsRationOiesFemelles[],2,FALSE),0))))))))</f>
        <v>0</v>
      </c>
      <c r="EI150" s="351">
        <f t="array" ref="EI150">SUM((IF(QualitéAlimentsOisonMâle_0_3_mois=MOYENNE,VLOOKUP("Avoine",AlimentsRationOiesMâles[],4,FALSE),0)+(IF(QualitéAlimentsOisonFemelle_0_3_mois=MOYENNE,VLOOKUP("Avoine",AlimentsRationOiesFemelles[],4,FALSE),0)+(IF(QualitéAlimentsJeuneJars=MOYENNE,VLOOKUP("Avoine",AlimentsRationOiesMâles[],3,FALSE),0)+(IF(QualitéAlimentsJeuneOie=MOYENNE,VLOOKUP("Avoine",AlimentsRationOiesFemelles[],3,FALSE),0)+(IF(QualitéAlimentsJars=MOYENNE,VLOOKUP("Avoine",AlimentsRationOiesMâles[],2,FALSE),0)+(IF(QualitéAlimentsOie=MOYENNE,VLOOKUP("Avoine",AlimentsRationOiesFemelles[],2,FALSE),0))))))))</f>
        <v>0</v>
      </c>
      <c r="EJ150" s="351">
        <f t="array" ref="EJ150">SUM((IF(QualitéAlimentsOisonMâle_0_3_mois=MAUVAISE,VLOOKUP("Avoine",AlimentsRationOiesMâles[],4,FALSE),0)+(IF(QualitéAlimentsOisonFemelle_0_3_mois=MAUVAISE,VLOOKUP("Avoine",AlimentsRationOiesFemelles[],4,FALSE),0)+(IF(QualitéAlimentsJeuneJars=MAUVAISE,VLOOKUP("Avoine",AlimentsRationOiesMâles[],3,FALSE),0)+(IF(QualitéAlimentsJeuneOie=MAUVAISE,VLOOKUP("Avoine",AlimentsRationOiesFemelles[],3,FALSE),0)+(IF(QualitéAlimentsJars=MAUVAISE,VLOOKUP("Avoine",AlimentsRationOiesMâles[],2,FALSE),0)+(IF(QualitéAlimentsOie=MAUVAISE,VLOOKUP("Avoine",AlimentsRationOiesFemelles[],2,FALSE),0))))))))</f>
        <v>0</v>
      </c>
      <c r="EN150" s="457" t="str">
        <f t="shared" ref="EN150:EN187" si="56">EN53</f>
        <v>Betterave</v>
      </c>
      <c r="EO150" s="458">
        <f t="array" ref="EO150">SUM((IF(QualitéAlimentsCanetonMâle=BONNE,VLOOKUP("Betterave",AlimentsRationCanardsMâles,4,FALSE),0)+(IF(QualitéAlimentsCanetonFemelle=BONNE,VLOOKUP("Betterave",AlimentsRationCanardsFemelles,4,FALSE),0)+(IF(QualitéAlimentsJeuneCanard=BONNE,VLOOKUP("Betterave",AlimentsRationCanardsMâles,3,FALSE),0)+(IF(QualitéAlimentsJeuneCane=BONNE,VLOOKUP("Betterave",AlimentsRationCanardsFemelles,3,FALSE),0)+(IF(QualitéAlimentsCanard=BONNE,VLOOKUP("Betterave",AlimentsRationCanardsMâles,2,FALSE),0)+(IF(QualitéAlimentsCane=BONNE,VLOOKUP("Betterave",AlimentsRationCanardsFemelles,2,FALSE),0))))))))</f>
        <v>0</v>
      </c>
      <c r="EP150" s="458">
        <f t="array" ref="EP150">SUM((IF(QualitéAlimentsCanetonMâle=MOYENNE,VLOOKUP("Betterave",AlimentsRationCanardsMâles,4,FALSE),0)+(IF(QualitéAlimentsCanetonFemelle=MOYENNE,VLOOKUP("Betterave",AlimentsRationCanardsFemelles,4,FALSE),0)+(IF(QualitéAlimentsJeuneCanard=MOYENNE,VLOOKUP("Betterave",AlimentsRationCanardsMâles,3,FALSE),0)+(IF(QualitéAlimentsJeuneCane=MOYENNE,VLOOKUP("Betterave",AlimentsRationCanardsFemelles,3,FALSE),0)+(IF(QualitéAlimentsCanard=MOYENNE,VLOOKUP("Betterave",AlimentsRationCanardsMâles,2,FALSE),0)+(IF(QualitéAlimentsCane=MOYENNE,VLOOKUP("Betterave",AlimentsRationCanardsFemelles,2,FALSE),0))))))))</f>
        <v>0</v>
      </c>
      <c r="EQ150" s="458">
        <f t="array" ref="EQ150">SUM((IF(QualitéAlimentsCanetonMâle=MAUVAISE,VLOOKUP("Betterave",AlimentsRationCanardsMâles,4,FALSE),0)+(IF(QualitéAlimentsCanetonFemelle=MAUVAISE,VLOOKUP("Betterave",AlimentsRationCanardsFemelles,4,FALSE),0)+(IF(QualitéAlimentsJeuneCanard=MAUVAISE,VLOOKUP("Betterave",AlimentsRationCanardsMâles,3,FALSE),0)+(IF(QualitéAlimentsJeuneCane=MAUVAISE,VLOOKUP("Betterave",AlimentsRationCanardsFemelles,3,FALSE),0)+(IF(QualitéAlimentsCanard=MAUVAISE,VLOOKUP("Betterave",AlimentsRationCanardsMâles,2,FALSE),0)+(IF(QualitéAlimentsCane=MAUVAISE,VLOOKUP("Betterave",AlimentsRationCanardsFemelles,2,FALSE),0))))))))</f>
        <v>0</v>
      </c>
      <c r="EU150" s="457" t="str">
        <f t="shared" si="54"/>
        <v>Blé</v>
      </c>
      <c r="EV150" s="458">
        <f t="array" ref="EV150">IF(OR(ChoixRationHivernaleComplèteChevauxSelle=OUI,ChoixRationHivernaleComplèteChevauxSelle="",ChoixChevauxSellePréHiver=NON),0,IFERROR(IF(OR(AND(INDEX(Règles_chevaux_selle[Specificite],MATCH(RationHivernaleAuPréChevauxSelle&amp;$EU150,Règles_chevaux_selle[Ration]&amp;Règles_chevaux_selle[Aliment],0))="s1",IF($EU150=Spécificité1ChevauxSelle,1)),
AND(INDEX(Règles_chevaux_selle[Specificite],MATCH(RationHivernaleAuPréChevauxSelle&amp;$EU150,Règles_chevaux_selle[Ration]&amp;Règles_chevaux_selle[Aliment],0))="s2",IF($EU150=Spécificité2ChevauxSelle,1)),
INDEX(Règles_chevaux_selle[Specificite],MATCH(RationHivernaleAuPréChevauxSelle&amp;$EU150,Règles_chevaux_selle[Ration]&amp;Règles_chevaux_selle[Aliment],0))="c"),
INDEX(Règles_chevaux_selle[Valeur 36 et plus],MATCH(RationHivernaleAuPréChevauxSelle&amp;$EU150,Règles_chevaux_selle[Ration]&amp;Règles_chevaux_selle[Aliment],0)),0),0)*SUM(TotalChevauxSelleAdultes)*21)</f>
        <v>0</v>
      </c>
      <c r="EW150" s="458">
        <f t="array" ref="EW150">IF(OR(ChoixRationHivernaleComplèteChevauxSelle=OUI,ChoixRationHivernaleComplèteChevauxSelle="",ChoixChevauxSellePréHiver=NON),0,IFERROR(IF(OR(AND(INDEX(Règles_chevaux_selle[Specificite],MATCH(RationHivernaleAuPréChevauxSelle&amp;$EU150,Règles_chevaux_selle[Ration]&amp;Règles_chevaux_selle[Aliment],0))="s1",IF($EU150=Spécificité1ChevauxSelle,1)),
AND(INDEX(Règles_chevaux_selle[Specificite],MATCH(RationHivernaleAuPréChevauxSelle&amp;$EU150,Règles_chevaux_selle[Ration]&amp;Règles_chevaux_selle[Aliment],0))="s2",IF($EU150=Spécificité2ChevauxSelle,1)),
INDEX(Règles_chevaux_selle[Specificite],MATCH(RationHivernaleAuPréChevauxSelle&amp;$EU150,Règles_chevaux_selle[Ration]&amp;Règles_chevaux_selle[Aliment],0))="c"),
INDEX(Règles_chevaux_selle[Valeur 24-36],MATCH(RationHivernaleAuPréChevauxSelle&amp;$EU150,Règles_chevaux_selle[Ration]&amp;Règles_chevaux_selle[Aliment],0)),0),0)*SUM(TotalChevauxSelle_24_36mois)*21)</f>
        <v>0</v>
      </c>
      <c r="EX150" s="458">
        <f t="array" ref="EX150">IF(OR(ChoixRationHivernaleComplèteChevauxSelle=OUI,ChoixRationHivernaleComplèteChevauxSelle="",ChoixChevauxSellePréHiver=NON),0,IFERROR(IF(OR(AND(INDEX(Règles_chevaux_selle[Specificite],MATCH(RationHivernaleAuPréChevauxSelle&amp;$EU150,Règles_chevaux_selle[Ration]&amp;Règles_chevaux_selle[Aliment],0))="s1",IF($EU150=Spécificité1ChevauxSelle,1)),
AND(INDEX(Règles_chevaux_selle[Specificite],MATCH(RationHivernaleAuPréChevauxSelle&amp;$EU150,Règles_chevaux_selle[Ration]&amp;Règles_chevaux_selle[Aliment],0))="s2",IF($EU150=Spécificité2ChevauxSelle,1)),
INDEX(Règles_chevaux_selle[Specificite],MATCH(RationHivernaleAuPréChevauxSelle&amp;$EU150,Règles_chevaux_selle[Ration]&amp;Règles_chevaux_selle[Aliment],0))="c"),
INDEX(Règles_chevaux_selle[Valeur 12-24],MATCH(RationHivernaleAuPréChevauxSelle&amp;$EU150,Règles_chevaux_selle[Ration]&amp;Règles_chevaux_selle[Aliment],0)),0),0)*SUM(TotalChevauxSelle_12_24mois)*21)</f>
        <v>0</v>
      </c>
      <c r="EY150" s="460">
        <f t="array" ref="EY150">IF(OR(ChoixRationHivernaleComplèteChevauxSelle=OUI,ChoixRationHivernaleComplèteChevauxSelle="",ChoixChevauxSellePréHiver=NON),0,IFERROR(IF(OR(AND(INDEX(Règles_chevaux_selle[Specificite],MATCH(RationHivernaleAuPréChevauxSelle&amp;$EU150,Règles_chevaux_selle[Ration]&amp;Règles_chevaux_selle[Aliment],0))="s1",IF($EU150=Spécificité1ChevauxSelle,1)),
AND(INDEX(Règles_chevaux_selle[Specificite],MATCH(RationHivernaleAuPréChevauxSelle&amp;$EU150,Règles_chevaux_selle[Ration]&amp;Règles_chevaux_selle[Aliment],0))="s2",IF($EU150=Spécificité2ChevauxSelle,1)),
INDEX(Règles_chevaux_selle[Specificite],MATCH(RationHivernaleAuPréChevauxSelle&amp;$EU150,Règles_chevaux_selle[Ration]&amp;Règles_chevaux_selle[Aliment],0))="c"),
INDEX(Règles_chevaux_selle[Valeur 0-12],MATCH(RationHivernaleAuPréChevauxSelle&amp;$EU150,Règles_chevaux_selle[Ration]&amp;Règles_chevaux_selle[Aliment],0)),0),0)*SUM(TotalPoulainsSelle)*21)</f>
        <v>0</v>
      </c>
      <c r="EZ150" s="460">
        <f t="shared" si="53"/>
        <v>0</v>
      </c>
      <c r="FD150" s="457" t="str">
        <f t="shared" si="49"/>
        <v>concentré jeunes lapins</v>
      </c>
      <c r="FE150" s="458">
        <f t="array" ref="FE150">IF(OR(ChoixRationHivernaleComplèteChevauxTrait=OUI,ChoixRationHivernaleComplèteChevauxTrait="",ChoixChevauxTraitPréHiver=NON),0,IFERROR(IF(OR(AND(INDEX(Règles_chevaux_trait[Specificite],MATCH(RationHivernaleAuPréChevauxTrait&amp;$FD150,Règles_chevaux_trait[Ration]&amp;Règles_chevaux_trait[Aliment],0))="s1",IF($FD150=Spécificité1ChevauxTrait,1)),
AND(INDEX(Règles_chevaux_trait[Specificite],MATCH(RationHivernaleAuPréChevauxTrait&amp;$FD150,Règles_chevaux_trait[Ration]&amp;Règles_chevaux_trait[Aliment],0))="s2",IF($FD150=Spécificité2ChevauxTrait,1)),
INDEX(Règles_chevaux_trait[Specificite],MATCH(RationHivernaleAuPréChevauxTrait&amp;$FD150,Règles_chevaux_trait[Ration]&amp;Règles_chevaux_trait[Aliment],0))="c"),
INDEX(Règles_chevaux_trait[Valeur 36 et plus],MATCH(RationHivernaleAuPréChevauxTrait&amp;$FD150,Règles_chevaux_trait[Ration]&amp;Règles_chevaux_trait[Aliment],0)),0),0)*SUM(TotalChevauxTraitAdultes)*21)</f>
        <v>0</v>
      </c>
      <c r="FF150" s="458">
        <f t="array" ref="FF150">IF(OR(ChoixRationHivernaleComplèteChevauxTrait=OUI,ChoixRationHivernaleComplèteChevauxTrait="",ChoixChevauxTraitPréHiver=NON),0,IFERROR(IF(OR(AND(INDEX(Règles_chevaux_trait[Specificite],MATCH(RationHivernaleAuPréChevauxTrait&amp;$FD150,Règles_chevaux_trait[Ration]&amp;Règles_chevaux_trait[Aliment],0))="s1",IF($FD150=Spécificité1ChevauxTrait,1)),
AND(INDEX(Règles_chevaux_trait[Specificite],MATCH(RationHivernaleAuPréChevauxTrait&amp;$FD150,Règles_chevaux_trait[Ration]&amp;Règles_chevaux_trait[Aliment],0))="s2",IF($FD150=Spécificité2ChevauxTrait,1)),
INDEX(Règles_chevaux_trait[Specificite],MATCH(RationHivernaleAuPréChevauxTrait&amp;$FD150,Règles_chevaux_trait[Ration]&amp;Règles_chevaux_trait[Aliment],0))="c"),
INDEX(Règles_chevaux_trait[Valeur 24-36],MATCH(RationHivernaleAuPréChevauxTrait&amp;$FD150,Règles_chevaux_trait[Ration]&amp;Règles_chevaux_trait[Aliment],0)),0),0)*SUM(TotalChevauxTrait_24_36mois)*21)</f>
        <v>0</v>
      </c>
      <c r="FG150" s="458">
        <f t="array" ref="FG150">IF(OR(ChoixRationHivernaleComplèteChevauxTrait=OUI,ChoixRationHivernaleComplèteChevauxTrait="",ChoixChevauxTraitPréHiver=NON),0,IFERROR(IF(OR(AND(INDEX(Règles_chevaux_trait[Specificite],MATCH(RationHivernaleAuPréChevauxTrait&amp;$FD150,Règles_chevaux_trait[Ration]&amp;Règles_chevaux_trait[Aliment],0))="s1",IF($FD150=Spécificité1ChevauxTrait,1)),
AND(INDEX(Règles_chevaux_trait[Specificite],MATCH(RationHivernaleAuPréChevauxTrait&amp;$FD150,Règles_chevaux_trait[Ration]&amp;Règles_chevaux_trait[Aliment],0))="s2",IF($FD150=Spécificité2ChevauxTrait,1)),
INDEX(Règles_chevaux_trait[Specificite],MATCH(RationHivernaleAuPréChevauxTrait&amp;$FD150,Règles_chevaux_trait[Ration]&amp;Règles_chevaux_trait[Aliment],0))="c"),
INDEX(Règles_chevaux_trait[Valeur 12-24],MATCH(RationHivernaleAuPréChevauxTrait&amp;$FD150,Règles_chevaux_trait[Ration]&amp;Règles_chevaux_trait[Aliment],0)),0),0)*SUM(TotalChevauxTrait_12_24mois)*21)</f>
        <v>0</v>
      </c>
      <c r="FH150" s="460">
        <f t="array" ref="FH150">IF(OR(ChoixRationHivernaleComplèteChevauxTrait=OUI,ChoixRationHivernaleComplèteChevauxTrait="",ChoixChevauxTraitPréHiver=NON),0,IFERROR(IF(OR(AND(INDEX(Règles_chevaux_trait[Specificite],MATCH(RationHivernaleAuPréChevauxTrait&amp;$FD150,Règles_chevaux_trait[Ration]&amp;Règles_chevaux_trait[Aliment],0))="s1",IF($FD150=Spécificité1ChevauxTrait,1)),
AND(INDEX(Règles_chevaux_trait[Specificite],MATCH(RationHivernaleAuPréChevauxTrait&amp;$FD150,Règles_chevaux_trait[Ration]&amp;Règles_chevaux_trait[Aliment],0))="s2",IF($FD150=Spécificité2ChevauxTrait,1)),
INDEX(Règles_chevaux_trait[Specificite],MATCH(RationHivernaleAuPréChevauxTrait&amp;$FD150,Règles_chevaux_trait[Ration]&amp;Règles_chevaux_trait[Aliment],0))="c"),
INDEX(Règles_chevaux_trait[Valeur 0-12],MATCH(RationHivernaleAuPréChevauxTrait&amp;$FD150,Règles_chevaux_trait[Ration]&amp;Règles_chevaux_trait[Aliment],0)),0),0)*SUM(TotalPoulainsTrait)*21)</f>
        <v>0</v>
      </c>
      <c r="FI150" s="460">
        <f t="shared" si="47"/>
        <v>0</v>
      </c>
      <c r="FN150" s="457" t="str">
        <f t="shared" si="48"/>
        <v>concentré jeunes porcins</v>
      </c>
      <c r="FO150" s="458">
        <f t="array" ref="FO150">IF(OR(ChoixRationHivernaleComplètePoneys=OUI,ChoixRationHivernaleComplètePoneys="",ChoixPoneysPréHiver=NON),0,IFERROR(IF(OR(AND(INDEX(Règles_poneys[Specificite],MATCH(RationHivernaleAuPréPoneys&amp;$FN150,Règles_poneys[Ration]&amp;Règles_poneys[Aliment],0))="s1",IF($FN150=Spécificité1Poneys,1)),
AND(INDEX(Règles_poneys[Specificite],MATCH(RationHivernaleAuPréPoneys&amp;$FN150,Règles_poneys[Ration]&amp;Règles_poneys[Aliment],0))="s2",IF($FN150=Spécificité2Poneys,1)),
INDEX(Règles_poneys[Specificite],MATCH(RationHivernaleAuPréPoneys&amp;$FN150,Règles_poneys[Ration]&amp;Règles_poneys[Aliment],0))="c"),
INDEX(Règles_poneys[Valeur 36 et plus],MATCH(RationHivernaleAuPréPoneys&amp;$FN150,Règles_poneys[Ration]&amp;Règles_poneys[Aliment],0)),0),0)*SUM(TotalPoneysAdultes)*21)</f>
        <v>0</v>
      </c>
      <c r="FP150" s="458">
        <f t="array" ref="FP150">IF(OR(ChoixRationHivernaleComplètePoneys=OUI,ChoixRationHivernaleComplètePoneys="",ChoixPoneysPréHiver=NON),0,IFERROR(IF(OR(AND(INDEX(Règles_poneys[Specificite],MATCH(RationHivernaleAuPréPoneys&amp;$FN150,Règles_poneys[Ration]&amp;Règles_poneys[Aliment],0))="s1",IF($FN150=Spécificité1Poneys,1)),
AND(INDEX(Règles_poneys[Specificite],MATCH(RationHivernaleAuPréPoneys&amp;$FN150,Règles_poneys[Ration]&amp;Règles_poneys[Aliment],0))="s2",IF($FN150=Spécificité2Poneys,1)),
INDEX(Règles_poneys[Specificite],MATCH(RationHivernaleAuPréPoneys&amp;$FN150,Règles_poneys[Ration]&amp;Règles_poneys[Aliment],0))="c"),
INDEX(Règles_poneys[Valeur 24-36],MATCH(RationHivernaleAuPréPoneys&amp;$FN150,Règles_poneys[Ration]&amp;Règles_poneys[Aliment],0)),0),0)*SUM(TotalPoneys_24_36mois)*21)</f>
        <v>0</v>
      </c>
      <c r="FQ150" s="458">
        <f t="array" ref="FQ150">IF(OR(ChoixRationHivernaleComplètePoneys=OUI,ChoixRationHivernaleComplètePoneys="",ChoixPoneysPréHiver=NON),0,IFERROR(IF(OR(AND(INDEX(Règles_poneys[Specificite],MATCH(RationHivernaleAuPréPoneys&amp;$FN150,Règles_poneys[Ration]&amp;Règles_poneys[Aliment],0))="s1",IF($FN150=Spécificité1Poneys,1)),
AND(INDEX(Règles_poneys[Specificite],MATCH(RationHivernaleAuPréPoneys&amp;$FN150,Règles_poneys[Ration]&amp;Règles_poneys[Aliment],0))="s2",IF($FN150=Spécificité2Poneys,1)),
INDEX(Règles_poneys[Specificite],MATCH(RationHivernaleAuPréPoneys&amp;$FN150,Règles_poneys[Ration]&amp;Règles_poneys[Aliment],0))="c"),
INDEX(Règles_poneys[Valeur 12-24],MATCH(RationHivernaleAuPréPoneys&amp;$FN150,Règles_poneys[Ration]&amp;Règles_poneys[Aliment],0)),0),0)*SUM(TotalPoneys_12_24mois)*21)</f>
        <v>0</v>
      </c>
      <c r="FR150" s="460">
        <f t="array" ref="FR150">IF(OR(ChoixRationHivernaleComplètePoneys=OUI,ChoixRationHivernaleComplètePoneys="",ChoixPoneysPréHiver=NON),0,IFERROR(IF(OR(AND(INDEX(Règles_poneys[Specificite],MATCH(RationHivernaleAuPréPoneys&amp;$FN150,Règles_poneys[Ration]&amp;Règles_poneys[Aliment],0))="s1",IF($FN150=Spécificité1Poneys,1)),
AND(INDEX(Règles_poneys[Specificite],MATCH(RationHivernaleAuPréPoneys&amp;$FN150,Règles_poneys[Ration]&amp;Règles_poneys[Aliment],0))="s2",IF($FN150=Spécificité2Poneys,1)),
INDEX(Règles_poneys[Specificite],MATCH(RationHivernaleAuPréPoneys&amp;$FN150,Règles_poneys[Ration]&amp;Règles_poneys[Aliment],0))="c"),
INDEX(Règles_poneys[Valeur 0-12],MATCH(RationHivernaleAuPréPoneys&amp;$FN150,Règles_poneys[Ration]&amp;Règles_poneys[Aliment],0)),0),0)*SUM(TotalPoulainsPoneys)*21)</f>
        <v>0</v>
      </c>
      <c r="FS150" s="460">
        <f t="shared" si="46"/>
        <v>0</v>
      </c>
      <c r="FW150" s="457" t="str">
        <f t="shared" si="44"/>
        <v>Foin</v>
      </c>
      <c r="FX150" s="458">
        <f t="array" ref="FX150">SUM((IF(QualitéAlimentsGavageOison_0_1_mois=BONNE,VLOOKUP("Foin",AlimentsGavageOie,5,FALSE),0)+(IF(QualitéAlimentsGavageCaneton_0_1_mois=BONNE,VLOOKUP("Foin",AlimentsGavageCanard,5,FALSE),0)+(IF(QualitéAlimentsGavageOison_1_2_mois=BONNE,VLOOKUP("Foin",AlimentsGavageOie,4,FALSE),0)+(IF(QualitéAlimentsGavageCaneton_1_2_mois=BONNE,VLOOKUP("Foin",AlimentsGavageCanard,4,FALSE),0)+(IF(QualitéAlimentsGavageOison_2_3_mois=BONNE,VLOOKUP("Foin",AlimentsGavageOie,3,FALSE),0)+(IF(QualitéAlimentsGavageCaneton_2_3_mois=BONNE,VLOOKUP("Foin",AlimentsGavageCanard,3,FALSE),0)+(IF(QualitéAlimentsGavageJeunesOies=BONNE,VLOOKUP("Foin",AlimentsGavageOie,2,FALSE),0)+(IF(QualitéAlimentsGavageJeuneCanard=BONNE,VLOOKUP("Foin",AlimentsGavageCanard,2,FALSE),0))))))))))</f>
        <v>0</v>
      </c>
      <c r="FY150" s="458">
        <f t="array" ref="FY150">SUM((IF(QualitéAlimentsGavageOison_0_1_mois=MOYENNE,VLOOKUP("Foin",AlimentsGavageOie,5,FALSE),0)+(IF(QualitéAlimentsGavageCaneton_0_1_mois=MOYENNE,VLOOKUP("Foin",AlimentsGavageCanard,5,FALSE),0)+(IF(QualitéAlimentsGavageOison_1_2_mois=MOYENNE,VLOOKUP("Foin",AlimentsGavageOie,4,FALSE),0)+(IF(QualitéAlimentsGavageCaneton_1_2_mois=MOYENNE,VLOOKUP("Foin",AlimentsGavageCanard,4,FALSE),0)+(IF(QualitéAlimentsGavageOison_2_3_mois=MOYENNE,VLOOKUP("Foin",AlimentsGavageOie,3,FALSE),0)+(IF(QualitéAlimentsGavageCaneton_2_3_mois=MOYENNE,VLOOKUP("Foin",AlimentsGavageCanard,3,FALSE),0)+(IF(QualitéAlimentsGavageJeunesOies=MOYENNE,VLOOKUP("Foin",AlimentsGavageOie,2,FALSE),0)+(IF(QualitéAlimentsGavageJeuneCanard=MOYENNE,VLOOKUP("Foin",AlimentsGavageCanard,2,FALSE),0))))))))))</f>
        <v>0</v>
      </c>
      <c r="FZ150" s="458">
        <f t="array" ref="FZ150">SUM((IF(QualitéAlimentsGavageOison_0_1_mois=MAUVAISE,VLOOKUP("Foin",AlimentsGavageOie,5,FALSE),0)+(IF(QualitéAlimentsGavageCaneton_0_1_mois=MAUVAISE,VLOOKUP("Foin",AlimentsGavageCanard,5,FALSE),0)+(IF(QualitéAlimentsGavageOison_1_2_mois=MAUVAISE,VLOOKUP("Foin",AlimentsGavageOie,4,FALSE),0)+(IF(QualitéAlimentsGavageCaneton_1_2_mois=MAUVAISE,VLOOKUP("Foin",AlimentsGavageCanard,4,FALSE),0)+(IF(QualitéAlimentsGavageOison_2_3_mois=MAUVAISE,VLOOKUP("Foin",AlimentsGavageOie,3,FALSE),0)+(IF(QualitéAlimentsGavageCaneton_2_3_mois=MAUVAISE,VLOOKUP("Foin",AlimentsGavageCanard,3,FALSE),0)+(IF(QualitéAlimentsGavageJeunesOies=MAUVAISE,VLOOKUP("Foin",AlimentsGavageOie,2,FALSE),0)+(IF(QualitéAlimentsGavageJeuneCanard=MAUVAISE,VLOOKUP("Foin",AlimentsGavageCanard,2,FALSE),0))))))))))</f>
        <v>0</v>
      </c>
      <c r="GB150" s="281"/>
      <c r="GG150" s="276" t="s">
        <v>955</v>
      </c>
      <c r="GH150" s="276" t="s">
        <v>955</v>
      </c>
      <c r="GI150" s="276" t="s">
        <v>955</v>
      </c>
      <c r="GJ150" s="276" t="s">
        <v>955</v>
      </c>
      <c r="GK150" s="276" t="s">
        <v>955</v>
      </c>
      <c r="GL150" s="276" t="s">
        <v>955</v>
      </c>
      <c r="GM150" s="276" t="s">
        <v>955</v>
      </c>
      <c r="GN150" s="276" t="s">
        <v>955</v>
      </c>
      <c r="GO150" s="276" t="s">
        <v>955</v>
      </c>
      <c r="GP150" s="276" t="s">
        <v>955</v>
      </c>
      <c r="GQ150" s="276" t="s">
        <v>955</v>
      </c>
      <c r="GR150" s="276" t="s">
        <v>955</v>
      </c>
      <c r="GS150" s="276" t="s">
        <v>955</v>
      </c>
      <c r="GT150" s="276" t="s">
        <v>955</v>
      </c>
      <c r="GU150" s="276" t="s">
        <v>955</v>
      </c>
      <c r="GV150" s="276" t="s">
        <v>955</v>
      </c>
    </row>
    <row r="151" spans="1:204" ht="12.75" customHeight="1" x14ac:dyDescent="0.2">
      <c r="A151" s="373"/>
      <c r="B151" s="382"/>
      <c r="BB151" s="387" t="s">
        <v>516</v>
      </c>
      <c r="BC151" s="362" t="s">
        <v>489</v>
      </c>
      <c r="BD151" s="362" t="s">
        <v>887</v>
      </c>
      <c r="BE151" s="388">
        <v>7.2</v>
      </c>
      <c r="BF151" s="388">
        <v>6</v>
      </c>
      <c r="BG151" s="388">
        <v>4</v>
      </c>
      <c r="BH151" s="388">
        <v>2</v>
      </c>
      <c r="BI151" s="388">
        <v>1.2</v>
      </c>
      <c r="BJ151" s="388">
        <v>0.6</v>
      </c>
      <c r="BK151" s="389">
        <v>0</v>
      </c>
      <c r="BL151" s="312"/>
      <c r="BM151" s="350"/>
      <c r="BN151" s="351"/>
      <c r="BO151" s="351"/>
      <c r="BP151" s="351"/>
      <c r="BX151" s="350" t="str">
        <f t="shared" si="51"/>
        <v>concentré jeunes bovins</v>
      </c>
      <c r="BY151" s="350">
        <f t="array" ref="BY151">IF(ChoixRationComplèteCaprins=OUI,0,IFERROR(IF(OR(AND(INDEX(Règles_caprins[Specificite],MATCH(ChoixRationCaprins&amp;$BX151,Règles_caprins[Ration]&amp;Règles_caprins[Aliment],0))="s1",IF($BX151=Spécificité1Caprins,1)),
INDEX(Règles_caprins[Specificite],MATCH(ChoixRationCaprins&amp;$BX151,Règles_caprins[Ration]&amp;Règles_caprins[Aliment],0))="c"),
INDEX(Règles_caprins[Valeur 12 et plus],MATCH(ChoixRationCaprins&amp;$BX151,Règles_caprins[Ration]&amp;Règles_caprins[Aliment],0)),0),0)*TotalChèvres*NbreJoursNourrirCaprins)</f>
        <v>0</v>
      </c>
      <c r="BZ151" s="350">
        <f t="array" ref="BZ151">IF(ChoixRationComplèteCaprins=OUI,0,IFERROR(IF(OR(AND(INDEX(Règles_caprins[Specificite],MATCH(ChoixRationCaprins&amp;$BX151,Règles_caprins[Ration]&amp;Règles_caprins[Aliment],0))="s1",IF($BX151=Spécificité1Caprins,1)),
INDEX(Règles_caprins[Specificite],MATCH(ChoixRationCaprins&amp;$BX151,Règles_caprins[Ration]&amp;Règles_caprins[Aliment],0))="c"),
INDEX(Règles_caprins[Valeur 6-12],MATCH(ChoixRationCaprins&amp;$BX151,Règles_caprins[Ration]&amp;Règles_caprins[Aliment],0)),0),0)*jeune_chèvre_6_12_mois*NbreJoursNourrirCaprins)</f>
        <v>0</v>
      </c>
      <c r="CA151" s="350">
        <f t="array" ref="CA151">IF(ChoixRationComplèteCaprins=OUI,0,IFERROR(IF(OR(AND(INDEX(Règles_caprins[Specificite],MATCH(ChoixRationCaprins&amp;$BX151,Règles_caprins[Ration]&amp;Règles_caprins[Aliment],0))="s1",IF($BX151=Spécificité1Caprins,1)),
INDEX(Règles_caprins[Specificite],MATCH(ChoixRationCaprins&amp;$BX151,Règles_caprins[Ration]&amp;Règles_caprins[Aliment],0))="c"),
INDEX(Règles_caprins[Valeur 3-6],MATCH(ChoixRationCaprins&amp;$BX151,Règles_caprins[Ration]&amp;Règles_caprins[Aliment],0)),0),0)*chevrette_3_6_mois*NbreJoursNourrirCaprins)</f>
        <v>0</v>
      </c>
      <c r="CB151" s="350">
        <f t="array" ref="CB151">IF(ChoixRationComplèteCaprins=OUI,0,IFERROR(IF(OR(AND(INDEX(Règles_caprins[Specificite],MATCH(ChoixRationCaprins&amp;$BX151,Règles_caprins[Ration]&amp;Règles_caprins[Aliment],0))="s1",IF($BX151=Spécificité1Caprins,1)),
INDEX(Règles_caprins[Specificite],MATCH(ChoixRationCaprins&amp;$BX151,Règles_caprins[Ration]&amp;Règles_caprins[Aliment],0))="c"),
INDEX(Règles_caprins[Valeur 0-3],MATCH(ChoixRationCaprins&amp;$BX151,Règles_caprins[Ration]&amp;Règles_caprins[Aliment],0)),0),0)*chevrette_0_3_mois*NbreJoursNourrirCaprins)</f>
        <v>0</v>
      </c>
      <c r="CC151" s="350">
        <f t="shared" si="50"/>
        <v>0</v>
      </c>
      <c r="CH151" s="298"/>
      <c r="CI151" s="277"/>
      <c r="CJ151" s="350" t="str">
        <f t="shared" si="45"/>
        <v>Epinard</v>
      </c>
      <c r="CK151" s="351">
        <f t="array" ref="CK151">SUM((IF(QualitéAlimentsPorceletMâle_0_1_mois=BONNE,VLOOKUP("Epinard",AlimentsRationPorcinsMâles[],6,FALSE),0)+(IF(QualitéAlimentsPorceletFemelle_0_1_mois=BONNE,VLOOKUP("Epinard",AlimentsRationPorcinsFemelles[],6,FALSE),0)+(IF(QualitéAlimentsPorceletMâle_1_3_mois=BONNE,VLOOKUP("Epinard",AlimentsRationPorcinsMâles[],5,FALSE),0)+(IF(QualitéAlimentsPorceletFemelle_1_3_mois=BONNE,VLOOKUP("Epinard",AlimentsRationPorcinsFemelles[],5,FALSE),0)+(IF(QualitéAlimentsJeuneVerrat_3_6_mois=BONNE,VLOOKUP("Epinard",AlimentsRationPorcinsMâles[],4,FALSE),0)+(IF(QualitéAlimentsJeuneTruie_3_6_mois=BONNE,VLOOKUP("Epinard",AlimentsRationPorcinsFemelles[],4,FALSE),0)+(IF(QualitéAlimentsJeuneVerrat_6_12_mois=BONNE,VLOOKUP("Epinard",AlimentsRationPorcinsMâles[],3,FALSE),0)+(IF(QualitéAlimentsJeuneTruie_6_12_mois=BONNE,VLOOKUP("Epinard",AlimentsRationPorcinsFemelles[],3,FALSE),0)+(IF(QualitéAlimentsVerrat=BONNE,VLOOKUP("Avoine",AlimentsRationPorcinsMâles[],2,FALSE),0)+(IF(QualitéAlimentsTruie=BONNE,VLOOKUP("Avoine",AlimentsRationPorcinsFemelles[],2,FALSE),0))))))))))))</f>
        <v>0</v>
      </c>
      <c r="CL151" s="351">
        <f t="array" ref="CL151">SUM((IF(QualitéAlimentsPorceletMâle_0_1_mois=MOYENNE,VLOOKUP("Epinard",AlimentsRationPorcinsMâles[],6,FALSE),0)+(IF(QualitéAlimentsPorceletFemelle_0_1_mois=MOYENNE,VLOOKUP("Epinard",AlimentsRationPorcinsFemelles[],6,FALSE),0)+(IF(QualitéAlimentsPorceletMâle_1_3_mois=MOYENNE,VLOOKUP("Epinard",AlimentsRationPorcinsMâles[],5,FALSE),0)+(IF(QualitéAlimentsPorceletFemelle_1_3_mois=MOYENNE,VLOOKUP("Epinard",AlimentsRationPorcinsFemelles[],5,FALSE),0)+(IF(QualitéAlimentsJeuneVerrat_3_6_mois=MOYENNE,VLOOKUP("Epinard",AlimentsRationPorcinsMâles[],4,FALSE),0)+(IF(QualitéAlimentsJeuneTruie_3_6_mois=MOYENNE,VLOOKUP("Epinard",AlimentsRationPorcinsFemelles[],4,FALSE),0)+(IF(QualitéAlimentsJeuneVerrat_6_12_mois=MOYENNE,VLOOKUP("Epinard",AlimentsRationPorcinsMâles[],3,FALSE),0)+(IF(QualitéAlimentsJeuneTruie_6_12_mois=MOYENNE,VLOOKUP("Epinard",AlimentsRationPorcinsFemelles[],3,FALSE),0)+(IF(QualitéAlimentsVerrat=BONNE,VLOOKUP("Avoine",AlimentsRationPorcinsMâles[],2,FALSE),0)+(IF(QualitéAlimentsTruie=BONNE,VLOOKUP("Avoine",AlimentsRationPorcinsFemelles[],2,FALSE),0))))))))))))</f>
        <v>0</v>
      </c>
      <c r="CM151" s="351">
        <f t="array" ref="CM151">SUM((IF(QualitéAlimentsPorceletMâle_0_1_mois=MAUVAISE,VLOOKUP("Epinard",AlimentsRationPorcinsMâles[],6,FALSE),0)+(IF(QualitéAlimentsPorceletFemelle_0_1_mois=MAUVAISE,VLOOKUP("Epinard",AlimentsRationPorcinsFemelles[],6,FALSE),0)+(IF(QualitéAlimentsPorceletMâle_1_3_mois=MAUVAISE,VLOOKUP("Epinard",AlimentsRationPorcinsMâles[],5,FALSE),0)+(IF(QualitéAlimentsPorceletFemelle_1_3_mois=MAUVAISE,VLOOKUP("Epinard",AlimentsRationPorcinsFemelles[],5,FALSE),0)+(IF(QualitéAlimentsJeuneVerrat_3_6_mois=MAUVAISE,VLOOKUP("Epinard",AlimentsRationPorcinsMâles[],4,FALSE),0)+(IF(QualitéAlimentsJeuneTruie_3_6_mois=MAUVAISE,VLOOKUP("Epinard",AlimentsRationPorcinsFemelles[],4,FALSE),0)+(IF(QualitéAlimentsJeuneVerrat_6_12_mois=MAUVAISE,VLOOKUP("Epinard",AlimentsRationPorcinsMâles[],3,FALSE),0)+(IF(QualitéAlimentsJeuneTruie_6_12_mois=MAUVAISE,VLOOKUP("Epinard",AlimentsRationPorcinsFemelles[],3,FALSE),0)+(IF(QualitéAlimentsVerrat=BONNE,VLOOKUP("Avoine",AlimentsRationPorcinsMâles[],2,FALSE),0)+(IF(QualitéAlimentsTruie=BONNE,VLOOKUP("Avoine",AlimentsRationPorcinsFemelles[],2,FALSE),0))))))))))))</f>
        <v>0</v>
      </c>
      <c r="CN151" s="277"/>
      <c r="CO151" s="279"/>
      <c r="CP151" s="298"/>
      <c r="CS151" s="421" t="s">
        <v>973</v>
      </c>
      <c r="CT151" s="422">
        <f>IF(ChoixPaillageLapins=OUI,SUBTOTAL(109,LitièreLapins[litière]),0)</f>
        <v>0</v>
      </c>
      <c r="CZ151" s="277"/>
      <c r="DA151" s="277"/>
      <c r="DB151" s="277"/>
      <c r="DC151" s="277"/>
      <c r="DD151" s="277"/>
      <c r="DG151" s="350" t="str">
        <f t="shared" si="52"/>
        <v>concentré jeunes bovins</v>
      </c>
      <c r="DH151" s="351">
        <f t="array" ref="DH151">SUM((IF(QualitéAlimentsPintadeauMâle_0_1_mois=BONNE,VLOOKUP("Concentré jeunes bovins",AlimentsRationPintadesMâles[],4,FALSE),0)+(IF(QualitéAlimentsPintadeauFemelle_0_1_mois=BONNE,VLOOKUP("Concentré jeunes bovins",AlimentsRationPintadesFemelles[],4,FALSE),0)+(IF(QualitéAlimentsJeunePintadeMâle=BONNE,VLOOKUP("Concentré jeunes bovins",AlimentsRationPintadesMâles[],3,FALSE),0)+(IF(QualitéAlimentsJeunePintadeFemelle=BONNE,VLOOKUP("Concentré jeunes bovins",AlimentsRationPintadesFemelles[],3,FALSE),0)+(IF(QualitéAlimentsPintadeMâle=BONNE,VLOOKUP("Concentré jeunes bovins",AlimentsRationPintadesMâles[],2,FALSE),0)+(IF(QualitéAlimentsPintadeFemelle=BONNE,VLOOKUP("Concentré jeunes bovins",AlimentsRationPintadesFemelles[],2,FALSE),0))))))))</f>
        <v>0</v>
      </c>
      <c r="DI151" s="351">
        <f t="array" ref="DI151">SUM((IF(QualitéAlimentsPintadeauMâle_0_1_mois=MOYENNE,VLOOKUP("Concentré jeunes bovins",AlimentsRationPintadesMâles[],4,FALSE),0)+(IF(QualitéAlimentsPintadeauFemelle_0_1_mois=MOYENNE,VLOOKUP("Concentré jeunes bovins",AlimentsRationPintadesFemelles[],4,FALSE),0)+(IF(QualitéAlimentsJeunePintadeMâle=MOYENNE,VLOOKUP("Concentré jeunes bovins",AlimentsRationPintadesMâles[],3,FALSE),0)+(IF(QualitéAlimentsJeunePintadeFemelle=MOYENNE,VLOOKUP("Concentré jeunes bovins",AlimentsRationPintadesFemelles[],3,FALSE),0)+(IF(QualitéAlimentsPintadeMâle=MOYENNE,VLOOKUP("Concentré jeunes bovins",AlimentsRationPintadesMâles[],2,FALSE),0)+(IF(QualitéAlimentsPintadeFemelle=MOYENNE,VLOOKUP("Concentré jeunes bovins",AlimentsRationPintadesFemelles[],2,FALSE),0))))))))</f>
        <v>0</v>
      </c>
      <c r="DJ151" s="351">
        <f t="array" ref="DJ151">SUM((IF(QualitéAlimentsPintadeauMâle_0_1_mois=MAUVAISE,VLOOKUP("Concentré jeunes bovins",AlimentsRationPintadesMâles[],4,FALSE),0)+(IF(QualitéAlimentsPintadeauFemelle_0_1_mois=MAUVAISE,VLOOKUP("Concentré jeunes bovins",AlimentsRationPintadesFemelles[],4,FALSE),0)+(IF(QualitéAlimentsJeunePintadeMâle=MAUVAISE,VLOOKUP("Concentré jeunes bovins",AlimentsRationPintadesMâles[],3,FALSE),0)+(IF(QualitéAlimentsJeunePintadeFemelle=MAUVAISE,VLOOKUP("Concentré jeunes bovins",AlimentsRationPintadesFemelles[],3,FALSE),0)+(IF(QualitéAlimentsPintadeMâle=MAUVAISE,VLOOKUP("Concentré jeunes bovins",AlimentsRationPintadesMâles[],2,FALSE),0)+(IF(QualitéAlimentsPintadeFemelle=MAUVAISE,VLOOKUP("Concentré jeunes bovins",AlimentsRationPintadesFemelles[],2,FALSE),0))))))))</f>
        <v>0</v>
      </c>
      <c r="DN151" s="350" t="s">
        <v>392</v>
      </c>
      <c r="DO151" s="351">
        <f t="array" ref="DO151">IF(ChoixRationComplèteOvins=OUI,0,IFERROR(IF(OR(AND(INDEX(Règles_ovins[Specificite],MATCH(ChoixRationOvins&amp;$DN151,Règles_ovins[Ration]&amp;Règles_ovins[Aliment],0))="s1",IF($DN151=Spécificité1Ovins,1)),
AND(INDEX(Règles_ovins[Specificite],MATCH(ChoixRationOvins&amp;$DN151,Règles_ovins[Ration]&amp;Règles_ovins[Aliment],0))="s2",IF($DN151=Spécificité2Ovins,1)),
INDEX(Règles_ovins[Specificite],MATCH(ChoixRationOvins&amp;$DN151,Règles_ovins[Ration]&amp;Règles_ovins[Aliment],0))="c"),
INDEX(Règles_ovins[Valeur 12 et plus],MATCH(ChoixRationOvins&amp;$DN151,Règles_ovins[Ration]&amp;Règles_ovins[Aliment],0)),0),0)*IF(ChoixOvinsPréHiver=OUI,SUM(TotalOvinsAdultesRacesLaitières)*NbreJoursNourrirOvins,TotalBéliers*NbreJoursNourrirOvins))</f>
        <v>0</v>
      </c>
      <c r="DP151" s="351">
        <f t="array" ref="DP151">IF(ChoixRationComplèteOvins=OUI,0,IFERROR(IF(OR(AND(INDEX(Règles_ovins[Specificite],MATCH(ChoixRationOvins&amp;$DN151,Règles_ovins[Ration]&amp;Règles_ovins[Aliment],0))="s1",IF($DN151=Spécificité1Ovins,1)),
AND(INDEX(Règles_ovins[Specificite],MATCH(ChoixRationOvins&amp;$DN151,Règles_ovins[Ration]&amp;Règles_ovins[Aliment],0))="s2",IF($DN151=Spécificité2Ovins,1)),
INDEX(Règles_ovins[Specificite],MATCH(ChoixRationOvins&amp;$DN151,Règles_ovins[Ration]&amp;Règles_ovins[Aliment],0))="c"),
INDEX(Règles_ovins[Valeur 6-12],MATCH(ChoixRationOvins&amp;$DN151,Règles_ovins[Ration]&amp;Règles_ovins[Aliment],0)),0),0)*IF(ChoixOvinsPréHiver=OUI,SUM(TotalJeunesOvinsRacesLaitières)*NbreJoursNourrirOvins,TotalJeune_bélier_6_12_mois*NbreJoursNourrirOvins))</f>
        <v>0</v>
      </c>
      <c r="DQ151" s="351">
        <f t="array" ref="DQ151">IF(ChoixRationComplèteOvins=OUI,0,IFERROR(IF(OR(AND(INDEX(Règles_ovins[Specificite],MATCH(ChoixRationOvins&amp;$DN151,Règles_ovins[Ration]&amp;Règles_ovins[Aliment],0))="s1",IF($DN151=Spécificité1Ovins,1)),
AND(INDEX(Règles_ovins[Specificite],MATCH(ChoixRationOvins&amp;$DN151,Règles_ovins[Ration]&amp;Règles_ovins[Aliment],0))="s2",IF($DN151=Spécificité2Ovins,1)),
INDEX(Règles_ovins[Specificite],MATCH(ChoixRationOvins&amp;$DN151,Règles_ovins[Ration]&amp;Règles_ovins[Aliment],0))="c"),
INDEX(Règles_ovins[Valeur 3-6],MATCH(ChoixRationOvins&amp;$DN151,Règles_ovins[Ration]&amp;Règles_ovins[Aliment],0)),0),0)*IF(ChoixOvinsPréHiver=OUI,SUM(TotalOvins_3_6moisRacesLaitières)*NbreJoursNourrirOvins,TotalAgneau_3_6_mois*NbreJoursNourrirOvins))</f>
        <v>0</v>
      </c>
      <c r="DR151" s="351">
        <f t="array" ref="DR151">IF(ChoixRationComplèteOvins=OUI,0,IFERROR(IF(OR(AND(INDEX(Règles_ovins[Specificite],MATCH(ChoixRationOvins&amp;$DN151,Règles_ovins[Ration]&amp;Règles_ovins[Aliment],0))="s1",IF($DN151=Spécificité1Ovins,1)),
AND(INDEX(Règles_ovins[Specificite],MATCH(ChoixRationOvins&amp;$DN151,Règles_ovins[Ration]&amp;Règles_ovins[Aliment],0))="s2",IF($DN151=Spécificité2Ovins,1)),
INDEX(Règles_ovins[Specificite],MATCH(ChoixRationOvins&amp;$DN151,Règles_ovins[Ration]&amp;Règles_ovins[Aliment],0))="c"),
INDEX(Règles_ovins[Valeur 0-3],MATCH(ChoixRationOvins&amp;$DN151,Règles_ovins[Ration]&amp;Règles_ovins[Aliment],0)),0),0)*IF(ChoixOvinsPréHiver=OUI,SUM(TotalOvins_3_6moisRacesLaitières)*NbreJoursNourrirOvins,TotalAgneau_0_3_mois*NbreJoursNourrirOvins))</f>
        <v>0</v>
      </c>
      <c r="DS151" s="441">
        <f t="shared" si="55"/>
        <v>0</v>
      </c>
      <c r="EG151" s="350" t="str">
        <f t="shared" ref="EG151:EG188" si="57">EG54</f>
        <v>Betterave</v>
      </c>
      <c r="EH151" s="351">
        <f t="array" ref="EH151">SUM((IF(QualitéAlimentsOisonMâle_0_3_mois=BONNE,VLOOKUP("Betterave",AlimentsRationOiesMâles[],4,FALSE),0)+(IF(QualitéAlimentsOisonFemelle_0_3_mois=BONNE,VLOOKUP("Betterave",AlimentsRationOiesFemelles[],4,FALSE),0)+(IF(QualitéAlimentsJeuneJars=BONNE,VLOOKUP("Betterave",AlimentsRationOiesMâles[],3,FALSE),0)+(IF(QualitéAlimentsJeuneOie=BONNE,VLOOKUP("Betterave",AlimentsRationOiesFemelles[],3,FALSE),0)+(IF(QualitéAlimentsJars=BONNE,VLOOKUP("Betterave",AlimentsRationOiesMâles[],2,FALSE),0)+(IF(QualitéAlimentsOie=BONNE,VLOOKUP("Betterave",AlimentsRationOiesFemelles[],2,FALSE),0))))))))</f>
        <v>0</v>
      </c>
      <c r="EI151" s="351">
        <f t="array" ref="EI151">SUM((IF(QualitéAlimentsOisonMâle_0_3_mois=MOYENNE,VLOOKUP("Betterave",AlimentsRationOiesMâles[],4,FALSE),0)+(IF(QualitéAlimentsOisonFemelle_0_3_mois=MOYENNE,VLOOKUP("Betterave",AlimentsRationOiesFemelles[],4,FALSE),0)+(IF(QualitéAlimentsJeuneJars=MOYENNE,VLOOKUP("Betterave",AlimentsRationOiesMâles[],3,FALSE),0)+(IF(QualitéAlimentsJeuneOie=MOYENNE,VLOOKUP("Betterave",AlimentsRationOiesFemelles[],3,FALSE),0)+(IF(QualitéAlimentsJars=MOYENNE,VLOOKUP("Betterave",AlimentsRationOiesMâles[],2,FALSE),0)+(IF(QualitéAlimentsOie=MOYENNE,VLOOKUP("Betterave",AlimentsRationOiesFemelles[],2,FALSE),0))))))))</f>
        <v>0</v>
      </c>
      <c r="EJ151" s="351">
        <f t="array" ref="EJ151">SUM((IF(QualitéAlimentsOisonMâle_0_3_mois=MAUVAISE,VLOOKUP("Betterave",AlimentsRationOiesMâles[],4,FALSE),0)+(IF(QualitéAlimentsOisonFemelle_0_3_mois=MAUVAISE,VLOOKUP("Betterave",AlimentsRationOiesFemelles[],4,FALSE),0)+(IF(QualitéAlimentsJeuneJars=MAUVAISE,VLOOKUP("Betterave",AlimentsRationOiesMâles[],3,FALSE),0)+(IF(QualitéAlimentsJeuneOie=MAUVAISE,VLOOKUP("Betterave",AlimentsRationOiesFemelles[],3,FALSE),0)+(IF(QualitéAlimentsJars=MAUVAISE,VLOOKUP("Betterave",AlimentsRationOiesMâles[],2,FALSE),0)+(IF(QualitéAlimentsOie=MAUVAISE,VLOOKUP("Betterave",AlimentsRationOiesFemelles[],2,FALSE),0))))))))</f>
        <v>0</v>
      </c>
      <c r="EN151" s="457" t="str">
        <f t="shared" si="56"/>
        <v>Blé</v>
      </c>
      <c r="EO151" s="458">
        <f t="array" ref="EO151">SUM((IF(QualitéAlimentsCanetonMâle=BONNE,VLOOKUP("Blé",AlimentsRationCanardsMâles,4,FALSE),0)+(IF(QualitéAlimentsCanetonFemelle=BONNE,VLOOKUP("Blé",AlimentsRationCanardsFemelles,4,FALSE),0)+(IF(QualitéAlimentsJeuneCanard=BONNE,VLOOKUP("Blé",AlimentsRationCanardsMâles,3,FALSE),0)+(IF(QualitéAlimentsJeuneCane=BONNE,VLOOKUP("Blé",AlimentsRationCanardsFemelles,3,FALSE),0)+(IF(QualitéAlimentsCanard=BONNE,VLOOKUP("Blé",AlimentsRationCanardsMâles,2,FALSE),0)+(IF(QualitéAlimentsCane=BONNE,VLOOKUP("Blé",AlimentsRationCanardsFemelles,2,FALSE),0))))))))</f>
        <v>0</v>
      </c>
      <c r="EP151" s="458">
        <f t="array" ref="EP151">SUM((IF(QualitéAlimentsCanetonMâle=MOYENNE,VLOOKUP("Blé",AlimentsRationCanardsMâles,4,FALSE),0)+(IF(QualitéAlimentsCanetonFemelle=MOYENNE,VLOOKUP("Blé",AlimentsRationCanardsFemelles,4,FALSE),0)+(IF(QualitéAlimentsJeuneCanard=MOYENNE,VLOOKUP("Blé",AlimentsRationCanardsMâles,3,FALSE),0)+(IF(QualitéAlimentsJeuneCane=MOYENNE,VLOOKUP("Blé",AlimentsRationCanardsFemelles,3,FALSE),0)+(IF(QualitéAlimentsCanard=MOYENNE,VLOOKUP("Blé",AlimentsRationCanardsMâles,2,FALSE),0)+(IF(QualitéAlimentsCane=MOYENNE,VLOOKUP("Blé",AlimentsRationCanardsFemelles,2,FALSE),0))))))))</f>
        <v>0</v>
      </c>
      <c r="EQ151" s="458">
        <f t="array" ref="EQ151">SUM((IF(QualitéAlimentsCanetonMâle=MAUVAISE,VLOOKUP("Blé",AlimentsRationCanardsMâles,4,FALSE),0)+(IF(QualitéAlimentsCanetonFemelle=MAUVAISE,VLOOKUP("Blé",AlimentsRationCanardsFemelles,4,FALSE),0)+(IF(QualitéAlimentsJeuneCanard=MAUVAISE,VLOOKUP("Blé",AlimentsRationCanardsMâles,3,FALSE),0)+(IF(QualitéAlimentsJeuneCane=MAUVAISE,VLOOKUP("Blé",AlimentsRationCanardsFemelles,3,FALSE),0)+(IF(QualitéAlimentsCanard=MAUVAISE,VLOOKUP("Blé",AlimentsRationCanardsMâles,2,FALSE),0)+(IF(QualitéAlimentsCane=MAUVAISE,VLOOKUP("Blé",AlimentsRationCanardsFemelles,2,FALSE),0))))))))</f>
        <v>0</v>
      </c>
      <c r="EU151" s="457" t="str">
        <f t="shared" si="54"/>
        <v>Bouchons luzerne</v>
      </c>
      <c r="EV151" s="458">
        <f t="array" ref="EV151">IF(OR(ChoixRationHivernaleComplèteChevauxSelle=OUI,ChoixRationHivernaleComplèteChevauxSelle="",ChoixChevauxSellePréHiver=NON),0,IFERROR(IF(OR(AND(INDEX(Règles_chevaux_selle[Specificite],MATCH(RationHivernaleAuPréChevauxSelle&amp;$EU151,Règles_chevaux_selle[Ration]&amp;Règles_chevaux_selle[Aliment],0))="s1",IF($EU151=Spécificité1ChevauxSelle,1)),
AND(INDEX(Règles_chevaux_selle[Specificite],MATCH(RationHivernaleAuPréChevauxSelle&amp;$EU151,Règles_chevaux_selle[Ration]&amp;Règles_chevaux_selle[Aliment],0))="s2",IF($EU151=Spécificité2ChevauxSelle,1)),
INDEX(Règles_chevaux_selle[Specificite],MATCH(RationHivernaleAuPréChevauxSelle&amp;$EU151,Règles_chevaux_selle[Ration]&amp;Règles_chevaux_selle[Aliment],0))="c"),
INDEX(Règles_chevaux_selle[Valeur 36 et plus],MATCH(RationHivernaleAuPréChevauxSelle&amp;$EU151,Règles_chevaux_selle[Ration]&amp;Règles_chevaux_selle[Aliment],0)),0),0)*SUM(TotalChevauxSelleAdultes)*21)</f>
        <v>0</v>
      </c>
      <c r="EW151" s="458">
        <f t="array" ref="EW151">IF(OR(ChoixRationHivernaleComplèteChevauxSelle=OUI,ChoixRationHivernaleComplèteChevauxSelle="",ChoixChevauxSellePréHiver=NON),0,IFERROR(IF(OR(AND(INDEX(Règles_chevaux_selle[Specificite],MATCH(RationHivernaleAuPréChevauxSelle&amp;$EU151,Règles_chevaux_selle[Ration]&amp;Règles_chevaux_selle[Aliment],0))="s1",IF($EU151=Spécificité1ChevauxSelle,1)),
AND(INDEX(Règles_chevaux_selle[Specificite],MATCH(RationHivernaleAuPréChevauxSelle&amp;$EU151,Règles_chevaux_selle[Ration]&amp;Règles_chevaux_selle[Aliment],0))="s2",IF($EU151=Spécificité2ChevauxSelle,1)),
INDEX(Règles_chevaux_selle[Specificite],MATCH(RationHivernaleAuPréChevauxSelle&amp;$EU151,Règles_chevaux_selle[Ration]&amp;Règles_chevaux_selle[Aliment],0))="c"),
INDEX(Règles_chevaux_selle[Valeur 24-36],MATCH(RationHivernaleAuPréChevauxSelle&amp;$EU151,Règles_chevaux_selle[Ration]&amp;Règles_chevaux_selle[Aliment],0)),0),0)*SUM(TotalChevauxSelle_24_36mois)*21)</f>
        <v>0</v>
      </c>
      <c r="EX151" s="458">
        <f t="array" ref="EX151">IF(OR(ChoixRationHivernaleComplèteChevauxSelle=OUI,ChoixRationHivernaleComplèteChevauxSelle="",ChoixChevauxSellePréHiver=NON),0,IFERROR(IF(OR(AND(INDEX(Règles_chevaux_selle[Specificite],MATCH(RationHivernaleAuPréChevauxSelle&amp;$EU151,Règles_chevaux_selle[Ration]&amp;Règles_chevaux_selle[Aliment],0))="s1",IF($EU151=Spécificité1ChevauxSelle,1)),
AND(INDEX(Règles_chevaux_selle[Specificite],MATCH(RationHivernaleAuPréChevauxSelle&amp;$EU151,Règles_chevaux_selle[Ration]&amp;Règles_chevaux_selle[Aliment],0))="s2",IF($EU151=Spécificité2ChevauxSelle,1)),
INDEX(Règles_chevaux_selle[Specificite],MATCH(RationHivernaleAuPréChevauxSelle&amp;$EU151,Règles_chevaux_selle[Ration]&amp;Règles_chevaux_selle[Aliment],0))="c"),
INDEX(Règles_chevaux_selle[Valeur 12-24],MATCH(RationHivernaleAuPréChevauxSelle&amp;$EU151,Règles_chevaux_selle[Ration]&amp;Règles_chevaux_selle[Aliment],0)),0),0)*SUM(TotalChevauxSelle_12_24mois)*21)</f>
        <v>0</v>
      </c>
      <c r="EY151" s="460">
        <f t="array" ref="EY151">IF(OR(ChoixRationHivernaleComplèteChevauxSelle=OUI,ChoixRationHivernaleComplèteChevauxSelle="",ChoixChevauxSellePréHiver=NON),0,IFERROR(IF(OR(AND(INDEX(Règles_chevaux_selle[Specificite],MATCH(RationHivernaleAuPréChevauxSelle&amp;$EU151,Règles_chevaux_selle[Ration]&amp;Règles_chevaux_selle[Aliment],0))="s1",IF($EU151=Spécificité1ChevauxSelle,1)),
AND(INDEX(Règles_chevaux_selle[Specificite],MATCH(RationHivernaleAuPréChevauxSelle&amp;$EU151,Règles_chevaux_selle[Ration]&amp;Règles_chevaux_selle[Aliment],0))="s2",IF($EU151=Spécificité2ChevauxSelle,1)),
INDEX(Règles_chevaux_selle[Specificite],MATCH(RationHivernaleAuPréChevauxSelle&amp;$EU151,Règles_chevaux_selle[Ration]&amp;Règles_chevaux_selle[Aliment],0))="c"),
INDEX(Règles_chevaux_selle[Valeur 0-12],MATCH(RationHivernaleAuPréChevauxSelle&amp;$EU151,Règles_chevaux_selle[Ration]&amp;Règles_chevaux_selle[Aliment],0)),0),0)*SUM(TotalPoulainsSelle)*21)</f>
        <v>0</v>
      </c>
      <c r="EZ151" s="460">
        <f t="shared" si="53"/>
        <v>0</v>
      </c>
      <c r="FD151" s="457" t="str">
        <f t="shared" si="49"/>
        <v>concentré jeunes porcins</v>
      </c>
      <c r="FE151" s="458">
        <f t="array" ref="FE151">IF(OR(ChoixRationHivernaleComplèteChevauxTrait=OUI,ChoixRationHivernaleComplèteChevauxTrait="",ChoixChevauxTraitPréHiver=NON),0,IFERROR(IF(OR(AND(INDEX(Règles_chevaux_trait[Specificite],MATCH(RationHivernaleAuPréChevauxTrait&amp;$FD151,Règles_chevaux_trait[Ration]&amp;Règles_chevaux_trait[Aliment],0))="s1",IF($FD151=Spécificité1ChevauxTrait,1)),
AND(INDEX(Règles_chevaux_trait[Specificite],MATCH(RationHivernaleAuPréChevauxTrait&amp;$FD151,Règles_chevaux_trait[Ration]&amp;Règles_chevaux_trait[Aliment],0))="s2",IF($FD151=Spécificité2ChevauxTrait,1)),
INDEX(Règles_chevaux_trait[Specificite],MATCH(RationHivernaleAuPréChevauxTrait&amp;$FD151,Règles_chevaux_trait[Ration]&amp;Règles_chevaux_trait[Aliment],0))="c"),
INDEX(Règles_chevaux_trait[Valeur 36 et plus],MATCH(RationHivernaleAuPréChevauxTrait&amp;$FD151,Règles_chevaux_trait[Ration]&amp;Règles_chevaux_trait[Aliment],0)),0),0)*SUM(TotalChevauxTraitAdultes)*21)</f>
        <v>0</v>
      </c>
      <c r="FF151" s="458">
        <f t="array" ref="FF151">IF(OR(ChoixRationHivernaleComplèteChevauxTrait=OUI,ChoixRationHivernaleComplèteChevauxTrait="",ChoixChevauxTraitPréHiver=NON),0,IFERROR(IF(OR(AND(INDEX(Règles_chevaux_trait[Specificite],MATCH(RationHivernaleAuPréChevauxTrait&amp;$FD151,Règles_chevaux_trait[Ration]&amp;Règles_chevaux_trait[Aliment],0))="s1",IF($FD151=Spécificité1ChevauxTrait,1)),
AND(INDEX(Règles_chevaux_trait[Specificite],MATCH(RationHivernaleAuPréChevauxTrait&amp;$FD151,Règles_chevaux_trait[Ration]&amp;Règles_chevaux_trait[Aliment],0))="s2",IF($FD151=Spécificité2ChevauxTrait,1)),
INDEX(Règles_chevaux_trait[Specificite],MATCH(RationHivernaleAuPréChevauxTrait&amp;$FD151,Règles_chevaux_trait[Ration]&amp;Règles_chevaux_trait[Aliment],0))="c"),
INDEX(Règles_chevaux_trait[Valeur 24-36],MATCH(RationHivernaleAuPréChevauxTrait&amp;$FD151,Règles_chevaux_trait[Ration]&amp;Règles_chevaux_trait[Aliment],0)),0),0)*SUM(TotalChevauxTrait_24_36mois)*21)</f>
        <v>0</v>
      </c>
      <c r="FG151" s="458">
        <f t="array" ref="FG151">IF(OR(ChoixRationHivernaleComplèteChevauxTrait=OUI,ChoixRationHivernaleComplèteChevauxTrait="",ChoixChevauxTraitPréHiver=NON),0,IFERROR(IF(OR(AND(INDEX(Règles_chevaux_trait[Specificite],MATCH(RationHivernaleAuPréChevauxTrait&amp;$FD151,Règles_chevaux_trait[Ration]&amp;Règles_chevaux_trait[Aliment],0))="s1",IF($FD151=Spécificité1ChevauxTrait,1)),
AND(INDEX(Règles_chevaux_trait[Specificite],MATCH(RationHivernaleAuPréChevauxTrait&amp;$FD151,Règles_chevaux_trait[Ration]&amp;Règles_chevaux_trait[Aliment],0))="s2",IF($FD151=Spécificité2ChevauxTrait,1)),
INDEX(Règles_chevaux_trait[Specificite],MATCH(RationHivernaleAuPréChevauxTrait&amp;$FD151,Règles_chevaux_trait[Ration]&amp;Règles_chevaux_trait[Aliment],0))="c"),
INDEX(Règles_chevaux_trait[Valeur 12-24],MATCH(RationHivernaleAuPréChevauxTrait&amp;$FD151,Règles_chevaux_trait[Ration]&amp;Règles_chevaux_trait[Aliment],0)),0),0)*SUM(TotalChevauxTrait_12_24mois)*21)</f>
        <v>0</v>
      </c>
      <c r="FH151" s="460">
        <f t="array" ref="FH151">IF(OR(ChoixRationHivernaleComplèteChevauxTrait=OUI,ChoixRationHivernaleComplèteChevauxTrait="",ChoixChevauxTraitPréHiver=NON),0,IFERROR(IF(OR(AND(INDEX(Règles_chevaux_trait[Specificite],MATCH(RationHivernaleAuPréChevauxTrait&amp;$FD151,Règles_chevaux_trait[Ration]&amp;Règles_chevaux_trait[Aliment],0))="s1",IF($FD151=Spécificité1ChevauxTrait,1)),
AND(INDEX(Règles_chevaux_trait[Specificite],MATCH(RationHivernaleAuPréChevauxTrait&amp;$FD151,Règles_chevaux_trait[Ration]&amp;Règles_chevaux_trait[Aliment],0))="s2",IF($FD151=Spécificité2ChevauxTrait,1)),
INDEX(Règles_chevaux_trait[Specificite],MATCH(RationHivernaleAuPréChevauxTrait&amp;$FD151,Règles_chevaux_trait[Ration]&amp;Règles_chevaux_trait[Aliment],0))="c"),
INDEX(Règles_chevaux_trait[Valeur 0-12],MATCH(RationHivernaleAuPréChevauxTrait&amp;$FD151,Règles_chevaux_trait[Ration]&amp;Règles_chevaux_trait[Aliment],0)),0),0)*SUM(TotalPoulainsTrait)*21)</f>
        <v>0</v>
      </c>
      <c r="FI151" s="460">
        <f t="shared" si="47"/>
        <v>0</v>
      </c>
      <c r="FN151" s="457" t="str">
        <f t="shared" si="48"/>
        <v>Ensilage d'herbe</v>
      </c>
      <c r="FO151" s="458">
        <f t="array" ref="FO151">IF(OR(ChoixRationHivernaleComplètePoneys=OUI,ChoixRationHivernaleComplètePoneys="",ChoixPoneysPréHiver=NON),0,IFERROR(IF(OR(AND(INDEX(Règles_poneys[Specificite],MATCH(RationHivernaleAuPréPoneys&amp;$FN151,Règles_poneys[Ration]&amp;Règles_poneys[Aliment],0))="s1",IF($FN151=Spécificité1Poneys,1)),
AND(INDEX(Règles_poneys[Specificite],MATCH(RationHivernaleAuPréPoneys&amp;$FN151,Règles_poneys[Ration]&amp;Règles_poneys[Aliment],0))="s2",IF($FN151=Spécificité2Poneys,1)),
INDEX(Règles_poneys[Specificite],MATCH(RationHivernaleAuPréPoneys&amp;$FN151,Règles_poneys[Ration]&amp;Règles_poneys[Aliment],0))="c"),
INDEX(Règles_poneys[Valeur 36 et plus],MATCH(RationHivernaleAuPréPoneys&amp;$FN151,Règles_poneys[Ration]&amp;Règles_poneys[Aliment],0)),0),0)*SUM(TotalPoneysAdultes)*21)</f>
        <v>0</v>
      </c>
      <c r="FP151" s="458">
        <f t="array" ref="FP151">IF(OR(ChoixRationHivernaleComplètePoneys=OUI,ChoixRationHivernaleComplètePoneys="",ChoixPoneysPréHiver=NON),0,IFERROR(IF(OR(AND(INDEX(Règles_poneys[Specificite],MATCH(RationHivernaleAuPréPoneys&amp;$FN151,Règles_poneys[Ration]&amp;Règles_poneys[Aliment],0))="s1",IF($FN151=Spécificité1Poneys,1)),
AND(INDEX(Règles_poneys[Specificite],MATCH(RationHivernaleAuPréPoneys&amp;$FN151,Règles_poneys[Ration]&amp;Règles_poneys[Aliment],0))="s2",IF($FN151=Spécificité2Poneys,1)),
INDEX(Règles_poneys[Specificite],MATCH(RationHivernaleAuPréPoneys&amp;$FN151,Règles_poneys[Ration]&amp;Règles_poneys[Aliment],0))="c"),
INDEX(Règles_poneys[Valeur 24-36],MATCH(RationHivernaleAuPréPoneys&amp;$FN151,Règles_poneys[Ration]&amp;Règles_poneys[Aliment],0)),0),0)*SUM(TotalPoneys_24_36mois)*21)</f>
        <v>0</v>
      </c>
      <c r="FQ151" s="458">
        <f t="array" ref="FQ151">IF(OR(ChoixRationHivernaleComplètePoneys=OUI,ChoixRationHivernaleComplètePoneys="",ChoixPoneysPréHiver=NON),0,IFERROR(IF(OR(AND(INDEX(Règles_poneys[Specificite],MATCH(RationHivernaleAuPréPoneys&amp;$FN151,Règles_poneys[Ration]&amp;Règles_poneys[Aliment],0))="s1",IF($FN151=Spécificité1Poneys,1)),
AND(INDEX(Règles_poneys[Specificite],MATCH(RationHivernaleAuPréPoneys&amp;$FN151,Règles_poneys[Ration]&amp;Règles_poneys[Aliment],0))="s2",IF($FN151=Spécificité2Poneys,1)),
INDEX(Règles_poneys[Specificite],MATCH(RationHivernaleAuPréPoneys&amp;$FN151,Règles_poneys[Ration]&amp;Règles_poneys[Aliment],0))="c"),
INDEX(Règles_poneys[Valeur 12-24],MATCH(RationHivernaleAuPréPoneys&amp;$FN151,Règles_poneys[Ration]&amp;Règles_poneys[Aliment],0)),0),0)*SUM(TotalPoneys_12_24mois)*21)</f>
        <v>0</v>
      </c>
      <c r="FR151" s="460">
        <f t="array" ref="FR151">IF(OR(ChoixRationHivernaleComplètePoneys=OUI,ChoixRationHivernaleComplètePoneys="",ChoixPoneysPréHiver=NON),0,IFERROR(IF(OR(AND(INDEX(Règles_poneys[Specificite],MATCH(RationHivernaleAuPréPoneys&amp;$FN151,Règles_poneys[Ration]&amp;Règles_poneys[Aliment],0))="s1",IF($FN151=Spécificité1Poneys,1)),
AND(INDEX(Règles_poneys[Specificite],MATCH(RationHivernaleAuPréPoneys&amp;$FN151,Règles_poneys[Ration]&amp;Règles_poneys[Aliment],0))="s2",IF($FN151=Spécificité2Poneys,1)),
INDEX(Règles_poneys[Specificite],MATCH(RationHivernaleAuPréPoneys&amp;$FN151,Règles_poneys[Ration]&amp;Règles_poneys[Aliment],0))="c"),
INDEX(Règles_poneys[Valeur 0-12],MATCH(RationHivernaleAuPréPoneys&amp;$FN151,Règles_poneys[Ration]&amp;Règles_poneys[Aliment],0)),0),0)*SUM(TotalPoulainsPoneys)*21)</f>
        <v>0</v>
      </c>
      <c r="FS151" s="460">
        <f t="shared" si="46"/>
        <v>0</v>
      </c>
      <c r="FW151" s="457" t="str">
        <f t="shared" si="44"/>
        <v>Haricot vert</v>
      </c>
      <c r="FX151" s="458">
        <f t="array" ref="FX151">SUM((IF(QualitéAlimentsGavageOison_0_1_mois=BONNE,VLOOKUP("Haricot vert",AlimentsGavageOie,5,FALSE),0)+(IF(QualitéAlimentsGavageCaneton_0_1_mois=BONNE,VLOOKUP("Haricot vert",AlimentsGavageCanard,5,FALSE),0)+(IF(QualitéAlimentsGavageOison_1_2_mois=BONNE,VLOOKUP("Haricot vert",AlimentsGavageOie,4,FALSE),0)+(IF(QualitéAlimentsGavageCaneton_1_2_mois=BONNE,VLOOKUP("Haricot vert",AlimentsGavageCanard,4,FALSE),0)+(IF(QualitéAlimentsGavageOison_2_3_mois=BONNE,VLOOKUP("Haricot vert",AlimentsGavageOie,3,FALSE),0)+(IF(QualitéAlimentsGavageCaneton_2_3_mois=BONNE,VLOOKUP("Haricot vert",AlimentsGavageCanard,3,FALSE),0)+(IF(QualitéAlimentsGavageJeunesOies=BONNE,VLOOKUP("Haricot vert",AlimentsGavageOie,2,FALSE),0)+(IF(QualitéAlimentsGavageJeuneCanard=BONNE,VLOOKUP("Haricot vert",AlimentsGavageCanard,2,FALSE),0))))))))))</f>
        <v>0</v>
      </c>
      <c r="FY151" s="458">
        <f t="array" ref="FY151">SUM((IF(QualitéAlimentsGavageOison_0_1_mois=MOYENNE,VLOOKUP("Haricot vert",AlimentsGavageOie,5,FALSE),0)+(IF(QualitéAlimentsGavageCaneton_0_1_mois=MOYENNE,VLOOKUP("Haricot vert",AlimentsGavageCanard,5,FALSE),0)+(IF(QualitéAlimentsGavageOison_1_2_mois=MOYENNE,VLOOKUP("Haricot vert",AlimentsGavageOie,4,FALSE),0)+(IF(QualitéAlimentsGavageCaneton_1_2_mois=MOYENNE,VLOOKUP("Haricot vert",AlimentsGavageCanard,4,FALSE),0)+(IF(QualitéAlimentsGavageOison_2_3_mois=MOYENNE,VLOOKUP("Haricot vert",AlimentsGavageOie,3,FALSE),0)+(IF(QualitéAlimentsGavageCaneton_2_3_mois=MOYENNE,VLOOKUP("Haricot vert",AlimentsGavageCanard,3,FALSE),0)+(IF(QualitéAlimentsGavageJeunesOies=MOYENNE,VLOOKUP("Haricot vert",AlimentsGavageOie,2,FALSE),0)+(IF(QualitéAlimentsGavageJeuneCanard=MOYENNE,VLOOKUP("Haricot vert",AlimentsGavageCanard,2,FALSE),0))))))))))</f>
        <v>0</v>
      </c>
      <c r="FZ151" s="458">
        <f t="array" ref="FZ151">SUM((IF(QualitéAlimentsGavageOison_0_1_mois=MAUVAISE,VLOOKUP("Haricot vert",AlimentsGavageOie,5,FALSE),0)+(IF(QualitéAlimentsGavageCaneton_0_1_mois=MAUVAISE,VLOOKUP("Haricot vert",AlimentsGavageCanard,5,FALSE),0)+(IF(QualitéAlimentsGavageOison_1_2_mois=MAUVAISE,VLOOKUP("Haricot vert",AlimentsGavageOie,4,FALSE),0)+(IF(QualitéAlimentsGavageCaneton_1_2_mois=MAUVAISE,VLOOKUP("Haricot vert",AlimentsGavageCanard,4,FALSE),0)+(IF(QualitéAlimentsGavageOison_2_3_mois=MAUVAISE,VLOOKUP("Haricot vert",AlimentsGavageOie,3,FALSE),0)+(IF(QualitéAlimentsGavageCaneton_2_3_mois=MAUVAISE,VLOOKUP("Haricot vert",AlimentsGavageCanard,3,FALSE),0)+(IF(QualitéAlimentsGavageJeunesOies=MAUVAISE,VLOOKUP("Haricot vert",AlimentsGavageOie,2,FALSE),0)+(IF(QualitéAlimentsGavageJeuneCanard=MAUVAISE,VLOOKUP("Haricot vert",AlimentsGavageCanard,2,FALSE),0))))))))))</f>
        <v>0</v>
      </c>
      <c r="GB151" s="281"/>
      <c r="GG151" s="276" t="s">
        <v>955</v>
      </c>
      <c r="GH151" s="276" t="s">
        <v>955</v>
      </c>
      <c r="GI151" s="276" t="s">
        <v>955</v>
      </c>
      <c r="GJ151" s="276" t="s">
        <v>955</v>
      </c>
      <c r="GK151" s="276" t="s">
        <v>955</v>
      </c>
      <c r="GL151" s="276" t="s">
        <v>955</v>
      </c>
      <c r="GM151" s="276" t="s">
        <v>955</v>
      </c>
      <c r="GN151" s="276" t="s">
        <v>955</v>
      </c>
      <c r="GO151" s="276" t="s">
        <v>955</v>
      </c>
      <c r="GP151" s="276" t="s">
        <v>955</v>
      </c>
      <c r="GQ151" s="276" t="s">
        <v>955</v>
      </c>
      <c r="GR151" s="276" t="s">
        <v>955</v>
      </c>
      <c r="GS151" s="276" t="s">
        <v>955</v>
      </c>
      <c r="GT151" s="276" t="s">
        <v>955</v>
      </c>
      <c r="GU151" s="276" t="s">
        <v>955</v>
      </c>
      <c r="GV151" s="276" t="s">
        <v>955</v>
      </c>
    </row>
    <row r="152" spans="1:204" ht="12.75" customHeight="1" x14ac:dyDescent="0.2">
      <c r="A152" s="373"/>
      <c r="B152" s="382"/>
      <c r="BB152" s="387" t="s">
        <v>516</v>
      </c>
      <c r="BC152" s="362" t="s">
        <v>220</v>
      </c>
      <c r="BD152" s="362" t="s">
        <v>887</v>
      </c>
      <c r="BE152" s="388">
        <v>7.2</v>
      </c>
      <c r="BF152" s="388">
        <v>6</v>
      </c>
      <c r="BG152" s="388">
        <v>4</v>
      </c>
      <c r="BH152" s="388">
        <v>2</v>
      </c>
      <c r="BI152" s="388">
        <v>1.2</v>
      </c>
      <c r="BJ152" s="388">
        <v>0.6</v>
      </c>
      <c r="BK152" s="389">
        <v>0</v>
      </c>
      <c r="BL152" s="312"/>
      <c r="BM152" s="350"/>
      <c r="BN152" s="351"/>
      <c r="BO152" s="351"/>
      <c r="BP152" s="351"/>
      <c r="BX152" s="350" t="str">
        <f t="shared" si="51"/>
        <v>concentré jeunes lapins</v>
      </c>
      <c r="BY152" s="350">
        <f t="array" ref="BY152">IF(ChoixRationComplèteCaprins=OUI,0,IFERROR(IF(OR(AND(INDEX(Règles_caprins[Specificite],MATCH(ChoixRationCaprins&amp;$BX152,Règles_caprins[Ration]&amp;Règles_caprins[Aliment],0))="s1",IF($BX152=Spécificité1Caprins,1)),
INDEX(Règles_caprins[Specificite],MATCH(ChoixRationCaprins&amp;$BX152,Règles_caprins[Ration]&amp;Règles_caprins[Aliment],0))="c"),
INDEX(Règles_caprins[Valeur 12 et plus],MATCH(ChoixRationCaprins&amp;$BX152,Règles_caprins[Ration]&amp;Règles_caprins[Aliment],0)),0),0)*TotalChèvres*NbreJoursNourrirCaprins)</f>
        <v>0</v>
      </c>
      <c r="BZ152" s="350">
        <f t="array" ref="BZ152">IF(ChoixRationComplèteCaprins=OUI,0,IFERROR(IF(OR(AND(INDEX(Règles_caprins[Specificite],MATCH(ChoixRationCaprins&amp;$BX152,Règles_caprins[Ration]&amp;Règles_caprins[Aliment],0))="s1",IF($BX152=Spécificité1Caprins,1)),
INDEX(Règles_caprins[Specificite],MATCH(ChoixRationCaprins&amp;$BX152,Règles_caprins[Ration]&amp;Règles_caprins[Aliment],0))="c"),
INDEX(Règles_caprins[Valeur 6-12],MATCH(ChoixRationCaprins&amp;$BX152,Règles_caprins[Ration]&amp;Règles_caprins[Aliment],0)),0),0)*jeune_chèvre_6_12_mois*NbreJoursNourrirCaprins)</f>
        <v>0</v>
      </c>
      <c r="CA152" s="350">
        <f t="array" ref="CA152">IF(ChoixRationComplèteCaprins=OUI,0,IFERROR(IF(OR(AND(INDEX(Règles_caprins[Specificite],MATCH(ChoixRationCaprins&amp;$BX152,Règles_caprins[Ration]&amp;Règles_caprins[Aliment],0))="s1",IF($BX152=Spécificité1Caprins,1)),
INDEX(Règles_caprins[Specificite],MATCH(ChoixRationCaprins&amp;$BX152,Règles_caprins[Ration]&amp;Règles_caprins[Aliment],0))="c"),
INDEX(Règles_caprins[Valeur 3-6],MATCH(ChoixRationCaprins&amp;$BX152,Règles_caprins[Ration]&amp;Règles_caprins[Aliment],0)),0),0)*chevrette_3_6_mois*NbreJoursNourrirCaprins)</f>
        <v>0</v>
      </c>
      <c r="CB152" s="350">
        <f t="array" ref="CB152">IF(ChoixRationComplèteCaprins=OUI,0,IFERROR(IF(OR(AND(INDEX(Règles_caprins[Specificite],MATCH(ChoixRationCaprins&amp;$BX152,Règles_caprins[Ration]&amp;Règles_caprins[Aliment],0))="s1",IF($BX152=Spécificité1Caprins,1)),
INDEX(Règles_caprins[Specificite],MATCH(ChoixRationCaprins&amp;$BX152,Règles_caprins[Ration]&amp;Règles_caprins[Aliment],0))="c"),
INDEX(Règles_caprins[Valeur 0-3],MATCH(ChoixRationCaprins&amp;$BX152,Règles_caprins[Ration]&amp;Règles_caprins[Aliment],0)),0),0)*chevrette_0_3_mois*NbreJoursNourrirCaprins)</f>
        <v>0</v>
      </c>
      <c r="CC152" s="350">
        <f t="shared" si="50"/>
        <v>0</v>
      </c>
      <c r="CH152" s="298"/>
      <c r="CI152" s="277"/>
      <c r="CJ152" s="350" t="str">
        <f t="shared" si="45"/>
        <v>Féverole</v>
      </c>
      <c r="CK152" s="351">
        <f t="array" ref="CK152">SUM((IF(QualitéAlimentsPorceletMâle_0_1_mois=BONNE,VLOOKUP("Féverole",AlimentsRationPorcinsMâles[],6,FALSE),0)+(IF(QualitéAlimentsPorceletFemelle_0_1_mois=BONNE,VLOOKUP("Féverole",AlimentsRationPorcinsFemelles[],6,FALSE),0)+(IF(QualitéAlimentsPorceletMâle_1_3_mois=BONNE,VLOOKUP("Féverole",AlimentsRationPorcinsMâles[],5,FALSE),0)+(IF(QualitéAlimentsPorceletFemelle_1_3_mois=BONNE,VLOOKUP("Féverole",AlimentsRationPorcinsFemelles[],5,FALSE),0)+(IF(QualitéAlimentsJeuneVerrat_3_6_mois=BONNE,VLOOKUP("Féverole",AlimentsRationPorcinsMâles[],4,FALSE),0)+(IF(QualitéAlimentsJeuneTruie_3_6_mois=BONNE,VLOOKUP("Féverole",AlimentsRationPorcinsFemelles[],4,FALSE),0)+(IF(QualitéAlimentsJeuneVerrat_6_12_mois=BONNE,VLOOKUP("Féverole",AlimentsRationPorcinsMâles[],3,FALSE),0)+(IF(QualitéAlimentsJeuneTruie_6_12_mois=BONNE,VLOOKUP("Féverole",AlimentsRationPorcinsFemelles[],3,FALSE),0)+(IF(QualitéAlimentsVerrat=BONNE,VLOOKUP("Avoine",AlimentsRationPorcinsMâles[],2,FALSE),0)+(IF(QualitéAlimentsTruie=BONNE,VLOOKUP("Avoine",AlimentsRationPorcinsFemelles[],2,FALSE),0))))))))))))</f>
        <v>0</v>
      </c>
      <c r="CL152" s="351">
        <f t="array" ref="CL152">SUM((IF(QualitéAlimentsPorceletMâle_0_1_mois=MOYENNE,VLOOKUP("Féverole",AlimentsRationPorcinsMâles[],6,FALSE),0)+(IF(QualitéAlimentsPorceletFemelle_0_1_mois=MOYENNE,VLOOKUP("Féverole",AlimentsRationPorcinsFemelles[],6,FALSE),0)+(IF(QualitéAlimentsPorceletMâle_1_3_mois=MOYENNE,VLOOKUP("Féverole",AlimentsRationPorcinsMâles[],5,FALSE),0)+(IF(QualitéAlimentsPorceletFemelle_1_3_mois=MOYENNE,VLOOKUP("Féverole",AlimentsRationPorcinsFemelles[],5,FALSE),0)+(IF(QualitéAlimentsJeuneVerrat_3_6_mois=MOYENNE,VLOOKUP("Féverole",AlimentsRationPorcinsMâles[],4,FALSE),0)+(IF(QualitéAlimentsJeuneTruie_3_6_mois=MOYENNE,VLOOKUP("Féverole",AlimentsRationPorcinsFemelles[],4,FALSE),0)+(IF(QualitéAlimentsJeuneVerrat_6_12_mois=MOYENNE,VLOOKUP("Féverole",AlimentsRationPorcinsMâles[],3,FALSE),0)+(IF(QualitéAlimentsJeuneTruie_6_12_mois=MOYENNE,VLOOKUP("Féverole",AlimentsRationPorcinsFemelles[],3,FALSE),0)+(IF(QualitéAlimentsVerrat=BONNE,VLOOKUP("Avoine",AlimentsRationPorcinsMâles[],2,FALSE),0)+(IF(QualitéAlimentsTruie=BONNE,VLOOKUP("Avoine",AlimentsRationPorcinsFemelles[],2,FALSE),0))))))))))))</f>
        <v>0</v>
      </c>
      <c r="CM152" s="351">
        <f t="array" ref="CM152">SUM((IF(QualitéAlimentsPorceletMâle_0_1_mois=MAUVAISE,VLOOKUP("Féverole",AlimentsRationPorcinsMâles[],6,FALSE),0)+(IF(QualitéAlimentsPorceletFemelle_0_1_mois=MAUVAISE,VLOOKUP("Féverole",AlimentsRationPorcinsFemelles[],6,FALSE),0)+(IF(QualitéAlimentsPorceletMâle_1_3_mois=MAUVAISE,VLOOKUP("Féverole",AlimentsRationPorcinsMâles[],5,FALSE),0)+(IF(QualitéAlimentsPorceletFemelle_1_3_mois=MAUVAISE,VLOOKUP("Féverole",AlimentsRationPorcinsFemelles[],5,FALSE),0)+(IF(QualitéAlimentsJeuneVerrat_3_6_mois=MAUVAISE,VLOOKUP("Féverole",AlimentsRationPorcinsMâles[],4,FALSE),0)+(IF(QualitéAlimentsJeuneTruie_3_6_mois=MAUVAISE,VLOOKUP("Féverole",AlimentsRationPorcinsFemelles[],4,FALSE),0)+(IF(QualitéAlimentsJeuneVerrat_6_12_mois=MAUVAISE,VLOOKUP("Féverole",AlimentsRationPorcinsMâles[],3,FALSE),0)+(IF(QualitéAlimentsJeuneTruie_6_12_mois=MAUVAISE,VLOOKUP("Féverole",AlimentsRationPorcinsFemelles[],3,FALSE),0)+(IF(QualitéAlimentsVerrat=BONNE,VLOOKUP("Avoine",AlimentsRationPorcinsMâles[],2,FALSE),0)+(IF(QualitéAlimentsTruie=BONNE,VLOOKUP("Avoine",AlimentsRationPorcinsFemelles[],2,FALSE),0))))))))))))</f>
        <v>0</v>
      </c>
      <c r="CN152" s="277"/>
      <c r="CO152" s="279"/>
      <c r="CP152" s="298"/>
      <c r="CZ152" s="229" t="s">
        <v>1195</v>
      </c>
      <c r="DA152" s="229"/>
      <c r="DB152" s="229"/>
      <c r="DC152" s="229"/>
      <c r="DD152" s="277"/>
      <c r="DG152" s="350" t="str">
        <f t="shared" si="52"/>
        <v>concentré jeunes lapins</v>
      </c>
      <c r="DH152" s="351">
        <f t="array" ref="DH152">SUM((IF(QualitéAlimentsPintadeauMâle_0_1_mois=BONNE,VLOOKUP("Concentré jeunes lapins",AlimentsRationPintadesMâles[],4,FALSE),0)+(IF(QualitéAlimentsPintadeauFemelle_0_1_mois=BONNE,VLOOKUP("Concentré jeunes lapins",AlimentsRationPintadesFemelles[],4,FALSE),0)+(IF(QualitéAlimentsJeunePintadeMâle=BONNE,VLOOKUP("Concentré jeunes lapins",AlimentsRationPintadesMâles[],3,FALSE),0)+(IF(QualitéAlimentsJeunePintadeFemelle=BONNE,VLOOKUP("Concentré jeunes lapins",AlimentsRationPintadesFemelles[],3,FALSE),0)+(IF(QualitéAlimentsPintadeMâle=BONNE,VLOOKUP("Concentré jeunes lapins",AlimentsRationPintadesMâles[],2,FALSE),0)+(IF(QualitéAlimentsPintadeFemelle=BONNE,VLOOKUP("Concentré jeunes lapins",AlimentsRationPintadesFemelles[],2,FALSE),0))))))))</f>
        <v>0</v>
      </c>
      <c r="DI152" s="351">
        <f t="array" ref="DI152">SUM((IF(QualitéAlimentsPintadeauMâle_0_1_mois=MOYENNE,VLOOKUP("Concentré jeunes lapins",AlimentsRationPintadesMâles[],4,FALSE),0)+(IF(QualitéAlimentsPintadeauFemelle_0_1_mois=MOYENNE,VLOOKUP("Concentré jeunes lapins",AlimentsRationPintadesFemelles[],4,FALSE),0)+(IF(QualitéAlimentsJeunePintadeMâle=MOYENNE,VLOOKUP("Concentré jeunes lapins",AlimentsRationPintadesMâles[],3,FALSE),0)+(IF(QualitéAlimentsJeunePintadeFemelle=MOYENNE,VLOOKUP("Concentré jeunes lapins",AlimentsRationPintadesFemelles[],3,FALSE),0)+(IF(QualitéAlimentsPintadeMâle=MOYENNE,VLOOKUP("Concentré jeunes lapins",AlimentsRationPintadesMâles[],2,FALSE),0)+(IF(QualitéAlimentsPintadeFemelle=MOYENNE,VLOOKUP("Concentré jeunes lapins",AlimentsRationPintadesFemelles[],2,FALSE),0))))))))</f>
        <v>0</v>
      </c>
      <c r="DJ152" s="351">
        <f t="array" ref="DJ152">SUM((IF(QualitéAlimentsPintadeauMâle_0_1_mois=MAUVAISE,VLOOKUP("Concentré jeunes lapins",AlimentsRationPintadesMâles[],4,FALSE),0)+(IF(QualitéAlimentsPintadeauFemelle_0_1_mois=MAUVAISE,VLOOKUP("Concentré jeunes lapins",AlimentsRationPintadesFemelles[],4,FALSE),0)+(IF(QualitéAlimentsJeunePintadeMâle=MAUVAISE,VLOOKUP("Concentré jeunes lapins",AlimentsRationPintadesMâles[],3,FALSE),0)+(IF(QualitéAlimentsJeunePintadeFemelle=MAUVAISE,VLOOKUP("Concentré jeunes lapins",AlimentsRationPintadesFemelles[],3,FALSE),0)+(IF(QualitéAlimentsPintadeMâle=MAUVAISE,VLOOKUP("Concentré jeunes lapins",AlimentsRationPintadesMâles[],2,FALSE),0)+(IF(QualitéAlimentsPintadeFemelle=MAUVAISE,VLOOKUP("Concentré jeunes lapins",AlimentsRationPintadesFemelles[],2,FALSE),0))))))))</f>
        <v>0</v>
      </c>
      <c r="DN152" s="350" t="s">
        <v>220</v>
      </c>
      <c r="DO152" s="351">
        <f t="array" ref="DO152">IF(ChoixRationComplèteOvins=OUI,0,IFERROR(IF(OR(AND(INDEX(Règles_ovins[Specificite],MATCH(ChoixRationOvins&amp;$DN152,Règles_ovins[Ration]&amp;Règles_ovins[Aliment],0))="s1",IF($DN152=Spécificité1Ovins,1)),
AND(INDEX(Règles_ovins[Specificite],MATCH(ChoixRationOvins&amp;$DN152,Règles_ovins[Ration]&amp;Règles_ovins[Aliment],0))="s2",IF($DN152=Spécificité2Ovins,1)),
INDEX(Règles_ovins[Specificite],MATCH(ChoixRationOvins&amp;$DN152,Règles_ovins[Ration]&amp;Règles_ovins[Aliment],0))="c"),
INDEX(Règles_ovins[Valeur 12 et plus],MATCH(ChoixRationOvins&amp;$DN152,Règles_ovins[Ration]&amp;Règles_ovins[Aliment],0)),0),0)*IF(ChoixOvinsPréHiver=OUI,SUM(TotalOvinsAdultesRacesLaitières)*NbreJoursNourrirOvins,TotalBéliers*NbreJoursNourrirOvins))</f>
        <v>0</v>
      </c>
      <c r="DP152" s="351">
        <f t="array" ref="DP152">IF(ChoixRationComplèteOvins=OUI,0,IFERROR(IF(OR(AND(INDEX(Règles_ovins[Specificite],MATCH(ChoixRationOvins&amp;$DN152,Règles_ovins[Ration]&amp;Règles_ovins[Aliment],0))="s1",IF($DN152=Spécificité1Ovins,1)),
AND(INDEX(Règles_ovins[Specificite],MATCH(ChoixRationOvins&amp;$DN152,Règles_ovins[Ration]&amp;Règles_ovins[Aliment],0))="s2",IF($DN152=Spécificité2Ovins,1)),
INDEX(Règles_ovins[Specificite],MATCH(ChoixRationOvins&amp;$DN152,Règles_ovins[Ration]&amp;Règles_ovins[Aliment],0))="c"),
INDEX(Règles_ovins[Valeur 6-12],MATCH(ChoixRationOvins&amp;$DN152,Règles_ovins[Ration]&amp;Règles_ovins[Aliment],0)),0),0)*IF(ChoixOvinsPréHiver=OUI,SUM(TotalJeunesOvinsRacesLaitières)*NbreJoursNourrirOvins,TotalJeune_bélier_6_12_mois*NbreJoursNourrirOvins))</f>
        <v>0</v>
      </c>
      <c r="DQ152" s="351">
        <f t="array" ref="DQ152">IF(ChoixRationComplèteOvins=OUI,0,IFERROR(IF(OR(AND(INDEX(Règles_ovins[Specificite],MATCH(ChoixRationOvins&amp;$DN152,Règles_ovins[Ration]&amp;Règles_ovins[Aliment],0))="s1",IF($DN152=Spécificité1Ovins,1)),
AND(INDEX(Règles_ovins[Specificite],MATCH(ChoixRationOvins&amp;$DN152,Règles_ovins[Ration]&amp;Règles_ovins[Aliment],0))="s2",IF($DN152=Spécificité2Ovins,1)),
INDEX(Règles_ovins[Specificite],MATCH(ChoixRationOvins&amp;$DN152,Règles_ovins[Ration]&amp;Règles_ovins[Aliment],0))="c"),
INDEX(Règles_ovins[Valeur 3-6],MATCH(ChoixRationOvins&amp;$DN152,Règles_ovins[Ration]&amp;Règles_ovins[Aliment],0)),0),0)*IF(ChoixOvinsPréHiver=OUI,SUM(TotalOvins_3_6moisRacesLaitières)*NbreJoursNourrirOvins,TotalAgneau_3_6_mois*NbreJoursNourrirOvins))</f>
        <v>0</v>
      </c>
      <c r="DR152" s="351">
        <f t="array" ref="DR152">IF(ChoixRationComplèteOvins=OUI,0,IFERROR(IF(OR(AND(INDEX(Règles_ovins[Specificite],MATCH(ChoixRationOvins&amp;$DN152,Règles_ovins[Ration]&amp;Règles_ovins[Aliment],0))="s1",IF($DN152=Spécificité1Ovins,1)),
AND(INDEX(Règles_ovins[Specificite],MATCH(ChoixRationOvins&amp;$DN152,Règles_ovins[Ration]&amp;Règles_ovins[Aliment],0))="s2",IF($DN152=Spécificité2Ovins,1)),
INDEX(Règles_ovins[Specificite],MATCH(ChoixRationOvins&amp;$DN152,Règles_ovins[Ration]&amp;Règles_ovins[Aliment],0))="c"),
INDEX(Règles_ovins[Valeur 0-3],MATCH(ChoixRationOvins&amp;$DN152,Règles_ovins[Ration]&amp;Règles_ovins[Aliment],0)),0),0)*IF(ChoixOvinsPréHiver=OUI,SUM(TotalOvins_3_6moisRacesLaitières)*NbreJoursNourrirOvins,TotalAgneau_0_3_mois*NbreJoursNourrirOvins))</f>
        <v>0</v>
      </c>
      <c r="DS152" s="441">
        <f t="shared" si="55"/>
        <v>0</v>
      </c>
      <c r="EG152" s="350" t="str">
        <f t="shared" si="57"/>
        <v>Blé</v>
      </c>
      <c r="EH152" s="351">
        <f t="array" ref="EH152">SUM((IF(QualitéAlimentsOisonMâle_0_3_mois=BONNE,VLOOKUP("Blé",AlimentsRationOiesMâles[],4,FALSE),0)+(IF(QualitéAlimentsOisonFemelle_0_3_mois=BONNE,VLOOKUP("Blé",AlimentsRationOiesFemelles[],4,FALSE),0)+(IF(QualitéAlimentsJeuneJars=BONNE,VLOOKUP("Blé",AlimentsRationOiesMâles[],3,FALSE),0)+(IF(QualitéAlimentsJeuneOie=BONNE,VLOOKUP("Blé",AlimentsRationOiesFemelles[],3,FALSE),0)+(IF(QualitéAlimentsJars=BONNE,VLOOKUP("Blé",AlimentsRationOiesMâles[],2,FALSE),0)+(IF(QualitéAlimentsOie=BONNE,VLOOKUP("Blé",AlimentsRationOiesFemelles[],2,FALSE),0))))))))</f>
        <v>0</v>
      </c>
      <c r="EI152" s="351">
        <f t="array" ref="EI152">SUM((IF(QualitéAlimentsOisonMâle_0_3_mois=MOYENNE,VLOOKUP("Blé",AlimentsRationOiesMâles[],4,FALSE),0)+(IF(QualitéAlimentsOisonFemelle_0_3_mois=MOYENNE,VLOOKUP("Blé",AlimentsRationOiesFemelles[],4,FALSE),0)+(IF(QualitéAlimentsJeuneJars=MOYENNE,VLOOKUP("Blé",AlimentsRationOiesMâles[],3,FALSE),0)+(IF(QualitéAlimentsJeuneOie=MOYENNE,VLOOKUP("Blé",AlimentsRationOiesFemelles[],3,FALSE),0)+(IF(QualitéAlimentsJars=MOYENNE,VLOOKUP("Blé",AlimentsRationOiesMâles[],2,FALSE),0)+(IF(QualitéAlimentsOie=MOYENNE,VLOOKUP("Blé",AlimentsRationOiesFemelles[],2,FALSE),0))))))))</f>
        <v>0</v>
      </c>
      <c r="EJ152" s="351">
        <f t="array" ref="EJ152">SUM((IF(QualitéAlimentsOisonMâle_0_3_mois=MAUVAISE,VLOOKUP("Blé",AlimentsRationOiesMâles[],4,FALSE),0)+(IF(QualitéAlimentsOisonFemelle_0_3_mois=MAUVAISE,VLOOKUP("Blé",AlimentsRationOiesFemelles[],4,FALSE),0)+(IF(QualitéAlimentsJeuneJars=MAUVAISE,VLOOKUP("Blé",AlimentsRationOiesMâles[],3,FALSE),0)+(IF(QualitéAlimentsJeuneOie=MAUVAISE,VLOOKUP("Blé",AlimentsRationOiesFemelles[],3,FALSE),0)+(IF(QualitéAlimentsJars=MAUVAISE,VLOOKUP("Blé",AlimentsRationOiesMâles[],2,FALSE),0)+(IF(QualitéAlimentsOie=MAUVAISE,VLOOKUP("Blé",AlimentsRationOiesFemelles[],2,FALSE),0))))))))</f>
        <v>0</v>
      </c>
      <c r="EN152" s="457" t="str">
        <f t="shared" si="56"/>
        <v>Bouchons luzerne</v>
      </c>
      <c r="EO152" s="458">
        <f t="array" ref="EO152">SUM((IF(QualitéAlimentsCanetonMâle=BONNE,VLOOKUP("Bouchons luzerne",AlimentsRationCanardsMâles,4,FALSE),0)+(IF(QualitéAlimentsCanetonFemelle=BONNE,VLOOKUP("Bouchons luzerne",AlimentsRationCanardsFemelles,4,FALSE),0)+(IF(QualitéAlimentsJeuneCanard=BONNE,VLOOKUP("Bouchons luzerne",AlimentsRationCanardsMâles,3,FALSE),0)+(IF(QualitéAlimentsJeuneCane=BONNE,VLOOKUP("Bouchons luzerne",AlimentsRationCanardsFemelles,3,FALSE),0)+(IF(QualitéAlimentsCanard=BONNE,VLOOKUP("Bouchons luzerne",AlimentsRationCanardsMâles,2,FALSE),0)+(IF(QualitéAlimentsCane=BONNE,VLOOKUP("Bouchons luzerne",AlimentsRationCanardsFemelles,2,FALSE),0))))))))</f>
        <v>0</v>
      </c>
      <c r="EP152" s="458">
        <f t="array" ref="EP152">SUM((IF(QualitéAlimentsCanetonMâle=MOYENNE,VLOOKUP("Bouchons luzerne",AlimentsRationCanardsMâles,4,FALSE),0)+(IF(QualitéAlimentsCanetonFemelle=MOYENNE,VLOOKUP("Bouchons luzerne",AlimentsRationCanardsFemelles,4,FALSE),0)+(IF(QualitéAlimentsJeuneCanard=MOYENNE,VLOOKUP("Bouchons luzerne",AlimentsRationCanardsMâles,3,FALSE),0)+(IF(QualitéAlimentsJeuneCane=MOYENNE,VLOOKUP("Bouchons luzerne",AlimentsRationCanardsFemelles,3,FALSE),0)+(IF(QualitéAlimentsCanard=MOYENNE,VLOOKUP("Bouchons luzerne",AlimentsRationCanardsMâles,2,FALSE),0)+(IF(QualitéAlimentsCane=MOYENNE,VLOOKUP("Bouchons luzerne",AlimentsRationCanardsFemelles,2,FALSE),0))))))))</f>
        <v>0</v>
      </c>
      <c r="EQ152" s="458">
        <f t="array" ref="EQ152">SUM((IF(QualitéAlimentsCanetonMâle=MAUVAISE,VLOOKUP("Bouchons luzerne",AlimentsRationCanardsMâles,4,FALSE),0)+(IF(QualitéAlimentsCanetonFemelle=MAUVAISE,VLOOKUP("Bouchons luzerne",AlimentsRationCanardsFemelles,4,FALSE),0)+(IF(QualitéAlimentsJeuneCanard=MAUVAISE,VLOOKUP("Bouchons luzerne",AlimentsRationCanardsMâles,3,FALSE),0)+(IF(QualitéAlimentsJeuneCane=MAUVAISE,VLOOKUP("Bouchons luzerne",AlimentsRationCanardsFemelles,3,FALSE),0)+(IF(QualitéAlimentsCanard=MAUVAISE,VLOOKUP("Bouchons luzerne",AlimentsRationCanardsMâles,2,FALSE),0)+(IF(QualitéAlimentsCane=MAUVAISE,VLOOKUP("Bouchons luzerne",AlimentsRationCanardsFemelles,2,FALSE),0))))))))</f>
        <v>0</v>
      </c>
      <c r="EU152" s="457" t="str">
        <f t="shared" si="54"/>
        <v>Chanvre</v>
      </c>
      <c r="EV152" s="458">
        <f t="array" ref="EV152">IF(OR(ChoixRationHivernaleComplèteChevauxSelle=OUI,ChoixRationHivernaleComplèteChevauxSelle="",ChoixChevauxSellePréHiver=NON),0,IFERROR(IF(OR(AND(INDEX(Règles_chevaux_selle[Specificite],MATCH(RationHivernaleAuPréChevauxSelle&amp;$EU152,Règles_chevaux_selle[Ration]&amp;Règles_chevaux_selle[Aliment],0))="s1",IF($EU152=Spécificité1ChevauxSelle,1)),
AND(INDEX(Règles_chevaux_selle[Specificite],MATCH(RationHivernaleAuPréChevauxSelle&amp;$EU152,Règles_chevaux_selle[Ration]&amp;Règles_chevaux_selle[Aliment],0))="s2",IF($EU152=Spécificité2ChevauxSelle,1)),
INDEX(Règles_chevaux_selle[Specificite],MATCH(RationHivernaleAuPréChevauxSelle&amp;$EU152,Règles_chevaux_selle[Ration]&amp;Règles_chevaux_selle[Aliment],0))="c"),
INDEX(Règles_chevaux_selle[Valeur 36 et plus],MATCH(RationHivernaleAuPréChevauxSelle&amp;$EU152,Règles_chevaux_selle[Ration]&amp;Règles_chevaux_selle[Aliment],0)),0),0)*SUM(TotalChevauxSelleAdultes)*21)</f>
        <v>0</v>
      </c>
      <c r="EW152" s="458">
        <f t="array" ref="EW152">IF(OR(ChoixRationHivernaleComplèteChevauxSelle=OUI,ChoixRationHivernaleComplèteChevauxSelle="",ChoixChevauxSellePréHiver=NON),0,IFERROR(IF(OR(AND(INDEX(Règles_chevaux_selle[Specificite],MATCH(RationHivernaleAuPréChevauxSelle&amp;$EU152,Règles_chevaux_selle[Ration]&amp;Règles_chevaux_selle[Aliment],0))="s1",IF($EU152=Spécificité1ChevauxSelle,1)),
AND(INDEX(Règles_chevaux_selle[Specificite],MATCH(RationHivernaleAuPréChevauxSelle&amp;$EU152,Règles_chevaux_selle[Ration]&amp;Règles_chevaux_selle[Aliment],0))="s2",IF($EU152=Spécificité2ChevauxSelle,1)),
INDEX(Règles_chevaux_selle[Specificite],MATCH(RationHivernaleAuPréChevauxSelle&amp;$EU152,Règles_chevaux_selle[Ration]&amp;Règles_chevaux_selle[Aliment],0))="c"),
INDEX(Règles_chevaux_selle[Valeur 24-36],MATCH(RationHivernaleAuPréChevauxSelle&amp;$EU152,Règles_chevaux_selle[Ration]&amp;Règles_chevaux_selle[Aliment],0)),0),0)*SUM(TotalChevauxSelle_24_36mois)*21)</f>
        <v>0</v>
      </c>
      <c r="EX152" s="458">
        <f t="array" ref="EX152">IF(OR(ChoixRationHivernaleComplèteChevauxSelle=OUI,ChoixRationHivernaleComplèteChevauxSelle="",ChoixChevauxSellePréHiver=NON),0,IFERROR(IF(OR(AND(INDEX(Règles_chevaux_selle[Specificite],MATCH(RationHivernaleAuPréChevauxSelle&amp;$EU152,Règles_chevaux_selle[Ration]&amp;Règles_chevaux_selle[Aliment],0))="s1",IF($EU152=Spécificité1ChevauxSelle,1)),
AND(INDEX(Règles_chevaux_selle[Specificite],MATCH(RationHivernaleAuPréChevauxSelle&amp;$EU152,Règles_chevaux_selle[Ration]&amp;Règles_chevaux_selle[Aliment],0))="s2",IF($EU152=Spécificité2ChevauxSelle,1)),
INDEX(Règles_chevaux_selle[Specificite],MATCH(RationHivernaleAuPréChevauxSelle&amp;$EU152,Règles_chevaux_selle[Ration]&amp;Règles_chevaux_selle[Aliment],0))="c"),
INDEX(Règles_chevaux_selle[Valeur 12-24],MATCH(RationHivernaleAuPréChevauxSelle&amp;$EU152,Règles_chevaux_selle[Ration]&amp;Règles_chevaux_selle[Aliment],0)),0),0)*SUM(TotalChevauxSelle_12_24mois)*21)</f>
        <v>0</v>
      </c>
      <c r="EY152" s="460">
        <f t="array" ref="EY152">IF(OR(ChoixRationHivernaleComplèteChevauxSelle=OUI,ChoixRationHivernaleComplèteChevauxSelle="",ChoixChevauxSellePréHiver=NON),0,IFERROR(IF(OR(AND(INDEX(Règles_chevaux_selle[Specificite],MATCH(RationHivernaleAuPréChevauxSelle&amp;$EU152,Règles_chevaux_selle[Ration]&amp;Règles_chevaux_selle[Aliment],0))="s1",IF($EU152=Spécificité1ChevauxSelle,1)),
AND(INDEX(Règles_chevaux_selle[Specificite],MATCH(RationHivernaleAuPréChevauxSelle&amp;$EU152,Règles_chevaux_selle[Ration]&amp;Règles_chevaux_selle[Aliment],0))="s2",IF($EU152=Spécificité2ChevauxSelle,1)),
INDEX(Règles_chevaux_selle[Specificite],MATCH(RationHivernaleAuPréChevauxSelle&amp;$EU152,Règles_chevaux_selle[Ration]&amp;Règles_chevaux_selle[Aliment],0))="c"),
INDEX(Règles_chevaux_selle[Valeur 0-12],MATCH(RationHivernaleAuPréChevauxSelle&amp;$EU152,Règles_chevaux_selle[Ration]&amp;Règles_chevaux_selle[Aliment],0)),0),0)*SUM(TotalPoulainsSelle)*21)</f>
        <v>0</v>
      </c>
      <c r="EZ152" s="460">
        <f t="shared" si="53"/>
        <v>0</v>
      </c>
      <c r="FD152" s="457" t="str">
        <f t="shared" si="49"/>
        <v>Ensilage d'herbe</v>
      </c>
      <c r="FE152" s="458">
        <f t="array" ref="FE152">IF(OR(ChoixRationHivernaleComplèteChevauxTrait=OUI,ChoixRationHivernaleComplèteChevauxTrait="",ChoixChevauxTraitPréHiver=NON),0,IFERROR(IF(OR(AND(INDEX(Règles_chevaux_trait[Specificite],MATCH(RationHivernaleAuPréChevauxTrait&amp;$FD152,Règles_chevaux_trait[Ration]&amp;Règles_chevaux_trait[Aliment],0))="s1",IF($FD152=Spécificité1ChevauxTrait,1)),
AND(INDEX(Règles_chevaux_trait[Specificite],MATCH(RationHivernaleAuPréChevauxTrait&amp;$FD152,Règles_chevaux_trait[Ration]&amp;Règles_chevaux_trait[Aliment],0))="s2",IF($FD152=Spécificité2ChevauxTrait,1)),
INDEX(Règles_chevaux_trait[Specificite],MATCH(RationHivernaleAuPréChevauxTrait&amp;$FD152,Règles_chevaux_trait[Ration]&amp;Règles_chevaux_trait[Aliment],0))="c"),
INDEX(Règles_chevaux_trait[Valeur 36 et plus],MATCH(RationHivernaleAuPréChevauxTrait&amp;$FD152,Règles_chevaux_trait[Ration]&amp;Règles_chevaux_trait[Aliment],0)),0),0)*SUM(TotalChevauxTraitAdultes)*21)</f>
        <v>0</v>
      </c>
      <c r="FF152" s="458">
        <f t="array" ref="FF152">IF(OR(ChoixRationHivernaleComplèteChevauxTrait=OUI,ChoixRationHivernaleComplèteChevauxTrait="",ChoixChevauxTraitPréHiver=NON),0,IFERROR(IF(OR(AND(INDEX(Règles_chevaux_trait[Specificite],MATCH(RationHivernaleAuPréChevauxTrait&amp;$FD152,Règles_chevaux_trait[Ration]&amp;Règles_chevaux_trait[Aliment],0))="s1",IF($FD152=Spécificité1ChevauxTrait,1)),
AND(INDEX(Règles_chevaux_trait[Specificite],MATCH(RationHivernaleAuPréChevauxTrait&amp;$FD152,Règles_chevaux_trait[Ration]&amp;Règles_chevaux_trait[Aliment],0))="s2",IF($FD152=Spécificité2ChevauxTrait,1)),
INDEX(Règles_chevaux_trait[Specificite],MATCH(RationHivernaleAuPréChevauxTrait&amp;$FD152,Règles_chevaux_trait[Ration]&amp;Règles_chevaux_trait[Aliment],0))="c"),
INDEX(Règles_chevaux_trait[Valeur 24-36],MATCH(RationHivernaleAuPréChevauxTrait&amp;$FD152,Règles_chevaux_trait[Ration]&amp;Règles_chevaux_trait[Aliment],0)),0),0)*SUM(TotalChevauxTrait_24_36mois)*21)</f>
        <v>0</v>
      </c>
      <c r="FG152" s="458">
        <f t="array" ref="FG152">IF(OR(ChoixRationHivernaleComplèteChevauxTrait=OUI,ChoixRationHivernaleComplèteChevauxTrait="",ChoixChevauxTraitPréHiver=NON),0,IFERROR(IF(OR(AND(INDEX(Règles_chevaux_trait[Specificite],MATCH(RationHivernaleAuPréChevauxTrait&amp;$FD152,Règles_chevaux_trait[Ration]&amp;Règles_chevaux_trait[Aliment],0))="s1",IF($FD152=Spécificité1ChevauxTrait,1)),
AND(INDEX(Règles_chevaux_trait[Specificite],MATCH(RationHivernaleAuPréChevauxTrait&amp;$FD152,Règles_chevaux_trait[Ration]&amp;Règles_chevaux_trait[Aliment],0))="s2",IF($FD152=Spécificité2ChevauxTrait,1)),
INDEX(Règles_chevaux_trait[Specificite],MATCH(RationHivernaleAuPréChevauxTrait&amp;$FD152,Règles_chevaux_trait[Ration]&amp;Règles_chevaux_trait[Aliment],0))="c"),
INDEX(Règles_chevaux_trait[Valeur 12-24],MATCH(RationHivernaleAuPréChevauxTrait&amp;$FD152,Règles_chevaux_trait[Ration]&amp;Règles_chevaux_trait[Aliment],0)),0),0)*SUM(TotalChevauxTrait_12_24mois)*21)</f>
        <v>0</v>
      </c>
      <c r="FH152" s="460">
        <f t="array" ref="FH152">IF(OR(ChoixRationHivernaleComplèteChevauxTrait=OUI,ChoixRationHivernaleComplèteChevauxTrait="",ChoixChevauxTraitPréHiver=NON),0,IFERROR(IF(OR(AND(INDEX(Règles_chevaux_trait[Specificite],MATCH(RationHivernaleAuPréChevauxTrait&amp;$FD152,Règles_chevaux_trait[Ration]&amp;Règles_chevaux_trait[Aliment],0))="s1",IF($FD152=Spécificité1ChevauxTrait,1)),
AND(INDEX(Règles_chevaux_trait[Specificite],MATCH(RationHivernaleAuPréChevauxTrait&amp;$FD152,Règles_chevaux_trait[Ration]&amp;Règles_chevaux_trait[Aliment],0))="s2",IF($FD152=Spécificité2ChevauxTrait,1)),
INDEX(Règles_chevaux_trait[Specificite],MATCH(RationHivernaleAuPréChevauxTrait&amp;$FD152,Règles_chevaux_trait[Ration]&amp;Règles_chevaux_trait[Aliment],0))="c"),
INDEX(Règles_chevaux_trait[Valeur 0-12],MATCH(RationHivernaleAuPréChevauxTrait&amp;$FD152,Règles_chevaux_trait[Ration]&amp;Règles_chevaux_trait[Aliment],0)),0),0)*SUM(TotalPoulainsTrait)*21)</f>
        <v>0</v>
      </c>
      <c r="FI152" s="460">
        <f t="shared" si="47"/>
        <v>0</v>
      </c>
      <c r="FN152" s="457" t="str">
        <f t="shared" si="48"/>
        <v>Eau</v>
      </c>
      <c r="FO152" s="458">
        <f t="array" ref="FO152">IF(OR(ChoixRationHivernaleComplètePoneys=OUI,ChoixRationHivernaleComplètePoneys="",ChoixPoneysPréHiver=NON),0,IFERROR(IF(OR(AND(INDEX(Règles_poneys[Specificite],MATCH(RationHivernaleAuPréPoneys&amp;$FN152,Règles_poneys[Ration]&amp;Règles_poneys[Aliment],0))="s1",IF($FN152=Spécificité1Poneys,1)),
AND(INDEX(Règles_poneys[Specificite],MATCH(RationHivernaleAuPréPoneys&amp;$FN152,Règles_poneys[Ration]&amp;Règles_poneys[Aliment],0))="s2",IF($FN152=Spécificité2Poneys,1)),
INDEX(Règles_poneys[Specificite],MATCH(RationHivernaleAuPréPoneys&amp;$FN152,Règles_poneys[Ration]&amp;Règles_poneys[Aliment],0))="c"),
INDEX(Règles_poneys[Valeur 36 et plus],MATCH(RationHivernaleAuPréPoneys&amp;$FN152,Règles_poneys[Ration]&amp;Règles_poneys[Aliment],0)),0),0)*SUM(TotalPoneysAdultes)*21)</f>
        <v>0</v>
      </c>
      <c r="FP152" s="458">
        <f t="array" ref="FP152">IF(OR(ChoixRationHivernaleComplètePoneys=OUI,ChoixRationHivernaleComplètePoneys="",ChoixPoneysPréHiver=NON),0,IFERROR(IF(OR(AND(INDEX(Règles_poneys[Specificite],MATCH(RationHivernaleAuPréPoneys&amp;$FN152,Règles_poneys[Ration]&amp;Règles_poneys[Aliment],0))="s1",IF($FN152=Spécificité1Poneys,1)),
AND(INDEX(Règles_poneys[Specificite],MATCH(RationHivernaleAuPréPoneys&amp;$FN152,Règles_poneys[Ration]&amp;Règles_poneys[Aliment],0))="s2",IF($FN152=Spécificité2Poneys,1)),
INDEX(Règles_poneys[Specificite],MATCH(RationHivernaleAuPréPoneys&amp;$FN152,Règles_poneys[Ration]&amp;Règles_poneys[Aliment],0))="c"),
INDEX(Règles_poneys[Valeur 24-36],MATCH(RationHivernaleAuPréPoneys&amp;$FN152,Règles_poneys[Ration]&amp;Règles_poneys[Aliment],0)),0),0)*SUM(TotalPoneys_24_36mois)*21)</f>
        <v>0</v>
      </c>
      <c r="FQ152" s="458">
        <f t="array" ref="FQ152">IF(OR(ChoixRationHivernaleComplètePoneys=OUI,ChoixRationHivernaleComplètePoneys="",ChoixPoneysPréHiver=NON),0,IFERROR(IF(OR(AND(INDEX(Règles_poneys[Specificite],MATCH(RationHivernaleAuPréPoneys&amp;$FN152,Règles_poneys[Ration]&amp;Règles_poneys[Aliment],0))="s1",IF($FN152=Spécificité1Poneys,1)),
AND(INDEX(Règles_poneys[Specificite],MATCH(RationHivernaleAuPréPoneys&amp;$FN152,Règles_poneys[Ration]&amp;Règles_poneys[Aliment],0))="s2",IF($FN152=Spécificité2Poneys,1)),
INDEX(Règles_poneys[Specificite],MATCH(RationHivernaleAuPréPoneys&amp;$FN152,Règles_poneys[Ration]&amp;Règles_poneys[Aliment],0))="c"),
INDEX(Règles_poneys[Valeur 12-24],MATCH(RationHivernaleAuPréPoneys&amp;$FN152,Règles_poneys[Ration]&amp;Règles_poneys[Aliment],0)),0),0)*SUM(TotalPoneys_12_24mois)*21)</f>
        <v>0</v>
      </c>
      <c r="FR152" s="460">
        <f t="array" ref="FR152">IF(OR(ChoixRationHivernaleComplètePoneys=OUI,ChoixRationHivernaleComplètePoneys="",ChoixPoneysPréHiver=NON),0,IFERROR(IF(OR(AND(INDEX(Règles_poneys[Specificite],MATCH(RationHivernaleAuPréPoneys&amp;$FN152,Règles_poneys[Ration]&amp;Règles_poneys[Aliment],0))="s1",IF($FN152=Spécificité1Poneys,1)),
AND(INDEX(Règles_poneys[Specificite],MATCH(RationHivernaleAuPréPoneys&amp;$FN152,Règles_poneys[Ration]&amp;Règles_poneys[Aliment],0))="s2",IF($FN152=Spécificité2Poneys,1)),
INDEX(Règles_poneys[Specificite],MATCH(RationHivernaleAuPréPoneys&amp;$FN152,Règles_poneys[Ration]&amp;Règles_poneys[Aliment],0))="c"),
INDEX(Règles_poneys[Valeur 0-12],MATCH(RationHivernaleAuPréPoneys&amp;$FN152,Règles_poneys[Ration]&amp;Règles_poneys[Aliment],0)),0),0)*SUM(TotalPoulainsPoneys)*21)</f>
        <v>0</v>
      </c>
      <c r="FS152" s="460">
        <f t="shared" si="46"/>
        <v>0</v>
      </c>
      <c r="FW152" s="457" t="str">
        <f t="shared" si="44"/>
        <v>Lentille</v>
      </c>
      <c r="FX152" s="458">
        <f t="array" ref="FX152">SUM((IF(QualitéAlimentsGavageOison_0_1_mois=BONNE,VLOOKUP("Lentille",AlimentsGavageOie,5,FALSE),0)+(IF(QualitéAlimentsGavageCaneton_0_1_mois=BONNE,VLOOKUP("Lentille",AlimentsGavageCanard,5,FALSE),0)+(IF(QualitéAlimentsGavageOison_1_2_mois=BONNE,VLOOKUP("Lentille",AlimentsGavageOie,4,FALSE),0)+(IF(QualitéAlimentsGavageCaneton_1_2_mois=BONNE,VLOOKUP("Lentille",AlimentsGavageCanard,4,FALSE),0)+(IF(QualitéAlimentsGavageOison_2_3_mois=BONNE,VLOOKUP("Lentille",AlimentsGavageOie,3,FALSE),0)+(IF(QualitéAlimentsGavageCaneton_2_3_mois=BONNE,VLOOKUP("Lentille",AlimentsGavageCanard,3,FALSE),0)+(IF(QualitéAlimentsGavageJeunesOies=BONNE,VLOOKUP("Lentille",AlimentsGavageOie,2,FALSE),0)+(IF(QualitéAlimentsGavageJeuneCanard=BONNE,VLOOKUP("Lentille",AlimentsGavageCanard,2,FALSE),0))))))))))</f>
        <v>0</v>
      </c>
      <c r="FY152" s="458">
        <f t="array" ref="FY152">SUM((IF(QualitéAlimentsGavageOison_0_1_mois=MOYENNE,VLOOKUP("Lentille",AlimentsGavageOie,5,FALSE),0)+(IF(QualitéAlimentsGavageCaneton_0_1_mois=MOYENNE,VLOOKUP("Lentille",AlimentsGavageCanard,5,FALSE),0)+(IF(QualitéAlimentsGavageOison_1_2_mois=MOYENNE,VLOOKUP("Lentille",AlimentsGavageOie,4,FALSE),0)+(IF(QualitéAlimentsGavageCaneton_1_2_mois=MOYENNE,VLOOKUP("Lentille",AlimentsGavageCanard,4,FALSE),0)+(IF(QualitéAlimentsGavageOison_2_3_mois=MOYENNE,VLOOKUP("Lentille",AlimentsGavageOie,3,FALSE),0)+(IF(QualitéAlimentsGavageCaneton_2_3_mois=MOYENNE,VLOOKUP("Lentille",AlimentsGavageCanard,3,FALSE),0)+(IF(QualitéAlimentsGavageJeunesOies=MOYENNE,VLOOKUP("Lentille",AlimentsGavageOie,2,FALSE),0)+(IF(QualitéAlimentsGavageJeuneCanard=MOYENNE,VLOOKUP("Lentille",AlimentsGavageCanard,2,FALSE),0))))))))))</f>
        <v>0</v>
      </c>
      <c r="FZ152" s="458">
        <f t="array" ref="FZ152">SUM((IF(QualitéAlimentsGavageOison_0_1_mois=MAUVAISE,VLOOKUP("Lentille",AlimentsGavageOie,5,FALSE),0)+(IF(QualitéAlimentsGavageCaneton_0_1_mois=MAUVAISE,VLOOKUP("Lentille",AlimentsGavageCanard,5,FALSE),0)+(IF(QualitéAlimentsGavageOison_1_2_mois=MAUVAISE,VLOOKUP("Lentille",AlimentsGavageOie,4,FALSE),0)+(IF(QualitéAlimentsGavageCaneton_1_2_mois=MAUVAISE,VLOOKUP("Lentille",AlimentsGavageCanard,4,FALSE),0)+(IF(QualitéAlimentsGavageOison_2_3_mois=MAUVAISE,VLOOKUP("Lentille",AlimentsGavageOie,3,FALSE),0)+(IF(QualitéAlimentsGavageCaneton_2_3_mois=MAUVAISE,VLOOKUP("Lentille",AlimentsGavageCanard,3,FALSE),0)+(IF(QualitéAlimentsGavageJeunesOies=MAUVAISE,VLOOKUP("Lentille",AlimentsGavageOie,2,FALSE),0)+(IF(QualitéAlimentsGavageJeuneCanard=MAUVAISE,VLOOKUP("Lentille",AlimentsGavageCanard,2,FALSE),0))))))))))</f>
        <v>0</v>
      </c>
      <c r="GB152" s="281"/>
      <c r="GG152" s="276" t="s">
        <v>955</v>
      </c>
      <c r="GH152" s="276" t="s">
        <v>955</v>
      </c>
      <c r="GI152" s="276" t="s">
        <v>955</v>
      </c>
      <c r="GJ152" s="276" t="s">
        <v>955</v>
      </c>
      <c r="GK152" s="276" t="s">
        <v>955</v>
      </c>
      <c r="GL152" s="276" t="s">
        <v>955</v>
      </c>
      <c r="GM152" s="276" t="s">
        <v>955</v>
      </c>
      <c r="GN152" s="276" t="s">
        <v>955</v>
      </c>
      <c r="GO152" s="276" t="s">
        <v>955</v>
      </c>
      <c r="GP152" s="276" t="s">
        <v>955</v>
      </c>
      <c r="GQ152" s="276" t="s">
        <v>955</v>
      </c>
      <c r="GR152" s="276" t="s">
        <v>955</v>
      </c>
      <c r="GS152" s="276" t="s">
        <v>955</v>
      </c>
      <c r="GT152" s="276" t="s">
        <v>955</v>
      </c>
      <c r="GU152" s="276" t="s">
        <v>955</v>
      </c>
      <c r="GV152" s="276" t="s">
        <v>955</v>
      </c>
    </row>
    <row r="153" spans="1:204" ht="12.75" customHeight="1" x14ac:dyDescent="0.2">
      <c r="A153" s="373"/>
      <c r="B153" s="382"/>
      <c r="BB153" s="387" t="s">
        <v>516</v>
      </c>
      <c r="BC153" s="362" t="s">
        <v>70</v>
      </c>
      <c r="BD153" s="362" t="s">
        <v>887</v>
      </c>
      <c r="BE153" s="388">
        <v>7.2</v>
      </c>
      <c r="BF153" s="388">
        <v>6</v>
      </c>
      <c r="BG153" s="388">
        <v>4</v>
      </c>
      <c r="BH153" s="388">
        <v>2</v>
      </c>
      <c r="BI153" s="388">
        <v>1.2</v>
      </c>
      <c r="BJ153" s="388">
        <v>0.6</v>
      </c>
      <c r="BK153" s="389">
        <v>0</v>
      </c>
      <c r="BL153" s="312"/>
      <c r="BX153" s="350" t="str">
        <f t="shared" si="51"/>
        <v>concentré jeunes porcins</v>
      </c>
      <c r="BY153" s="350">
        <f t="array" ref="BY153">IF(ChoixRationComplèteCaprins=OUI,0,IFERROR(IF(OR(AND(INDEX(Règles_caprins[Specificite],MATCH(ChoixRationCaprins&amp;$BX153,Règles_caprins[Ration]&amp;Règles_caprins[Aliment],0))="s1",IF($BX153=Spécificité1Caprins,1)),
INDEX(Règles_caprins[Specificite],MATCH(ChoixRationCaprins&amp;$BX153,Règles_caprins[Ration]&amp;Règles_caprins[Aliment],0))="c"),
INDEX(Règles_caprins[Valeur 12 et plus],MATCH(ChoixRationCaprins&amp;$BX153,Règles_caprins[Ration]&amp;Règles_caprins[Aliment],0)),0),0)*TotalChèvres*NbreJoursNourrirCaprins)</f>
        <v>0</v>
      </c>
      <c r="BZ153" s="350">
        <f t="array" ref="BZ153">IF(ChoixRationComplèteCaprins=OUI,0,IFERROR(IF(OR(AND(INDEX(Règles_caprins[Specificite],MATCH(ChoixRationCaprins&amp;$BX153,Règles_caprins[Ration]&amp;Règles_caprins[Aliment],0))="s1",IF($BX153=Spécificité1Caprins,1)),
INDEX(Règles_caprins[Specificite],MATCH(ChoixRationCaprins&amp;$BX153,Règles_caprins[Ration]&amp;Règles_caprins[Aliment],0))="c"),
INDEX(Règles_caprins[Valeur 6-12],MATCH(ChoixRationCaprins&amp;$BX153,Règles_caprins[Ration]&amp;Règles_caprins[Aliment],0)),0),0)*jeune_chèvre_6_12_mois*NbreJoursNourrirCaprins)</f>
        <v>0</v>
      </c>
      <c r="CA153" s="350">
        <f t="array" ref="CA153">IF(ChoixRationComplèteCaprins=OUI,0,IFERROR(IF(OR(AND(INDEX(Règles_caprins[Specificite],MATCH(ChoixRationCaprins&amp;$BX153,Règles_caprins[Ration]&amp;Règles_caprins[Aliment],0))="s1",IF($BX153=Spécificité1Caprins,1)),
INDEX(Règles_caprins[Specificite],MATCH(ChoixRationCaprins&amp;$BX153,Règles_caprins[Ration]&amp;Règles_caprins[Aliment],0))="c"),
INDEX(Règles_caprins[Valeur 3-6],MATCH(ChoixRationCaprins&amp;$BX153,Règles_caprins[Ration]&amp;Règles_caprins[Aliment],0)),0),0)*chevrette_3_6_mois*NbreJoursNourrirCaprins)</f>
        <v>0</v>
      </c>
      <c r="CB153" s="350">
        <f t="array" ref="CB153">IF(ChoixRationComplèteCaprins=OUI,0,IFERROR(IF(OR(AND(INDEX(Règles_caprins[Specificite],MATCH(ChoixRationCaprins&amp;$BX153,Règles_caprins[Ration]&amp;Règles_caprins[Aliment],0))="s1",IF($BX153=Spécificité1Caprins,1)),
INDEX(Règles_caprins[Specificite],MATCH(ChoixRationCaprins&amp;$BX153,Règles_caprins[Ration]&amp;Règles_caprins[Aliment],0))="c"),
INDEX(Règles_caprins[Valeur 0-3],MATCH(ChoixRationCaprins&amp;$BX153,Règles_caprins[Ration]&amp;Règles_caprins[Aliment],0)),0),0)*chevrette_0_3_mois*NbreJoursNourrirCaprins)</f>
        <v>0</v>
      </c>
      <c r="CC153" s="350">
        <f t="shared" si="50"/>
        <v>0</v>
      </c>
      <c r="CH153" s="298"/>
      <c r="CI153" s="277"/>
      <c r="CJ153" s="350" t="str">
        <f t="shared" si="45"/>
        <v>Foin</v>
      </c>
      <c r="CK153" s="351">
        <f t="array" ref="CK153">SUM((IF(QualitéAlimentsPorceletMâle_0_1_mois=BONNE,VLOOKUP("Foin",AlimentsRationPorcinsMâles[],6,FALSE),0)+(IF(QualitéAlimentsPorceletFemelle_0_1_mois=BONNE,VLOOKUP("Foin",AlimentsRationPorcinsFemelles[],6,FALSE),0)+(IF(QualitéAlimentsPorceletMâle_1_3_mois=BONNE,VLOOKUP("Foin",AlimentsRationPorcinsMâles[],5,FALSE),0)+(IF(QualitéAlimentsPorceletFemelle_1_3_mois=BONNE,VLOOKUP("Foin",AlimentsRationPorcinsFemelles[],5,FALSE),0)+(IF(QualitéAlimentsJeuneVerrat_3_6_mois=BONNE,VLOOKUP("Foin",AlimentsRationPorcinsMâles[],4,FALSE),0)+(IF(QualitéAlimentsJeuneTruie_3_6_mois=BONNE,VLOOKUP("Foin",AlimentsRationPorcinsFemelles[],4,FALSE),0)+(IF(QualitéAlimentsJeuneVerrat_6_12_mois=BONNE,VLOOKUP("Foin",AlimentsRationPorcinsMâles[],3,FALSE),0)+(IF(QualitéAlimentsJeuneTruie_6_12_mois=BONNE,VLOOKUP("Foin",AlimentsRationPorcinsFemelles[],3,FALSE),0)+(IF(QualitéAlimentsVerrat=BONNE,VLOOKUP("Avoine",AlimentsRationPorcinsMâles[],2,FALSE),0)+(IF(QualitéAlimentsTruie=BONNE,VLOOKUP("Avoine",AlimentsRationPorcinsFemelles[],2,FALSE),0))))))))))))</f>
        <v>0</v>
      </c>
      <c r="CL153" s="351">
        <f t="array" ref="CL153">SUM((IF(QualitéAlimentsPorceletMâle_0_1_mois=MOYENNE,VLOOKUP("Foin",AlimentsRationPorcinsMâles[],6,FALSE),0)+(IF(QualitéAlimentsPorceletFemelle_0_1_mois=MOYENNE,VLOOKUP("Foin",AlimentsRationPorcinsFemelles[],6,FALSE),0)+(IF(QualitéAlimentsPorceletMâle_1_3_mois=MOYENNE,VLOOKUP("Foin",AlimentsRationPorcinsMâles[],5,FALSE),0)+(IF(QualitéAlimentsPorceletFemelle_1_3_mois=MOYENNE,VLOOKUP("Foin",AlimentsRationPorcinsFemelles[],5,FALSE),0)+(IF(QualitéAlimentsJeuneVerrat_3_6_mois=MOYENNE,VLOOKUP("Foin",AlimentsRationPorcinsMâles[],4,FALSE),0)+(IF(QualitéAlimentsJeuneTruie_3_6_mois=MOYENNE,VLOOKUP("Foin",AlimentsRationPorcinsFemelles[],4,FALSE),0)+(IF(QualitéAlimentsJeuneVerrat_6_12_mois=MOYENNE,VLOOKUP("Foin",AlimentsRationPorcinsMâles[],3,FALSE),0)+(IF(QualitéAlimentsJeuneTruie_6_12_mois=MOYENNE,VLOOKUP("Foin",AlimentsRationPorcinsFemelles[],3,FALSE),0)+(IF(QualitéAlimentsVerrat=BONNE,VLOOKUP("Avoine",AlimentsRationPorcinsMâles[],2,FALSE),0)+(IF(QualitéAlimentsTruie=BONNE,VLOOKUP("Avoine",AlimentsRationPorcinsFemelles[],2,FALSE),0))))))))))))</f>
        <v>0</v>
      </c>
      <c r="CM153" s="351">
        <f t="array" ref="CM153">SUM((IF(QualitéAlimentsPorceletMâle_0_1_mois=MAUVAISE,VLOOKUP("Foin",AlimentsRationPorcinsMâles[],6,FALSE),0)+(IF(QualitéAlimentsPorceletFemelle_0_1_mois=MAUVAISE,VLOOKUP("Foin",AlimentsRationPorcinsFemelles[],6,FALSE),0)+(IF(QualitéAlimentsPorceletMâle_1_3_mois=MAUVAISE,VLOOKUP("Foin",AlimentsRationPorcinsMâles[],5,FALSE),0)+(IF(QualitéAlimentsPorceletFemelle_1_3_mois=MAUVAISE,VLOOKUP("Foin",AlimentsRationPorcinsFemelles[],5,FALSE),0)+(IF(QualitéAlimentsJeuneVerrat_3_6_mois=MAUVAISE,VLOOKUP("Foin",AlimentsRationPorcinsMâles[],4,FALSE),0)+(IF(QualitéAlimentsJeuneTruie_3_6_mois=MAUVAISE,VLOOKUP("Foin",AlimentsRationPorcinsFemelles[],4,FALSE),0)+(IF(QualitéAlimentsJeuneVerrat_6_12_mois=MAUVAISE,VLOOKUP("Foin",AlimentsRationPorcinsMâles[],3,FALSE),0)+(IF(QualitéAlimentsJeuneTruie_6_12_mois=MAUVAISE,VLOOKUP("Foin",AlimentsRationPorcinsFemelles[],3,FALSE),0)+(IF(QualitéAlimentsVerrat=BONNE,VLOOKUP("Avoine",AlimentsRationPorcinsMâles[],2,FALSE),0)+(IF(QualitéAlimentsTruie=BONNE,VLOOKUP("Avoine",AlimentsRationPorcinsFemelles[],2,FALSE),0))))))))))))</f>
        <v>0</v>
      </c>
      <c r="CN153" s="277"/>
      <c r="CO153" s="279"/>
      <c r="CP153" s="298"/>
      <c r="CS153" s="229" t="s">
        <v>1195</v>
      </c>
      <c r="CT153" s="229"/>
      <c r="CU153" s="229"/>
      <c r="CV153" s="229"/>
      <c r="CZ153" s="349" t="s">
        <v>910</v>
      </c>
      <c r="DA153" s="353" t="s">
        <v>1192</v>
      </c>
      <c r="DB153" s="353" t="s">
        <v>1193</v>
      </c>
      <c r="DC153" s="353" t="s">
        <v>1194</v>
      </c>
      <c r="DD153" s="277"/>
      <c r="DG153" s="350" t="str">
        <f t="shared" si="52"/>
        <v>concentré jeunes porcins</v>
      </c>
      <c r="DH153" s="351">
        <f t="array" ref="DH153">SUM((IF(QualitéAlimentsPintadeauMâle_0_1_mois=BONNE,VLOOKUP("Concentré jeunes porcins",AlimentsRationPintadesMâles[],4,FALSE),0)+(IF(QualitéAlimentsPintadeauFemelle_0_1_mois=BONNE,VLOOKUP("Concentré jeunes porcins",AlimentsRationPintadesFemelles[],4,FALSE),0)+(IF(QualitéAlimentsJeunePintadeMâle=BONNE,VLOOKUP("Concentré jeunes porcins",AlimentsRationPintadesMâles[],3,FALSE),0)+(IF(QualitéAlimentsJeunePintadeFemelle=BONNE,VLOOKUP("Concentré jeunes porcins",AlimentsRationPintadesFemelles[],3,FALSE),0)+(IF(QualitéAlimentsPintadeMâle=BONNE,VLOOKUP("Concentré jeunes porcins",AlimentsRationPintadesMâles[],2,FALSE),0)+(IF(QualitéAlimentsPintadeFemelle=BONNE,VLOOKUP("Concentré jeunes porcins",AlimentsRationPintadesFemelles[],2,FALSE),0))))))))</f>
        <v>0</v>
      </c>
      <c r="DI153" s="351">
        <f t="array" ref="DI153">SUM((IF(QualitéAlimentsPintadeauMâle_0_1_mois=MOYENNE,VLOOKUP("Concentré jeunes porcins",AlimentsRationPintadesMâles[],4,FALSE),0)+(IF(QualitéAlimentsPintadeauFemelle_0_1_mois=MOYENNE,VLOOKUP("Concentré jeunes porcins",AlimentsRationPintadesFemelles[],4,FALSE),0)+(IF(QualitéAlimentsJeunePintadeMâle=MOYENNE,VLOOKUP("Concentré jeunes porcins",AlimentsRationPintadesMâles[],3,FALSE),0)+(IF(QualitéAlimentsJeunePintadeFemelle=MOYENNE,VLOOKUP("Concentré jeunes porcins",AlimentsRationPintadesFemelles[],3,FALSE),0)+(IF(QualitéAlimentsPintadeMâle=MOYENNE,VLOOKUP("Concentré jeunes porcins",AlimentsRationPintadesMâles[],2,FALSE),0)+(IF(QualitéAlimentsPintadeFemelle=MOYENNE,VLOOKUP("Concentré jeunes porcins",AlimentsRationPintadesFemelles[],2,FALSE),0))))))))</f>
        <v>0</v>
      </c>
      <c r="DJ153" s="351">
        <f t="array" ref="DJ153">SUM((IF(QualitéAlimentsPintadeauMâle_0_1_mois=MAUVAISE,VLOOKUP("Concentré jeunes porcins",AlimentsRationPintadesMâles[],4,FALSE),0)+(IF(QualitéAlimentsPintadeauFemelle_0_1_mois=MAUVAISE,VLOOKUP("Concentré jeunes porcins",AlimentsRationPintadesFemelles[],4,FALSE),0)+(IF(QualitéAlimentsJeunePintadeMâle=MAUVAISE,VLOOKUP("Concentré jeunes porcins",AlimentsRationPintadesMâles[],3,FALSE),0)+(IF(QualitéAlimentsJeunePintadeFemelle=MAUVAISE,VLOOKUP("Concentré jeunes porcins",AlimentsRationPintadesFemelles[],3,FALSE),0)+(IF(QualitéAlimentsPintadeMâle=MAUVAISE,VLOOKUP("Concentré jeunes porcins",AlimentsRationPintadesMâles[],2,FALSE),0)+(IF(QualitéAlimentsPintadeFemelle=MAUVAISE,VLOOKUP("Concentré jeunes porcins",AlimentsRationPintadesFemelles[],2,FALSE),0))))))))</f>
        <v>0</v>
      </c>
      <c r="DN153" s="350" t="s">
        <v>515</v>
      </c>
      <c r="DO153" s="351">
        <f t="array" ref="DO153">IF(ChoixRationComplèteOvins=OUI,0,IFERROR(IF(OR(AND(INDEX(Règles_ovins[Specificite],MATCH(ChoixRationOvins&amp;$DN153,Règles_ovins[Ration]&amp;Règles_ovins[Aliment],0))="s1",IF($DN153=Spécificité1Ovins,1)),
AND(INDEX(Règles_ovins[Specificite],MATCH(ChoixRationOvins&amp;$DN153,Règles_ovins[Ration]&amp;Règles_ovins[Aliment],0))="s2",IF($DN153=Spécificité2Ovins,1)),
INDEX(Règles_ovins[Specificite],MATCH(ChoixRationOvins&amp;$DN153,Règles_ovins[Ration]&amp;Règles_ovins[Aliment],0))="c"),
INDEX(Règles_ovins[Valeur 12 et plus],MATCH(ChoixRationOvins&amp;$DN153,Règles_ovins[Ration]&amp;Règles_ovins[Aliment],0)),0),0)*IF(ChoixOvinsPréHiver=OUI,SUM(TotalOvinsAdultesRacesLaitières)*NbreJoursNourrirOvins,TotalBéliers*NbreJoursNourrirOvins))</f>
        <v>0</v>
      </c>
      <c r="DP153" s="351">
        <f t="array" ref="DP153">IF(ChoixRationComplèteOvins=OUI,0,IFERROR(IF(OR(AND(INDEX(Règles_ovins[Specificite],MATCH(ChoixRationOvins&amp;$DN153,Règles_ovins[Ration]&amp;Règles_ovins[Aliment],0))="s1",IF($DN153=Spécificité1Ovins,1)),
AND(INDEX(Règles_ovins[Specificite],MATCH(ChoixRationOvins&amp;$DN153,Règles_ovins[Ration]&amp;Règles_ovins[Aliment],0))="s2",IF($DN153=Spécificité2Ovins,1)),
INDEX(Règles_ovins[Specificite],MATCH(ChoixRationOvins&amp;$DN153,Règles_ovins[Ration]&amp;Règles_ovins[Aliment],0))="c"),
INDEX(Règles_ovins[Valeur 6-12],MATCH(ChoixRationOvins&amp;$DN153,Règles_ovins[Ration]&amp;Règles_ovins[Aliment],0)),0),0)*IF(ChoixOvinsPréHiver=OUI,SUM(TotalJeunesOvinsRacesLaitières)*NbreJoursNourrirOvins,TotalJeune_bélier_6_12_mois*NbreJoursNourrirOvins))</f>
        <v>0</v>
      </c>
      <c r="DQ153" s="351">
        <f t="array" ref="DQ153">IF(ChoixRationComplèteOvins=OUI,0,IFERROR(IF(OR(AND(INDEX(Règles_ovins[Specificite],MATCH(ChoixRationOvins&amp;$DN153,Règles_ovins[Ration]&amp;Règles_ovins[Aliment],0))="s1",IF($DN153=Spécificité1Ovins,1)),
AND(INDEX(Règles_ovins[Specificite],MATCH(ChoixRationOvins&amp;$DN153,Règles_ovins[Ration]&amp;Règles_ovins[Aliment],0))="s2",IF($DN153=Spécificité2Ovins,1)),
INDEX(Règles_ovins[Specificite],MATCH(ChoixRationOvins&amp;$DN153,Règles_ovins[Ration]&amp;Règles_ovins[Aliment],0))="c"),
INDEX(Règles_ovins[Valeur 3-6],MATCH(ChoixRationOvins&amp;$DN153,Règles_ovins[Ration]&amp;Règles_ovins[Aliment],0)),0),0)*IF(ChoixOvinsPréHiver=OUI,SUM(TotalOvins_3_6moisRacesLaitières)*NbreJoursNourrirOvins,TotalAgneau_3_6_mois*NbreJoursNourrirOvins))</f>
        <v>0</v>
      </c>
      <c r="DR153" s="351">
        <f t="array" ref="DR153">IF(ChoixRationComplèteOvins=OUI,0,IFERROR(IF(OR(AND(INDEX(Règles_ovins[Specificite],MATCH(ChoixRationOvins&amp;$DN153,Règles_ovins[Ration]&amp;Règles_ovins[Aliment],0))="s1",IF($DN153=Spécificité1Ovins,1)),
AND(INDEX(Règles_ovins[Specificite],MATCH(ChoixRationOvins&amp;$DN153,Règles_ovins[Ration]&amp;Règles_ovins[Aliment],0))="s2",IF($DN153=Spécificité2Ovins,1)),
INDEX(Règles_ovins[Specificite],MATCH(ChoixRationOvins&amp;$DN153,Règles_ovins[Ration]&amp;Règles_ovins[Aliment],0))="c"),
INDEX(Règles_ovins[Valeur 0-3],MATCH(ChoixRationOvins&amp;$DN153,Règles_ovins[Ration]&amp;Règles_ovins[Aliment],0)),0),0)*IF(ChoixOvinsPréHiver=OUI,SUM(TotalOvins_3_6moisRacesLaitières)*NbreJoursNourrirOvins,TotalAgneau_0_3_mois*NbreJoursNourrirOvins))</f>
        <v>0</v>
      </c>
      <c r="DS153" s="441">
        <f t="shared" si="55"/>
        <v>0</v>
      </c>
      <c r="EG153" s="350" t="str">
        <f t="shared" si="57"/>
        <v>Bouchons luzerne</v>
      </c>
      <c r="EH153" s="351">
        <f t="array" ref="EH153">SUM((IF(QualitéAlimentsOisonMâle_0_3_mois=BONNE,VLOOKUP("Bouchons luzerne",AlimentsRationOiesMâles[],4,FALSE),0)+(IF(QualitéAlimentsOisonFemelle_0_3_mois=BONNE,VLOOKUP("Bouchons luzerne",AlimentsRationOiesFemelles[],4,FALSE),0)+(IF(QualitéAlimentsJeuneJars=BONNE,VLOOKUP("Bouchons luzerne",AlimentsRationOiesMâles[],3,FALSE),0)+(IF(QualitéAlimentsJeuneOie=BONNE,VLOOKUP("Bouchons luzerne",AlimentsRationOiesFemelles[],3,FALSE),0)+(IF(QualitéAlimentsJars=BONNE,VLOOKUP("Bouchons luzerne",AlimentsRationOiesMâles[],2,FALSE),0)+(IF(QualitéAlimentsOie=BONNE,VLOOKUP("Bouchons luzerne",AlimentsRationOiesFemelles[],2,FALSE),0))))))))</f>
        <v>0</v>
      </c>
      <c r="EI153" s="351">
        <f t="array" ref="EI153">SUM((IF(QualitéAlimentsOisonMâle_0_3_mois=MOYENNE,VLOOKUP("Bouchons luzerne",AlimentsRationOiesMâles[],4,FALSE),0)+(IF(QualitéAlimentsOisonFemelle_0_3_mois=MOYENNE,VLOOKUP("Bouchons luzerne",AlimentsRationOiesFemelles[],4,FALSE),0)+(IF(QualitéAlimentsJeuneJars=MOYENNE,VLOOKUP("Bouchons luzerne",AlimentsRationOiesMâles[],3,FALSE),0)+(IF(QualitéAlimentsJeuneOie=MOYENNE,VLOOKUP("Bouchons luzerne",AlimentsRationOiesFemelles[],3,FALSE),0)+(IF(QualitéAlimentsJars=MOYENNE,VLOOKUP("Bouchons luzerne",AlimentsRationOiesMâles[],2,FALSE),0)+(IF(QualitéAlimentsOie=MOYENNE,VLOOKUP("Bouchons luzerne",AlimentsRationOiesFemelles[],2,FALSE),0))))))))</f>
        <v>0</v>
      </c>
      <c r="EJ153" s="351">
        <f t="array" ref="EJ153">SUM((IF(QualitéAlimentsOisonMâle_0_3_mois=MAUVAISE,VLOOKUP("Bouchons luzerne",AlimentsRationOiesMâles[],4,FALSE),0)+(IF(QualitéAlimentsOisonFemelle_0_3_mois=MAUVAISE,VLOOKUP("Bouchons luzerne",AlimentsRationOiesFemelles[],4,FALSE),0)+(IF(QualitéAlimentsJeuneJars=MAUVAISE,VLOOKUP("Bouchons luzerne",AlimentsRationOiesMâles[],3,FALSE),0)+(IF(QualitéAlimentsJeuneOie=MAUVAISE,VLOOKUP("Bouchons luzerne",AlimentsRationOiesFemelles[],3,FALSE),0)+(IF(QualitéAlimentsJars=MAUVAISE,VLOOKUP("Bouchons luzerne",AlimentsRationOiesMâles[],2,FALSE),0)+(IF(QualitéAlimentsOie=MAUVAISE,VLOOKUP("Bouchons luzerne",AlimentsRationOiesFemelles[],2,FALSE),0))))))))</f>
        <v>0</v>
      </c>
      <c r="EN153" s="457" t="str">
        <f t="shared" si="56"/>
        <v>Chanvre</v>
      </c>
      <c r="EO153" s="458">
        <f t="array" ref="EO153">SUM((IF(QualitéAlimentsCanetonMâle=BONNE,VLOOKUP("Chanvre",AlimentsRationCanardsMâles,4,FALSE),0)+(IF(QualitéAlimentsCanetonFemelle=BONNE,VLOOKUP("Chanvre",AlimentsRationCanardsFemelles,4,FALSE),0)+(IF(QualitéAlimentsJeuneCanard=BONNE,VLOOKUP("Chanvre",AlimentsRationCanardsMâles,3,FALSE),0)+(IF(QualitéAlimentsJeuneCane=BONNE,VLOOKUP("Chanvre",AlimentsRationCanardsFemelles,3,FALSE),0)+(IF(QualitéAlimentsCanard=BONNE,VLOOKUP("Chanvre",AlimentsRationCanardsMâles,2,FALSE),0)+(IF(QualitéAlimentsCane=BONNE,VLOOKUP("Chanvre",AlimentsRationCanardsFemelles,2,FALSE),0))))))))</f>
        <v>0</v>
      </c>
      <c r="EP153" s="458">
        <f t="array" ref="EP153">SUM((IF(QualitéAlimentsCanetonMâle=MOYENNE,VLOOKUP("Chanvre",AlimentsRationCanardsMâles,4,FALSE),0)+(IF(QualitéAlimentsCanetonFemelle=MOYENNE,VLOOKUP("Chanvre",AlimentsRationCanardsFemelles,4,FALSE),0)+(IF(QualitéAlimentsJeuneCanard=MOYENNE,VLOOKUP("Chanvre",AlimentsRationCanardsMâles,3,FALSE),0)+(IF(QualitéAlimentsJeuneCane=MOYENNE,VLOOKUP("Chanvre",AlimentsRationCanardsFemelles,3,FALSE),0)+(IF(QualitéAlimentsCanard=MOYENNE,VLOOKUP("Chanvre",AlimentsRationCanardsMâles,2,FALSE),0)+(IF(QualitéAlimentsCane=MOYENNE,VLOOKUP("Chanvre",AlimentsRationCanardsFemelles,2,FALSE),0))))))))</f>
        <v>0</v>
      </c>
      <c r="EQ153" s="458">
        <f t="array" ref="EQ153">SUM((IF(QualitéAlimentsCanetonMâle=MAUVAISE,VLOOKUP("Chanvre",AlimentsRationCanardsMâles,4,FALSE),0)+(IF(QualitéAlimentsCanetonFemelle=MAUVAISE,VLOOKUP("Chanvre",AlimentsRationCanardsFemelles,4,FALSE),0)+(IF(QualitéAlimentsJeuneCanard=MAUVAISE,VLOOKUP("Chanvre",AlimentsRationCanardsMâles,3,FALSE),0)+(IF(QualitéAlimentsJeuneCane=MAUVAISE,VLOOKUP("Chanvre",AlimentsRationCanardsFemelles,3,FALSE),0)+(IF(QualitéAlimentsCanard=MAUVAISE,VLOOKUP("Chanvre",AlimentsRationCanardsMâles,2,FALSE),0)+(IF(QualitéAlimentsCane=MAUVAISE,VLOOKUP("Chanvre",AlimentsRationCanardsFemelles,2,FALSE),0))))))))</f>
        <v>0</v>
      </c>
      <c r="EU153" s="457" t="str">
        <f t="shared" si="54"/>
        <v>Canola</v>
      </c>
      <c r="EV153" s="458">
        <f t="array" ref="EV153">IF(OR(ChoixRationHivernaleComplèteChevauxSelle=OUI,ChoixRationHivernaleComplèteChevauxSelle="",ChoixChevauxSellePréHiver=NON),0,IFERROR(IF(OR(AND(INDEX(Règles_chevaux_selle[Specificite],MATCH(RationHivernaleAuPréChevauxSelle&amp;$EU153,Règles_chevaux_selle[Ration]&amp;Règles_chevaux_selle[Aliment],0))="s1",IF($EU153=Spécificité1ChevauxSelle,1)),
AND(INDEX(Règles_chevaux_selle[Specificite],MATCH(RationHivernaleAuPréChevauxSelle&amp;$EU153,Règles_chevaux_selle[Ration]&amp;Règles_chevaux_selle[Aliment],0))="s2",IF($EU153=Spécificité2ChevauxSelle,1)),
INDEX(Règles_chevaux_selle[Specificite],MATCH(RationHivernaleAuPréChevauxSelle&amp;$EU153,Règles_chevaux_selle[Ration]&amp;Règles_chevaux_selle[Aliment],0))="c"),
INDEX(Règles_chevaux_selle[Valeur 36 et plus],MATCH(RationHivernaleAuPréChevauxSelle&amp;$EU153,Règles_chevaux_selle[Ration]&amp;Règles_chevaux_selle[Aliment],0)),0),0)*SUM(TotalChevauxSelleAdultes)*21)</f>
        <v>0</v>
      </c>
      <c r="EW153" s="458">
        <f t="array" ref="EW153">IF(OR(ChoixRationHivernaleComplèteChevauxSelle=OUI,ChoixRationHivernaleComplèteChevauxSelle="",ChoixChevauxSellePréHiver=NON),0,IFERROR(IF(OR(AND(INDEX(Règles_chevaux_selle[Specificite],MATCH(RationHivernaleAuPréChevauxSelle&amp;$EU153,Règles_chevaux_selle[Ration]&amp;Règles_chevaux_selle[Aliment],0))="s1",IF($EU153=Spécificité1ChevauxSelle,1)),
AND(INDEX(Règles_chevaux_selle[Specificite],MATCH(RationHivernaleAuPréChevauxSelle&amp;$EU153,Règles_chevaux_selle[Ration]&amp;Règles_chevaux_selle[Aliment],0))="s2",IF($EU153=Spécificité2ChevauxSelle,1)),
INDEX(Règles_chevaux_selle[Specificite],MATCH(RationHivernaleAuPréChevauxSelle&amp;$EU153,Règles_chevaux_selle[Ration]&amp;Règles_chevaux_selle[Aliment],0))="c"),
INDEX(Règles_chevaux_selle[Valeur 24-36],MATCH(RationHivernaleAuPréChevauxSelle&amp;$EU153,Règles_chevaux_selle[Ration]&amp;Règles_chevaux_selle[Aliment],0)),0),0)*SUM(TotalChevauxSelle_24_36mois)*21)</f>
        <v>0</v>
      </c>
      <c r="EX153" s="458">
        <f t="array" ref="EX153">IF(OR(ChoixRationHivernaleComplèteChevauxSelle=OUI,ChoixRationHivernaleComplèteChevauxSelle="",ChoixChevauxSellePréHiver=NON),0,IFERROR(IF(OR(AND(INDEX(Règles_chevaux_selle[Specificite],MATCH(RationHivernaleAuPréChevauxSelle&amp;$EU153,Règles_chevaux_selle[Ration]&amp;Règles_chevaux_selle[Aliment],0))="s1",IF($EU153=Spécificité1ChevauxSelle,1)),
AND(INDEX(Règles_chevaux_selle[Specificite],MATCH(RationHivernaleAuPréChevauxSelle&amp;$EU153,Règles_chevaux_selle[Ration]&amp;Règles_chevaux_selle[Aliment],0))="s2",IF($EU153=Spécificité2ChevauxSelle,1)),
INDEX(Règles_chevaux_selle[Specificite],MATCH(RationHivernaleAuPréChevauxSelle&amp;$EU153,Règles_chevaux_selle[Ration]&amp;Règles_chevaux_selle[Aliment],0))="c"),
INDEX(Règles_chevaux_selle[Valeur 12-24],MATCH(RationHivernaleAuPréChevauxSelle&amp;$EU153,Règles_chevaux_selle[Ration]&amp;Règles_chevaux_selle[Aliment],0)),0),0)*SUM(TotalChevauxSelle_12_24mois)*21)</f>
        <v>0</v>
      </c>
      <c r="EY153" s="460">
        <f t="array" ref="EY153">IF(OR(ChoixRationHivernaleComplèteChevauxSelle=OUI,ChoixRationHivernaleComplèteChevauxSelle="",ChoixChevauxSellePréHiver=NON),0,IFERROR(IF(OR(AND(INDEX(Règles_chevaux_selle[Specificite],MATCH(RationHivernaleAuPréChevauxSelle&amp;$EU153,Règles_chevaux_selle[Ration]&amp;Règles_chevaux_selle[Aliment],0))="s1",IF($EU153=Spécificité1ChevauxSelle,1)),
AND(INDEX(Règles_chevaux_selle[Specificite],MATCH(RationHivernaleAuPréChevauxSelle&amp;$EU153,Règles_chevaux_selle[Ration]&amp;Règles_chevaux_selle[Aliment],0))="s2",IF($EU153=Spécificité2ChevauxSelle,1)),
INDEX(Règles_chevaux_selle[Specificite],MATCH(RationHivernaleAuPréChevauxSelle&amp;$EU153,Règles_chevaux_selle[Ration]&amp;Règles_chevaux_selle[Aliment],0))="c"),
INDEX(Règles_chevaux_selle[Valeur 0-12],MATCH(RationHivernaleAuPréChevauxSelle&amp;$EU153,Règles_chevaux_selle[Ration]&amp;Règles_chevaux_selle[Aliment],0)),0),0)*SUM(TotalPoulainsSelle)*21)</f>
        <v>0</v>
      </c>
      <c r="EZ153" s="460">
        <f t="shared" si="53"/>
        <v>0</v>
      </c>
      <c r="FD153" s="457" t="str">
        <f t="shared" si="49"/>
        <v>Eau</v>
      </c>
      <c r="FE153" s="458">
        <f t="array" ref="FE153">IF(OR(ChoixRationHivernaleComplèteChevauxTrait=OUI,ChoixRationHivernaleComplèteChevauxTrait="",ChoixChevauxTraitPréHiver=NON),0,IFERROR(IF(OR(AND(INDEX(Règles_chevaux_trait[Specificite],MATCH(RationHivernaleAuPréChevauxTrait&amp;$FD153,Règles_chevaux_trait[Ration]&amp;Règles_chevaux_trait[Aliment],0))="s1",IF($FD153=Spécificité1ChevauxTrait,1)),
AND(INDEX(Règles_chevaux_trait[Specificite],MATCH(RationHivernaleAuPréChevauxTrait&amp;$FD153,Règles_chevaux_trait[Ration]&amp;Règles_chevaux_trait[Aliment],0))="s2",IF($FD153=Spécificité2ChevauxTrait,1)),
INDEX(Règles_chevaux_trait[Specificite],MATCH(RationHivernaleAuPréChevauxTrait&amp;$FD153,Règles_chevaux_trait[Ration]&amp;Règles_chevaux_trait[Aliment],0))="c"),
INDEX(Règles_chevaux_trait[Valeur 36 et plus],MATCH(RationHivernaleAuPréChevauxTrait&amp;$FD153,Règles_chevaux_trait[Ration]&amp;Règles_chevaux_trait[Aliment],0)),0),0)*SUM(TotalChevauxTraitAdultes)*21)</f>
        <v>0</v>
      </c>
      <c r="FF153" s="458">
        <f t="array" ref="FF153">IF(OR(ChoixRationHivernaleComplèteChevauxTrait=OUI,ChoixRationHivernaleComplèteChevauxTrait="",ChoixChevauxTraitPréHiver=NON),0,IFERROR(IF(OR(AND(INDEX(Règles_chevaux_trait[Specificite],MATCH(RationHivernaleAuPréChevauxTrait&amp;$FD153,Règles_chevaux_trait[Ration]&amp;Règles_chevaux_trait[Aliment],0))="s1",IF($FD153=Spécificité1ChevauxTrait,1)),
AND(INDEX(Règles_chevaux_trait[Specificite],MATCH(RationHivernaleAuPréChevauxTrait&amp;$FD153,Règles_chevaux_trait[Ration]&amp;Règles_chevaux_trait[Aliment],0))="s2",IF($FD153=Spécificité2ChevauxTrait,1)),
INDEX(Règles_chevaux_trait[Specificite],MATCH(RationHivernaleAuPréChevauxTrait&amp;$FD153,Règles_chevaux_trait[Ration]&amp;Règles_chevaux_trait[Aliment],0))="c"),
INDEX(Règles_chevaux_trait[Valeur 24-36],MATCH(RationHivernaleAuPréChevauxTrait&amp;$FD153,Règles_chevaux_trait[Ration]&amp;Règles_chevaux_trait[Aliment],0)),0),0)*SUM(TotalChevauxTrait_24_36mois)*21)</f>
        <v>0</v>
      </c>
      <c r="FG153" s="458">
        <f t="array" ref="FG153">IF(OR(ChoixRationHivernaleComplèteChevauxTrait=OUI,ChoixRationHivernaleComplèteChevauxTrait="",ChoixChevauxTraitPréHiver=NON),0,IFERROR(IF(OR(AND(INDEX(Règles_chevaux_trait[Specificite],MATCH(RationHivernaleAuPréChevauxTrait&amp;$FD153,Règles_chevaux_trait[Ration]&amp;Règles_chevaux_trait[Aliment],0))="s1",IF($FD153=Spécificité1ChevauxTrait,1)),
AND(INDEX(Règles_chevaux_trait[Specificite],MATCH(RationHivernaleAuPréChevauxTrait&amp;$FD153,Règles_chevaux_trait[Ration]&amp;Règles_chevaux_trait[Aliment],0))="s2",IF($FD153=Spécificité2ChevauxTrait,1)),
INDEX(Règles_chevaux_trait[Specificite],MATCH(RationHivernaleAuPréChevauxTrait&amp;$FD153,Règles_chevaux_trait[Ration]&amp;Règles_chevaux_trait[Aliment],0))="c"),
INDEX(Règles_chevaux_trait[Valeur 12-24],MATCH(RationHivernaleAuPréChevauxTrait&amp;$FD153,Règles_chevaux_trait[Ration]&amp;Règles_chevaux_trait[Aliment],0)),0),0)*SUM(TotalChevauxTrait_12_24mois)*21)</f>
        <v>0</v>
      </c>
      <c r="FH153" s="460">
        <f t="array" ref="FH153">IF(OR(ChoixRationHivernaleComplèteChevauxTrait=OUI,ChoixRationHivernaleComplèteChevauxTrait="",ChoixChevauxTraitPréHiver=NON),0,IFERROR(IF(OR(AND(INDEX(Règles_chevaux_trait[Specificite],MATCH(RationHivernaleAuPréChevauxTrait&amp;$FD153,Règles_chevaux_trait[Ration]&amp;Règles_chevaux_trait[Aliment],0))="s1",IF($FD153=Spécificité1ChevauxTrait,1)),
AND(INDEX(Règles_chevaux_trait[Specificite],MATCH(RationHivernaleAuPréChevauxTrait&amp;$FD153,Règles_chevaux_trait[Ration]&amp;Règles_chevaux_trait[Aliment],0))="s2",IF($FD153=Spécificité2ChevauxTrait,1)),
INDEX(Règles_chevaux_trait[Specificite],MATCH(RationHivernaleAuPréChevauxTrait&amp;$FD153,Règles_chevaux_trait[Ration]&amp;Règles_chevaux_trait[Aliment],0))="c"),
INDEX(Règles_chevaux_trait[Valeur 0-12],MATCH(RationHivernaleAuPréChevauxTrait&amp;$FD153,Règles_chevaux_trait[Ration]&amp;Règles_chevaux_trait[Aliment],0)),0),0)*SUM(TotalPoulainsTrait)*21)</f>
        <v>0</v>
      </c>
      <c r="FI153" s="460">
        <f t="shared" si="47"/>
        <v>0</v>
      </c>
      <c r="FN153" s="457" t="str">
        <f t="shared" si="48"/>
        <v>Epinard</v>
      </c>
      <c r="FO153" s="458">
        <f t="array" ref="FO153">IF(OR(ChoixRationHivernaleComplètePoneys=OUI,ChoixRationHivernaleComplètePoneys="",ChoixPoneysPréHiver=NON),0,IFERROR(IF(OR(AND(INDEX(Règles_poneys[Specificite],MATCH(RationHivernaleAuPréPoneys&amp;$FN153,Règles_poneys[Ration]&amp;Règles_poneys[Aliment],0))="s1",IF($FN153=Spécificité1Poneys,1)),
AND(INDEX(Règles_poneys[Specificite],MATCH(RationHivernaleAuPréPoneys&amp;$FN153,Règles_poneys[Ration]&amp;Règles_poneys[Aliment],0))="s2",IF($FN153=Spécificité2Poneys,1)),
INDEX(Règles_poneys[Specificite],MATCH(RationHivernaleAuPréPoneys&amp;$FN153,Règles_poneys[Ration]&amp;Règles_poneys[Aliment],0))="c"),
INDEX(Règles_poneys[Valeur 36 et plus],MATCH(RationHivernaleAuPréPoneys&amp;$FN153,Règles_poneys[Ration]&amp;Règles_poneys[Aliment],0)),0),0)*SUM(TotalPoneysAdultes)*21)</f>
        <v>0</v>
      </c>
      <c r="FP153" s="458">
        <f t="array" ref="FP153">IF(OR(ChoixRationHivernaleComplètePoneys=OUI,ChoixRationHivernaleComplètePoneys="",ChoixPoneysPréHiver=NON),0,IFERROR(IF(OR(AND(INDEX(Règles_poneys[Specificite],MATCH(RationHivernaleAuPréPoneys&amp;$FN153,Règles_poneys[Ration]&amp;Règles_poneys[Aliment],0))="s1",IF($FN153=Spécificité1Poneys,1)),
AND(INDEX(Règles_poneys[Specificite],MATCH(RationHivernaleAuPréPoneys&amp;$FN153,Règles_poneys[Ration]&amp;Règles_poneys[Aliment],0))="s2",IF($FN153=Spécificité2Poneys,1)),
INDEX(Règles_poneys[Specificite],MATCH(RationHivernaleAuPréPoneys&amp;$FN153,Règles_poneys[Ration]&amp;Règles_poneys[Aliment],0))="c"),
INDEX(Règles_poneys[Valeur 24-36],MATCH(RationHivernaleAuPréPoneys&amp;$FN153,Règles_poneys[Ration]&amp;Règles_poneys[Aliment],0)),0),0)*SUM(TotalPoneys_24_36mois)*21)</f>
        <v>0</v>
      </c>
      <c r="FQ153" s="458">
        <f t="array" ref="FQ153">IF(OR(ChoixRationHivernaleComplètePoneys=OUI,ChoixRationHivernaleComplètePoneys="",ChoixPoneysPréHiver=NON),0,IFERROR(IF(OR(AND(INDEX(Règles_poneys[Specificite],MATCH(RationHivernaleAuPréPoneys&amp;$FN153,Règles_poneys[Ration]&amp;Règles_poneys[Aliment],0))="s1",IF($FN153=Spécificité1Poneys,1)),
AND(INDEX(Règles_poneys[Specificite],MATCH(RationHivernaleAuPréPoneys&amp;$FN153,Règles_poneys[Ration]&amp;Règles_poneys[Aliment],0))="s2",IF($FN153=Spécificité2Poneys,1)),
INDEX(Règles_poneys[Specificite],MATCH(RationHivernaleAuPréPoneys&amp;$FN153,Règles_poneys[Ration]&amp;Règles_poneys[Aliment],0))="c"),
INDEX(Règles_poneys[Valeur 12-24],MATCH(RationHivernaleAuPréPoneys&amp;$FN153,Règles_poneys[Ration]&amp;Règles_poneys[Aliment],0)),0),0)*SUM(TotalPoneys_12_24mois)*21)</f>
        <v>0</v>
      </c>
      <c r="FR153" s="460">
        <f t="array" ref="FR153">IF(OR(ChoixRationHivernaleComplètePoneys=OUI,ChoixRationHivernaleComplètePoneys="",ChoixPoneysPréHiver=NON),0,IFERROR(IF(OR(AND(INDEX(Règles_poneys[Specificite],MATCH(RationHivernaleAuPréPoneys&amp;$FN153,Règles_poneys[Ration]&amp;Règles_poneys[Aliment],0))="s1",IF($FN153=Spécificité1Poneys,1)),
AND(INDEX(Règles_poneys[Specificite],MATCH(RationHivernaleAuPréPoneys&amp;$FN153,Règles_poneys[Ration]&amp;Règles_poneys[Aliment],0))="s2",IF($FN153=Spécificité2Poneys,1)),
INDEX(Règles_poneys[Specificite],MATCH(RationHivernaleAuPréPoneys&amp;$FN153,Règles_poneys[Ration]&amp;Règles_poneys[Aliment],0))="c"),
INDEX(Règles_poneys[Valeur 0-12],MATCH(RationHivernaleAuPréPoneys&amp;$FN153,Règles_poneys[Ration]&amp;Règles_poneys[Aliment],0)),0),0)*SUM(TotalPoulainsPoneys)*21)</f>
        <v>0</v>
      </c>
      <c r="FS153" s="460">
        <f t="shared" si="46"/>
        <v>0</v>
      </c>
      <c r="FW153" s="457" t="str">
        <f t="shared" si="44"/>
        <v>Maïs ensilé</v>
      </c>
      <c r="FX153" s="458">
        <f t="array" ref="FX153">SUM((IF(QualitéAlimentsGavageOison_0_1_mois=BONNE,VLOOKUP("Maïs ensilé",AlimentsGavageOie,5,FALSE),0)+(IF(QualitéAlimentsGavageCaneton_0_1_mois=BONNE,VLOOKUP("Maïs ensilé",AlimentsGavageCanard,5,FALSE),0)+(IF(QualitéAlimentsGavageOison_1_2_mois=BONNE,VLOOKUP("Maïs ensilé",AlimentsGavageOie,4,FALSE),0)+(IF(QualitéAlimentsGavageCaneton_1_2_mois=BONNE,VLOOKUP("Maïs ensilé",AlimentsGavageCanard,4,FALSE),0)+(IF(QualitéAlimentsGavageOison_2_3_mois=BONNE,VLOOKUP("Maïs ensilé",AlimentsGavageOie,3,FALSE),0)+(IF(QualitéAlimentsGavageCaneton_2_3_mois=BONNE,VLOOKUP("Maïs ensilé",AlimentsGavageCanard,3,FALSE),0)+(IF(QualitéAlimentsGavageJeunesOies=BONNE,VLOOKUP("Maïs ensilé",AlimentsGavageOie,2,FALSE),0)+(IF(QualitéAlimentsGavageJeuneCanard=BONNE,VLOOKUP("Maïs ensilé",AlimentsGavageCanard,2,FALSE),0))))))))))</f>
        <v>0</v>
      </c>
      <c r="FY153" s="458">
        <f t="array" ref="FY153">SUM((IF(QualitéAlimentsGavageOison_0_1_mois=MOYENNE,VLOOKUP("Maïs ensilé",AlimentsGavageOie,5,FALSE),0)+(IF(QualitéAlimentsGavageCaneton_0_1_mois=MOYENNE,VLOOKUP("Maïs ensilé",AlimentsGavageCanard,5,FALSE),0)+(IF(QualitéAlimentsGavageOison_1_2_mois=MOYENNE,VLOOKUP("Maïs ensilé",AlimentsGavageOie,4,FALSE),0)+(IF(QualitéAlimentsGavageCaneton_1_2_mois=MOYENNE,VLOOKUP("Maïs ensilé",AlimentsGavageCanard,4,FALSE),0)+(IF(QualitéAlimentsGavageOison_2_3_mois=MOYENNE,VLOOKUP("Maïs ensilé",AlimentsGavageOie,3,FALSE),0)+(IF(QualitéAlimentsGavageCaneton_2_3_mois=MOYENNE,VLOOKUP("Maïs ensilé",AlimentsGavageCanard,3,FALSE),0)+(IF(QualitéAlimentsGavageJeunesOies=MOYENNE,VLOOKUP("Maïs ensilé",AlimentsGavageOie,2,FALSE),0)+(IF(QualitéAlimentsGavageJeuneCanard=MOYENNE,VLOOKUP("Maïs ensilé",AlimentsGavageCanard,2,FALSE),0))))))))))</f>
        <v>0</v>
      </c>
      <c r="FZ153" s="458">
        <f t="array" ref="FZ153">SUM((IF(QualitéAlimentsGavageOison_0_1_mois=MAUVAISE,VLOOKUP("Maïs ensilé",AlimentsGavageOie,5,FALSE),0)+(IF(QualitéAlimentsGavageCaneton_0_1_mois=MAUVAISE,VLOOKUP("Maïs ensilé",AlimentsGavageCanard,5,FALSE),0)+(IF(QualitéAlimentsGavageOison_1_2_mois=MAUVAISE,VLOOKUP("Maïs ensilé",AlimentsGavageOie,4,FALSE),0)+(IF(QualitéAlimentsGavageCaneton_1_2_mois=MAUVAISE,VLOOKUP("Maïs ensilé",AlimentsGavageCanard,4,FALSE),0)+(IF(QualitéAlimentsGavageOison_2_3_mois=MAUVAISE,VLOOKUP("Maïs ensilé",AlimentsGavageOie,3,FALSE),0)+(IF(QualitéAlimentsGavageCaneton_2_3_mois=MAUVAISE,VLOOKUP("Maïs ensilé",AlimentsGavageCanard,3,FALSE),0)+(IF(QualitéAlimentsGavageJeunesOies=MAUVAISE,VLOOKUP("Maïs ensilé",AlimentsGavageOie,2,FALSE),0)+(IF(QualitéAlimentsGavageJeuneCanard=MAUVAISE,VLOOKUP("Maïs ensilé",AlimentsGavageCanard,2,FALSE),0))))))))))</f>
        <v>0</v>
      </c>
      <c r="GB153" s="281"/>
      <c r="GG153" s="276" t="s">
        <v>955</v>
      </c>
      <c r="GH153" s="276" t="s">
        <v>955</v>
      </c>
      <c r="GI153" s="276" t="s">
        <v>955</v>
      </c>
      <c r="GJ153" s="276" t="s">
        <v>955</v>
      </c>
      <c r="GK153" s="276" t="s">
        <v>955</v>
      </c>
      <c r="GL153" s="276" t="s">
        <v>955</v>
      </c>
      <c r="GM153" s="276" t="s">
        <v>955</v>
      </c>
      <c r="GN153" s="276" t="s">
        <v>955</v>
      </c>
      <c r="GO153" s="276" t="s">
        <v>955</v>
      </c>
      <c r="GP153" s="276" t="s">
        <v>955</v>
      </c>
      <c r="GQ153" s="276" t="s">
        <v>955</v>
      </c>
      <c r="GR153" s="276" t="s">
        <v>955</v>
      </c>
      <c r="GS153" s="276" t="s">
        <v>955</v>
      </c>
      <c r="GT153" s="276" t="s">
        <v>955</v>
      </c>
      <c r="GU153" s="276" t="s">
        <v>955</v>
      </c>
      <c r="GV153" s="276" t="s">
        <v>955</v>
      </c>
    </row>
    <row r="154" spans="1:204" ht="12.75" customHeight="1" x14ac:dyDescent="0.2">
      <c r="A154" s="373"/>
      <c r="B154" s="382"/>
      <c r="BB154" s="387" t="s">
        <v>516</v>
      </c>
      <c r="BC154" s="362" t="s">
        <v>907</v>
      </c>
      <c r="BD154" s="362" t="s">
        <v>888</v>
      </c>
      <c r="BE154" s="388">
        <v>4.8</v>
      </c>
      <c r="BF154" s="388">
        <v>4</v>
      </c>
      <c r="BG154" s="388">
        <v>4</v>
      </c>
      <c r="BH154" s="388">
        <v>4</v>
      </c>
      <c r="BI154" s="388">
        <v>2</v>
      </c>
      <c r="BJ154" s="388">
        <v>1.2</v>
      </c>
      <c r="BK154" s="389">
        <v>0</v>
      </c>
      <c r="BL154" s="312"/>
      <c r="BX154" s="350" t="str">
        <f t="shared" si="51"/>
        <v>Ensilage d'herbe</v>
      </c>
      <c r="BY154" s="350">
        <f t="array" ref="BY154">IF(ChoixRationComplèteCaprins=OUI,0,IFERROR(IF(OR(AND(INDEX(Règles_caprins[Specificite],MATCH(ChoixRationCaprins&amp;$BX154,Règles_caprins[Ration]&amp;Règles_caprins[Aliment],0))="s1",IF($BX154=Spécificité1Caprins,1)),
INDEX(Règles_caprins[Specificite],MATCH(ChoixRationCaprins&amp;$BX154,Règles_caprins[Ration]&amp;Règles_caprins[Aliment],0))="c"),
INDEX(Règles_caprins[Valeur 12 et plus],MATCH(ChoixRationCaprins&amp;$BX154,Règles_caprins[Ration]&amp;Règles_caprins[Aliment],0)),0),0)*TotalChèvres*NbreJoursNourrirCaprins)</f>
        <v>0</v>
      </c>
      <c r="BZ154" s="350">
        <f t="array" ref="BZ154">IF(ChoixRationComplèteCaprins=OUI,0,IFERROR(IF(OR(AND(INDEX(Règles_caprins[Specificite],MATCH(ChoixRationCaprins&amp;$BX154,Règles_caprins[Ration]&amp;Règles_caprins[Aliment],0))="s1",IF($BX154=Spécificité1Caprins,1)),
INDEX(Règles_caprins[Specificite],MATCH(ChoixRationCaprins&amp;$BX154,Règles_caprins[Ration]&amp;Règles_caprins[Aliment],0))="c"),
INDEX(Règles_caprins[Valeur 6-12],MATCH(ChoixRationCaprins&amp;$BX154,Règles_caprins[Ration]&amp;Règles_caprins[Aliment],0)),0),0)*jeune_chèvre_6_12_mois*NbreJoursNourrirCaprins)</f>
        <v>0</v>
      </c>
      <c r="CA154" s="350">
        <f t="array" ref="CA154">IF(ChoixRationComplèteCaprins=OUI,0,IFERROR(IF(OR(AND(INDEX(Règles_caprins[Specificite],MATCH(ChoixRationCaprins&amp;$BX154,Règles_caprins[Ration]&amp;Règles_caprins[Aliment],0))="s1",IF($BX154=Spécificité1Caprins,1)),
INDEX(Règles_caprins[Specificite],MATCH(ChoixRationCaprins&amp;$BX154,Règles_caprins[Ration]&amp;Règles_caprins[Aliment],0))="c"),
INDEX(Règles_caprins[Valeur 3-6],MATCH(ChoixRationCaprins&amp;$BX154,Règles_caprins[Ration]&amp;Règles_caprins[Aliment],0)),0),0)*chevrette_3_6_mois*NbreJoursNourrirCaprins)</f>
        <v>0</v>
      </c>
      <c r="CB154" s="350">
        <f t="array" ref="CB154">IF(ChoixRationComplèteCaprins=OUI,0,IFERROR(IF(OR(AND(INDEX(Règles_caprins[Specificite],MATCH(ChoixRationCaprins&amp;$BX154,Règles_caprins[Ration]&amp;Règles_caprins[Aliment],0))="s1",IF($BX154=Spécificité1Caprins,1)),
INDEX(Règles_caprins[Specificite],MATCH(ChoixRationCaprins&amp;$BX154,Règles_caprins[Ration]&amp;Règles_caprins[Aliment],0))="c"),
INDEX(Règles_caprins[Valeur 0-3],MATCH(ChoixRationCaprins&amp;$BX154,Règles_caprins[Ration]&amp;Règles_caprins[Aliment],0)),0),0)*chevrette_0_3_mois*NbreJoursNourrirCaprins)</f>
        <v>0</v>
      </c>
      <c r="CC154" s="350">
        <f t="shared" si="50"/>
        <v>0</v>
      </c>
      <c r="CH154" s="298"/>
      <c r="CI154" s="277"/>
      <c r="CJ154" s="350" t="str">
        <f t="shared" si="45"/>
        <v>Haricot vert</v>
      </c>
      <c r="CK154" s="351">
        <f t="array" ref="CK154">SUM((IF(QualitéAlimentsPorceletMâle_0_1_mois=BONNE,VLOOKUP("Haricot vert",AlimentsRationPorcinsMâles[],6,FALSE),0)+(IF(QualitéAlimentsPorceletFemelle_0_1_mois=BONNE,VLOOKUP("Haricot vert",AlimentsRationPorcinsFemelles[],6,FALSE),0)+(IF(QualitéAlimentsPorceletMâle_1_3_mois=BONNE,VLOOKUP("Haricot vert",AlimentsRationPorcinsMâles[],5,FALSE),0)+(IF(QualitéAlimentsPorceletFemelle_1_3_mois=BONNE,VLOOKUP("Haricot vert",AlimentsRationPorcinsFemelles[],5,FALSE),0)+(IF(QualitéAlimentsJeuneVerrat_3_6_mois=BONNE,VLOOKUP("Haricot vert",AlimentsRationPorcinsMâles[],4,FALSE),0)+(IF(QualitéAlimentsJeuneTruie_3_6_mois=BONNE,VLOOKUP("Haricot vert",AlimentsRationPorcinsFemelles[],4,FALSE),0)+(IF(QualitéAlimentsJeuneVerrat_6_12_mois=BONNE,VLOOKUP("Haricot vert",AlimentsRationPorcinsMâles[],3,FALSE),0)+(IF(QualitéAlimentsJeuneTruie_6_12_mois=BONNE,VLOOKUP("Haricot vert",AlimentsRationPorcinsFemelles[],3,FALSE),0)+(IF(QualitéAlimentsVerrat=BONNE,VLOOKUP("Avoine",AlimentsRationPorcinsMâles[],2,FALSE),0)+(IF(QualitéAlimentsTruie=BONNE,VLOOKUP("Avoine",AlimentsRationPorcinsFemelles[],2,FALSE),0))))))))))))</f>
        <v>0</v>
      </c>
      <c r="CL154" s="351">
        <f t="array" ref="CL154">SUM((IF(QualitéAlimentsPorceletMâle_0_1_mois=MOYENNE,VLOOKUP("Haricot vert",AlimentsRationPorcinsMâles[],6,FALSE),0)+(IF(QualitéAlimentsPorceletFemelle_0_1_mois=MOYENNE,VLOOKUP("Haricot vert",AlimentsRationPorcinsFemelles[],6,FALSE),0)+(IF(QualitéAlimentsPorceletMâle_1_3_mois=MOYENNE,VLOOKUP("Haricot vert",AlimentsRationPorcinsMâles[],5,FALSE),0)+(IF(QualitéAlimentsPorceletFemelle_1_3_mois=MOYENNE,VLOOKUP("Haricot vert",AlimentsRationPorcinsFemelles[],5,FALSE),0)+(IF(QualitéAlimentsJeuneVerrat_3_6_mois=MOYENNE,VLOOKUP("Haricot vert",AlimentsRationPorcinsMâles[],4,FALSE),0)+(IF(QualitéAlimentsJeuneTruie_3_6_mois=MOYENNE,VLOOKUP("Haricot vert",AlimentsRationPorcinsFemelles[],4,FALSE),0)+(IF(QualitéAlimentsJeuneVerrat_6_12_mois=MOYENNE,VLOOKUP("Haricot vert",AlimentsRationPorcinsMâles[],3,FALSE),0)+(IF(QualitéAlimentsJeuneTruie_6_12_mois=MOYENNE,VLOOKUP("Haricot vert",AlimentsRationPorcinsFemelles[],3,FALSE),0)+(IF(QualitéAlimentsVerrat=BONNE,VLOOKUP("Avoine",AlimentsRationPorcinsMâles[],2,FALSE),0)+(IF(QualitéAlimentsTruie=BONNE,VLOOKUP("Avoine",AlimentsRationPorcinsFemelles[],2,FALSE),0))))))))))))</f>
        <v>0</v>
      </c>
      <c r="CM154" s="351">
        <f t="array" ref="CM154">SUM((IF(QualitéAlimentsPorceletMâle_0_1_mois=MAUVAISE,VLOOKUP("Haricot vert",AlimentsRationPorcinsMâles[],6,FALSE),0)+(IF(QualitéAlimentsPorceletFemelle_0_1_mois=MAUVAISE,VLOOKUP("Haricot vert",AlimentsRationPorcinsFemelles[],6,FALSE),0)+(IF(QualitéAlimentsPorceletMâle_1_3_mois=MAUVAISE,VLOOKUP("Haricot vert",AlimentsRationPorcinsMâles[],5,FALSE),0)+(IF(QualitéAlimentsPorceletFemelle_1_3_mois=MAUVAISE,VLOOKUP("Haricot vert",AlimentsRationPorcinsFemelles[],5,FALSE),0)+(IF(QualitéAlimentsJeuneVerrat_3_6_mois=MAUVAISE,VLOOKUP("Haricot vert",AlimentsRationPorcinsMâles[],4,FALSE),0)+(IF(QualitéAlimentsJeuneTruie_3_6_mois=MAUVAISE,VLOOKUP("Haricot vert",AlimentsRationPorcinsFemelles[],4,FALSE),0)+(IF(QualitéAlimentsJeuneVerrat_6_12_mois=MAUVAISE,VLOOKUP("Haricot vert",AlimentsRationPorcinsMâles[],3,FALSE),0)+(IF(QualitéAlimentsJeuneTruie_6_12_mois=MAUVAISE,VLOOKUP("Haricot vert",AlimentsRationPorcinsFemelles[],3,FALSE),0)+(IF(QualitéAlimentsVerrat=BONNE,VLOOKUP("Avoine",AlimentsRationPorcinsMâles[],2,FALSE),0)+(IF(QualitéAlimentsTruie=BONNE,VLOOKUP("Avoine",AlimentsRationPorcinsFemelles[],2,FALSE),0))))))))))))</f>
        <v>0</v>
      </c>
      <c r="CN154" s="277"/>
      <c r="CO154" s="279"/>
      <c r="CP154" s="298"/>
      <c r="CS154" s="349" t="s">
        <v>910</v>
      </c>
      <c r="CT154" s="353" t="s">
        <v>1192</v>
      </c>
      <c r="CU154" s="353" t="s">
        <v>1193</v>
      </c>
      <c r="CV154" s="353" t="s">
        <v>1194</v>
      </c>
      <c r="CZ154" s="350" t="str">
        <f>CZ57</f>
        <v>Avoine</v>
      </c>
      <c r="DA154" s="351">
        <f t="array" ref="DA154">SUM((IF(QualitéAlimentsPoussinMâle_0_1_mois=BONNE,VLOOKUP("Avoine",AlimentsRationVolaillesMâles[],4,FALSE),0)+(IF(QualitéAlimentsPoussinFemelle_0_1_mois=BONNE,VLOOKUP("Avoine",AlimentsRationVolaillesFemelles[],4,FALSE),0)+(IF(QualitéAlimentsJeuneCoq=BONNE,VLOOKUP("Avoine",AlimentsRationVolaillesMâles[],3,FALSE),0)+(IF(QualitéAlimentsJeunePoule=BONNE,VLOOKUP("Avoine",AlimentsRationVolaillesFemelles[],3,FALSE),0)+(IF(QualitéAlimentsCoq=BONNE,VLOOKUP("Avoine",AlimentsRationVolaillesMâles[],2,FALSE),0)+(IF(QualitéAlimentsPoule=BONNE,VLOOKUP("Avoine",AlimentsRationVolaillesFemelles[],2,FALSE),0))))))))</f>
        <v>0</v>
      </c>
      <c r="DB154" s="351">
        <f t="array" ref="DB154">SUM((IF(QualitéAlimentsPoussinMâle_0_1_mois=MOYENNE,VLOOKUP("Avoine",AlimentsRationVolaillesMâles[],4,FALSE),0)+(IF(QualitéAlimentsPoussinFemelle_0_1_mois=MOYENNE,VLOOKUP("Avoine",AlimentsRationVolaillesFemelles[],4,FALSE),0)+(IF(QualitéAlimentsJeuneCoq=MOYENNE,VLOOKUP("Avoine",AlimentsRationVolaillesMâles[],3,FALSE),0)+(IF(QualitéAlimentsJeunePoule=MOYENNE,VLOOKUP("Avoine",AlimentsRationVolaillesFemelles[],3,FALSE),0)+(IF(QualitéAlimentsCoq=MOYENNE,VLOOKUP("Avoine",AlimentsRationVolaillesMâles[],2,FALSE),0)+(IF(QualitéAlimentsPoule=MOYENNE,VLOOKUP("Avoine",AlimentsRationVolaillesFemelles[],2,FALSE),0))))))))</f>
        <v>0</v>
      </c>
      <c r="DC154" s="351">
        <f t="array" ref="DC154">SUM((IF(QualitéAlimentsPoussinMâle_0_1_mois=MAUVAISE,VLOOKUP("Avoine",AlimentsRationVolaillesMâles[],4,FALSE),0)+(IF(QualitéAlimentsPoussinFemelle_0_1_mois=MAUVAISE,VLOOKUP("Avoine",AlimentsRationVolaillesFemelles[],4,FALSE),0)+(IF(QualitéAlimentsJeuneCoq=MAUVAISE,VLOOKUP("Avoine",AlimentsRationVolaillesMâles[],3,FALSE),0)+(IF(QualitéAlimentsJeunePoule=MAUVAISE,VLOOKUP("Avoine",AlimentsRationVolaillesFemelles[],3,FALSE),0)+(IF(QualitéAlimentsCoq=MAUVAISE,VLOOKUP("Avoine",AlimentsRationVolaillesMâles[],2,FALSE),0)+(IF(QualitéAlimentsPoule=MAUVAISE,VLOOKUP("Avoine",AlimentsRationVolaillesFemelles[],2,FALSE),0))))))))</f>
        <v>0</v>
      </c>
      <c r="DD154" s="277"/>
      <c r="DG154" s="350" t="str">
        <f t="shared" si="52"/>
        <v>Ensilage d'herbe</v>
      </c>
      <c r="DH154" s="351">
        <f t="array" ref="DH154">SUM((IF(QualitéAlimentsPintadeauMâle_0_1_mois=BONNE,VLOOKUP("Ensilage d'herbe",AlimentsRationPintadesMâles[],4,FALSE),0)+(IF(QualitéAlimentsPintadeauFemelle_0_1_mois=BONNE,VLOOKUP("Ensilage d'herbe",AlimentsRationPintadesFemelles[],4,FALSE),0)+(IF(QualitéAlimentsJeunePintadeMâle=BONNE,VLOOKUP("Ensilage d'herbe",AlimentsRationPintadesMâles[],3,FALSE),0)+(IF(QualitéAlimentsJeunePintadeFemelle=BONNE,VLOOKUP("Ensilage d'herbe",AlimentsRationPintadesFemelles[],3,FALSE),0)+(IF(QualitéAlimentsPintadeMâle=BONNE,VLOOKUP("Ensilage d'herbe",AlimentsRationPintadesMâles[],2,FALSE),0)+(IF(QualitéAlimentsPintadeFemelle=BONNE,VLOOKUP("Ensilage d'herbe",AlimentsRationPintadesFemelles[],2,FALSE),0))))))))</f>
        <v>0</v>
      </c>
      <c r="DI154" s="351">
        <f t="array" ref="DI154">SUM((IF(QualitéAlimentsPintadeauMâle_0_1_mois=MOYENNE,VLOOKUP("Ensilage d'herbe",AlimentsRationPintadesMâles[],4,FALSE),0)+(IF(QualitéAlimentsPintadeauFemelle_0_1_mois=MOYENNE,VLOOKUP("Ensilage d'herbe",AlimentsRationPintadesFemelles[],4,FALSE),0)+(IF(QualitéAlimentsJeunePintadeMâle=MOYENNE,VLOOKUP("Ensilage d'herbe",AlimentsRationPintadesMâles[],3,FALSE),0)+(IF(QualitéAlimentsJeunePintadeFemelle=MOYENNE,VLOOKUP("Ensilage d'herbe",AlimentsRationPintadesFemelles[],3,FALSE),0)+(IF(QualitéAlimentsPintadeMâle=MOYENNE,VLOOKUP("Ensilage d'herbe",AlimentsRationPintadesMâles[],2,FALSE),0)+(IF(QualitéAlimentsPintadeFemelle=MOYENNE,VLOOKUP("Ensilage d'herbe",AlimentsRationPintadesFemelles[],2,FALSE),0))))))))</f>
        <v>0</v>
      </c>
      <c r="DJ154" s="351">
        <f t="array" ref="DJ154">SUM((IF(QualitéAlimentsPintadeauMâle_0_1_mois=MAUVAISE,VLOOKUP("Ensilage d'herbe",AlimentsRationPintadesMâles[],4,FALSE),0)+(IF(QualitéAlimentsPintadeauFemelle_0_1_mois=MAUVAISE,VLOOKUP("Ensilage d'herbe",AlimentsRationPintadesFemelles[],4,FALSE),0)+(IF(QualitéAlimentsJeunePintadeMâle=MAUVAISE,VLOOKUP("Ensilage d'herbe",AlimentsRationPintadesMâles[],3,FALSE),0)+(IF(QualitéAlimentsJeunePintadeFemelle=MAUVAISE,VLOOKUP("Ensilage d'herbe",AlimentsRationPintadesFemelles[],3,FALSE),0)+(IF(QualitéAlimentsPintadeMâle=MAUVAISE,VLOOKUP("Ensilage d'herbe",AlimentsRationPintadesMâles[],2,FALSE),0)+(IF(QualitéAlimentsPintadeFemelle=MAUVAISE,VLOOKUP("Ensilage d'herbe",AlimentsRationPintadesFemelles[],2,FALSE),0))))))))</f>
        <v>0</v>
      </c>
      <c r="DN154" s="350" t="s">
        <v>904</v>
      </c>
      <c r="DO154" s="351">
        <f t="array" ref="DO154">IF(ChoixRationComplèteOvins=OUI,0,IFERROR(IF(OR(AND(INDEX(Règles_ovins[Specificite],MATCH(ChoixRationOvins&amp;$DN154,Règles_ovins[Ration]&amp;Règles_ovins[Aliment],0))="s1",IF($DN154=Spécificité1Ovins,1)),
AND(INDEX(Règles_ovins[Specificite],MATCH(ChoixRationOvins&amp;$DN154,Règles_ovins[Ration]&amp;Règles_ovins[Aliment],0))="s2",IF($DN154=Spécificité2Ovins,1)),
INDEX(Règles_ovins[Specificite],MATCH(ChoixRationOvins&amp;$DN154,Règles_ovins[Ration]&amp;Règles_ovins[Aliment],0))="c"),
INDEX(Règles_ovins[Valeur 12 et plus],MATCH(ChoixRationOvins&amp;$DN154,Règles_ovins[Ration]&amp;Règles_ovins[Aliment],0)),0),0)*IF(ChoixOvinsPréHiver=OUI,SUM(TotalOvinsAdultesRacesLaitières)*NbreJoursNourrirOvins,TotalBéliers*NbreJoursNourrirOvins))</f>
        <v>0</v>
      </c>
      <c r="DP154" s="351">
        <f t="array" ref="DP154">IF(ChoixRationComplèteOvins=OUI,0,IFERROR(IF(OR(AND(INDEX(Règles_ovins[Specificite],MATCH(ChoixRationOvins&amp;$DN154,Règles_ovins[Ration]&amp;Règles_ovins[Aliment],0))="s1",IF($DN154=Spécificité1Ovins,1)),
AND(INDEX(Règles_ovins[Specificite],MATCH(ChoixRationOvins&amp;$DN154,Règles_ovins[Ration]&amp;Règles_ovins[Aliment],0))="s2",IF($DN154=Spécificité2Ovins,1)),
INDEX(Règles_ovins[Specificite],MATCH(ChoixRationOvins&amp;$DN154,Règles_ovins[Ration]&amp;Règles_ovins[Aliment],0))="c"),
INDEX(Règles_ovins[Valeur 6-12],MATCH(ChoixRationOvins&amp;$DN154,Règles_ovins[Ration]&amp;Règles_ovins[Aliment],0)),0),0)*IF(ChoixOvinsPréHiver=OUI,SUM(TotalJeunesOvinsRacesLaitières)*NbreJoursNourrirOvins,TotalJeune_bélier_6_12_mois*NbreJoursNourrirOvins))</f>
        <v>0</v>
      </c>
      <c r="DQ154" s="351">
        <f t="array" ref="DQ154">IF(ChoixRationComplèteOvins=OUI,0,IFERROR(IF(OR(AND(INDEX(Règles_ovins[Specificite],MATCH(ChoixRationOvins&amp;$DN154,Règles_ovins[Ration]&amp;Règles_ovins[Aliment],0))="s1",IF($DN154=Spécificité1Ovins,1)),
AND(INDEX(Règles_ovins[Specificite],MATCH(ChoixRationOvins&amp;$DN154,Règles_ovins[Ration]&amp;Règles_ovins[Aliment],0))="s2",IF($DN154=Spécificité2Ovins,1)),
INDEX(Règles_ovins[Specificite],MATCH(ChoixRationOvins&amp;$DN154,Règles_ovins[Ration]&amp;Règles_ovins[Aliment],0))="c"),
INDEX(Règles_ovins[Valeur 3-6],MATCH(ChoixRationOvins&amp;$DN154,Règles_ovins[Ration]&amp;Règles_ovins[Aliment],0)),0),0)*IF(ChoixOvinsPréHiver=OUI,SUM(TotalOvins_3_6moisRacesLaitières)*NbreJoursNourrirOvins,TotalAgneau_3_6_mois*NbreJoursNourrirOvins))</f>
        <v>0</v>
      </c>
      <c r="DR154" s="351">
        <f t="array" ref="DR154">IF(ChoixRationComplèteOvins=OUI,0,IFERROR(IF(OR(AND(INDEX(Règles_ovins[Specificite],MATCH(ChoixRationOvins&amp;$DN154,Règles_ovins[Ration]&amp;Règles_ovins[Aliment],0))="s1",IF($DN154=Spécificité1Ovins,1)),
AND(INDEX(Règles_ovins[Specificite],MATCH(ChoixRationOvins&amp;$DN154,Règles_ovins[Ration]&amp;Règles_ovins[Aliment],0))="s2",IF($DN154=Spécificité2Ovins,1)),
INDEX(Règles_ovins[Specificite],MATCH(ChoixRationOvins&amp;$DN154,Règles_ovins[Ration]&amp;Règles_ovins[Aliment],0))="c"),
INDEX(Règles_ovins[Valeur 0-3],MATCH(ChoixRationOvins&amp;$DN154,Règles_ovins[Ration]&amp;Règles_ovins[Aliment],0)),0),0)*IF(ChoixOvinsPréHiver=OUI,SUM(TotalOvins_3_6moisRacesLaitières)*NbreJoursNourrirOvins,TotalAgneau_0_3_mois*NbreJoursNourrirOvins))</f>
        <v>0</v>
      </c>
      <c r="DS154" s="441">
        <f t="shared" si="55"/>
        <v>0</v>
      </c>
      <c r="EG154" s="350" t="str">
        <f t="shared" si="57"/>
        <v>Chanvre</v>
      </c>
      <c r="EH154" s="351">
        <f t="array" ref="EH154">SUM((IF(QualitéAlimentsOisonMâle_0_3_mois=BONNE,VLOOKUP("Chanvre",AlimentsRationOiesMâles[],4,FALSE),0)+(IF(QualitéAlimentsOisonFemelle_0_3_mois=BONNE,VLOOKUP("Chanvre",AlimentsRationOiesFemelles[],4,FALSE),0)+(IF(QualitéAlimentsJeuneJars=BONNE,VLOOKUP("Chanvre",AlimentsRationOiesMâles[],3,FALSE),0)+(IF(QualitéAlimentsJeuneOie=BONNE,VLOOKUP("Chanvre",AlimentsRationOiesFemelles[],3,FALSE),0)+(IF(QualitéAlimentsJars=BONNE,VLOOKUP("Chanvre",AlimentsRationOiesMâles[],2,FALSE),0)+(IF(QualitéAlimentsOie=BONNE,VLOOKUP("Chanvre",AlimentsRationOiesFemelles[],2,FALSE),0))))))))</f>
        <v>0</v>
      </c>
      <c r="EI154" s="351">
        <f t="array" ref="EI154">SUM((IF(QualitéAlimentsOisonMâle_0_3_mois=MOYENNE,VLOOKUP("Chanvre",AlimentsRationOiesMâles[],4,FALSE),0)+(IF(QualitéAlimentsOisonFemelle_0_3_mois=MOYENNE,VLOOKUP("Chanvre",AlimentsRationOiesFemelles[],4,FALSE),0)+(IF(QualitéAlimentsJeuneJars=MOYENNE,VLOOKUP("Chanvre",AlimentsRationOiesMâles[],3,FALSE),0)+(IF(QualitéAlimentsJeuneOie=MOYENNE,VLOOKUP("Chanvre",AlimentsRationOiesFemelles[],3,FALSE),0)+(IF(QualitéAlimentsJars=MOYENNE,VLOOKUP("Chanvre",AlimentsRationOiesMâles[],2,FALSE),0)+(IF(QualitéAlimentsOie=MOYENNE,VLOOKUP("Chanvre",AlimentsRationOiesFemelles[],2,FALSE),0))))))))</f>
        <v>0</v>
      </c>
      <c r="EJ154" s="351">
        <f t="array" ref="EJ154">SUM((IF(QualitéAlimentsOisonMâle_0_3_mois=MAUVAISE,VLOOKUP("Chanvre",AlimentsRationOiesMâles[],4,FALSE),0)+(IF(QualitéAlimentsOisonFemelle_0_3_mois=MAUVAISE,VLOOKUP("Chanvre",AlimentsRationOiesFemelles[],4,FALSE),0)+(IF(QualitéAlimentsJeuneJars=MAUVAISE,VLOOKUP("Chanvre",AlimentsRationOiesMâles[],3,FALSE),0)+(IF(QualitéAlimentsJeuneOie=MAUVAISE,VLOOKUP("Chanvre",AlimentsRationOiesFemelles[],3,FALSE),0)+(IF(QualitéAlimentsJars=MAUVAISE,VLOOKUP("Chanvre",AlimentsRationOiesMâles[],2,FALSE),0)+(IF(QualitéAlimentsOie=MAUVAISE,VLOOKUP("Chanvre",AlimentsRationOiesFemelles[],2,FALSE),0))))))))</f>
        <v>0</v>
      </c>
      <c r="EN154" s="457" t="str">
        <f t="shared" si="56"/>
        <v>Canola</v>
      </c>
      <c r="EO154" s="458">
        <f t="array" ref="EO154">SUM((IF(QualitéAlimentsCanetonMâle=BONNE,VLOOKUP("Canola",AlimentsRationCanardsMâles,4,FALSE),0)+(IF(QualitéAlimentsCanetonFemelle=BONNE,VLOOKUP("Canola",AlimentsRationCanardsFemelles,4,FALSE),0)+(IF(QualitéAlimentsJeuneCanard=BONNE,VLOOKUP("Canola",AlimentsRationCanardsMâles,3,FALSE),0)+(IF(QualitéAlimentsJeuneCane=BONNE,VLOOKUP("Canola",AlimentsRationCanardsFemelles,3,FALSE),0)+(IF(QualitéAlimentsCanard=BONNE,VLOOKUP("Canola",AlimentsRationCanardsMâles,2,FALSE),0)+(IF(QualitéAlimentsCane=BONNE,VLOOKUP("Canola",AlimentsRationCanardsFemelles,2,FALSE),0))))))))</f>
        <v>0</v>
      </c>
      <c r="EP154" s="458">
        <f t="array" ref="EP154">SUM((IF(QualitéAlimentsCanetonMâle=MOYENNE,VLOOKUP("Canola",AlimentsRationCanardsMâles,4,FALSE),0)+(IF(QualitéAlimentsCanetonFemelle=MOYENNE,VLOOKUP("Canola",AlimentsRationCanardsFemelles,4,FALSE),0)+(IF(QualitéAlimentsJeuneCanard=MOYENNE,VLOOKUP("Canola",AlimentsRationCanardsMâles,3,FALSE),0)+(IF(QualitéAlimentsJeuneCane=MOYENNE,VLOOKUP("Canola",AlimentsRationCanardsFemelles,3,FALSE),0)+(IF(QualitéAlimentsCanard=MOYENNE,VLOOKUP("Canola",AlimentsRationCanardsMâles,2,FALSE),0)+(IF(QualitéAlimentsCane=MOYENNE,VLOOKUP("Canola",AlimentsRationCanardsFemelles,2,FALSE),0))))))))</f>
        <v>0</v>
      </c>
      <c r="EQ154" s="458">
        <f t="array" ref="EQ154">SUM((IF(QualitéAlimentsCanetonMâle=MAUVAISE,VLOOKUP("Canola",AlimentsRationCanardsMâles,4,FALSE),0)+(IF(QualitéAlimentsCanetonFemelle=MAUVAISE,VLOOKUP("Canola",AlimentsRationCanardsFemelles,4,FALSE),0)+(IF(QualitéAlimentsJeuneCanard=MAUVAISE,VLOOKUP("Canola",AlimentsRationCanardsMâles,3,FALSE),0)+(IF(QualitéAlimentsJeuneCane=MAUVAISE,VLOOKUP("Canola",AlimentsRationCanardsFemelles,3,FALSE),0)+(IF(QualitéAlimentsCanard=MAUVAISE,VLOOKUP("Canola",AlimentsRationCanardsMâles,2,FALSE),0)+(IF(QualitéAlimentsCane=MAUVAISE,VLOOKUP("Canola",AlimentsRationCanardsFemelles,2,FALSE),0))))))))</f>
        <v>0</v>
      </c>
      <c r="EU154" s="457" t="str">
        <f t="shared" si="54"/>
        <v>Colza</v>
      </c>
      <c r="EV154" s="458">
        <f t="array" ref="EV154">IF(OR(ChoixRationHivernaleComplèteChevauxSelle=OUI,ChoixRationHivernaleComplèteChevauxSelle="",ChoixChevauxSellePréHiver=NON),0,IFERROR(IF(OR(AND(INDEX(Règles_chevaux_selle[Specificite],MATCH(RationHivernaleAuPréChevauxSelle&amp;$EU154,Règles_chevaux_selle[Ration]&amp;Règles_chevaux_selle[Aliment],0))="s1",IF($EU154=Spécificité1ChevauxSelle,1)),
AND(INDEX(Règles_chevaux_selle[Specificite],MATCH(RationHivernaleAuPréChevauxSelle&amp;$EU154,Règles_chevaux_selle[Ration]&amp;Règles_chevaux_selle[Aliment],0))="s2",IF($EU154=Spécificité2ChevauxSelle,1)),
INDEX(Règles_chevaux_selle[Specificite],MATCH(RationHivernaleAuPréChevauxSelle&amp;$EU154,Règles_chevaux_selle[Ration]&amp;Règles_chevaux_selle[Aliment],0))="c"),
INDEX(Règles_chevaux_selle[Valeur 36 et plus],MATCH(RationHivernaleAuPréChevauxSelle&amp;$EU154,Règles_chevaux_selle[Ration]&amp;Règles_chevaux_selle[Aliment],0)),0),0)*SUM(TotalChevauxSelleAdultes)*21)</f>
        <v>0</v>
      </c>
      <c r="EW154" s="458">
        <f t="array" ref="EW154">IF(OR(ChoixRationHivernaleComplèteChevauxSelle=OUI,ChoixRationHivernaleComplèteChevauxSelle="",ChoixChevauxSellePréHiver=NON),0,IFERROR(IF(OR(AND(INDEX(Règles_chevaux_selle[Specificite],MATCH(RationHivernaleAuPréChevauxSelle&amp;$EU154,Règles_chevaux_selle[Ration]&amp;Règles_chevaux_selle[Aliment],0))="s1",IF($EU154=Spécificité1ChevauxSelle,1)),
AND(INDEX(Règles_chevaux_selle[Specificite],MATCH(RationHivernaleAuPréChevauxSelle&amp;$EU154,Règles_chevaux_selle[Ration]&amp;Règles_chevaux_selle[Aliment],0))="s2",IF($EU154=Spécificité2ChevauxSelle,1)),
INDEX(Règles_chevaux_selle[Specificite],MATCH(RationHivernaleAuPréChevauxSelle&amp;$EU154,Règles_chevaux_selle[Ration]&amp;Règles_chevaux_selle[Aliment],0))="c"),
INDEX(Règles_chevaux_selle[Valeur 24-36],MATCH(RationHivernaleAuPréChevauxSelle&amp;$EU154,Règles_chevaux_selle[Ration]&amp;Règles_chevaux_selle[Aliment],0)),0),0)*SUM(TotalChevauxSelle_24_36mois)*21)</f>
        <v>0</v>
      </c>
      <c r="EX154" s="458">
        <f t="array" ref="EX154">IF(OR(ChoixRationHivernaleComplèteChevauxSelle=OUI,ChoixRationHivernaleComplèteChevauxSelle="",ChoixChevauxSellePréHiver=NON),0,IFERROR(IF(OR(AND(INDEX(Règles_chevaux_selle[Specificite],MATCH(RationHivernaleAuPréChevauxSelle&amp;$EU154,Règles_chevaux_selle[Ration]&amp;Règles_chevaux_selle[Aliment],0))="s1",IF($EU154=Spécificité1ChevauxSelle,1)),
AND(INDEX(Règles_chevaux_selle[Specificite],MATCH(RationHivernaleAuPréChevauxSelle&amp;$EU154,Règles_chevaux_selle[Ration]&amp;Règles_chevaux_selle[Aliment],0))="s2",IF($EU154=Spécificité2ChevauxSelle,1)),
INDEX(Règles_chevaux_selle[Specificite],MATCH(RationHivernaleAuPréChevauxSelle&amp;$EU154,Règles_chevaux_selle[Ration]&amp;Règles_chevaux_selle[Aliment],0))="c"),
INDEX(Règles_chevaux_selle[Valeur 12-24],MATCH(RationHivernaleAuPréChevauxSelle&amp;$EU154,Règles_chevaux_selle[Ration]&amp;Règles_chevaux_selle[Aliment],0)),0),0)*SUM(TotalChevauxSelle_12_24mois)*21)</f>
        <v>0</v>
      </c>
      <c r="EY154" s="460">
        <f t="array" ref="EY154">IF(OR(ChoixRationHivernaleComplèteChevauxSelle=OUI,ChoixRationHivernaleComplèteChevauxSelle="",ChoixChevauxSellePréHiver=NON),0,IFERROR(IF(OR(AND(INDEX(Règles_chevaux_selle[Specificite],MATCH(RationHivernaleAuPréChevauxSelle&amp;$EU154,Règles_chevaux_selle[Ration]&amp;Règles_chevaux_selle[Aliment],0))="s1",IF($EU154=Spécificité1ChevauxSelle,1)),
AND(INDEX(Règles_chevaux_selle[Specificite],MATCH(RationHivernaleAuPréChevauxSelle&amp;$EU154,Règles_chevaux_selle[Ration]&amp;Règles_chevaux_selle[Aliment],0))="s2",IF($EU154=Spécificité2ChevauxSelle,1)),
INDEX(Règles_chevaux_selle[Specificite],MATCH(RationHivernaleAuPréChevauxSelle&amp;$EU154,Règles_chevaux_selle[Ration]&amp;Règles_chevaux_selle[Aliment],0))="c"),
INDEX(Règles_chevaux_selle[Valeur 0-12],MATCH(RationHivernaleAuPréChevauxSelle&amp;$EU154,Règles_chevaux_selle[Ration]&amp;Règles_chevaux_selle[Aliment],0)),0),0)*SUM(TotalPoulainsSelle)*21)</f>
        <v>0</v>
      </c>
      <c r="EZ154" s="460">
        <f t="shared" si="53"/>
        <v>0</v>
      </c>
      <c r="FD154" s="457" t="str">
        <f t="shared" si="49"/>
        <v>Epinard</v>
      </c>
      <c r="FE154" s="458">
        <f t="array" ref="FE154">IF(OR(ChoixRationHivernaleComplèteChevauxTrait=OUI,ChoixRationHivernaleComplèteChevauxTrait="",ChoixChevauxTraitPréHiver=NON),0,IFERROR(IF(OR(AND(INDEX(Règles_chevaux_trait[Specificite],MATCH(RationHivernaleAuPréChevauxTrait&amp;$FD154,Règles_chevaux_trait[Ration]&amp;Règles_chevaux_trait[Aliment],0))="s1",IF($FD154=Spécificité1ChevauxTrait,1)),
AND(INDEX(Règles_chevaux_trait[Specificite],MATCH(RationHivernaleAuPréChevauxTrait&amp;$FD154,Règles_chevaux_trait[Ration]&amp;Règles_chevaux_trait[Aliment],0))="s2",IF($FD154=Spécificité2ChevauxTrait,1)),
INDEX(Règles_chevaux_trait[Specificite],MATCH(RationHivernaleAuPréChevauxTrait&amp;$FD154,Règles_chevaux_trait[Ration]&amp;Règles_chevaux_trait[Aliment],0))="c"),
INDEX(Règles_chevaux_trait[Valeur 36 et plus],MATCH(RationHivernaleAuPréChevauxTrait&amp;$FD154,Règles_chevaux_trait[Ration]&amp;Règles_chevaux_trait[Aliment],0)),0),0)*SUM(TotalChevauxTraitAdultes)*21)</f>
        <v>0</v>
      </c>
      <c r="FF154" s="458">
        <f t="array" ref="FF154">IF(OR(ChoixRationHivernaleComplèteChevauxTrait=OUI,ChoixRationHivernaleComplèteChevauxTrait="",ChoixChevauxTraitPréHiver=NON),0,IFERROR(IF(OR(AND(INDEX(Règles_chevaux_trait[Specificite],MATCH(RationHivernaleAuPréChevauxTrait&amp;$FD154,Règles_chevaux_trait[Ration]&amp;Règles_chevaux_trait[Aliment],0))="s1",IF($FD154=Spécificité1ChevauxTrait,1)),
AND(INDEX(Règles_chevaux_trait[Specificite],MATCH(RationHivernaleAuPréChevauxTrait&amp;$FD154,Règles_chevaux_trait[Ration]&amp;Règles_chevaux_trait[Aliment],0))="s2",IF($FD154=Spécificité2ChevauxTrait,1)),
INDEX(Règles_chevaux_trait[Specificite],MATCH(RationHivernaleAuPréChevauxTrait&amp;$FD154,Règles_chevaux_trait[Ration]&amp;Règles_chevaux_trait[Aliment],0))="c"),
INDEX(Règles_chevaux_trait[Valeur 24-36],MATCH(RationHivernaleAuPréChevauxTrait&amp;$FD154,Règles_chevaux_trait[Ration]&amp;Règles_chevaux_trait[Aliment],0)),0),0)*SUM(TotalChevauxTrait_24_36mois)*21)</f>
        <v>0</v>
      </c>
      <c r="FG154" s="458">
        <f t="array" ref="FG154">IF(OR(ChoixRationHivernaleComplèteChevauxTrait=OUI,ChoixRationHivernaleComplèteChevauxTrait="",ChoixChevauxTraitPréHiver=NON),0,IFERROR(IF(OR(AND(INDEX(Règles_chevaux_trait[Specificite],MATCH(RationHivernaleAuPréChevauxTrait&amp;$FD154,Règles_chevaux_trait[Ration]&amp;Règles_chevaux_trait[Aliment],0))="s1",IF($FD154=Spécificité1ChevauxTrait,1)),
AND(INDEX(Règles_chevaux_trait[Specificite],MATCH(RationHivernaleAuPréChevauxTrait&amp;$FD154,Règles_chevaux_trait[Ration]&amp;Règles_chevaux_trait[Aliment],0))="s2",IF($FD154=Spécificité2ChevauxTrait,1)),
INDEX(Règles_chevaux_trait[Specificite],MATCH(RationHivernaleAuPréChevauxTrait&amp;$FD154,Règles_chevaux_trait[Ration]&amp;Règles_chevaux_trait[Aliment],0))="c"),
INDEX(Règles_chevaux_trait[Valeur 12-24],MATCH(RationHivernaleAuPréChevauxTrait&amp;$FD154,Règles_chevaux_trait[Ration]&amp;Règles_chevaux_trait[Aliment],0)),0),0)*SUM(TotalChevauxTrait_12_24mois)*21)</f>
        <v>0</v>
      </c>
      <c r="FH154" s="460">
        <f t="array" ref="FH154">IF(OR(ChoixRationHivernaleComplèteChevauxTrait=OUI,ChoixRationHivernaleComplèteChevauxTrait="",ChoixChevauxTraitPréHiver=NON),0,IFERROR(IF(OR(AND(INDEX(Règles_chevaux_trait[Specificite],MATCH(RationHivernaleAuPréChevauxTrait&amp;$FD154,Règles_chevaux_trait[Ration]&amp;Règles_chevaux_trait[Aliment],0))="s1",IF($FD154=Spécificité1ChevauxTrait,1)),
AND(INDEX(Règles_chevaux_trait[Specificite],MATCH(RationHivernaleAuPréChevauxTrait&amp;$FD154,Règles_chevaux_trait[Ration]&amp;Règles_chevaux_trait[Aliment],0))="s2",IF($FD154=Spécificité2ChevauxTrait,1)),
INDEX(Règles_chevaux_trait[Specificite],MATCH(RationHivernaleAuPréChevauxTrait&amp;$FD154,Règles_chevaux_trait[Ration]&amp;Règles_chevaux_trait[Aliment],0))="c"),
INDEX(Règles_chevaux_trait[Valeur 0-12],MATCH(RationHivernaleAuPréChevauxTrait&amp;$FD154,Règles_chevaux_trait[Ration]&amp;Règles_chevaux_trait[Aliment],0)),0),0)*SUM(TotalPoulainsTrait)*21)</f>
        <v>0</v>
      </c>
      <c r="FI154" s="460">
        <f t="shared" si="47"/>
        <v>0</v>
      </c>
      <c r="FN154" s="457" t="str">
        <f t="shared" si="48"/>
        <v>Féverole</v>
      </c>
      <c r="FO154" s="458">
        <f t="array" ref="FO154">IF(OR(ChoixRationHivernaleComplètePoneys=OUI,ChoixRationHivernaleComplètePoneys="",ChoixPoneysPréHiver=NON),0,IFERROR(IF(OR(AND(INDEX(Règles_poneys[Specificite],MATCH(RationHivernaleAuPréPoneys&amp;$FN154,Règles_poneys[Ration]&amp;Règles_poneys[Aliment],0))="s1",IF($FN154=Spécificité1Poneys,1)),
AND(INDEX(Règles_poneys[Specificite],MATCH(RationHivernaleAuPréPoneys&amp;$FN154,Règles_poneys[Ration]&amp;Règles_poneys[Aliment],0))="s2",IF($FN154=Spécificité2Poneys,1)),
INDEX(Règles_poneys[Specificite],MATCH(RationHivernaleAuPréPoneys&amp;$FN154,Règles_poneys[Ration]&amp;Règles_poneys[Aliment],0))="c"),
INDEX(Règles_poneys[Valeur 36 et plus],MATCH(RationHivernaleAuPréPoneys&amp;$FN154,Règles_poneys[Ration]&amp;Règles_poneys[Aliment],0)),0),0)*SUM(TotalPoneysAdultes)*21)</f>
        <v>0</v>
      </c>
      <c r="FP154" s="458">
        <f t="array" ref="FP154">IF(OR(ChoixRationHivernaleComplètePoneys=OUI,ChoixRationHivernaleComplètePoneys="",ChoixPoneysPréHiver=NON),0,IFERROR(IF(OR(AND(INDEX(Règles_poneys[Specificite],MATCH(RationHivernaleAuPréPoneys&amp;$FN154,Règles_poneys[Ration]&amp;Règles_poneys[Aliment],0))="s1",IF($FN154=Spécificité1Poneys,1)),
AND(INDEX(Règles_poneys[Specificite],MATCH(RationHivernaleAuPréPoneys&amp;$FN154,Règles_poneys[Ration]&amp;Règles_poneys[Aliment],0))="s2",IF($FN154=Spécificité2Poneys,1)),
INDEX(Règles_poneys[Specificite],MATCH(RationHivernaleAuPréPoneys&amp;$FN154,Règles_poneys[Ration]&amp;Règles_poneys[Aliment],0))="c"),
INDEX(Règles_poneys[Valeur 24-36],MATCH(RationHivernaleAuPréPoneys&amp;$FN154,Règles_poneys[Ration]&amp;Règles_poneys[Aliment],0)),0),0)*SUM(TotalPoneys_24_36mois)*21)</f>
        <v>0</v>
      </c>
      <c r="FQ154" s="458">
        <f t="array" ref="FQ154">IF(OR(ChoixRationHivernaleComplètePoneys=OUI,ChoixRationHivernaleComplètePoneys="",ChoixPoneysPréHiver=NON),0,IFERROR(IF(OR(AND(INDEX(Règles_poneys[Specificite],MATCH(RationHivernaleAuPréPoneys&amp;$FN154,Règles_poneys[Ration]&amp;Règles_poneys[Aliment],0))="s1",IF($FN154=Spécificité1Poneys,1)),
AND(INDEX(Règles_poneys[Specificite],MATCH(RationHivernaleAuPréPoneys&amp;$FN154,Règles_poneys[Ration]&amp;Règles_poneys[Aliment],0))="s2",IF($FN154=Spécificité2Poneys,1)),
INDEX(Règles_poneys[Specificite],MATCH(RationHivernaleAuPréPoneys&amp;$FN154,Règles_poneys[Ration]&amp;Règles_poneys[Aliment],0))="c"),
INDEX(Règles_poneys[Valeur 12-24],MATCH(RationHivernaleAuPréPoneys&amp;$FN154,Règles_poneys[Ration]&amp;Règles_poneys[Aliment],0)),0),0)*SUM(TotalPoneys_12_24mois)*21)</f>
        <v>0</v>
      </c>
      <c r="FR154" s="460">
        <f t="array" ref="FR154">IF(OR(ChoixRationHivernaleComplètePoneys=OUI,ChoixRationHivernaleComplètePoneys="",ChoixPoneysPréHiver=NON),0,IFERROR(IF(OR(AND(INDEX(Règles_poneys[Specificite],MATCH(RationHivernaleAuPréPoneys&amp;$FN154,Règles_poneys[Ration]&amp;Règles_poneys[Aliment],0))="s1",IF($FN154=Spécificité1Poneys,1)),
AND(INDEX(Règles_poneys[Specificite],MATCH(RationHivernaleAuPréPoneys&amp;$FN154,Règles_poneys[Ration]&amp;Règles_poneys[Aliment],0))="s2",IF($FN154=Spécificité2Poneys,1)),
INDEX(Règles_poneys[Specificite],MATCH(RationHivernaleAuPréPoneys&amp;$FN154,Règles_poneys[Ration]&amp;Règles_poneys[Aliment],0))="c"),
INDEX(Règles_poneys[Valeur 0-12],MATCH(RationHivernaleAuPréPoneys&amp;$FN154,Règles_poneys[Ration]&amp;Règles_poneys[Aliment],0)),0),0)*SUM(TotalPoulainsPoneys)*21)</f>
        <v>0</v>
      </c>
      <c r="FS154" s="460">
        <f t="shared" si="46"/>
        <v>0</v>
      </c>
      <c r="FW154" s="457" t="str">
        <f t="shared" si="44"/>
        <v>Maïs grain</v>
      </c>
      <c r="FX154" s="458">
        <f t="array" ref="FX154">SUM((IF(QualitéAlimentsGavageOison_0_1_mois=BONNE,VLOOKUP("Maïs grain",AlimentsGavageOie,5,FALSE),0)+(IF(QualitéAlimentsGavageCaneton_0_1_mois=BONNE,VLOOKUP("Maïs grain",AlimentsGavageCanard,5,FALSE),0)+(IF(QualitéAlimentsGavageOison_1_2_mois=BONNE,VLOOKUP("Maïs grain",AlimentsGavageOie,4,FALSE),0)+(IF(QualitéAlimentsGavageCaneton_1_2_mois=BONNE,VLOOKUP("Maïs grain",AlimentsGavageCanard,4,FALSE),0)+(IF(QualitéAlimentsGavageOison_2_3_mois=BONNE,VLOOKUP("Maïs grain",AlimentsGavageOie,3,FALSE),0)+(IF(QualitéAlimentsGavageCaneton_2_3_mois=BONNE,VLOOKUP("Maïs grain",AlimentsGavageCanard,3,FALSE),0)+(IF(QualitéAlimentsGavageJeunesOies=BONNE,VLOOKUP("Maïs grain",AlimentsGavageOie,2,FALSE),0)+(IF(QualitéAlimentsGavageJeuneCanard=BONNE,VLOOKUP("Maïs grain",AlimentsGavageCanard,2,FALSE),0))))))))))</f>
        <v>0</v>
      </c>
      <c r="FY154" s="458">
        <f t="array" ref="FY154">SUM((IF(QualitéAlimentsGavageOison_0_1_mois=MOYENNE,VLOOKUP("Maïs grain",AlimentsGavageOie,5,FALSE),0)+(IF(QualitéAlimentsGavageCaneton_0_1_mois=MOYENNE,VLOOKUP("Maïs grain",AlimentsGavageCanard,5,FALSE),0)+(IF(QualitéAlimentsGavageOison_1_2_mois=MOYENNE,VLOOKUP("Maïs grain",AlimentsGavageOie,4,FALSE),0)+(IF(QualitéAlimentsGavageCaneton_1_2_mois=MOYENNE,VLOOKUP("Maïs grain",AlimentsGavageCanard,4,FALSE),0)+(IF(QualitéAlimentsGavageOison_2_3_mois=MOYENNE,VLOOKUP("Maïs grain",AlimentsGavageOie,3,FALSE),0)+(IF(QualitéAlimentsGavageCaneton_2_3_mois=MOYENNE,VLOOKUP("Maïs grain",AlimentsGavageCanard,3,FALSE),0)+(IF(QualitéAlimentsGavageJeunesOies=MOYENNE,VLOOKUP("Maïs grain",AlimentsGavageOie,2,FALSE),0)+(IF(QualitéAlimentsGavageJeuneCanard=MOYENNE,VLOOKUP("Maïs grain",AlimentsGavageCanard,2,FALSE),0))))))))))</f>
        <v>0</v>
      </c>
      <c r="FZ154" s="458">
        <f t="array" ref="FZ154">SUM((IF(QualitéAlimentsGavageOison_0_1_mois=MAUVAISE,VLOOKUP("Maïs grain",AlimentsGavageOie,5,FALSE),0)+(IF(QualitéAlimentsGavageCaneton_0_1_mois=MAUVAISE,VLOOKUP("Maïs grain",AlimentsGavageCanard,5,FALSE),0)+(IF(QualitéAlimentsGavageOison_1_2_mois=MAUVAISE,VLOOKUP("Maïs grain",AlimentsGavageOie,4,FALSE),0)+(IF(QualitéAlimentsGavageCaneton_1_2_mois=MAUVAISE,VLOOKUP("Maïs grain",AlimentsGavageCanard,4,FALSE),0)+(IF(QualitéAlimentsGavageOison_2_3_mois=MAUVAISE,VLOOKUP("Maïs grain",AlimentsGavageOie,3,FALSE),0)+(IF(QualitéAlimentsGavageCaneton_2_3_mois=MAUVAISE,VLOOKUP("Maïs grain",AlimentsGavageCanard,3,FALSE),0)+(IF(QualitéAlimentsGavageJeunesOies=MAUVAISE,VLOOKUP("Maïs grain",AlimentsGavageOie,2,FALSE),0)+(IF(QualitéAlimentsGavageJeuneCanard=MAUVAISE,VLOOKUP("Maïs grain",AlimentsGavageCanard,2,FALSE),0))))))))))</f>
        <v>0</v>
      </c>
      <c r="GB154" s="281"/>
      <c r="GG154" s="276" t="s">
        <v>955</v>
      </c>
      <c r="GH154" s="276" t="s">
        <v>955</v>
      </c>
      <c r="GI154" s="276" t="s">
        <v>955</v>
      </c>
      <c r="GJ154" s="276" t="s">
        <v>955</v>
      </c>
      <c r="GK154" s="276" t="s">
        <v>955</v>
      </c>
      <c r="GL154" s="276" t="s">
        <v>955</v>
      </c>
      <c r="GM154" s="276" t="s">
        <v>955</v>
      </c>
      <c r="GN154" s="276" t="s">
        <v>955</v>
      </c>
      <c r="GO154" s="276" t="s">
        <v>955</v>
      </c>
      <c r="GP154" s="276" t="s">
        <v>955</v>
      </c>
      <c r="GQ154" s="276" t="s">
        <v>955</v>
      </c>
      <c r="GR154" s="276" t="s">
        <v>955</v>
      </c>
      <c r="GS154" s="276" t="s">
        <v>955</v>
      </c>
      <c r="GT154" s="276" t="s">
        <v>955</v>
      </c>
      <c r="GU154" s="276" t="s">
        <v>955</v>
      </c>
      <c r="GV154" s="276" t="s">
        <v>955</v>
      </c>
    </row>
    <row r="155" spans="1:204" ht="12.75" customHeight="1" x14ac:dyDescent="0.2">
      <c r="A155" s="373"/>
      <c r="B155" s="382"/>
      <c r="BB155" s="387" t="s">
        <v>516</v>
      </c>
      <c r="BC155" s="362" t="s">
        <v>500</v>
      </c>
      <c r="BD155" s="362" t="s">
        <v>888</v>
      </c>
      <c r="BE155" s="388">
        <v>4.8</v>
      </c>
      <c r="BF155" s="388">
        <v>4</v>
      </c>
      <c r="BG155" s="388">
        <v>4</v>
      </c>
      <c r="BH155" s="388">
        <v>4</v>
      </c>
      <c r="BI155" s="388">
        <v>2</v>
      </c>
      <c r="BJ155" s="388">
        <v>1.2</v>
      </c>
      <c r="BK155" s="389">
        <v>0</v>
      </c>
      <c r="BL155" s="312"/>
      <c r="BX155" s="350" t="str">
        <f t="shared" si="51"/>
        <v>Eau</v>
      </c>
      <c r="BY155" s="350">
        <f t="array" ref="BY155">IF(ChoixRationComplèteCaprins=OUI,0,IFERROR(IF(OR(AND(INDEX(Règles_caprins[Specificite],MATCH(ChoixRationCaprins&amp;$BX155,Règles_caprins[Ration]&amp;Règles_caprins[Aliment],0))="s1",IF($BX155=Spécificité1Caprins,1)),
INDEX(Règles_caprins[Specificite],MATCH(ChoixRationCaprins&amp;$BX155,Règles_caprins[Ration]&amp;Règles_caprins[Aliment],0))="c"),
INDEX(Règles_caprins[Valeur 12 et plus],MATCH(ChoixRationCaprins&amp;$BX155,Règles_caprins[Ration]&amp;Règles_caprins[Aliment],0)),0),0)*TotalChèvres*NbreJoursNourrirCaprins)</f>
        <v>5140</v>
      </c>
      <c r="BZ155" s="350">
        <f t="array" ref="BZ155">IF(ChoixRationComplèteCaprins=OUI,0,IFERROR(IF(OR(AND(INDEX(Règles_caprins[Specificite],MATCH(ChoixRationCaprins&amp;$BX155,Règles_caprins[Ration]&amp;Règles_caprins[Aliment],0))="s1",IF($BX155=Spécificité1Caprins,1)),
INDEX(Règles_caprins[Specificite],MATCH(ChoixRationCaprins&amp;$BX155,Règles_caprins[Ration]&amp;Règles_caprins[Aliment],0))="c"),
INDEX(Règles_caprins[Valeur 6-12],MATCH(ChoixRationCaprins&amp;$BX155,Règles_caprins[Ration]&amp;Règles_caprins[Aliment],0)),0),0)*jeune_chèvre_6_12_mois*NbreJoursNourrirCaprins)</f>
        <v>816</v>
      </c>
      <c r="CA155" s="350">
        <f t="array" ref="CA155">IF(ChoixRationComplèteCaprins=OUI,0,IFERROR(IF(OR(AND(INDEX(Règles_caprins[Specificite],MATCH(ChoixRationCaprins&amp;$BX155,Règles_caprins[Ration]&amp;Règles_caprins[Aliment],0))="s1",IF($BX155=Spécificité1Caprins,1)),
INDEX(Règles_caprins[Specificite],MATCH(ChoixRationCaprins&amp;$BX155,Règles_caprins[Ration]&amp;Règles_caprins[Aliment],0))="c"),
INDEX(Règles_caprins[Valeur 3-6],MATCH(ChoixRationCaprins&amp;$BX155,Règles_caprins[Ration]&amp;Règles_caprins[Aliment],0)),0),0)*chevrette_3_6_mois*NbreJoursNourrirCaprins)</f>
        <v>264</v>
      </c>
      <c r="CB155" s="350">
        <f t="array" ref="CB155">IF(ChoixRationComplèteCaprins=OUI,0,IFERROR(IF(OR(AND(INDEX(Règles_caprins[Specificite],MATCH(ChoixRationCaprins&amp;$BX155,Règles_caprins[Ration]&amp;Règles_caprins[Aliment],0))="s1",IF($BX155=Spécificité1Caprins,1)),
INDEX(Règles_caprins[Specificite],MATCH(ChoixRationCaprins&amp;$BX155,Règles_caprins[Ration]&amp;Règles_caprins[Aliment],0))="c"),
INDEX(Règles_caprins[Valeur 0-3],MATCH(ChoixRationCaprins&amp;$BX155,Règles_caprins[Ration]&amp;Règles_caprins[Aliment],0)),0),0)*chevrette_0_3_mois*NbreJoursNourrirCaprins)</f>
        <v>212</v>
      </c>
      <c r="CC155" s="350">
        <f t="shared" si="50"/>
        <v>6432</v>
      </c>
      <c r="CH155" s="298"/>
      <c r="CI155" s="277"/>
      <c r="CJ155" s="350" t="str">
        <f t="shared" si="45"/>
        <v>Lentille</v>
      </c>
      <c r="CK155" s="351">
        <f t="array" ref="CK155">SUM((IF(QualitéAlimentsPorceletMâle_0_1_mois=BONNE,VLOOKUP("Lentille",AlimentsRationPorcinsMâles[],6,FALSE),0)+(IF(QualitéAlimentsPorceletFemelle_0_1_mois=BONNE,VLOOKUP("Lentille",AlimentsRationPorcinsFemelles[],6,FALSE),0)+(IF(QualitéAlimentsPorceletMâle_1_3_mois=BONNE,VLOOKUP("Lentille",AlimentsRationPorcinsMâles[],5,FALSE),0)+(IF(QualitéAlimentsPorceletFemelle_1_3_mois=BONNE,VLOOKUP("Lentille",AlimentsRationPorcinsFemelles[],5,FALSE),0)+(IF(QualitéAlimentsJeuneVerrat_3_6_mois=BONNE,VLOOKUP("Lentille",AlimentsRationPorcinsMâles[],4,FALSE),0)+(IF(QualitéAlimentsJeuneTruie_3_6_mois=BONNE,VLOOKUP("Lentille",AlimentsRationPorcinsFemelles[],4,FALSE),0)+(IF(QualitéAlimentsJeuneVerrat_6_12_mois=BONNE,VLOOKUP("Lentille",AlimentsRationPorcinsMâles[],3,FALSE),0)+(IF(QualitéAlimentsJeuneTruie_6_12_mois=BONNE,VLOOKUP("Lentille",AlimentsRationPorcinsFemelles[],3,FALSE),0)+(IF(QualitéAlimentsVerrat=BONNE,VLOOKUP("Avoine",AlimentsRationPorcinsMâles[],2,FALSE),0)+(IF(QualitéAlimentsTruie=BONNE,VLOOKUP("Avoine",AlimentsRationPorcinsFemelles[],2,FALSE),0))))))))))))</f>
        <v>0</v>
      </c>
      <c r="CL155" s="351">
        <f t="array" ref="CL155">SUM((IF(QualitéAlimentsPorceletMâle_0_1_mois=MOYENNE,VLOOKUP("Lentille",AlimentsRationPorcinsMâles[],6,FALSE),0)+(IF(QualitéAlimentsPorceletFemelle_0_1_mois=MOYENNE,VLOOKUP("Lentille",AlimentsRationPorcinsFemelles[],6,FALSE),0)+(IF(QualitéAlimentsPorceletMâle_1_3_mois=MOYENNE,VLOOKUP("Lentille",AlimentsRationPorcinsMâles[],5,FALSE),0)+(IF(QualitéAlimentsPorceletFemelle_1_3_mois=MOYENNE,VLOOKUP("Lentille",AlimentsRationPorcinsFemelles[],5,FALSE),0)+(IF(QualitéAlimentsJeuneVerrat_3_6_mois=MOYENNE,VLOOKUP("Lentille",AlimentsRationPorcinsMâles[],4,FALSE),0)+(IF(QualitéAlimentsJeuneTruie_3_6_mois=MOYENNE,VLOOKUP("Lentille",AlimentsRationPorcinsFemelles[],4,FALSE),0)+(IF(QualitéAlimentsJeuneVerrat_6_12_mois=MOYENNE,VLOOKUP("Lentille",AlimentsRationPorcinsMâles[],3,FALSE),0)+(IF(QualitéAlimentsJeuneTruie_6_12_mois=MOYENNE,VLOOKUP("Lentille",AlimentsRationPorcinsFemelles[],3,FALSE),0)+(IF(QualitéAlimentsVerrat=BONNE,VLOOKUP("Avoine",AlimentsRationPorcinsMâles[],2,FALSE),0)+(IF(QualitéAlimentsTruie=BONNE,VLOOKUP("Avoine",AlimentsRationPorcinsFemelles[],2,FALSE),0))))))))))))</f>
        <v>0</v>
      </c>
      <c r="CM155" s="351">
        <f t="array" ref="CM155">SUM((IF(QualitéAlimentsPorceletMâle_0_1_mois=MAUVAISE,VLOOKUP("Lentille",AlimentsRationPorcinsMâles[],6,FALSE),0)+(IF(QualitéAlimentsPorceletFemelle_0_1_mois=MAUVAISE,VLOOKUP("Lentille",AlimentsRationPorcinsFemelles[],6,FALSE),0)+(IF(QualitéAlimentsPorceletMâle_1_3_mois=MAUVAISE,VLOOKUP("Lentille",AlimentsRationPorcinsMâles[],5,FALSE),0)+(IF(QualitéAlimentsPorceletFemelle_1_3_mois=MAUVAISE,VLOOKUP("Lentille",AlimentsRationPorcinsFemelles[],5,FALSE),0)+(IF(QualitéAlimentsJeuneVerrat_3_6_mois=MAUVAISE,VLOOKUP("Lentille",AlimentsRationPorcinsMâles[],4,FALSE),0)+(IF(QualitéAlimentsJeuneTruie_3_6_mois=MAUVAISE,VLOOKUP("Lentille",AlimentsRationPorcinsFemelles[],4,FALSE),0)+(IF(QualitéAlimentsJeuneVerrat_6_12_mois=MAUVAISE,VLOOKUP("Lentille",AlimentsRationPorcinsMâles[],3,FALSE),0)+(IF(QualitéAlimentsJeuneTruie_6_12_mois=MAUVAISE,VLOOKUP("Lentille",AlimentsRationPorcinsFemelles[],3,FALSE),0)+(IF(QualitéAlimentsVerrat=BONNE,VLOOKUP("Avoine",AlimentsRationPorcinsMâles[],2,FALSE),0)+(IF(QualitéAlimentsTruie=BONNE,VLOOKUP("Avoine",AlimentsRationPorcinsFemelles[],2,FALSE),0))))))))))))</f>
        <v>0</v>
      </c>
      <c r="CN155" s="277"/>
      <c r="CO155" s="279"/>
      <c r="CP155" s="298"/>
      <c r="CS155" s="350" t="str">
        <f>CS57</f>
        <v>Avoine</v>
      </c>
      <c r="CT155" s="351">
        <f t="array" ref="CT155">SUM((IF(QualitéAlimentsLapereauMâle_0_1_mois=BONNE,VLOOKUP("Avoine",AlimentsRationLapinsMâles[],4,FALSE),0)+(IF(QualitéAlimentsLapereauFemelle_0_1_mois=BONNE,VLOOKUP("Avoine",AlimentsRationLapinsFemelles[],4,FALSE),0)+(IF(QualitéAlimentsJeuneLapin=BONNE,VLOOKUP("Avoine",AlimentsRationLapinsMâles[],3,FALSE),0)+(IF(QualitéAlimentsJeuneLapine=BONNE,VLOOKUP("Avoine",AlimentsRationLapinsFemelles[],3,FALSE),0)+(IF(QualitéAlimentsLapin=BONNE,VLOOKUP("Avoine",AlimentsRationLapinsMâles[],2,FALSE),0)+(IF(QualitéAlimentsLapine=BONNE,VLOOKUP("Avoine",AlimentsRationLapinsFemelles[],2,FALSE),0))))))))</f>
        <v>0</v>
      </c>
      <c r="CU155" s="351">
        <f t="array" ref="CU155">SUM((IF(QualitéAlimentsLapereauMâle_0_1_mois=MOYENNE,VLOOKUP("Avoine",AlimentsRationLapinsMâles[],4,FALSE),0)+(IF(QualitéAlimentsLapereauFemelle_0_1_mois=MOYENNE,VLOOKUP("Avoine",AlimentsRationLapinsFemelles[],4,FALSE),0)+(IF(QualitéAlimentsJeuneLapin=MOYENNE,VLOOKUP("Avoine",AlimentsRationLapinsMâles[],3,FALSE),0)+(IF(QualitéAlimentsJeuneLapine=MOYENNE,VLOOKUP("Avoine",AlimentsRationLapinsFemelles[],3,FALSE),0)+(IF(QualitéAlimentsLapin=MOYENNE,VLOOKUP("Avoine",AlimentsRationLapinsMâles[],2,FALSE),0)+(IF(QualitéAlimentsLapine=MOYENNE,VLOOKUP("Avoine",AlimentsRationLapinsFemelles[],2,FALSE),0))))))))</f>
        <v>0</v>
      </c>
      <c r="CV155" s="351">
        <f t="array" ref="CV155">SUM((IF(QualitéAlimentsLapereauMâle_0_1_mois=MAUVAISE,VLOOKUP("Avoine",AlimentsRationLapinsMâles[],4,FALSE),0)+(IF(QualitéAlimentsLapereauFemelle_0_1_mois=MAUVAISE,VLOOKUP("Avoine",AlimentsRationLapinsFemelles[],4,FALSE),0)+(IF(QualitéAlimentsJeuneLapin=MAUVAISE,VLOOKUP("Avoine",AlimentsRationLapinsMâles[],3,FALSE),0)+(IF(QualitéAlimentsJeuneLapine=MAUVAISE,VLOOKUP("Avoine",AlimentsRationLapinsFemelles[],3,FALSE),0)+(IF(QualitéAlimentsLapin=MAUVAISE,VLOOKUP("Avoine",AlimentsRationLapinsMâles[],2,FALSE),0)+(IF(QualitéAlimentsLapine=MAUVAISE,VLOOKUP("Avoine",AlimentsRationLapinsFemelles[],2,FALSE),0))))))))</f>
        <v>0</v>
      </c>
      <c r="CZ155" s="350" t="str">
        <f t="shared" ref="CZ155:CZ192" si="58">CZ58</f>
        <v>Betterave</v>
      </c>
      <c r="DA155" s="351">
        <f t="array" ref="DA155">SUM((IF(QualitéAlimentsPoussinMâle_0_1_mois=BONNE,VLOOKUP("Betterave",AlimentsRationVolaillesMâles[],4,FALSE),0)+(IF(QualitéAlimentsPoussinFemelle_0_1_mois=BONNE,VLOOKUP("Betterave",AlimentsRationVolaillesFemelles[],4,FALSE),0)+(IF(QualitéAlimentsJeuneCoq=BONNE,VLOOKUP("Betterave",AlimentsRationVolaillesMâles[],3,FALSE),0)+(IF(QualitéAlimentsJeunePoule=BONNE,VLOOKUP("Betterave",AlimentsRationVolaillesFemelles[],3,FALSE),0)+(IF(QualitéAlimentsCoq=BONNE,VLOOKUP("Betterave",AlimentsRationVolaillesMâles[],2,FALSE),0)+(IF(QualitéAlimentsPoule=BONNE,VLOOKUP("Betterave",AlimentsRationVolaillesFemelles[],2,FALSE),0))))))))</f>
        <v>0</v>
      </c>
      <c r="DB155" s="351">
        <f t="array" ref="DB155">SUM((IF(QualitéAlimentsPoussinMâle_0_1_mois=MOYENNE,VLOOKUP("Betterave",AlimentsRationVolaillesMâles[],4,FALSE),0)+(IF(QualitéAlimentsPoussinFemelle_0_1_mois=MOYENNE,VLOOKUP("Betterave",AlimentsRationVolaillesFemelles[],4,FALSE),0)+(IF(QualitéAlimentsJeuneCoq=MOYENNE,VLOOKUP("Betterave",AlimentsRationVolaillesMâles[],3,FALSE),0)+(IF(QualitéAlimentsJeunePoule=MOYENNE,VLOOKUP("Betterave",AlimentsRationVolaillesFemelles[],3,FALSE),0)+(IF(QualitéAlimentsCoq=MOYENNE,VLOOKUP("Betterave",AlimentsRationVolaillesMâles[],2,FALSE),0)+(IF(QualitéAlimentsPoule=MOYENNE,VLOOKUP("Betterave",AlimentsRationVolaillesFemelles[],2,FALSE),0))))))))</f>
        <v>0</v>
      </c>
      <c r="DC155" s="351">
        <f t="array" ref="DC155">SUM((IF(QualitéAlimentsPoussinMâle_0_1_mois=MAUVAISE,VLOOKUP("Betterave",AlimentsRationVolaillesMâles[],4,FALSE),0)+(IF(QualitéAlimentsPoussinFemelle_0_1_mois=MAUVAISE,VLOOKUP("Betterave",AlimentsRationVolaillesFemelles[],4,FALSE),0)+(IF(QualitéAlimentsJeuneCoq=MAUVAISE,VLOOKUP("Betterave",AlimentsRationVolaillesMâles[],3,FALSE),0)+(IF(QualitéAlimentsJeunePoule=MAUVAISE,VLOOKUP("Betterave",AlimentsRationVolaillesFemelles[],3,FALSE),0)+(IF(QualitéAlimentsCoq=MAUVAISE,VLOOKUP("Betterave",AlimentsRationVolaillesMâles[],2,FALSE),0)+(IF(QualitéAlimentsPoule=MAUVAISE,VLOOKUP("Betterave",AlimentsRationVolaillesFemelles[],2,FALSE),0))))))))</f>
        <v>0</v>
      </c>
      <c r="DD155" s="277"/>
      <c r="DG155" s="350" t="str">
        <f t="shared" si="52"/>
        <v>Eau</v>
      </c>
      <c r="DH155" s="351">
        <f t="array" ref="DH155">SUM((IF(QualitéAlimentsPintadeauMâle_0_1_mois=BONNE,VLOOKUP("Eau",AlimentsRationPintadesMâles[],4,FALSE),0)+(IF(QualitéAlimentsPintadeauFemelle_0_1_mois=BONNE,VLOOKUP("Eau",AlimentsRationPintadesFemelles[],4,FALSE),0)+(IF(QualitéAlimentsJeunePintadeMâle=BONNE,VLOOKUP("Eau",AlimentsRationPintadesMâles[],3,FALSE),0)+(IF(QualitéAlimentsJeunePintadeFemelle=BONNE,VLOOKUP("Eau",AlimentsRationPintadesFemelles[],3,FALSE),0)+(IF(QualitéAlimentsPintadeMâle=BONNE,VLOOKUP("Eau",AlimentsRationPintadesMâles[],2,FALSE),0)+(IF(QualitéAlimentsPintadeFemelle=BONNE,VLOOKUP("Eau",AlimentsRationPintadesFemelles[],2,FALSE),0))))))))</f>
        <v>0</v>
      </c>
      <c r="DI155" s="351">
        <f t="array" ref="DI155">SUM((IF(QualitéAlimentsPintadeauMâle_0_1_mois=MOYENNE,VLOOKUP("Eau",AlimentsRationPintadesMâles[],4,FALSE),0)+(IF(QualitéAlimentsPintadeauFemelle_0_1_mois=MOYENNE,VLOOKUP("Eau",AlimentsRationPintadesFemelles[],4,FALSE),0)+(IF(QualitéAlimentsJeunePintadeMâle=MOYENNE,VLOOKUP("Eau",AlimentsRationPintadesMâles[],3,FALSE),0)+(IF(QualitéAlimentsJeunePintadeFemelle=MOYENNE,VLOOKUP("Eau",AlimentsRationPintadesFemelles[],3,FALSE),0)+(IF(QualitéAlimentsPintadeMâle=MOYENNE,VLOOKUP("Eau",AlimentsRationPintadesMâles[],2,FALSE),0)+(IF(QualitéAlimentsPintadeFemelle=MOYENNE,VLOOKUP("Eau",AlimentsRationPintadesFemelles[],2,FALSE),0))))))))</f>
        <v>0</v>
      </c>
      <c r="DJ155" s="351">
        <f t="array" ref="DJ155">SUM((IF(QualitéAlimentsPintadeauMâle_0_1_mois=MAUVAISE,VLOOKUP("Eau",AlimentsRationPintadesMâles[],4,FALSE),0)+(IF(QualitéAlimentsPintadeauFemelle_0_1_mois=MAUVAISE,VLOOKUP("Eau",AlimentsRationPintadesFemelles[],4,FALSE),0)+(IF(QualitéAlimentsJeunePintadeMâle=MAUVAISE,VLOOKUP("Eau",AlimentsRationPintadesMâles[],3,FALSE),0)+(IF(QualitéAlimentsJeunePintadeFemelle=MAUVAISE,VLOOKUP("Eau",AlimentsRationPintadesFemelles[],3,FALSE),0)+(IF(QualitéAlimentsPintadeMâle=MAUVAISE,VLOOKUP("Eau",AlimentsRationPintadesMâles[],2,FALSE),0)+(IF(QualitéAlimentsPintadeFemelle=MAUVAISE,VLOOKUP("Eau",AlimentsRationPintadesFemelles[],2,FALSE),0))))))))</f>
        <v>0</v>
      </c>
      <c r="DN155" s="350" t="s">
        <v>500</v>
      </c>
      <c r="DO155" s="351">
        <f t="array" ref="DO155">IF(ChoixRationComplèteOvins=OUI,0,IFERROR(IF(OR(AND(INDEX(Règles_ovins[Specificite],MATCH(ChoixRationOvins&amp;$DN155,Règles_ovins[Ration]&amp;Règles_ovins[Aliment],0))="s1",IF($DN155=Spécificité1Ovins,1)),
AND(INDEX(Règles_ovins[Specificite],MATCH(ChoixRationOvins&amp;$DN155,Règles_ovins[Ration]&amp;Règles_ovins[Aliment],0))="s2",IF($DN155=Spécificité2Ovins,1)),
INDEX(Règles_ovins[Specificite],MATCH(ChoixRationOvins&amp;$DN155,Règles_ovins[Ration]&amp;Règles_ovins[Aliment],0))="c"),
INDEX(Règles_ovins[Valeur 12 et plus],MATCH(ChoixRationOvins&amp;$DN155,Règles_ovins[Ration]&amp;Règles_ovins[Aliment],0)),0),0)*IF(ChoixOvinsPréHiver=OUI,SUM(TotalOvinsAdultesRacesLaitières)*NbreJoursNourrirOvins,TotalBéliers*NbreJoursNourrirOvins))</f>
        <v>0</v>
      </c>
      <c r="DP155" s="351">
        <f t="array" ref="DP155">IF(ChoixRationComplèteOvins=OUI,0,IFERROR(IF(OR(AND(INDEX(Règles_ovins[Specificite],MATCH(ChoixRationOvins&amp;$DN155,Règles_ovins[Ration]&amp;Règles_ovins[Aliment],0))="s1",IF($DN155=Spécificité1Ovins,1)),
AND(INDEX(Règles_ovins[Specificite],MATCH(ChoixRationOvins&amp;$DN155,Règles_ovins[Ration]&amp;Règles_ovins[Aliment],0))="s2",IF($DN155=Spécificité2Ovins,1)),
INDEX(Règles_ovins[Specificite],MATCH(ChoixRationOvins&amp;$DN155,Règles_ovins[Ration]&amp;Règles_ovins[Aliment],0))="c"),
INDEX(Règles_ovins[Valeur 6-12],MATCH(ChoixRationOvins&amp;$DN155,Règles_ovins[Ration]&amp;Règles_ovins[Aliment],0)),0),0)*IF(ChoixOvinsPréHiver=OUI,SUM(TotalJeunesOvinsRacesLaitières)*NbreJoursNourrirOvins,TotalJeune_bélier_6_12_mois*NbreJoursNourrirOvins))</f>
        <v>0</v>
      </c>
      <c r="DQ155" s="351">
        <f t="array" ref="DQ155">IF(ChoixRationComplèteOvins=OUI,0,IFERROR(IF(OR(AND(INDEX(Règles_ovins[Specificite],MATCH(ChoixRationOvins&amp;$DN155,Règles_ovins[Ration]&amp;Règles_ovins[Aliment],0))="s1",IF($DN155=Spécificité1Ovins,1)),
AND(INDEX(Règles_ovins[Specificite],MATCH(ChoixRationOvins&amp;$DN155,Règles_ovins[Ration]&amp;Règles_ovins[Aliment],0))="s2",IF($DN155=Spécificité2Ovins,1)),
INDEX(Règles_ovins[Specificite],MATCH(ChoixRationOvins&amp;$DN155,Règles_ovins[Ration]&amp;Règles_ovins[Aliment],0))="c"),
INDEX(Règles_ovins[Valeur 3-6],MATCH(ChoixRationOvins&amp;$DN155,Règles_ovins[Ration]&amp;Règles_ovins[Aliment],0)),0),0)*IF(ChoixOvinsPréHiver=OUI,SUM(TotalOvins_3_6moisRacesLaitières)*NbreJoursNourrirOvins,TotalAgneau_3_6_mois*NbreJoursNourrirOvins))</f>
        <v>0</v>
      </c>
      <c r="DR155" s="351">
        <f t="array" ref="DR155">IF(ChoixRationComplèteOvins=OUI,0,IFERROR(IF(OR(AND(INDEX(Règles_ovins[Specificite],MATCH(ChoixRationOvins&amp;$DN155,Règles_ovins[Ration]&amp;Règles_ovins[Aliment],0))="s1",IF($DN155=Spécificité1Ovins,1)),
AND(INDEX(Règles_ovins[Specificite],MATCH(ChoixRationOvins&amp;$DN155,Règles_ovins[Ration]&amp;Règles_ovins[Aliment],0))="s2",IF($DN155=Spécificité2Ovins,1)),
INDEX(Règles_ovins[Specificite],MATCH(ChoixRationOvins&amp;$DN155,Règles_ovins[Ration]&amp;Règles_ovins[Aliment],0))="c"),
INDEX(Règles_ovins[Valeur 0-3],MATCH(ChoixRationOvins&amp;$DN155,Règles_ovins[Ration]&amp;Règles_ovins[Aliment],0)),0),0)*IF(ChoixOvinsPréHiver=OUI,SUM(TotalOvins_3_6moisRacesLaitières)*NbreJoursNourrirOvins,TotalAgneau_0_3_mois*NbreJoursNourrirOvins))</f>
        <v>0</v>
      </c>
      <c r="DS155" s="441">
        <f t="shared" si="55"/>
        <v>0</v>
      </c>
      <c r="EG155" s="350" t="str">
        <f t="shared" si="57"/>
        <v>Canola</v>
      </c>
      <c r="EH155" s="351">
        <f t="array" ref="EH155">SUM((IF(QualitéAlimentsOisonMâle_0_3_mois=BONNE,VLOOKUP("Canola",AlimentsRationOiesMâles[],4,FALSE),0)+(IF(QualitéAlimentsOisonFemelle_0_3_mois=BONNE,VLOOKUP("Canola",AlimentsRationOiesFemelles[],4,FALSE),0)+(IF(QualitéAlimentsJeuneJars=BONNE,VLOOKUP("Canola",AlimentsRationOiesMâles[],3,FALSE),0)+(IF(QualitéAlimentsJeuneOie=BONNE,VLOOKUP("Canola",AlimentsRationOiesFemelles[],3,FALSE),0)+(IF(QualitéAlimentsJars=BONNE,VLOOKUP("Canola",AlimentsRationOiesMâles[],2,FALSE),0)+(IF(QualitéAlimentsOie=BONNE,VLOOKUP("Canola",AlimentsRationOiesFemelles[],2,FALSE),0))))))))</f>
        <v>0</v>
      </c>
      <c r="EI155" s="351">
        <f t="array" ref="EI155">SUM((IF(QualitéAlimentsOisonMâle_0_3_mois=MOYENNE,VLOOKUP("Canola",AlimentsRationOiesMâles[],4,FALSE),0)+(IF(QualitéAlimentsOisonFemelle_0_3_mois=MOYENNE,VLOOKUP("Canola",AlimentsRationOiesFemelles[],4,FALSE),0)+(IF(QualitéAlimentsJeuneJars=MOYENNE,VLOOKUP("Canola",AlimentsRationOiesMâles[],3,FALSE),0)+(IF(QualitéAlimentsJeuneOie=MOYENNE,VLOOKUP("Canola",AlimentsRationOiesFemelles[],3,FALSE),0)+(IF(QualitéAlimentsJars=MOYENNE,VLOOKUP("Canola",AlimentsRationOiesMâles[],2,FALSE),0)+(IF(QualitéAlimentsOie=MOYENNE,VLOOKUP("Canola",AlimentsRationOiesFemelles[],2,FALSE),0))))))))</f>
        <v>0</v>
      </c>
      <c r="EJ155" s="351">
        <f t="array" ref="EJ155">SUM((IF(QualitéAlimentsOisonMâle_0_3_mois=MAUVAISE,VLOOKUP("Canola",AlimentsRationOiesMâles[],4,FALSE),0)+(IF(QualitéAlimentsOisonFemelle_0_3_mois=MAUVAISE,VLOOKUP("Canola",AlimentsRationOiesFemelles[],4,FALSE),0)+(IF(QualitéAlimentsJeuneJars=MAUVAISE,VLOOKUP("Canola",AlimentsRationOiesMâles[],3,FALSE),0)+(IF(QualitéAlimentsJeuneOie=MAUVAISE,VLOOKUP("Canola",AlimentsRationOiesFemelles[],3,FALSE),0)+(IF(QualitéAlimentsJars=MAUVAISE,VLOOKUP("Canola",AlimentsRationOiesMâles[],2,FALSE),0)+(IF(QualitéAlimentsOie=MAUVAISE,VLOOKUP("Canola",AlimentsRationOiesFemelles[],2,FALSE),0))))))))</f>
        <v>0</v>
      </c>
      <c r="EN155" s="457" t="str">
        <f t="shared" si="56"/>
        <v>Colza</v>
      </c>
      <c r="EO155" s="458">
        <f t="array" ref="EO155">SUM((IF(QualitéAlimentsCanetonMâle=BONNE,VLOOKUP("Colza",AlimentsRationCanardsMâles,4,FALSE),0)+(IF(QualitéAlimentsCanetonFemelle=BONNE,VLOOKUP("Colza",AlimentsRationCanardsFemelles,4,FALSE),0)+(IF(QualitéAlimentsJeuneCanard=BONNE,VLOOKUP("Colza",AlimentsRationCanardsMâles,3,FALSE),0)+(IF(QualitéAlimentsJeuneCane=BONNE,VLOOKUP("Colza",AlimentsRationCanardsFemelles,3,FALSE),0)+(IF(QualitéAlimentsCanard=BONNE,VLOOKUP("Colza",AlimentsRationCanardsMâles,2,FALSE),0)+(IF(QualitéAlimentsCane=BONNE,VLOOKUP("Colza",AlimentsRationCanardsFemelles,2,FALSE),0))))))))</f>
        <v>0</v>
      </c>
      <c r="EP155" s="458">
        <f t="array" ref="EP155">SUM((IF(QualitéAlimentsCanetonMâle=MOYENNE,VLOOKUP("Colza",AlimentsRationCanardsMâles,4,FALSE),0)+(IF(QualitéAlimentsCanetonFemelle=MOYENNE,VLOOKUP("Colza",AlimentsRationCanardsFemelles,4,FALSE),0)+(IF(QualitéAlimentsJeuneCanard=MOYENNE,VLOOKUP("Colza",AlimentsRationCanardsMâles,3,FALSE),0)+(IF(QualitéAlimentsJeuneCane=MOYENNE,VLOOKUP("Colza",AlimentsRationCanardsFemelles,3,FALSE),0)+(IF(QualitéAlimentsCanard=MOYENNE,VLOOKUP("Colza",AlimentsRationCanardsMâles,2,FALSE),0)+(IF(QualitéAlimentsCane=MOYENNE,VLOOKUP("Colza",AlimentsRationCanardsFemelles,2,FALSE),0))))))))</f>
        <v>0</v>
      </c>
      <c r="EQ155" s="458">
        <f t="array" ref="EQ155">SUM((IF(QualitéAlimentsCanetonMâle=MAUVAISE,VLOOKUP("Colza",AlimentsRationCanardsMâles,4,FALSE),0)+(IF(QualitéAlimentsCanetonFemelle=MAUVAISE,VLOOKUP("Colza",AlimentsRationCanardsFemelles,4,FALSE),0)+(IF(QualitéAlimentsJeuneCanard=MAUVAISE,VLOOKUP("Colza",AlimentsRationCanardsMâles,3,FALSE),0)+(IF(QualitéAlimentsJeuneCane=MAUVAISE,VLOOKUP("Colza",AlimentsRationCanardsFemelles,3,FALSE),0)+(IF(QualitéAlimentsCanard=MAUVAISE,VLOOKUP("Colza",AlimentsRationCanardsMâles,2,FALSE),0)+(IF(QualitéAlimentsCane=MAUVAISE,VLOOKUP("Colza",AlimentsRationCanardsFemelles,2,FALSE),0))))))))</f>
        <v>0</v>
      </c>
      <c r="EU155" s="457" t="str">
        <f t="shared" si="54"/>
        <v>concentré jeunes bovins</v>
      </c>
      <c r="EV155" s="458">
        <f t="array" ref="EV155">IF(OR(ChoixRationHivernaleComplèteChevauxSelle=OUI,ChoixRationHivernaleComplèteChevauxSelle="",ChoixChevauxSellePréHiver=NON),0,IFERROR(IF(OR(AND(INDEX(Règles_chevaux_selle[Specificite],MATCH(RationHivernaleAuPréChevauxSelle&amp;$EU155,Règles_chevaux_selle[Ration]&amp;Règles_chevaux_selle[Aliment],0))="s1",IF($EU155=Spécificité1ChevauxSelle,1)),
AND(INDEX(Règles_chevaux_selle[Specificite],MATCH(RationHivernaleAuPréChevauxSelle&amp;$EU155,Règles_chevaux_selle[Ration]&amp;Règles_chevaux_selle[Aliment],0))="s2",IF($EU155=Spécificité2ChevauxSelle,1)),
INDEX(Règles_chevaux_selle[Specificite],MATCH(RationHivernaleAuPréChevauxSelle&amp;$EU155,Règles_chevaux_selle[Ration]&amp;Règles_chevaux_selle[Aliment],0))="c"),
INDEX(Règles_chevaux_selle[Valeur 36 et plus],MATCH(RationHivernaleAuPréChevauxSelle&amp;$EU155,Règles_chevaux_selle[Ration]&amp;Règles_chevaux_selle[Aliment],0)),0),0)*SUM(TotalChevauxSelleAdultes)*21)</f>
        <v>0</v>
      </c>
      <c r="EW155" s="458">
        <f t="array" ref="EW155">IF(OR(ChoixRationHivernaleComplèteChevauxSelle=OUI,ChoixRationHivernaleComplèteChevauxSelle="",ChoixChevauxSellePréHiver=NON),0,IFERROR(IF(OR(AND(INDEX(Règles_chevaux_selle[Specificite],MATCH(RationHivernaleAuPréChevauxSelle&amp;$EU155,Règles_chevaux_selle[Ration]&amp;Règles_chevaux_selle[Aliment],0))="s1",IF($EU155=Spécificité1ChevauxSelle,1)),
AND(INDEX(Règles_chevaux_selle[Specificite],MATCH(RationHivernaleAuPréChevauxSelle&amp;$EU155,Règles_chevaux_selle[Ration]&amp;Règles_chevaux_selle[Aliment],0))="s2",IF($EU155=Spécificité2ChevauxSelle,1)),
INDEX(Règles_chevaux_selle[Specificite],MATCH(RationHivernaleAuPréChevauxSelle&amp;$EU155,Règles_chevaux_selle[Ration]&amp;Règles_chevaux_selle[Aliment],0))="c"),
INDEX(Règles_chevaux_selle[Valeur 24-36],MATCH(RationHivernaleAuPréChevauxSelle&amp;$EU155,Règles_chevaux_selle[Ration]&amp;Règles_chevaux_selle[Aliment],0)),0),0)*SUM(TotalChevauxSelle_24_36mois)*21)</f>
        <v>0</v>
      </c>
      <c r="EX155" s="458">
        <f t="array" ref="EX155">IF(OR(ChoixRationHivernaleComplèteChevauxSelle=OUI,ChoixRationHivernaleComplèteChevauxSelle="",ChoixChevauxSellePréHiver=NON),0,IFERROR(IF(OR(AND(INDEX(Règles_chevaux_selle[Specificite],MATCH(RationHivernaleAuPréChevauxSelle&amp;$EU155,Règles_chevaux_selle[Ration]&amp;Règles_chevaux_selle[Aliment],0))="s1",IF($EU155=Spécificité1ChevauxSelle,1)),
AND(INDEX(Règles_chevaux_selle[Specificite],MATCH(RationHivernaleAuPréChevauxSelle&amp;$EU155,Règles_chevaux_selle[Ration]&amp;Règles_chevaux_selle[Aliment],0))="s2",IF($EU155=Spécificité2ChevauxSelle,1)),
INDEX(Règles_chevaux_selle[Specificite],MATCH(RationHivernaleAuPréChevauxSelle&amp;$EU155,Règles_chevaux_selle[Ration]&amp;Règles_chevaux_selle[Aliment],0))="c"),
INDEX(Règles_chevaux_selle[Valeur 12-24],MATCH(RationHivernaleAuPréChevauxSelle&amp;$EU155,Règles_chevaux_selle[Ration]&amp;Règles_chevaux_selle[Aliment],0)),0),0)*SUM(TotalChevauxSelle_12_24mois)*21)</f>
        <v>0</v>
      </c>
      <c r="EY155" s="460">
        <f t="array" ref="EY155">IF(OR(ChoixRationHivernaleComplèteChevauxSelle=OUI,ChoixRationHivernaleComplèteChevauxSelle="",ChoixChevauxSellePréHiver=NON),0,IFERROR(IF(OR(AND(INDEX(Règles_chevaux_selle[Specificite],MATCH(RationHivernaleAuPréChevauxSelle&amp;$EU155,Règles_chevaux_selle[Ration]&amp;Règles_chevaux_selle[Aliment],0))="s1",IF($EU155=Spécificité1ChevauxSelle,1)),
AND(INDEX(Règles_chevaux_selle[Specificite],MATCH(RationHivernaleAuPréChevauxSelle&amp;$EU155,Règles_chevaux_selle[Ration]&amp;Règles_chevaux_selle[Aliment],0))="s2",IF($EU155=Spécificité2ChevauxSelle,1)),
INDEX(Règles_chevaux_selle[Specificite],MATCH(RationHivernaleAuPréChevauxSelle&amp;$EU155,Règles_chevaux_selle[Ration]&amp;Règles_chevaux_selle[Aliment],0))="c"),
INDEX(Règles_chevaux_selle[Valeur 0-12],MATCH(RationHivernaleAuPréChevauxSelle&amp;$EU155,Règles_chevaux_selle[Ration]&amp;Règles_chevaux_selle[Aliment],0)),0),0)*SUM(TotalPoulainsSelle)*21)</f>
        <v>0</v>
      </c>
      <c r="EZ155" s="460">
        <f t="shared" si="53"/>
        <v>0</v>
      </c>
      <c r="FD155" s="457" t="str">
        <f t="shared" si="49"/>
        <v>Féverole</v>
      </c>
      <c r="FE155" s="458">
        <f t="array" ref="FE155">IF(OR(ChoixRationHivernaleComplèteChevauxTrait=OUI,ChoixRationHivernaleComplèteChevauxTrait="",ChoixChevauxTraitPréHiver=NON),0,IFERROR(IF(OR(AND(INDEX(Règles_chevaux_trait[Specificite],MATCH(RationHivernaleAuPréChevauxTrait&amp;$FD155,Règles_chevaux_trait[Ration]&amp;Règles_chevaux_trait[Aliment],0))="s1",IF($FD155=Spécificité1ChevauxTrait,1)),
AND(INDEX(Règles_chevaux_trait[Specificite],MATCH(RationHivernaleAuPréChevauxTrait&amp;$FD155,Règles_chevaux_trait[Ration]&amp;Règles_chevaux_trait[Aliment],0))="s2",IF($FD155=Spécificité2ChevauxTrait,1)),
INDEX(Règles_chevaux_trait[Specificite],MATCH(RationHivernaleAuPréChevauxTrait&amp;$FD155,Règles_chevaux_trait[Ration]&amp;Règles_chevaux_trait[Aliment],0))="c"),
INDEX(Règles_chevaux_trait[Valeur 36 et plus],MATCH(RationHivernaleAuPréChevauxTrait&amp;$FD155,Règles_chevaux_trait[Ration]&amp;Règles_chevaux_trait[Aliment],0)),0),0)*SUM(TotalChevauxTraitAdultes)*21)</f>
        <v>0</v>
      </c>
      <c r="FF155" s="458">
        <f t="array" ref="FF155">IF(OR(ChoixRationHivernaleComplèteChevauxTrait=OUI,ChoixRationHivernaleComplèteChevauxTrait="",ChoixChevauxTraitPréHiver=NON),0,IFERROR(IF(OR(AND(INDEX(Règles_chevaux_trait[Specificite],MATCH(RationHivernaleAuPréChevauxTrait&amp;$FD155,Règles_chevaux_trait[Ration]&amp;Règles_chevaux_trait[Aliment],0))="s1",IF($FD155=Spécificité1ChevauxTrait,1)),
AND(INDEX(Règles_chevaux_trait[Specificite],MATCH(RationHivernaleAuPréChevauxTrait&amp;$FD155,Règles_chevaux_trait[Ration]&amp;Règles_chevaux_trait[Aliment],0))="s2",IF($FD155=Spécificité2ChevauxTrait,1)),
INDEX(Règles_chevaux_trait[Specificite],MATCH(RationHivernaleAuPréChevauxTrait&amp;$FD155,Règles_chevaux_trait[Ration]&amp;Règles_chevaux_trait[Aliment],0))="c"),
INDEX(Règles_chevaux_trait[Valeur 24-36],MATCH(RationHivernaleAuPréChevauxTrait&amp;$FD155,Règles_chevaux_trait[Ration]&amp;Règles_chevaux_trait[Aliment],0)),0),0)*SUM(TotalChevauxTrait_24_36mois)*21)</f>
        <v>0</v>
      </c>
      <c r="FG155" s="458">
        <f t="array" ref="FG155">IF(OR(ChoixRationHivernaleComplèteChevauxTrait=OUI,ChoixRationHivernaleComplèteChevauxTrait="",ChoixChevauxTraitPréHiver=NON),0,IFERROR(IF(OR(AND(INDEX(Règles_chevaux_trait[Specificite],MATCH(RationHivernaleAuPréChevauxTrait&amp;$FD155,Règles_chevaux_trait[Ration]&amp;Règles_chevaux_trait[Aliment],0))="s1",IF($FD155=Spécificité1ChevauxTrait,1)),
AND(INDEX(Règles_chevaux_trait[Specificite],MATCH(RationHivernaleAuPréChevauxTrait&amp;$FD155,Règles_chevaux_trait[Ration]&amp;Règles_chevaux_trait[Aliment],0))="s2",IF($FD155=Spécificité2ChevauxTrait,1)),
INDEX(Règles_chevaux_trait[Specificite],MATCH(RationHivernaleAuPréChevauxTrait&amp;$FD155,Règles_chevaux_trait[Ration]&amp;Règles_chevaux_trait[Aliment],0))="c"),
INDEX(Règles_chevaux_trait[Valeur 12-24],MATCH(RationHivernaleAuPréChevauxTrait&amp;$FD155,Règles_chevaux_trait[Ration]&amp;Règles_chevaux_trait[Aliment],0)),0),0)*SUM(TotalChevauxTrait_12_24mois)*21)</f>
        <v>0</v>
      </c>
      <c r="FH155" s="460">
        <f t="array" ref="FH155">IF(OR(ChoixRationHivernaleComplèteChevauxTrait=OUI,ChoixRationHivernaleComplèteChevauxTrait="",ChoixChevauxTraitPréHiver=NON),0,IFERROR(IF(OR(AND(INDEX(Règles_chevaux_trait[Specificite],MATCH(RationHivernaleAuPréChevauxTrait&amp;$FD155,Règles_chevaux_trait[Ration]&amp;Règles_chevaux_trait[Aliment],0))="s1",IF($FD155=Spécificité1ChevauxTrait,1)),
AND(INDEX(Règles_chevaux_trait[Specificite],MATCH(RationHivernaleAuPréChevauxTrait&amp;$FD155,Règles_chevaux_trait[Ration]&amp;Règles_chevaux_trait[Aliment],0))="s2",IF($FD155=Spécificité2ChevauxTrait,1)),
INDEX(Règles_chevaux_trait[Specificite],MATCH(RationHivernaleAuPréChevauxTrait&amp;$FD155,Règles_chevaux_trait[Ration]&amp;Règles_chevaux_trait[Aliment],0))="c"),
INDEX(Règles_chevaux_trait[Valeur 0-12],MATCH(RationHivernaleAuPréChevauxTrait&amp;$FD155,Règles_chevaux_trait[Ration]&amp;Règles_chevaux_trait[Aliment],0)),0),0)*SUM(TotalPoulainsTrait)*21)</f>
        <v>0</v>
      </c>
      <c r="FI155" s="460">
        <f t="shared" si="47"/>
        <v>0</v>
      </c>
      <c r="FN155" s="457" t="str">
        <f t="shared" si="48"/>
        <v>Foin</v>
      </c>
      <c r="FO155" s="458">
        <f t="array" ref="FO155">IF(OR(ChoixRationHivernaleComplètePoneys=OUI,ChoixRationHivernaleComplètePoneys="",ChoixPoneysPréHiver=NON),0,IFERROR(IF(OR(AND(INDEX(Règles_poneys[Specificite],MATCH(RationHivernaleAuPréPoneys&amp;$FN155,Règles_poneys[Ration]&amp;Règles_poneys[Aliment],0))="s1",IF($FN155=Spécificité1Poneys,1)),
AND(INDEX(Règles_poneys[Specificite],MATCH(RationHivernaleAuPréPoneys&amp;$FN155,Règles_poneys[Ration]&amp;Règles_poneys[Aliment],0))="s2",IF($FN155=Spécificité2Poneys,1)),
INDEX(Règles_poneys[Specificite],MATCH(RationHivernaleAuPréPoneys&amp;$FN155,Règles_poneys[Ration]&amp;Règles_poneys[Aliment],0))="c"),
INDEX(Règles_poneys[Valeur 36 et plus],MATCH(RationHivernaleAuPréPoneys&amp;$FN155,Règles_poneys[Ration]&amp;Règles_poneys[Aliment],0)),0),0)*SUM(TotalPoneysAdultes)*21)</f>
        <v>0</v>
      </c>
      <c r="FP155" s="458">
        <f t="array" ref="FP155">IF(OR(ChoixRationHivernaleComplètePoneys=OUI,ChoixRationHivernaleComplètePoneys="",ChoixPoneysPréHiver=NON),0,IFERROR(IF(OR(AND(INDEX(Règles_poneys[Specificite],MATCH(RationHivernaleAuPréPoneys&amp;$FN155,Règles_poneys[Ration]&amp;Règles_poneys[Aliment],0))="s1",IF($FN155=Spécificité1Poneys,1)),
AND(INDEX(Règles_poneys[Specificite],MATCH(RationHivernaleAuPréPoneys&amp;$FN155,Règles_poneys[Ration]&amp;Règles_poneys[Aliment],0))="s2",IF($FN155=Spécificité2Poneys,1)),
INDEX(Règles_poneys[Specificite],MATCH(RationHivernaleAuPréPoneys&amp;$FN155,Règles_poneys[Ration]&amp;Règles_poneys[Aliment],0))="c"),
INDEX(Règles_poneys[Valeur 24-36],MATCH(RationHivernaleAuPréPoneys&amp;$FN155,Règles_poneys[Ration]&amp;Règles_poneys[Aliment],0)),0),0)*SUM(TotalPoneys_24_36mois)*21)</f>
        <v>0</v>
      </c>
      <c r="FQ155" s="458">
        <f t="array" ref="FQ155">IF(OR(ChoixRationHivernaleComplètePoneys=OUI,ChoixRationHivernaleComplètePoneys="",ChoixPoneysPréHiver=NON),0,IFERROR(IF(OR(AND(INDEX(Règles_poneys[Specificite],MATCH(RationHivernaleAuPréPoneys&amp;$FN155,Règles_poneys[Ration]&amp;Règles_poneys[Aliment],0))="s1",IF($FN155=Spécificité1Poneys,1)),
AND(INDEX(Règles_poneys[Specificite],MATCH(RationHivernaleAuPréPoneys&amp;$FN155,Règles_poneys[Ration]&amp;Règles_poneys[Aliment],0))="s2",IF($FN155=Spécificité2Poneys,1)),
INDEX(Règles_poneys[Specificite],MATCH(RationHivernaleAuPréPoneys&amp;$FN155,Règles_poneys[Ration]&amp;Règles_poneys[Aliment],0))="c"),
INDEX(Règles_poneys[Valeur 12-24],MATCH(RationHivernaleAuPréPoneys&amp;$FN155,Règles_poneys[Ration]&amp;Règles_poneys[Aliment],0)),0),0)*SUM(TotalPoneys_12_24mois)*21)</f>
        <v>0</v>
      </c>
      <c r="FR155" s="460">
        <f t="array" ref="FR155">IF(OR(ChoixRationHivernaleComplètePoneys=OUI,ChoixRationHivernaleComplètePoneys="",ChoixPoneysPréHiver=NON),0,IFERROR(IF(OR(AND(INDEX(Règles_poneys[Specificite],MATCH(RationHivernaleAuPréPoneys&amp;$FN155,Règles_poneys[Ration]&amp;Règles_poneys[Aliment],0))="s1",IF($FN155=Spécificité1Poneys,1)),
AND(INDEX(Règles_poneys[Specificite],MATCH(RationHivernaleAuPréPoneys&amp;$FN155,Règles_poneys[Ration]&amp;Règles_poneys[Aliment],0))="s2",IF($FN155=Spécificité2Poneys,1)),
INDEX(Règles_poneys[Specificite],MATCH(RationHivernaleAuPréPoneys&amp;$FN155,Règles_poneys[Ration]&amp;Règles_poneys[Aliment],0))="c"),
INDEX(Règles_poneys[Valeur 0-12],MATCH(RationHivernaleAuPréPoneys&amp;$FN155,Règles_poneys[Ration]&amp;Règles_poneys[Aliment],0)),0),0)*SUM(TotalPoulainsPoneys)*21)</f>
        <v>0</v>
      </c>
      <c r="FS155" s="460">
        <f t="shared" si="46"/>
        <v>0</v>
      </c>
      <c r="FW155" s="457" t="str">
        <f t="shared" si="44"/>
        <v>Minéraux + vitamines</v>
      </c>
      <c r="FX155" s="458">
        <f t="array" ref="FX155">SUM((IF(QualitéAlimentsGavageOison_0_1_mois=BONNE,VLOOKUP("Minéraux + vitamines",AlimentsGavageOie,5,FALSE),0)+(IF(QualitéAlimentsGavageCaneton_0_1_mois=BONNE,VLOOKUP("Minéraux + vitamines",AlimentsGavageCanard,5,FALSE),0)+(IF(QualitéAlimentsGavageOison_1_2_mois=BONNE,VLOOKUP("Minéraux + vitamines",AlimentsGavageOie,4,FALSE),0)+(IF(QualitéAlimentsGavageCaneton_1_2_mois=BONNE,VLOOKUP("Minéraux + vitamines",AlimentsGavageCanard,4,FALSE),0)+(IF(QualitéAlimentsGavageOison_2_3_mois=BONNE,VLOOKUP("Minéraux + vitamines",AlimentsGavageOie,3,FALSE),0)+(IF(QualitéAlimentsGavageCaneton_2_3_mois=BONNE,VLOOKUP("Minéraux + vitamines",AlimentsGavageCanard,3,FALSE),0)+(IF(QualitéAlimentsGavageJeunesOies=BONNE,VLOOKUP("Minéraux + vitamines",AlimentsGavageOie,2,FALSE),0)+(IF(QualitéAlimentsGavageJeuneCanard=BONNE,VLOOKUP("Minéraux + vitamines",AlimentsGavageCanard,2,FALSE),0))))))))))</f>
        <v>0</v>
      </c>
      <c r="FY155" s="458">
        <f t="array" ref="FY155">SUM((IF(QualitéAlimentsGavageOison_0_1_mois=MOYENNE,VLOOKUP("Minéraux + vitamines",AlimentsGavageOie,5,FALSE),0)+(IF(QualitéAlimentsGavageCaneton_0_1_mois=MOYENNE,VLOOKUP("Minéraux + vitamines",AlimentsGavageCanard,5,FALSE),0)+(IF(QualitéAlimentsGavageOison_1_2_mois=MOYENNE,VLOOKUP("Minéraux + vitamines",AlimentsGavageOie,4,FALSE),0)+(IF(QualitéAlimentsGavageCaneton_1_2_mois=MOYENNE,VLOOKUP("Minéraux + vitamines",AlimentsGavageCanard,4,FALSE),0)+(IF(QualitéAlimentsGavageOison_2_3_mois=MOYENNE,VLOOKUP("Minéraux + vitamines",AlimentsGavageOie,3,FALSE),0)+(IF(QualitéAlimentsGavageCaneton_2_3_mois=MOYENNE,VLOOKUP("Minéraux + vitamines",AlimentsGavageCanard,3,FALSE),0)+(IF(QualitéAlimentsGavageJeunesOies=MOYENNE,VLOOKUP("Minéraux + vitamines",AlimentsGavageOie,2,FALSE),0)+(IF(QualitéAlimentsGavageJeuneCanard=MOYENNE,VLOOKUP("Minéraux + vitamines",AlimentsGavageCanard,2,FALSE),0))))))))))</f>
        <v>0</v>
      </c>
      <c r="FZ155" s="458">
        <f t="array" ref="FZ155">SUM((IF(QualitéAlimentsGavageOison_0_1_mois=MAUVAISE,VLOOKUP("Minéraux + vitamines",AlimentsGavageOie,5,FALSE),0)+(IF(QualitéAlimentsGavageCaneton_0_1_mois=MAUVAISE,VLOOKUP("Minéraux + vitamines",AlimentsGavageCanard,5,FALSE),0)+(IF(QualitéAlimentsGavageOison_1_2_mois=MAUVAISE,VLOOKUP("Minéraux + vitamines",AlimentsGavageOie,4,FALSE),0)+(IF(QualitéAlimentsGavageCaneton_1_2_mois=MAUVAISE,VLOOKUP("Minéraux + vitamines",AlimentsGavageCanard,4,FALSE),0)+(IF(QualitéAlimentsGavageOison_2_3_mois=MAUVAISE,VLOOKUP("Minéraux + vitamines",AlimentsGavageOie,3,FALSE),0)+(IF(QualitéAlimentsGavageCaneton_2_3_mois=MAUVAISE,VLOOKUP("Minéraux + vitamines",AlimentsGavageCanard,3,FALSE),0)+(IF(QualitéAlimentsGavageJeunesOies=MAUVAISE,VLOOKUP("Minéraux + vitamines",AlimentsGavageOie,2,FALSE),0)+(IF(QualitéAlimentsGavageJeuneCanard=MAUVAISE,VLOOKUP("Minéraux + vitamines",AlimentsGavageCanard,2,FALSE),0))))))))))</f>
        <v>0</v>
      </c>
      <c r="GB155" s="281"/>
      <c r="GG155" s="276" t="s">
        <v>955</v>
      </c>
      <c r="GH155" s="276" t="s">
        <v>955</v>
      </c>
      <c r="GI155" s="276" t="s">
        <v>955</v>
      </c>
      <c r="GJ155" s="276" t="s">
        <v>955</v>
      </c>
      <c r="GK155" s="276" t="s">
        <v>955</v>
      </c>
      <c r="GL155" s="276" t="s">
        <v>955</v>
      </c>
      <c r="GM155" s="276" t="s">
        <v>955</v>
      </c>
      <c r="GN155" s="276" t="s">
        <v>955</v>
      </c>
      <c r="GO155" s="276" t="s">
        <v>955</v>
      </c>
      <c r="GP155" s="276" t="s">
        <v>955</v>
      </c>
      <c r="GQ155" s="276" t="s">
        <v>955</v>
      </c>
      <c r="GR155" s="276" t="s">
        <v>955</v>
      </c>
      <c r="GS155" s="276" t="s">
        <v>955</v>
      </c>
      <c r="GT155" s="276" t="s">
        <v>955</v>
      </c>
      <c r="GU155" s="276" t="s">
        <v>955</v>
      </c>
      <c r="GV155" s="276" t="s">
        <v>955</v>
      </c>
    </row>
    <row r="156" spans="1:204" ht="12.75" customHeight="1" x14ac:dyDescent="0.2">
      <c r="A156" s="373"/>
      <c r="B156" s="382"/>
      <c r="BB156" s="387" t="s">
        <v>516</v>
      </c>
      <c r="BC156" s="362" t="s">
        <v>57</v>
      </c>
      <c r="BD156" s="362" t="s">
        <v>888</v>
      </c>
      <c r="BE156" s="388">
        <v>4.8</v>
      </c>
      <c r="BF156" s="388">
        <v>4</v>
      </c>
      <c r="BG156" s="388">
        <v>4</v>
      </c>
      <c r="BH156" s="388">
        <v>4</v>
      </c>
      <c r="BI156" s="388">
        <v>2</v>
      </c>
      <c r="BJ156" s="388">
        <v>1.2</v>
      </c>
      <c r="BK156" s="389">
        <v>0</v>
      </c>
      <c r="BL156" s="312"/>
      <c r="BX156" s="350" t="str">
        <f t="shared" si="51"/>
        <v>Epinard</v>
      </c>
      <c r="BY156" s="350">
        <f t="array" ref="BY156">IF(ChoixRationComplèteCaprins=OUI,0,IFERROR(IF(OR(AND(INDEX(Règles_caprins[Specificite],MATCH(ChoixRationCaprins&amp;$BX156,Règles_caprins[Ration]&amp;Règles_caprins[Aliment],0))="s1",IF($BX156=Spécificité1Caprins,1)),
INDEX(Règles_caprins[Specificite],MATCH(ChoixRationCaprins&amp;$BX156,Règles_caprins[Ration]&amp;Règles_caprins[Aliment],0))="c"),
INDEX(Règles_caprins[Valeur 12 et plus],MATCH(ChoixRationCaprins&amp;$BX156,Règles_caprins[Ration]&amp;Règles_caprins[Aliment],0)),0),0)*TotalChèvres*NbreJoursNourrirCaprins)</f>
        <v>0</v>
      </c>
      <c r="BZ156" s="350">
        <f t="array" ref="BZ156">IF(ChoixRationComplèteCaprins=OUI,0,IFERROR(IF(OR(AND(INDEX(Règles_caprins[Specificite],MATCH(ChoixRationCaprins&amp;$BX156,Règles_caprins[Ration]&amp;Règles_caprins[Aliment],0))="s1",IF($BX156=Spécificité1Caprins,1)),
INDEX(Règles_caprins[Specificite],MATCH(ChoixRationCaprins&amp;$BX156,Règles_caprins[Ration]&amp;Règles_caprins[Aliment],0))="c"),
INDEX(Règles_caprins[Valeur 6-12],MATCH(ChoixRationCaprins&amp;$BX156,Règles_caprins[Ration]&amp;Règles_caprins[Aliment],0)),0),0)*jeune_chèvre_6_12_mois*NbreJoursNourrirCaprins)</f>
        <v>0</v>
      </c>
      <c r="CA156" s="350">
        <f t="array" ref="CA156">IF(ChoixRationComplèteCaprins=OUI,0,IFERROR(IF(OR(AND(INDEX(Règles_caprins[Specificite],MATCH(ChoixRationCaprins&amp;$BX156,Règles_caprins[Ration]&amp;Règles_caprins[Aliment],0))="s1",IF($BX156=Spécificité1Caprins,1)),
INDEX(Règles_caprins[Specificite],MATCH(ChoixRationCaprins&amp;$BX156,Règles_caprins[Ration]&amp;Règles_caprins[Aliment],0))="c"),
INDEX(Règles_caprins[Valeur 3-6],MATCH(ChoixRationCaprins&amp;$BX156,Règles_caprins[Ration]&amp;Règles_caprins[Aliment],0)),0),0)*chevrette_3_6_mois*NbreJoursNourrirCaprins)</f>
        <v>0</v>
      </c>
      <c r="CB156" s="350">
        <f t="array" ref="CB156">IF(ChoixRationComplèteCaprins=OUI,0,IFERROR(IF(OR(AND(INDEX(Règles_caprins[Specificite],MATCH(ChoixRationCaprins&amp;$BX156,Règles_caprins[Ration]&amp;Règles_caprins[Aliment],0))="s1",IF($BX156=Spécificité1Caprins,1)),
INDEX(Règles_caprins[Specificite],MATCH(ChoixRationCaprins&amp;$BX156,Règles_caprins[Ration]&amp;Règles_caprins[Aliment],0))="c"),
INDEX(Règles_caprins[Valeur 0-3],MATCH(ChoixRationCaprins&amp;$BX156,Règles_caprins[Ration]&amp;Règles_caprins[Aliment],0)),0),0)*chevrette_0_3_mois*NbreJoursNourrirCaprins)</f>
        <v>0</v>
      </c>
      <c r="CC156" s="350">
        <f t="shared" si="50"/>
        <v>0</v>
      </c>
      <c r="CH156" s="298"/>
      <c r="CI156" s="277"/>
      <c r="CJ156" s="350" t="str">
        <f t="shared" si="45"/>
        <v>Maïs ensilé</v>
      </c>
      <c r="CK156" s="351">
        <f t="array" ref="CK156">SUM((IF(QualitéAlimentsPorceletMâle_0_1_mois=BONNE,VLOOKUP("Maïs ensilé",AlimentsRationPorcinsMâles[],6,FALSE),0)+(IF(QualitéAlimentsPorceletFemelle_0_1_mois=BONNE,VLOOKUP("Maïs ensilé",AlimentsRationPorcinsFemelles[],6,FALSE),0)+(IF(QualitéAlimentsPorceletMâle_1_3_mois=BONNE,VLOOKUP("Maïs ensilé",AlimentsRationPorcinsMâles[],5,FALSE),0)+(IF(QualitéAlimentsPorceletFemelle_1_3_mois=BONNE,VLOOKUP("Maïs ensilé",AlimentsRationPorcinsFemelles[],5,FALSE),0)+(IF(QualitéAlimentsJeuneVerrat_3_6_mois=BONNE,VLOOKUP("Maïs ensilé",AlimentsRationPorcinsMâles[],4,FALSE),0)+(IF(QualitéAlimentsJeuneTruie_3_6_mois=BONNE,VLOOKUP("Maïs ensilé",AlimentsRationPorcinsFemelles[],4,FALSE),0)+(IF(QualitéAlimentsJeuneVerrat_6_12_mois=BONNE,VLOOKUP("Maïs ensilé",AlimentsRationPorcinsMâles[],3,FALSE),0)+(IF(QualitéAlimentsJeuneTruie_6_12_mois=BONNE,VLOOKUP("Maïs ensilé",AlimentsRationPorcinsFemelles[],3,FALSE),0)+(IF(QualitéAlimentsVerrat=BONNE,VLOOKUP("Avoine",AlimentsRationPorcinsMâles[],2,FALSE),0)+(IF(QualitéAlimentsTruie=BONNE,VLOOKUP("Avoine",AlimentsRationPorcinsFemelles[],2,FALSE),0))))))))))))</f>
        <v>0</v>
      </c>
      <c r="CL156" s="351">
        <f t="array" ref="CL156">SUM((IF(QualitéAlimentsPorceletMâle_0_1_mois=MOYENNE,VLOOKUP("Maïs ensilé",AlimentsRationPorcinsMâles[],6,FALSE),0)+(IF(QualitéAlimentsPorceletFemelle_0_1_mois=MOYENNE,VLOOKUP("Maïs ensilé",AlimentsRationPorcinsFemelles[],6,FALSE),0)+(IF(QualitéAlimentsPorceletMâle_1_3_mois=MOYENNE,VLOOKUP("Maïs ensilé",AlimentsRationPorcinsMâles[],5,FALSE),0)+(IF(QualitéAlimentsPorceletFemelle_1_3_mois=MOYENNE,VLOOKUP("Maïs ensilé",AlimentsRationPorcinsFemelles[],5,FALSE),0)+(IF(QualitéAlimentsJeuneVerrat_3_6_mois=MOYENNE,VLOOKUP("Maïs ensilé",AlimentsRationPorcinsMâles[],4,FALSE),0)+(IF(QualitéAlimentsJeuneTruie_3_6_mois=MOYENNE,VLOOKUP("Maïs ensilé",AlimentsRationPorcinsFemelles[],4,FALSE),0)+(IF(QualitéAlimentsJeuneVerrat_6_12_mois=MOYENNE,VLOOKUP("Maïs ensilé",AlimentsRationPorcinsMâles[],3,FALSE),0)+(IF(QualitéAlimentsJeuneTruie_6_12_mois=MOYENNE,VLOOKUP("Maïs ensilé",AlimentsRationPorcinsFemelles[],3,FALSE),0)+(IF(QualitéAlimentsVerrat=BONNE,VLOOKUP("Avoine",AlimentsRationPorcinsMâles[],2,FALSE),0)+(IF(QualitéAlimentsTruie=BONNE,VLOOKUP("Avoine",AlimentsRationPorcinsFemelles[],2,FALSE),0))))))))))))</f>
        <v>0</v>
      </c>
      <c r="CM156" s="351">
        <f t="array" ref="CM156">SUM((IF(QualitéAlimentsPorceletMâle_0_1_mois=MAUVAISE,VLOOKUP("Maïs ensilé",AlimentsRationPorcinsMâles[],6,FALSE),0)+(IF(QualitéAlimentsPorceletFemelle_0_1_mois=MAUVAISE,VLOOKUP("Maïs ensilé",AlimentsRationPorcinsFemelles[],6,FALSE),0)+(IF(QualitéAlimentsPorceletMâle_1_3_mois=MAUVAISE,VLOOKUP("Maïs ensilé",AlimentsRationPorcinsMâles[],5,FALSE),0)+(IF(QualitéAlimentsPorceletFemelle_1_3_mois=MAUVAISE,VLOOKUP("Maïs ensilé",AlimentsRationPorcinsFemelles[],5,FALSE),0)+(IF(QualitéAlimentsJeuneVerrat_3_6_mois=MAUVAISE,VLOOKUP("Maïs ensilé",AlimentsRationPorcinsMâles[],4,FALSE),0)+(IF(QualitéAlimentsJeuneTruie_3_6_mois=MAUVAISE,VLOOKUP("Maïs ensilé",AlimentsRationPorcinsFemelles[],4,FALSE),0)+(IF(QualitéAlimentsJeuneVerrat_6_12_mois=MAUVAISE,VLOOKUP("Maïs ensilé",AlimentsRationPorcinsMâles[],3,FALSE),0)+(IF(QualitéAlimentsJeuneTruie_6_12_mois=MAUVAISE,VLOOKUP("Maïs ensilé",AlimentsRationPorcinsFemelles[],3,FALSE),0)+(IF(QualitéAlimentsVerrat=BONNE,VLOOKUP("Avoine",AlimentsRationPorcinsMâles[],2,FALSE),0)+(IF(QualitéAlimentsTruie=BONNE,VLOOKUP("Avoine",AlimentsRationPorcinsFemelles[],2,FALSE),0))))))))))))</f>
        <v>0</v>
      </c>
      <c r="CN156" s="277"/>
      <c r="CO156" s="279"/>
      <c r="CP156" s="298"/>
      <c r="CS156" s="350" t="str">
        <f t="shared" ref="CS156:CS193" si="59">CS58</f>
        <v>Betterave</v>
      </c>
      <c r="CT156" s="351">
        <f t="array" ref="CT156">SUM((IF(QualitéAlimentsLapereauMâle_0_1_mois=BONNE,VLOOKUP("Betterave",AlimentsRationLapinsMâles[],4,FALSE),0)+(IF(QualitéAlimentsLapereauFemelle_0_1_mois=BONNE,VLOOKUP("Betterave",AlimentsRationLapinsFemelles[],4,FALSE),0)+(IF(QualitéAlimentsJeuneLapin=BONNE,VLOOKUP("Betterave",AlimentsRationLapinsMâles[],3,FALSE),0)+(IF(QualitéAlimentsJeuneLapine=BONNE,VLOOKUP("Betterave",AlimentsRationLapinsFemelles[],3,FALSE),0)+(IF(QualitéAlimentsLapin=BONNE,VLOOKUP("Betterave",AlimentsRationLapinsMâles[],2,FALSE),0)+(IF(QualitéAlimentsLapine=BONNE,VLOOKUP("Betterave",AlimentsRationLapinsFemelles[],2,FALSE),0))))))))</f>
        <v>0</v>
      </c>
      <c r="CU156" s="351">
        <f t="array" ref="CU156">SUM((IF(QualitéAlimentsLapereauMâle_0_1_mois=MOYENNE,VLOOKUP("Betterave",AlimentsRationLapinsMâles[],4,FALSE),0)+(IF(QualitéAlimentsLapereauFemelle_0_1_mois=MOYENNE,VLOOKUP("Betterave",AlimentsRationLapinsFemelles[],4,FALSE),0)+(IF(QualitéAlimentsJeuneLapin=MOYENNE,VLOOKUP("Betterave",AlimentsRationLapinsMâles[],3,FALSE),0)+(IF(QualitéAlimentsJeuneLapine=MOYENNE,VLOOKUP("Betterave",AlimentsRationLapinsFemelles[],3,FALSE),0)+(IF(QualitéAlimentsLapin=MOYENNE,VLOOKUP("Betterave",AlimentsRationLapinsMâles[],2,FALSE),0)+(IF(QualitéAlimentsLapine=MOYENNE,VLOOKUP("Betterave",AlimentsRationLapinsFemelles[],2,FALSE),0))))))))</f>
        <v>0</v>
      </c>
      <c r="CV156" s="351">
        <f t="array" ref="CV156">SUM((IF(QualitéAlimentsLapereauMâle_0_1_mois=MAUVAISE,VLOOKUP("Betterave",AlimentsRationLapinsMâles[],4,FALSE),0)+(IF(QualitéAlimentsLapereauFemelle_0_1_mois=MAUVAISE,VLOOKUP("Betterave",AlimentsRationLapinsFemelles[],4,FALSE),0)+(IF(QualitéAlimentsJeuneLapin=MAUVAISE,VLOOKUP("Betterave",AlimentsRationLapinsMâles[],3,FALSE),0)+(IF(QualitéAlimentsJeuneLapine=MAUVAISE,VLOOKUP("Betterave",AlimentsRationLapinsFemelles[],3,FALSE),0)+(IF(QualitéAlimentsLapin=MAUVAISE,VLOOKUP("Betterave",AlimentsRationLapinsMâles[],2,FALSE),0)+(IF(QualitéAlimentsLapine=MAUVAISE,VLOOKUP("Betterave",AlimentsRationLapinsFemelles[],2,FALSE),0))))))))</f>
        <v>0</v>
      </c>
      <c r="CZ156" s="350" t="str">
        <f t="shared" si="58"/>
        <v>Blé</v>
      </c>
      <c r="DA156" s="351">
        <f t="array" ref="DA156">SUM((IF(QualitéAlimentsPoussinMâle_0_1_mois=BONNE,VLOOKUP("Blé",AlimentsRationVolaillesMâles[],4,FALSE),0)+(IF(QualitéAlimentsPoussinFemelle_0_1_mois=BONNE,VLOOKUP("Blé",AlimentsRationVolaillesFemelles[],4,FALSE),0)+(IF(QualitéAlimentsJeuneCoq=BONNE,VLOOKUP("Blé",AlimentsRationVolaillesMâles[],3,FALSE),0)+(IF(QualitéAlimentsJeunePoule=BONNE,VLOOKUP("Blé",AlimentsRationVolaillesFemelles[],3,FALSE),0)+(IF(QualitéAlimentsCoq=BONNE,VLOOKUP("Blé",AlimentsRationVolaillesMâles[],2,FALSE),0)+(IF(QualitéAlimentsPoule=BONNE,VLOOKUP("Blé",AlimentsRationVolaillesFemelles[],2,FALSE),0))))))))</f>
        <v>0</v>
      </c>
      <c r="DB156" s="351">
        <f t="array" ref="DB156">SUM((IF(QualitéAlimentsPoussinMâle_0_1_mois=MOYENNE,VLOOKUP("Blé",AlimentsRationVolaillesMâles[],4,FALSE),0)+(IF(QualitéAlimentsPoussinFemelle_0_1_mois=MOYENNE,VLOOKUP("Blé",AlimentsRationVolaillesFemelles[],4,FALSE),0)+(IF(QualitéAlimentsJeuneCoq=MOYENNE,VLOOKUP("Blé",AlimentsRationVolaillesMâles[],3,FALSE),0)+(IF(QualitéAlimentsJeunePoule=MOYENNE,VLOOKUP("Blé",AlimentsRationVolaillesFemelles[],3,FALSE),0)+(IF(QualitéAlimentsCoq=MOYENNE,VLOOKUP("Blé",AlimentsRationVolaillesMâles[],2,FALSE),0)+(IF(QualitéAlimentsPoule=MOYENNE,VLOOKUP("Blé",AlimentsRationVolaillesFemelles[],2,FALSE),0))))))))</f>
        <v>0</v>
      </c>
      <c r="DC156" s="351">
        <f t="array" ref="DC156">SUM((IF(QualitéAlimentsPoussinMâle_0_1_mois=MAUVAISE,VLOOKUP("Blé",AlimentsRationVolaillesMâles[],4,FALSE),0)+(IF(QualitéAlimentsPoussinFemelle_0_1_mois=MAUVAISE,VLOOKUP("Blé",AlimentsRationVolaillesFemelles[],4,FALSE),0)+(IF(QualitéAlimentsJeuneCoq=MAUVAISE,VLOOKUP("Blé",AlimentsRationVolaillesMâles[],3,FALSE),0)+(IF(QualitéAlimentsJeunePoule=MAUVAISE,VLOOKUP("Blé",AlimentsRationVolaillesFemelles[],3,FALSE),0)+(IF(QualitéAlimentsCoq=MAUVAISE,VLOOKUP("Blé",AlimentsRationVolaillesMâles[],2,FALSE),0)+(IF(QualitéAlimentsPoule=MAUVAISE,VLOOKUP("Blé",AlimentsRationVolaillesFemelles[],2,FALSE),0))))))))</f>
        <v>0</v>
      </c>
      <c r="DD156" s="277"/>
      <c r="DG156" s="350" t="str">
        <f t="shared" si="52"/>
        <v>Epinard</v>
      </c>
      <c r="DH156" s="351">
        <f t="array" ref="DH156">SUM((IF(QualitéAlimentsPintadeauMâle_0_1_mois=BONNE,VLOOKUP("Epinard",AlimentsRationPintadesMâles[],4,FALSE),0)+(IF(QualitéAlimentsPintadeauFemelle_0_1_mois=BONNE,VLOOKUP("Epinard",AlimentsRationPintadesFemelles[],4,FALSE),0)+(IF(QualitéAlimentsJeunePintadeMâle=BONNE,VLOOKUP("Epinard",AlimentsRationPintadesMâles[],3,FALSE),0)+(IF(QualitéAlimentsJeunePintadeFemelle=BONNE,VLOOKUP("Epinard",AlimentsRationPintadesFemelles[],3,FALSE),0)+(IF(QualitéAlimentsPintadeMâle=BONNE,VLOOKUP("Epinard",AlimentsRationPintadesMâles[],2,FALSE),0)+(IF(QualitéAlimentsPintadeFemelle=BONNE,VLOOKUP("Epinard",AlimentsRationPintadesFemelles[],2,FALSE),0))))))))</f>
        <v>0</v>
      </c>
      <c r="DI156" s="351">
        <f t="array" ref="DI156">SUM((IF(QualitéAlimentsPintadeauMâle_0_1_mois=MOYENNE,VLOOKUP("Epinard",AlimentsRationPintadesMâles[],4,FALSE),0)+(IF(QualitéAlimentsPintadeauFemelle_0_1_mois=MOYENNE,VLOOKUP("Epinard",AlimentsRationPintadesFemelles[],4,FALSE),0)+(IF(QualitéAlimentsJeunePintadeMâle=MOYENNE,VLOOKUP("Epinard",AlimentsRationPintadesMâles[],3,FALSE),0)+(IF(QualitéAlimentsJeunePintadeFemelle=MOYENNE,VLOOKUP("Epinard",AlimentsRationPintadesFemelles[],3,FALSE),0)+(IF(QualitéAlimentsPintadeMâle=MOYENNE,VLOOKUP("Epinard",AlimentsRationPintadesMâles[],2,FALSE),0)+(IF(QualitéAlimentsPintadeFemelle=MOYENNE,VLOOKUP("Epinard",AlimentsRationPintadesFemelles[],2,FALSE),0))))))))</f>
        <v>0</v>
      </c>
      <c r="DJ156" s="351">
        <f t="array" ref="DJ156">SUM((IF(QualitéAlimentsPintadeauMâle_0_1_mois=MAUVAISE,VLOOKUP("Epinard",AlimentsRationPintadesMâles[],4,FALSE),0)+(IF(QualitéAlimentsPintadeauFemelle_0_1_mois=MAUVAISE,VLOOKUP("Epinard",AlimentsRationPintadesFemelles[],4,FALSE),0)+(IF(QualitéAlimentsJeunePintadeMâle=MAUVAISE,VLOOKUP("Epinard",AlimentsRationPintadesMâles[],3,FALSE),0)+(IF(QualitéAlimentsJeunePintadeFemelle=MAUVAISE,VLOOKUP("Epinard",AlimentsRationPintadesFemelles[],3,FALSE),0)+(IF(QualitéAlimentsPintadeMâle=MAUVAISE,VLOOKUP("Epinard",AlimentsRationPintadesMâles[],2,FALSE),0)+(IF(QualitéAlimentsPintadeFemelle=MAUVAISE,VLOOKUP("Epinard",AlimentsRationPintadesFemelles[],2,FALSE),0))))))))</f>
        <v>0</v>
      </c>
      <c r="DN156" s="350" t="s">
        <v>499</v>
      </c>
      <c r="DO156" s="351">
        <f t="array" ref="DO156">IF(ChoixRationComplèteOvins=OUI,0,IFERROR(IF(OR(AND(INDEX(Règles_ovins[Specificite],MATCH(ChoixRationOvins&amp;$DN156,Règles_ovins[Ration]&amp;Règles_ovins[Aliment],0))="s1",IF($DN156=Spécificité1Ovins,1)),
AND(INDEX(Règles_ovins[Specificite],MATCH(ChoixRationOvins&amp;$DN156,Règles_ovins[Ration]&amp;Règles_ovins[Aliment],0))="s2",IF($DN156=Spécificité2Ovins,1)),
INDEX(Règles_ovins[Specificite],MATCH(ChoixRationOvins&amp;$DN156,Règles_ovins[Ration]&amp;Règles_ovins[Aliment],0))="c"),
INDEX(Règles_ovins[Valeur 12 et plus],MATCH(ChoixRationOvins&amp;$DN156,Règles_ovins[Ration]&amp;Règles_ovins[Aliment],0)),0),0)*IF(ChoixOvinsPréHiver=OUI,SUM(TotalOvinsAdultesRacesLaitières)*NbreJoursNourrirOvins,TotalBéliers*NbreJoursNourrirOvins))</f>
        <v>0</v>
      </c>
      <c r="DP156" s="351">
        <f t="array" ref="DP156">IF(ChoixRationComplèteOvins=OUI,0,IFERROR(IF(OR(AND(INDEX(Règles_ovins[Specificite],MATCH(ChoixRationOvins&amp;$DN156,Règles_ovins[Ration]&amp;Règles_ovins[Aliment],0))="s1",IF($DN156=Spécificité1Ovins,1)),
AND(INDEX(Règles_ovins[Specificite],MATCH(ChoixRationOvins&amp;$DN156,Règles_ovins[Ration]&amp;Règles_ovins[Aliment],0))="s2",IF($DN156=Spécificité2Ovins,1)),
INDEX(Règles_ovins[Specificite],MATCH(ChoixRationOvins&amp;$DN156,Règles_ovins[Ration]&amp;Règles_ovins[Aliment],0))="c"),
INDEX(Règles_ovins[Valeur 6-12],MATCH(ChoixRationOvins&amp;$DN156,Règles_ovins[Ration]&amp;Règles_ovins[Aliment],0)),0),0)*IF(ChoixOvinsPréHiver=OUI,SUM(TotalJeunesOvinsRacesLaitières)*NbreJoursNourrirOvins,TotalJeune_bélier_6_12_mois*NbreJoursNourrirOvins))</f>
        <v>0</v>
      </c>
      <c r="DQ156" s="351">
        <f t="array" ref="DQ156">IF(ChoixRationComplèteOvins=OUI,0,IFERROR(IF(OR(AND(INDEX(Règles_ovins[Specificite],MATCH(ChoixRationOvins&amp;$DN156,Règles_ovins[Ration]&amp;Règles_ovins[Aliment],0))="s1",IF($DN156=Spécificité1Ovins,1)),
AND(INDEX(Règles_ovins[Specificite],MATCH(ChoixRationOvins&amp;$DN156,Règles_ovins[Ration]&amp;Règles_ovins[Aliment],0))="s2",IF($DN156=Spécificité2Ovins,1)),
INDEX(Règles_ovins[Specificite],MATCH(ChoixRationOvins&amp;$DN156,Règles_ovins[Ration]&amp;Règles_ovins[Aliment],0))="c"),
INDEX(Règles_ovins[Valeur 3-6],MATCH(ChoixRationOvins&amp;$DN156,Règles_ovins[Ration]&amp;Règles_ovins[Aliment],0)),0),0)*IF(ChoixOvinsPréHiver=OUI,SUM(TotalOvins_3_6moisRacesLaitières)*NbreJoursNourrirOvins,TotalAgneau_3_6_mois*NbreJoursNourrirOvins))</f>
        <v>0</v>
      </c>
      <c r="DR156" s="351">
        <f t="array" ref="DR156">IF(ChoixRationComplèteOvins=OUI,0,IFERROR(IF(OR(AND(INDEX(Règles_ovins[Specificite],MATCH(ChoixRationOvins&amp;$DN156,Règles_ovins[Ration]&amp;Règles_ovins[Aliment],0))="s1",IF($DN156=Spécificité1Ovins,1)),
AND(INDEX(Règles_ovins[Specificite],MATCH(ChoixRationOvins&amp;$DN156,Règles_ovins[Ration]&amp;Règles_ovins[Aliment],0))="s2",IF($DN156=Spécificité2Ovins,1)),
INDEX(Règles_ovins[Specificite],MATCH(ChoixRationOvins&amp;$DN156,Règles_ovins[Ration]&amp;Règles_ovins[Aliment],0))="c"),
INDEX(Règles_ovins[Valeur 0-3],MATCH(ChoixRationOvins&amp;$DN156,Règles_ovins[Ration]&amp;Règles_ovins[Aliment],0)),0),0)*IF(ChoixOvinsPréHiver=OUI,SUM(TotalOvins_3_6moisRacesLaitières)*NbreJoursNourrirOvins,TotalAgneau_0_3_mois*NbreJoursNourrirOvins))</f>
        <v>0</v>
      </c>
      <c r="DS156" s="441">
        <f t="shared" si="55"/>
        <v>0</v>
      </c>
      <c r="EG156" s="350" t="str">
        <f t="shared" si="57"/>
        <v>Colza</v>
      </c>
      <c r="EH156" s="351">
        <f t="array" ref="EH156">SUM((IF(QualitéAlimentsOisonMâle_0_3_mois=BONNE,VLOOKUP("Colza",AlimentsRationOiesMâles[],4,FALSE),0)+(IF(QualitéAlimentsOisonFemelle_0_3_mois=BONNE,VLOOKUP("Colza",AlimentsRationOiesFemelles[],4,FALSE),0)+(IF(QualitéAlimentsJeuneJars=BONNE,VLOOKUP("Colza",AlimentsRationOiesMâles[],3,FALSE),0)+(IF(QualitéAlimentsJeuneOie=BONNE,VLOOKUP("Colza",AlimentsRationOiesFemelles[],3,FALSE),0)+(IF(QualitéAlimentsJars=BONNE,VLOOKUP("Colza",AlimentsRationOiesMâles[],2,FALSE),0)+(IF(QualitéAlimentsOie=BONNE,VLOOKUP("Colza",AlimentsRationOiesFemelles[],2,FALSE),0))))))))</f>
        <v>0</v>
      </c>
      <c r="EI156" s="351">
        <f t="array" ref="EI156">SUM((IF(QualitéAlimentsOisonMâle_0_3_mois=MOYENNE,VLOOKUP("Colza",AlimentsRationOiesMâles[],4,FALSE),0)+(IF(QualitéAlimentsOisonFemelle_0_3_mois=MOYENNE,VLOOKUP("Colza",AlimentsRationOiesFemelles[],4,FALSE),0)+(IF(QualitéAlimentsJeuneJars=MOYENNE,VLOOKUP("Colza",AlimentsRationOiesMâles[],3,FALSE),0)+(IF(QualitéAlimentsJeuneOie=MOYENNE,VLOOKUP("Colza",AlimentsRationOiesFemelles[],3,FALSE),0)+(IF(QualitéAlimentsJars=MOYENNE,VLOOKUP("Colza",AlimentsRationOiesMâles[],2,FALSE),0)+(IF(QualitéAlimentsOie=MOYENNE,VLOOKUP("Colza",AlimentsRationOiesFemelles[],2,FALSE),0))))))))</f>
        <v>0</v>
      </c>
      <c r="EJ156" s="351">
        <f t="array" ref="EJ156">SUM((IF(QualitéAlimentsOisonMâle_0_3_mois=MAUVAISE,VLOOKUP("Colza",AlimentsRationOiesMâles[],4,FALSE),0)+(IF(QualitéAlimentsOisonFemelle_0_3_mois=MAUVAISE,VLOOKUP("Colza",AlimentsRationOiesFemelles[],4,FALSE),0)+(IF(QualitéAlimentsJeuneJars=MAUVAISE,VLOOKUP("Colza",AlimentsRationOiesMâles[],3,FALSE),0)+(IF(QualitéAlimentsJeuneOie=MAUVAISE,VLOOKUP("Colza",AlimentsRationOiesFemelles[],3,FALSE),0)+(IF(QualitéAlimentsJars=MAUVAISE,VLOOKUP("Colza",AlimentsRationOiesMâles[],2,FALSE),0)+(IF(QualitéAlimentsOie=MAUVAISE,VLOOKUP("Colza",AlimentsRationOiesFemelles[],2,FALSE),0))))))))</f>
        <v>0</v>
      </c>
      <c r="EN156" s="457" t="str">
        <f t="shared" si="56"/>
        <v>concentré jeunes bovins</v>
      </c>
      <c r="EO156" s="458">
        <f t="array" ref="EO156">SUM((IF(QualitéAlimentsCanetonMâle=BONNE,VLOOKUP("Concentré jeunes bovins",AlimentsRationCanardsMâles,4,FALSE),0)+(IF(QualitéAlimentsCanetonFemelle=BONNE,VLOOKUP("Concentré jeunes bovins",AlimentsRationCanardsFemelles,4,FALSE),0)+(IF(QualitéAlimentsJeuneCanard=BONNE,VLOOKUP("Concentré jeunes bovins",AlimentsRationCanardsMâles,3,FALSE),0)+(IF(QualitéAlimentsJeuneCane=BONNE,VLOOKUP("Concentré jeunes bovins",AlimentsRationCanardsFemelles,3,FALSE),0)+(IF(QualitéAlimentsCanard=BONNE,VLOOKUP("Concentré jeunes bovins",AlimentsRationCanardsMâles,2,FALSE),0)+(IF(QualitéAlimentsCane=BONNE,VLOOKUP("Concentré jeunes bovins",AlimentsRationCanardsFemelles,2,FALSE),0))))))))</f>
        <v>0</v>
      </c>
      <c r="EP156" s="458">
        <f t="array" ref="EP156">SUM((IF(QualitéAlimentsCanetonMâle=MOYENNE,VLOOKUP("Concentré jeunes bovins",AlimentsRationCanardsMâles,4,FALSE),0)+(IF(QualitéAlimentsCanetonFemelle=MOYENNE,VLOOKUP("Concentré jeunes bovins",AlimentsRationCanardsFemelles,4,FALSE),0)+(IF(QualitéAlimentsJeuneCanard=MOYENNE,VLOOKUP("Concentré jeunes bovins",AlimentsRationCanardsMâles,3,FALSE),0)+(IF(QualitéAlimentsJeuneCane=MOYENNE,VLOOKUP("Concentré jeunes bovins",AlimentsRationCanardsFemelles,3,FALSE),0)+(IF(QualitéAlimentsCanard=MOYENNE,VLOOKUP("Concentré jeunes bovins",AlimentsRationCanardsMâles,2,FALSE),0)+(IF(QualitéAlimentsCane=MOYENNE,VLOOKUP("Concentré jeunes bovins",AlimentsRationCanardsFemelles,2,FALSE),0))))))))</f>
        <v>0</v>
      </c>
      <c r="EQ156" s="458">
        <f t="array" ref="EQ156">SUM((IF(QualitéAlimentsCanetonMâle=MAUVAISE,VLOOKUP("Concentré jeunes bovins",AlimentsRationCanardsMâles,4,FALSE),0)+(IF(QualitéAlimentsCanetonFemelle=MAUVAISE,VLOOKUP("Concentré jeunes bovins",AlimentsRationCanardsFemelles,4,FALSE),0)+(IF(QualitéAlimentsJeuneCanard=MAUVAISE,VLOOKUP("Concentré jeunes bovins",AlimentsRationCanardsMâles,3,FALSE),0)+(IF(QualitéAlimentsJeuneCane=MAUVAISE,VLOOKUP("Concentré jeunes bovins",AlimentsRationCanardsFemelles,3,FALSE),0)+(IF(QualitéAlimentsCanard=MAUVAISE,VLOOKUP("Concentré jeunes bovins",AlimentsRationCanardsMâles,2,FALSE),0)+(IF(QualitéAlimentsCane=MAUVAISE,VLOOKUP("Concentré jeunes bovins",AlimentsRationCanardsFemelles,2,FALSE),0))))))))</f>
        <v>0</v>
      </c>
      <c r="EU156" s="457" t="str">
        <f t="shared" si="54"/>
        <v>concentré jeunes lapins</v>
      </c>
      <c r="EV156" s="458">
        <f t="array" ref="EV156">IF(OR(ChoixRationHivernaleComplèteChevauxSelle=OUI,ChoixRationHivernaleComplèteChevauxSelle="",ChoixChevauxSellePréHiver=NON),0,IFERROR(IF(OR(AND(INDEX(Règles_chevaux_selle[Specificite],MATCH(RationHivernaleAuPréChevauxSelle&amp;$EU156,Règles_chevaux_selle[Ration]&amp;Règles_chevaux_selle[Aliment],0))="s1",IF($EU156=Spécificité1ChevauxSelle,1)),
AND(INDEX(Règles_chevaux_selle[Specificite],MATCH(RationHivernaleAuPréChevauxSelle&amp;$EU156,Règles_chevaux_selle[Ration]&amp;Règles_chevaux_selle[Aliment],0))="s2",IF($EU156=Spécificité2ChevauxSelle,1)),
INDEX(Règles_chevaux_selle[Specificite],MATCH(RationHivernaleAuPréChevauxSelle&amp;$EU156,Règles_chevaux_selle[Ration]&amp;Règles_chevaux_selle[Aliment],0))="c"),
INDEX(Règles_chevaux_selle[Valeur 36 et plus],MATCH(RationHivernaleAuPréChevauxSelle&amp;$EU156,Règles_chevaux_selle[Ration]&amp;Règles_chevaux_selle[Aliment],0)),0),0)*SUM(TotalChevauxSelleAdultes)*21)</f>
        <v>0</v>
      </c>
      <c r="EW156" s="458">
        <f t="array" ref="EW156">IF(OR(ChoixRationHivernaleComplèteChevauxSelle=OUI,ChoixRationHivernaleComplèteChevauxSelle="",ChoixChevauxSellePréHiver=NON),0,IFERROR(IF(OR(AND(INDEX(Règles_chevaux_selle[Specificite],MATCH(RationHivernaleAuPréChevauxSelle&amp;$EU156,Règles_chevaux_selle[Ration]&amp;Règles_chevaux_selle[Aliment],0))="s1",IF($EU156=Spécificité1ChevauxSelle,1)),
AND(INDEX(Règles_chevaux_selle[Specificite],MATCH(RationHivernaleAuPréChevauxSelle&amp;$EU156,Règles_chevaux_selle[Ration]&amp;Règles_chevaux_selle[Aliment],0))="s2",IF($EU156=Spécificité2ChevauxSelle,1)),
INDEX(Règles_chevaux_selle[Specificite],MATCH(RationHivernaleAuPréChevauxSelle&amp;$EU156,Règles_chevaux_selle[Ration]&amp;Règles_chevaux_selle[Aliment],0))="c"),
INDEX(Règles_chevaux_selle[Valeur 24-36],MATCH(RationHivernaleAuPréChevauxSelle&amp;$EU156,Règles_chevaux_selle[Ration]&amp;Règles_chevaux_selle[Aliment],0)),0),0)*SUM(TotalChevauxSelle_24_36mois)*21)</f>
        <v>0</v>
      </c>
      <c r="EX156" s="458">
        <f t="array" ref="EX156">IF(OR(ChoixRationHivernaleComplèteChevauxSelle=OUI,ChoixRationHivernaleComplèteChevauxSelle="",ChoixChevauxSellePréHiver=NON),0,IFERROR(IF(OR(AND(INDEX(Règles_chevaux_selle[Specificite],MATCH(RationHivernaleAuPréChevauxSelle&amp;$EU156,Règles_chevaux_selle[Ration]&amp;Règles_chevaux_selle[Aliment],0))="s1",IF($EU156=Spécificité1ChevauxSelle,1)),
AND(INDEX(Règles_chevaux_selle[Specificite],MATCH(RationHivernaleAuPréChevauxSelle&amp;$EU156,Règles_chevaux_selle[Ration]&amp;Règles_chevaux_selle[Aliment],0))="s2",IF($EU156=Spécificité2ChevauxSelle,1)),
INDEX(Règles_chevaux_selle[Specificite],MATCH(RationHivernaleAuPréChevauxSelle&amp;$EU156,Règles_chevaux_selle[Ration]&amp;Règles_chevaux_selle[Aliment],0))="c"),
INDEX(Règles_chevaux_selle[Valeur 12-24],MATCH(RationHivernaleAuPréChevauxSelle&amp;$EU156,Règles_chevaux_selle[Ration]&amp;Règles_chevaux_selle[Aliment],0)),0),0)*SUM(TotalChevauxSelle_12_24mois)*21)</f>
        <v>0</v>
      </c>
      <c r="EY156" s="460">
        <f t="array" ref="EY156">IF(OR(ChoixRationHivernaleComplèteChevauxSelle=OUI,ChoixRationHivernaleComplèteChevauxSelle="",ChoixChevauxSellePréHiver=NON),0,IFERROR(IF(OR(AND(INDEX(Règles_chevaux_selle[Specificite],MATCH(RationHivernaleAuPréChevauxSelle&amp;$EU156,Règles_chevaux_selle[Ration]&amp;Règles_chevaux_selle[Aliment],0))="s1",IF($EU156=Spécificité1ChevauxSelle,1)),
AND(INDEX(Règles_chevaux_selle[Specificite],MATCH(RationHivernaleAuPréChevauxSelle&amp;$EU156,Règles_chevaux_selle[Ration]&amp;Règles_chevaux_selle[Aliment],0))="s2",IF($EU156=Spécificité2ChevauxSelle,1)),
INDEX(Règles_chevaux_selle[Specificite],MATCH(RationHivernaleAuPréChevauxSelle&amp;$EU156,Règles_chevaux_selle[Ration]&amp;Règles_chevaux_selle[Aliment],0))="c"),
INDEX(Règles_chevaux_selle[Valeur 0-12],MATCH(RationHivernaleAuPréChevauxSelle&amp;$EU156,Règles_chevaux_selle[Ration]&amp;Règles_chevaux_selle[Aliment],0)),0),0)*SUM(TotalPoulainsSelle)*21)</f>
        <v>0</v>
      </c>
      <c r="EZ156" s="460">
        <f t="shared" si="53"/>
        <v>0</v>
      </c>
      <c r="FD156" s="457" t="str">
        <f t="shared" si="49"/>
        <v>Foin</v>
      </c>
      <c r="FE156" s="458">
        <f t="array" ref="FE156">IF(OR(ChoixRationHivernaleComplèteChevauxTrait=OUI,ChoixRationHivernaleComplèteChevauxTrait="",ChoixChevauxTraitPréHiver=NON),0,IFERROR(IF(OR(AND(INDEX(Règles_chevaux_trait[Specificite],MATCH(RationHivernaleAuPréChevauxTrait&amp;$FD156,Règles_chevaux_trait[Ration]&amp;Règles_chevaux_trait[Aliment],0))="s1",IF($FD156=Spécificité1ChevauxTrait,1)),
AND(INDEX(Règles_chevaux_trait[Specificite],MATCH(RationHivernaleAuPréChevauxTrait&amp;$FD156,Règles_chevaux_trait[Ration]&amp;Règles_chevaux_trait[Aliment],0))="s2",IF($FD156=Spécificité2ChevauxTrait,1)),
INDEX(Règles_chevaux_trait[Specificite],MATCH(RationHivernaleAuPréChevauxTrait&amp;$FD156,Règles_chevaux_trait[Ration]&amp;Règles_chevaux_trait[Aliment],0))="c"),
INDEX(Règles_chevaux_trait[Valeur 36 et plus],MATCH(RationHivernaleAuPréChevauxTrait&amp;$FD156,Règles_chevaux_trait[Ration]&amp;Règles_chevaux_trait[Aliment],0)),0),0)*SUM(TotalChevauxTraitAdultes)*21)</f>
        <v>0</v>
      </c>
      <c r="FF156" s="458">
        <f t="array" ref="FF156">IF(OR(ChoixRationHivernaleComplèteChevauxTrait=OUI,ChoixRationHivernaleComplèteChevauxTrait="",ChoixChevauxTraitPréHiver=NON),0,IFERROR(IF(OR(AND(INDEX(Règles_chevaux_trait[Specificite],MATCH(RationHivernaleAuPréChevauxTrait&amp;$FD156,Règles_chevaux_trait[Ration]&amp;Règles_chevaux_trait[Aliment],0))="s1",IF($FD156=Spécificité1ChevauxTrait,1)),
AND(INDEX(Règles_chevaux_trait[Specificite],MATCH(RationHivernaleAuPréChevauxTrait&amp;$FD156,Règles_chevaux_trait[Ration]&amp;Règles_chevaux_trait[Aliment],0))="s2",IF($FD156=Spécificité2ChevauxTrait,1)),
INDEX(Règles_chevaux_trait[Specificite],MATCH(RationHivernaleAuPréChevauxTrait&amp;$FD156,Règles_chevaux_trait[Ration]&amp;Règles_chevaux_trait[Aliment],0))="c"),
INDEX(Règles_chevaux_trait[Valeur 24-36],MATCH(RationHivernaleAuPréChevauxTrait&amp;$FD156,Règles_chevaux_trait[Ration]&amp;Règles_chevaux_trait[Aliment],0)),0),0)*SUM(TotalChevauxTrait_24_36mois)*21)</f>
        <v>0</v>
      </c>
      <c r="FG156" s="458">
        <f t="array" ref="FG156">IF(OR(ChoixRationHivernaleComplèteChevauxTrait=OUI,ChoixRationHivernaleComplèteChevauxTrait="",ChoixChevauxTraitPréHiver=NON),0,IFERROR(IF(OR(AND(INDEX(Règles_chevaux_trait[Specificite],MATCH(RationHivernaleAuPréChevauxTrait&amp;$FD156,Règles_chevaux_trait[Ration]&amp;Règles_chevaux_trait[Aliment],0))="s1",IF($FD156=Spécificité1ChevauxTrait,1)),
AND(INDEX(Règles_chevaux_trait[Specificite],MATCH(RationHivernaleAuPréChevauxTrait&amp;$FD156,Règles_chevaux_trait[Ration]&amp;Règles_chevaux_trait[Aliment],0))="s2",IF($FD156=Spécificité2ChevauxTrait,1)),
INDEX(Règles_chevaux_trait[Specificite],MATCH(RationHivernaleAuPréChevauxTrait&amp;$FD156,Règles_chevaux_trait[Ration]&amp;Règles_chevaux_trait[Aliment],0))="c"),
INDEX(Règles_chevaux_trait[Valeur 12-24],MATCH(RationHivernaleAuPréChevauxTrait&amp;$FD156,Règles_chevaux_trait[Ration]&amp;Règles_chevaux_trait[Aliment],0)),0),0)*SUM(TotalChevauxTrait_12_24mois)*21)</f>
        <v>0</v>
      </c>
      <c r="FH156" s="460">
        <f t="array" ref="FH156">IF(OR(ChoixRationHivernaleComplèteChevauxTrait=OUI,ChoixRationHivernaleComplèteChevauxTrait="",ChoixChevauxTraitPréHiver=NON),0,IFERROR(IF(OR(AND(INDEX(Règles_chevaux_trait[Specificite],MATCH(RationHivernaleAuPréChevauxTrait&amp;$FD156,Règles_chevaux_trait[Ration]&amp;Règles_chevaux_trait[Aliment],0))="s1",IF($FD156=Spécificité1ChevauxTrait,1)),
AND(INDEX(Règles_chevaux_trait[Specificite],MATCH(RationHivernaleAuPréChevauxTrait&amp;$FD156,Règles_chevaux_trait[Ration]&amp;Règles_chevaux_trait[Aliment],0))="s2",IF($FD156=Spécificité2ChevauxTrait,1)),
INDEX(Règles_chevaux_trait[Specificite],MATCH(RationHivernaleAuPréChevauxTrait&amp;$FD156,Règles_chevaux_trait[Ration]&amp;Règles_chevaux_trait[Aliment],0))="c"),
INDEX(Règles_chevaux_trait[Valeur 0-12],MATCH(RationHivernaleAuPréChevauxTrait&amp;$FD156,Règles_chevaux_trait[Ration]&amp;Règles_chevaux_trait[Aliment],0)),0),0)*SUM(TotalPoulainsTrait)*21)</f>
        <v>0</v>
      </c>
      <c r="FI156" s="460">
        <f t="shared" si="47"/>
        <v>0</v>
      </c>
      <c r="FN156" s="457" t="str">
        <f t="shared" si="48"/>
        <v>Haricot vert</v>
      </c>
      <c r="FO156" s="458">
        <f t="array" ref="FO156">IF(OR(ChoixRationHivernaleComplètePoneys=OUI,ChoixRationHivernaleComplètePoneys="",ChoixPoneysPréHiver=NON),0,IFERROR(IF(OR(AND(INDEX(Règles_poneys[Specificite],MATCH(RationHivernaleAuPréPoneys&amp;$FN156,Règles_poneys[Ration]&amp;Règles_poneys[Aliment],0))="s1",IF($FN156=Spécificité1Poneys,1)),
AND(INDEX(Règles_poneys[Specificite],MATCH(RationHivernaleAuPréPoneys&amp;$FN156,Règles_poneys[Ration]&amp;Règles_poneys[Aliment],0))="s2",IF($FN156=Spécificité2Poneys,1)),
INDEX(Règles_poneys[Specificite],MATCH(RationHivernaleAuPréPoneys&amp;$FN156,Règles_poneys[Ration]&amp;Règles_poneys[Aliment],0))="c"),
INDEX(Règles_poneys[Valeur 36 et plus],MATCH(RationHivernaleAuPréPoneys&amp;$FN156,Règles_poneys[Ration]&amp;Règles_poneys[Aliment],0)),0),0)*SUM(TotalPoneysAdultes)*21)</f>
        <v>0</v>
      </c>
      <c r="FP156" s="458">
        <f t="array" ref="FP156">IF(OR(ChoixRationHivernaleComplètePoneys=OUI,ChoixRationHivernaleComplètePoneys="",ChoixPoneysPréHiver=NON),0,IFERROR(IF(OR(AND(INDEX(Règles_poneys[Specificite],MATCH(RationHivernaleAuPréPoneys&amp;$FN156,Règles_poneys[Ration]&amp;Règles_poneys[Aliment],0))="s1",IF($FN156=Spécificité1Poneys,1)),
AND(INDEX(Règles_poneys[Specificite],MATCH(RationHivernaleAuPréPoneys&amp;$FN156,Règles_poneys[Ration]&amp;Règles_poneys[Aliment],0))="s2",IF($FN156=Spécificité2Poneys,1)),
INDEX(Règles_poneys[Specificite],MATCH(RationHivernaleAuPréPoneys&amp;$FN156,Règles_poneys[Ration]&amp;Règles_poneys[Aliment],0))="c"),
INDEX(Règles_poneys[Valeur 24-36],MATCH(RationHivernaleAuPréPoneys&amp;$FN156,Règles_poneys[Ration]&amp;Règles_poneys[Aliment],0)),0),0)*SUM(TotalPoneys_24_36mois)*21)</f>
        <v>0</v>
      </c>
      <c r="FQ156" s="458">
        <f t="array" ref="FQ156">IF(OR(ChoixRationHivernaleComplètePoneys=OUI,ChoixRationHivernaleComplètePoneys="",ChoixPoneysPréHiver=NON),0,IFERROR(IF(OR(AND(INDEX(Règles_poneys[Specificite],MATCH(RationHivernaleAuPréPoneys&amp;$FN156,Règles_poneys[Ration]&amp;Règles_poneys[Aliment],0))="s1",IF($FN156=Spécificité1Poneys,1)),
AND(INDEX(Règles_poneys[Specificite],MATCH(RationHivernaleAuPréPoneys&amp;$FN156,Règles_poneys[Ration]&amp;Règles_poneys[Aliment],0))="s2",IF($FN156=Spécificité2Poneys,1)),
INDEX(Règles_poneys[Specificite],MATCH(RationHivernaleAuPréPoneys&amp;$FN156,Règles_poneys[Ration]&amp;Règles_poneys[Aliment],0))="c"),
INDEX(Règles_poneys[Valeur 12-24],MATCH(RationHivernaleAuPréPoneys&amp;$FN156,Règles_poneys[Ration]&amp;Règles_poneys[Aliment],0)),0),0)*SUM(TotalPoneys_12_24mois)*21)</f>
        <v>0</v>
      </c>
      <c r="FR156" s="460">
        <f t="array" ref="FR156">IF(OR(ChoixRationHivernaleComplètePoneys=OUI,ChoixRationHivernaleComplètePoneys="",ChoixPoneysPréHiver=NON),0,IFERROR(IF(OR(AND(INDEX(Règles_poneys[Specificite],MATCH(RationHivernaleAuPréPoneys&amp;$FN156,Règles_poneys[Ration]&amp;Règles_poneys[Aliment],0))="s1",IF($FN156=Spécificité1Poneys,1)),
AND(INDEX(Règles_poneys[Specificite],MATCH(RationHivernaleAuPréPoneys&amp;$FN156,Règles_poneys[Ration]&amp;Règles_poneys[Aliment],0))="s2",IF($FN156=Spécificité2Poneys,1)),
INDEX(Règles_poneys[Specificite],MATCH(RationHivernaleAuPréPoneys&amp;$FN156,Règles_poneys[Ration]&amp;Règles_poneys[Aliment],0))="c"),
INDEX(Règles_poneys[Valeur 0-12],MATCH(RationHivernaleAuPréPoneys&amp;$FN156,Règles_poneys[Ration]&amp;Règles_poneys[Aliment],0)),0),0)*SUM(TotalPoulainsPoneys)*21)</f>
        <v>0</v>
      </c>
      <c r="FS156" s="460">
        <f t="shared" si="46"/>
        <v>0</v>
      </c>
      <c r="FW156" s="457" t="str">
        <f t="shared" si="44"/>
        <v>Orge</v>
      </c>
      <c r="FX156" s="458">
        <f t="array" ref="FX156">SUM((IF(QualitéAlimentsGavageOison_0_1_mois=BONNE,VLOOKUP("Orge",AlimentsGavageOie,5,FALSE),0)+(IF(QualitéAlimentsGavageCaneton_0_1_mois=BONNE,VLOOKUP("Orge",AlimentsGavageCanard,5,FALSE),0)+(IF(QualitéAlimentsGavageOison_1_2_mois=BONNE,VLOOKUP("Orge",AlimentsGavageOie,4,FALSE),0)+(IF(QualitéAlimentsGavageCaneton_1_2_mois=BONNE,VLOOKUP("Orge",AlimentsGavageCanard,4,FALSE),0)+(IF(QualitéAlimentsGavageOison_2_3_mois=BONNE,VLOOKUP("Orge",AlimentsGavageOie,3,FALSE),0)+(IF(QualitéAlimentsGavageCaneton_2_3_mois=BONNE,VLOOKUP("Orge",AlimentsGavageCanard,3,FALSE),0)+(IF(QualitéAlimentsGavageJeunesOies=BONNE,VLOOKUP("Orge",AlimentsGavageOie,2,FALSE),0)+(IF(QualitéAlimentsGavageJeuneCanard=BONNE,VLOOKUP("Orge",AlimentsGavageCanard,2,FALSE),0))))))))))</f>
        <v>0</v>
      </c>
      <c r="FY156" s="458">
        <f t="array" ref="FY156">SUM((IF(QualitéAlimentsGavageOison_0_1_mois=MOYENNE,VLOOKUP("Orge",AlimentsGavageOie,5,FALSE),0)+(IF(QualitéAlimentsGavageCaneton_0_1_mois=MOYENNE,VLOOKUP("Orge",AlimentsGavageCanard,5,FALSE),0)+(IF(QualitéAlimentsGavageOison_1_2_mois=MOYENNE,VLOOKUP("Orge",AlimentsGavageOie,4,FALSE),0)+(IF(QualitéAlimentsGavageCaneton_1_2_mois=MOYENNE,VLOOKUP("Orge",AlimentsGavageCanard,4,FALSE),0)+(IF(QualitéAlimentsGavageOison_2_3_mois=MOYENNE,VLOOKUP("Orge",AlimentsGavageOie,3,FALSE),0)+(IF(QualitéAlimentsGavageCaneton_2_3_mois=MOYENNE,VLOOKUP("Orge",AlimentsGavageCanard,3,FALSE),0)+(IF(QualitéAlimentsGavageJeunesOies=MOYENNE,VLOOKUP("Orge",AlimentsGavageOie,2,FALSE),0)+(IF(QualitéAlimentsGavageJeuneCanard=MOYENNE,VLOOKUP("Orge",AlimentsGavageCanard,2,FALSE),0))))))))))</f>
        <v>0</v>
      </c>
      <c r="FZ156" s="458">
        <f t="array" ref="FZ156">SUM((IF(QualitéAlimentsGavageOison_0_1_mois=MAUVAISE,VLOOKUP("Orge",AlimentsGavageOie,5,FALSE),0)+(IF(QualitéAlimentsGavageCaneton_0_1_mois=MAUVAISE,VLOOKUP("Orge",AlimentsGavageCanard,5,FALSE),0)+(IF(QualitéAlimentsGavageOison_1_2_mois=MAUVAISE,VLOOKUP("Orge",AlimentsGavageOie,4,FALSE),0)+(IF(QualitéAlimentsGavageCaneton_1_2_mois=MAUVAISE,VLOOKUP("Orge",AlimentsGavageCanard,4,FALSE),0)+(IF(QualitéAlimentsGavageOison_2_3_mois=MAUVAISE,VLOOKUP("Orge",AlimentsGavageOie,3,FALSE),0)+(IF(QualitéAlimentsGavageCaneton_2_3_mois=MAUVAISE,VLOOKUP("Orge",AlimentsGavageCanard,3,FALSE),0)+(IF(QualitéAlimentsGavageJeunesOies=MAUVAISE,VLOOKUP("Orge",AlimentsGavageOie,2,FALSE),0)+(IF(QualitéAlimentsGavageJeuneCanard=MAUVAISE,VLOOKUP("Orge",AlimentsGavageCanard,2,FALSE),0))))))))))</f>
        <v>0</v>
      </c>
      <c r="GB156" s="281"/>
      <c r="GG156" s="276" t="s">
        <v>955</v>
      </c>
      <c r="GH156" s="276" t="s">
        <v>955</v>
      </c>
      <c r="GI156" s="276" t="s">
        <v>955</v>
      </c>
      <c r="GJ156" s="276" t="s">
        <v>955</v>
      </c>
      <c r="GK156" s="276" t="s">
        <v>955</v>
      </c>
      <c r="GL156" s="276" t="s">
        <v>955</v>
      </c>
      <c r="GM156" s="276" t="s">
        <v>955</v>
      </c>
      <c r="GN156" s="276" t="s">
        <v>955</v>
      </c>
      <c r="GO156" s="276" t="s">
        <v>955</v>
      </c>
      <c r="GP156" s="276" t="s">
        <v>955</v>
      </c>
      <c r="GQ156" s="276" t="s">
        <v>955</v>
      </c>
      <c r="GR156" s="276" t="s">
        <v>955</v>
      </c>
      <c r="GS156" s="276" t="s">
        <v>955</v>
      </c>
      <c r="GT156" s="276" t="s">
        <v>955</v>
      </c>
      <c r="GU156" s="276" t="s">
        <v>955</v>
      </c>
      <c r="GV156" s="276" t="s">
        <v>955</v>
      </c>
    </row>
    <row r="157" spans="1:204" ht="12.75" customHeight="1" x14ac:dyDescent="0.2">
      <c r="A157" s="373"/>
      <c r="B157" s="382"/>
      <c r="BB157" s="387" t="s">
        <v>516</v>
      </c>
      <c r="BC157" s="362" t="s">
        <v>905</v>
      </c>
      <c r="BD157" s="362" t="s">
        <v>886</v>
      </c>
      <c r="BE157" s="388">
        <v>1</v>
      </c>
      <c r="BF157" s="388">
        <v>0.8</v>
      </c>
      <c r="BG157" s="388">
        <v>0.6</v>
      </c>
      <c r="BH157" s="388">
        <v>0.4</v>
      </c>
      <c r="BI157" s="388">
        <v>0.4</v>
      </c>
      <c r="BJ157" s="388">
        <v>0.4</v>
      </c>
      <c r="BK157" s="389">
        <v>0</v>
      </c>
      <c r="BL157" s="312"/>
      <c r="BX157" s="350" t="str">
        <f t="shared" si="51"/>
        <v>Féverole</v>
      </c>
      <c r="BY157" s="350">
        <f t="array" ref="BY157">IF(ChoixRationComplèteCaprins=OUI,0,IFERROR(IF(OR(AND(INDEX(Règles_caprins[Specificite],MATCH(ChoixRationCaprins&amp;$BX157,Règles_caprins[Ration]&amp;Règles_caprins[Aliment],0))="s1",IF($BX157=Spécificité1Caprins,1)),
INDEX(Règles_caprins[Specificite],MATCH(ChoixRationCaprins&amp;$BX157,Règles_caprins[Ration]&amp;Règles_caprins[Aliment],0))="c"),
INDEX(Règles_caprins[Valeur 12 et plus],MATCH(ChoixRationCaprins&amp;$BX157,Règles_caprins[Ration]&amp;Règles_caprins[Aliment],0)),0),0)*TotalChèvres*NbreJoursNourrirCaprins)</f>
        <v>0</v>
      </c>
      <c r="BZ157" s="350">
        <f t="array" ref="BZ157">IF(ChoixRationComplèteCaprins=OUI,0,IFERROR(IF(OR(AND(INDEX(Règles_caprins[Specificite],MATCH(ChoixRationCaprins&amp;$BX157,Règles_caprins[Ration]&amp;Règles_caprins[Aliment],0))="s1",IF($BX157=Spécificité1Caprins,1)),
INDEX(Règles_caprins[Specificite],MATCH(ChoixRationCaprins&amp;$BX157,Règles_caprins[Ration]&amp;Règles_caprins[Aliment],0))="c"),
INDEX(Règles_caprins[Valeur 6-12],MATCH(ChoixRationCaprins&amp;$BX157,Règles_caprins[Ration]&amp;Règles_caprins[Aliment],0)),0),0)*jeune_chèvre_6_12_mois*NbreJoursNourrirCaprins)</f>
        <v>0</v>
      </c>
      <c r="CA157" s="350">
        <f t="array" ref="CA157">IF(ChoixRationComplèteCaprins=OUI,0,IFERROR(IF(OR(AND(INDEX(Règles_caprins[Specificite],MATCH(ChoixRationCaprins&amp;$BX157,Règles_caprins[Ration]&amp;Règles_caprins[Aliment],0))="s1",IF($BX157=Spécificité1Caprins,1)),
INDEX(Règles_caprins[Specificite],MATCH(ChoixRationCaprins&amp;$BX157,Règles_caprins[Ration]&amp;Règles_caprins[Aliment],0))="c"),
INDEX(Règles_caprins[Valeur 3-6],MATCH(ChoixRationCaprins&amp;$BX157,Règles_caprins[Ration]&amp;Règles_caprins[Aliment],0)),0),0)*chevrette_3_6_mois*NbreJoursNourrirCaprins)</f>
        <v>0</v>
      </c>
      <c r="CB157" s="350">
        <f t="array" ref="CB157">IF(ChoixRationComplèteCaprins=OUI,0,IFERROR(IF(OR(AND(INDEX(Règles_caprins[Specificite],MATCH(ChoixRationCaprins&amp;$BX157,Règles_caprins[Ration]&amp;Règles_caprins[Aliment],0))="s1",IF($BX157=Spécificité1Caprins,1)),
INDEX(Règles_caprins[Specificite],MATCH(ChoixRationCaprins&amp;$BX157,Règles_caprins[Ration]&amp;Règles_caprins[Aliment],0))="c"),
INDEX(Règles_caprins[Valeur 0-3],MATCH(ChoixRationCaprins&amp;$BX157,Règles_caprins[Ration]&amp;Règles_caprins[Aliment],0)),0),0)*chevrette_0_3_mois*NbreJoursNourrirCaprins)</f>
        <v>0</v>
      </c>
      <c r="CC157" s="350">
        <f t="shared" si="50"/>
        <v>0</v>
      </c>
      <c r="CH157" s="298"/>
      <c r="CI157" s="277"/>
      <c r="CJ157" s="350" t="str">
        <f t="shared" si="45"/>
        <v>Maïs grain</v>
      </c>
      <c r="CK157" s="351">
        <f t="array" ref="CK157">SUM((IF(QualitéAlimentsPorceletMâle_0_1_mois=BONNE,VLOOKUP("Maïs grain",AlimentsRationPorcinsMâles[],6,FALSE),0)+(IF(QualitéAlimentsPorceletFemelle_0_1_mois=BONNE,VLOOKUP("Maïs grain",AlimentsRationPorcinsFemelles[],6,FALSE),0)+(IF(QualitéAlimentsPorceletMâle_1_3_mois=BONNE,VLOOKUP("Maïs grain",AlimentsRationPorcinsMâles[],5,FALSE),0)+(IF(QualitéAlimentsPorceletFemelle_1_3_mois=BONNE,VLOOKUP("Maïs grain",AlimentsRationPorcinsFemelles[],5,FALSE),0)+(IF(QualitéAlimentsJeuneVerrat_3_6_mois=BONNE,VLOOKUP("Maïs grain",AlimentsRationPorcinsMâles[],4,FALSE),0)+(IF(QualitéAlimentsJeuneTruie_3_6_mois=BONNE,VLOOKUP("Maïs grain",AlimentsRationPorcinsFemelles[],4,FALSE),0)+(IF(QualitéAlimentsJeuneVerrat_6_12_mois=BONNE,VLOOKUP("Maïs grain",AlimentsRationPorcinsMâles[],3,FALSE),0)+(IF(QualitéAlimentsJeuneTruie_6_12_mois=BONNE,VLOOKUP("Maïs grain",AlimentsRationPorcinsFemelles[],3,FALSE),0)+(IF(QualitéAlimentsVerrat=BONNE,VLOOKUP("Avoine",AlimentsRationPorcinsMâles[],2,FALSE),0)+(IF(QualitéAlimentsTruie=BONNE,VLOOKUP("Avoine",AlimentsRationPorcinsFemelles[],2,FALSE),0))))))))))))</f>
        <v>0</v>
      </c>
      <c r="CL157" s="351">
        <f t="array" ref="CL157">SUM((IF(QualitéAlimentsPorceletMâle_0_1_mois=MOYENNE,VLOOKUP("Maïs grain",AlimentsRationPorcinsMâles[],6,FALSE),0)+(IF(QualitéAlimentsPorceletFemelle_0_1_mois=MOYENNE,VLOOKUP("Maïs grain",AlimentsRationPorcinsFemelles[],6,FALSE),0)+(IF(QualitéAlimentsPorceletMâle_1_3_mois=MOYENNE,VLOOKUP("Maïs grain",AlimentsRationPorcinsMâles[],5,FALSE),0)+(IF(QualitéAlimentsPorceletFemelle_1_3_mois=MOYENNE,VLOOKUP("Maïs grain",AlimentsRationPorcinsFemelles[],5,FALSE),0)+(IF(QualitéAlimentsJeuneVerrat_3_6_mois=MOYENNE,VLOOKUP("Maïs grain",AlimentsRationPorcinsMâles[],4,FALSE),0)+(IF(QualitéAlimentsJeuneTruie_3_6_mois=MOYENNE,VLOOKUP("Maïs grain",AlimentsRationPorcinsFemelles[],4,FALSE),0)+(IF(QualitéAlimentsJeuneVerrat_6_12_mois=MOYENNE,VLOOKUP("Maïs grain",AlimentsRationPorcinsMâles[],3,FALSE),0)+(IF(QualitéAlimentsJeuneTruie_6_12_mois=MOYENNE,VLOOKUP("Maïs grain",AlimentsRationPorcinsFemelles[],3,FALSE),0)+(IF(QualitéAlimentsVerrat=BONNE,VLOOKUP("Avoine",AlimentsRationPorcinsMâles[],2,FALSE),0)+(IF(QualitéAlimentsTruie=BONNE,VLOOKUP("Avoine",AlimentsRationPorcinsFemelles[],2,FALSE),0))))))))))))</f>
        <v>0</v>
      </c>
      <c r="CM157" s="351">
        <f t="array" ref="CM157">SUM((IF(QualitéAlimentsPorceletMâle_0_1_mois=MAUVAISE,VLOOKUP("Maïs grain",AlimentsRationPorcinsMâles[],6,FALSE),0)+(IF(QualitéAlimentsPorceletFemelle_0_1_mois=MAUVAISE,VLOOKUP("Maïs grain",AlimentsRationPorcinsFemelles[],6,FALSE),0)+(IF(QualitéAlimentsPorceletMâle_1_3_mois=MAUVAISE,VLOOKUP("Maïs grain",AlimentsRationPorcinsMâles[],5,FALSE),0)+(IF(QualitéAlimentsPorceletFemelle_1_3_mois=MAUVAISE,VLOOKUP("Maïs grain",AlimentsRationPorcinsFemelles[],5,FALSE),0)+(IF(QualitéAlimentsJeuneVerrat_3_6_mois=MAUVAISE,VLOOKUP("Maïs grain",AlimentsRationPorcinsMâles[],4,FALSE),0)+(IF(QualitéAlimentsJeuneTruie_3_6_mois=MAUVAISE,VLOOKUP("Maïs grain",AlimentsRationPorcinsFemelles[],4,FALSE),0)+(IF(QualitéAlimentsJeuneVerrat_6_12_mois=MAUVAISE,VLOOKUP("Maïs grain",AlimentsRationPorcinsMâles[],3,FALSE),0)+(IF(QualitéAlimentsJeuneTruie_6_12_mois=MAUVAISE,VLOOKUP("Maïs grain",AlimentsRationPorcinsFemelles[],3,FALSE),0)+(IF(QualitéAlimentsVerrat=BONNE,VLOOKUP("Avoine",AlimentsRationPorcinsMâles[],2,FALSE),0)+(IF(QualitéAlimentsTruie=BONNE,VLOOKUP("Avoine",AlimentsRationPorcinsFemelles[],2,FALSE),0))))))))))))</f>
        <v>0</v>
      </c>
      <c r="CN157" s="279"/>
      <c r="CO157" s="279"/>
      <c r="CP157" s="298"/>
      <c r="CS157" s="350" t="str">
        <f t="shared" si="59"/>
        <v>Blé</v>
      </c>
      <c r="CT157" s="351">
        <f t="array" ref="CT157">SUM((IF(QualitéAlimentsLapereauMâle_0_1_mois=BONNE,VLOOKUP("Blé",AlimentsRationLapinsMâles[],4,FALSE),0)+(IF(QualitéAlimentsLapereauFemelle_0_1_mois=BONNE,VLOOKUP("Blé",AlimentsRationLapinsFemelles[],4,FALSE),0)+(IF(QualitéAlimentsJeuneLapin=BONNE,VLOOKUP("Blé",AlimentsRationLapinsMâles[],3,FALSE),0)+(IF(QualitéAlimentsJeuneLapine=BONNE,VLOOKUP("Blé",AlimentsRationLapinsFemelles[],3,FALSE),0)+(IF(QualitéAlimentsLapin=BONNE,VLOOKUP("Blé",AlimentsRationLapinsMâles[],2,FALSE),0)+(IF(QualitéAlimentsLapine=BONNE,VLOOKUP("Blé",AlimentsRationLapinsFemelles[],2,FALSE),0))))))))</f>
        <v>0</v>
      </c>
      <c r="CU157" s="351">
        <f t="array" ref="CU157">SUM((IF(QualitéAlimentsLapereauMâle_0_1_mois=MOYENNE,VLOOKUP("Blé",AlimentsRationLapinsMâles[],4,FALSE),0)+(IF(QualitéAlimentsLapereauFemelle_0_1_mois=MOYENNE,VLOOKUP("Blé",AlimentsRationLapinsFemelles[],4,FALSE),0)+(IF(QualitéAlimentsJeuneLapin=MOYENNE,VLOOKUP("Blé",AlimentsRationLapinsMâles[],3,FALSE),0)+(IF(QualitéAlimentsJeuneLapine=MOYENNE,VLOOKUP("Blé",AlimentsRationLapinsFemelles[],3,FALSE),0)+(IF(QualitéAlimentsLapin=MOYENNE,VLOOKUP("Blé",AlimentsRationLapinsMâles[],2,FALSE),0)+(IF(QualitéAlimentsLapine=MOYENNE,VLOOKUP("Blé",AlimentsRationLapinsFemelles[],2,FALSE),0))))))))</f>
        <v>0</v>
      </c>
      <c r="CV157" s="351">
        <f t="array" ref="CV157">SUM((IF(QualitéAlimentsLapereauMâle_0_1_mois=MAUVAISE,VLOOKUP("Blé",AlimentsRationLapinsMâles[],4,FALSE),0)+(IF(QualitéAlimentsLapereauFemelle_0_1_mois=MAUVAISE,VLOOKUP("Blé",AlimentsRationLapinsFemelles[],4,FALSE),0)+(IF(QualitéAlimentsJeuneLapin=MAUVAISE,VLOOKUP("Blé",AlimentsRationLapinsMâles[],3,FALSE),0)+(IF(QualitéAlimentsJeuneLapine=MAUVAISE,VLOOKUP("Blé",AlimentsRationLapinsFemelles[],3,FALSE),0)+(IF(QualitéAlimentsLapin=MAUVAISE,VLOOKUP("Blé",AlimentsRationLapinsMâles[],2,FALSE),0)+(IF(QualitéAlimentsLapine=MAUVAISE,VLOOKUP("Blé",AlimentsRationLapinsFemelles[],2,FALSE),0))))))))</f>
        <v>0</v>
      </c>
      <c r="CZ157" s="350" t="str">
        <f t="shared" si="58"/>
        <v>Bouchons luzerne</v>
      </c>
      <c r="DA157" s="351">
        <f t="array" ref="DA157">SUM((IF(QualitéAlimentsPoussinMâle_0_1_mois=BONNE,VLOOKUP("Bouchons luzerne",AlimentsRationVolaillesMâles[],4,FALSE),0)+(IF(QualitéAlimentsPoussinFemelle_0_1_mois=BONNE,VLOOKUP("Bouchons luzerne",AlimentsRationVolaillesFemelles[],4,FALSE),0)+(IF(QualitéAlimentsJeuneCoq=BONNE,VLOOKUP("Bouchons luzerne",AlimentsRationVolaillesMâles[],3,FALSE),0)+(IF(QualitéAlimentsJeunePoule=BONNE,VLOOKUP("Bouchons luzerne",AlimentsRationVolaillesFemelles[],3,FALSE),0)+(IF(QualitéAlimentsCoq=BONNE,VLOOKUP("Bouchons luzerne",AlimentsRationVolaillesMâles[],2,FALSE),0)+(IF(QualitéAlimentsPoule=BONNE,VLOOKUP("Bouchons luzerne",AlimentsRationVolaillesFemelles[],2,FALSE),0))))))))</f>
        <v>0</v>
      </c>
      <c r="DB157" s="351">
        <f t="array" ref="DB157">SUM((IF(QualitéAlimentsPoussinMâle_0_1_mois=MOYENNE,VLOOKUP("Bouchons luzerne",AlimentsRationVolaillesMâles[],4,FALSE),0)+(IF(QualitéAlimentsPoussinFemelle_0_1_mois=MOYENNE,VLOOKUP("Bouchons luzerne",AlimentsRationVolaillesFemelles[],4,FALSE),0)+(IF(QualitéAlimentsJeuneCoq=MOYENNE,VLOOKUP("Bouchons luzerne",AlimentsRationVolaillesMâles[],3,FALSE),0)+(IF(QualitéAlimentsJeunePoule=MOYENNE,VLOOKUP("Bouchons luzerne",AlimentsRationVolaillesFemelles[],3,FALSE),0)+(IF(QualitéAlimentsCoq=MOYENNE,VLOOKUP("Bouchons luzerne",AlimentsRationVolaillesMâles[],2,FALSE),0)+(IF(QualitéAlimentsPoule=MOYENNE,VLOOKUP("Bouchons luzerne",AlimentsRationVolaillesFemelles[],2,FALSE),0))))))))</f>
        <v>0</v>
      </c>
      <c r="DC157" s="351">
        <f t="array" ref="DC157">SUM((IF(QualitéAlimentsPoussinMâle_0_1_mois=MAUVAISE,VLOOKUP("Bouchons luzerne",AlimentsRationVolaillesMâles[],4,FALSE),0)+(IF(QualitéAlimentsPoussinFemelle_0_1_mois=MAUVAISE,VLOOKUP("Bouchons luzerne",AlimentsRationVolaillesFemelles[],4,FALSE),0)+(IF(QualitéAlimentsJeuneCoq=MAUVAISE,VLOOKUP("Bouchons luzerne",AlimentsRationVolaillesMâles[],3,FALSE),0)+(IF(QualitéAlimentsJeunePoule=MAUVAISE,VLOOKUP("Bouchons luzerne",AlimentsRationVolaillesFemelles[],3,FALSE),0)+(IF(QualitéAlimentsCoq=MAUVAISE,VLOOKUP("Bouchons luzerne",AlimentsRationVolaillesMâles[],2,FALSE),0)+(IF(QualitéAlimentsPoule=MAUVAISE,VLOOKUP("Bouchons luzerne",AlimentsRationVolaillesFemelles[],2,FALSE),0))))))))</f>
        <v>0</v>
      </c>
      <c r="DD157" s="277"/>
      <c r="DG157" s="350" t="str">
        <f t="shared" si="52"/>
        <v>Féverole</v>
      </c>
      <c r="DH157" s="351">
        <f t="array" ref="DH157">SUM((IF(QualitéAlimentsPintadeauMâle_0_1_mois=BONNE,VLOOKUP("Féverole",AlimentsRationPintadesMâles[],4,FALSE),0)+(IF(QualitéAlimentsPintadeauFemelle_0_1_mois=BONNE,VLOOKUP("Féverole",AlimentsRationPintadesFemelles[],4,FALSE),0)+(IF(QualitéAlimentsJeunePintadeMâle=BONNE,VLOOKUP("Féverole",AlimentsRationPintadesMâles[],3,FALSE),0)+(IF(QualitéAlimentsJeunePintadeFemelle=BONNE,VLOOKUP("Féverole",AlimentsRationPintadesFemelles[],3,FALSE),0)+(IF(QualitéAlimentsPintadeMâle=BONNE,VLOOKUP("Féverole",AlimentsRationPintadesMâles[],2,FALSE),0)+(IF(QualitéAlimentsPintadeFemelle=BONNE,VLOOKUP("Féverole",AlimentsRationPintadesFemelles[],2,FALSE),0))))))))</f>
        <v>0</v>
      </c>
      <c r="DI157" s="351">
        <f t="array" ref="DI157">SUM((IF(QualitéAlimentsPintadeauMâle_0_1_mois=MOYENNE,VLOOKUP("Féverole",AlimentsRationPintadesMâles[],4,FALSE),0)+(IF(QualitéAlimentsPintadeauFemelle_0_1_mois=MOYENNE,VLOOKUP("Féverole",AlimentsRationPintadesFemelles[],4,FALSE),0)+(IF(QualitéAlimentsJeunePintadeMâle=MOYENNE,VLOOKUP("Féverole",AlimentsRationPintadesMâles[],3,FALSE),0)+(IF(QualitéAlimentsJeunePintadeFemelle=MOYENNE,VLOOKUP("Féverole",AlimentsRationPintadesFemelles[],3,FALSE),0)+(IF(QualitéAlimentsPintadeMâle=MOYENNE,VLOOKUP("Féverole",AlimentsRationPintadesMâles[],2,FALSE),0)+(IF(QualitéAlimentsPintadeFemelle=MOYENNE,VLOOKUP("Féverole",AlimentsRationPintadesFemelles[],2,FALSE),0))))))))</f>
        <v>0</v>
      </c>
      <c r="DJ157" s="351">
        <f t="array" ref="DJ157">SUM((IF(QualitéAlimentsPintadeauMâle_0_1_mois=MAUVAISE,VLOOKUP("Féverole",AlimentsRationPintadesMâles[],4,FALSE),0)+(IF(QualitéAlimentsPintadeauFemelle_0_1_mois=MAUVAISE,VLOOKUP("Féverole",AlimentsRationPintadesFemelles[],4,FALSE),0)+(IF(QualitéAlimentsJeunePintadeMâle=MAUVAISE,VLOOKUP("Féverole",AlimentsRationPintadesMâles[],3,FALSE),0)+(IF(QualitéAlimentsJeunePintadeFemelle=MAUVAISE,VLOOKUP("Féverole",AlimentsRationPintadesFemelles[],3,FALSE),0)+(IF(QualitéAlimentsPintadeMâle=MAUVAISE,VLOOKUP("Féverole",AlimentsRationPintadesMâles[],2,FALSE),0)+(IF(QualitéAlimentsPintadeFemelle=MAUVAISE,VLOOKUP("Féverole",AlimentsRationPintadesFemelles[],2,FALSE),0))))))))</f>
        <v>0</v>
      </c>
      <c r="DN157" s="350" t="s">
        <v>1166</v>
      </c>
      <c r="DO157" s="351">
        <f t="array" ref="DO157">IF(ChoixRationComplèteOvins=OUI,0,IFERROR(IF(OR(AND(INDEX(Règles_ovins[Specificite],MATCH(ChoixRationOvins&amp;$DN157,Règles_ovins[Ration]&amp;Règles_ovins[Aliment],0))="s1",IF($DN157=Spécificité1Ovins,1)),
AND(INDEX(Règles_ovins[Specificite],MATCH(ChoixRationOvins&amp;$DN157,Règles_ovins[Ration]&amp;Règles_ovins[Aliment],0))="s2",IF($DN157=Spécificité2Ovins,1)),
INDEX(Règles_ovins[Specificite],MATCH(ChoixRationOvins&amp;$DN157,Règles_ovins[Ration]&amp;Règles_ovins[Aliment],0))="c"),
INDEX(Règles_ovins[Valeur 12 et plus],MATCH(ChoixRationOvins&amp;$DN157,Règles_ovins[Ration]&amp;Règles_ovins[Aliment],0)),0),0)*IF(ChoixOvinsPréHiver=OUI,SUM(TotalOvinsAdultesRacesLaitières)*NbreJoursNourrirOvins,TotalBéliers*NbreJoursNourrirOvins))</f>
        <v>0</v>
      </c>
      <c r="DP157" s="351">
        <f t="array" ref="DP157">IF(ChoixRationComplèteOvins=OUI,0,IFERROR(IF(OR(AND(INDEX(Règles_ovins[Specificite],MATCH(ChoixRationOvins&amp;$DN157,Règles_ovins[Ration]&amp;Règles_ovins[Aliment],0))="s1",IF($DN157=Spécificité1Ovins,1)),
AND(INDEX(Règles_ovins[Specificite],MATCH(ChoixRationOvins&amp;$DN157,Règles_ovins[Ration]&amp;Règles_ovins[Aliment],0))="s2",IF($DN157=Spécificité2Ovins,1)),
INDEX(Règles_ovins[Specificite],MATCH(ChoixRationOvins&amp;$DN157,Règles_ovins[Ration]&amp;Règles_ovins[Aliment],0))="c"),
INDEX(Règles_ovins[Valeur 6-12],MATCH(ChoixRationOvins&amp;$DN157,Règles_ovins[Ration]&amp;Règles_ovins[Aliment],0)),0),0)*IF(ChoixOvinsPréHiver=OUI,SUM(TotalJeunesOvinsRacesLaitières)*NbreJoursNourrirOvins,TotalJeune_bélier_6_12_mois*NbreJoursNourrirOvins))</f>
        <v>0</v>
      </c>
      <c r="DQ157" s="351">
        <f t="array" ref="DQ157">IF(ChoixRationComplèteOvins=OUI,0,IFERROR(IF(OR(AND(INDEX(Règles_ovins[Specificite],MATCH(ChoixRationOvins&amp;$DN157,Règles_ovins[Ration]&amp;Règles_ovins[Aliment],0))="s1",IF($DN157=Spécificité1Ovins,1)),
AND(INDEX(Règles_ovins[Specificite],MATCH(ChoixRationOvins&amp;$DN157,Règles_ovins[Ration]&amp;Règles_ovins[Aliment],0))="s2",IF($DN157=Spécificité2Ovins,1)),
INDEX(Règles_ovins[Specificite],MATCH(ChoixRationOvins&amp;$DN157,Règles_ovins[Ration]&amp;Règles_ovins[Aliment],0))="c"),
INDEX(Règles_ovins[Valeur 3-6],MATCH(ChoixRationOvins&amp;$DN157,Règles_ovins[Ration]&amp;Règles_ovins[Aliment],0)),0),0)*IF(ChoixOvinsPréHiver=OUI,SUM(TotalOvins_3_6moisRacesLaitières)*NbreJoursNourrirOvins,TotalAgneau_3_6_mois*NbreJoursNourrirOvins))</f>
        <v>0</v>
      </c>
      <c r="DR157" s="351">
        <f t="array" ref="DR157">IF(ChoixRationComplèteOvins=OUI,0,IFERROR(IF(OR(AND(INDEX(Règles_ovins[Specificite],MATCH(ChoixRationOvins&amp;$DN157,Règles_ovins[Ration]&amp;Règles_ovins[Aliment],0))="s1",IF($DN157=Spécificité1Ovins,1)),
AND(INDEX(Règles_ovins[Specificite],MATCH(ChoixRationOvins&amp;$DN157,Règles_ovins[Ration]&amp;Règles_ovins[Aliment],0))="s2",IF($DN157=Spécificité2Ovins,1)),
INDEX(Règles_ovins[Specificite],MATCH(ChoixRationOvins&amp;$DN157,Règles_ovins[Ration]&amp;Règles_ovins[Aliment],0))="c"),
INDEX(Règles_ovins[Valeur 0-3],MATCH(ChoixRationOvins&amp;$DN157,Règles_ovins[Ration]&amp;Règles_ovins[Aliment],0)),0),0)*IF(ChoixOvinsPréHiver=OUI,SUM(TotalOvins_3_6moisRacesLaitières)*NbreJoursNourrirOvins,TotalAgneau_0_3_mois*NbreJoursNourrirOvins))</f>
        <v>0</v>
      </c>
      <c r="DS157" s="441">
        <f t="shared" si="55"/>
        <v>0</v>
      </c>
      <c r="EG157" s="350" t="str">
        <f t="shared" si="57"/>
        <v>concentré jeunes bovins</v>
      </c>
      <c r="EH157" s="351">
        <f t="array" ref="EH157">SUM((IF(QualitéAlimentsOisonMâle_0_3_mois=BONNE,VLOOKUP("Concentré jeunes bovins",AlimentsRationOiesMâles[],4,FALSE),0)+(IF(QualitéAlimentsOisonFemelle_0_3_mois=BONNE,VLOOKUP("Concentré jeunes bovins",AlimentsRationOiesFemelles[],4,FALSE),0)+(IF(QualitéAlimentsJeuneJars=BONNE,VLOOKUP("Concentré jeunes bovins",AlimentsRationOiesMâles[],3,FALSE),0)+(IF(QualitéAlimentsJeuneOie=BONNE,VLOOKUP("Concentré jeunes bovins",AlimentsRationOiesFemelles[],3,FALSE),0)+(IF(QualitéAlimentsJars=BONNE,VLOOKUP("Concentré jeunes bovins",AlimentsRationOiesMâles[],2,FALSE),0)+(IF(QualitéAlimentsOie=BONNE,VLOOKUP("Concentré jeunes bovins",AlimentsRationOiesFemelles[],2,FALSE),0))))))))</f>
        <v>0</v>
      </c>
      <c r="EI157" s="351">
        <f t="array" ref="EI157">SUM((IF(QualitéAlimentsOisonMâle_0_3_mois=MOYENNE,VLOOKUP("Concentré jeunes bovins",AlimentsRationOiesMâles[],4,FALSE),0)+(IF(QualitéAlimentsOisonFemelle_0_3_mois=MOYENNE,VLOOKUP("Concentré jeunes bovins",AlimentsRationOiesFemelles[],4,FALSE),0)+(IF(QualitéAlimentsJeuneJars=MOYENNE,VLOOKUP("Concentré jeunes bovins",AlimentsRationOiesMâles[],3,FALSE),0)+(IF(QualitéAlimentsJeuneOie=MOYENNE,VLOOKUP("Concentré jeunes bovins",AlimentsRationOiesFemelles[],3,FALSE),0)+(IF(QualitéAlimentsJars=MOYENNE,VLOOKUP("Concentré jeunes bovins",AlimentsRationOiesMâles[],2,FALSE),0)+(IF(QualitéAlimentsOie=MOYENNE,VLOOKUP("Concentré jeunes bovins",AlimentsRationOiesFemelles[],2,FALSE),0))))))))</f>
        <v>0</v>
      </c>
      <c r="EJ157" s="351">
        <f t="array" ref="EJ157">SUM((IF(QualitéAlimentsOisonMâle_0_3_mois=MAUVAISE,VLOOKUP("Concentré jeunes bovins",AlimentsRationOiesMâles[],4,FALSE),0)+(IF(QualitéAlimentsOisonFemelle_0_3_mois=MAUVAISE,VLOOKUP("Concentré jeunes bovins",AlimentsRationOiesFemelles[],4,FALSE),0)+(IF(QualitéAlimentsJeuneJars=MAUVAISE,VLOOKUP("Concentré jeunes bovins",AlimentsRationOiesMâles[],3,FALSE),0)+(IF(QualitéAlimentsJeuneOie=MAUVAISE,VLOOKUP("Concentré jeunes bovins",AlimentsRationOiesFemelles[],3,FALSE),0)+(IF(QualitéAlimentsJars=MAUVAISE,VLOOKUP("Concentré jeunes bovins",AlimentsRationOiesMâles[],2,FALSE),0)+(IF(QualitéAlimentsOie=MAUVAISE,VLOOKUP("Concentré jeunes bovins",AlimentsRationOiesFemelles[],2,FALSE),0))))))))</f>
        <v>0</v>
      </c>
      <c r="EN157" s="457" t="str">
        <f t="shared" si="56"/>
        <v>concentré jeunes lapins</v>
      </c>
      <c r="EO157" s="458">
        <f t="array" ref="EO157">SUM((IF(QualitéAlimentsCanetonMâle=BONNE,VLOOKUP("Concentré jeunes lapins",AlimentsRationCanardsMâles,4,FALSE),0)+(IF(QualitéAlimentsCanetonFemelle=BONNE,VLOOKUP("Concentré jeunes lapins",AlimentsRationCanardsFemelles,4,FALSE),0)+(IF(QualitéAlimentsJeuneCanard=BONNE,VLOOKUP("Concentré jeunes lapins",AlimentsRationCanardsMâles,3,FALSE),0)+(IF(QualitéAlimentsJeuneCane=BONNE,VLOOKUP("Concentré jeunes lapins",AlimentsRationCanardsFemelles,3,FALSE),0)+(IF(QualitéAlimentsCanard=BONNE,VLOOKUP("Concentré jeunes lapins",AlimentsRationCanardsMâles,2,FALSE),0)+(IF(QualitéAlimentsCane=BONNE,VLOOKUP("Concentré jeunes lapins",AlimentsRationCanardsFemelles,2,FALSE),0))))))))</f>
        <v>0</v>
      </c>
      <c r="EP157" s="458">
        <f t="array" ref="EP157">SUM((IF(QualitéAlimentsCanetonMâle=MOYENNE,VLOOKUP("Concentré jeunes lapins",AlimentsRationCanardsMâles,4,FALSE),0)+(IF(QualitéAlimentsCanetonFemelle=MOYENNE,VLOOKUP("Concentré jeunes lapins",AlimentsRationCanardsFemelles,4,FALSE),0)+(IF(QualitéAlimentsJeuneCanard=MOYENNE,VLOOKUP("Concentré jeunes lapins",AlimentsRationCanardsMâles,3,FALSE),0)+(IF(QualitéAlimentsJeuneCane=MOYENNE,VLOOKUP("Concentré jeunes lapins",AlimentsRationCanardsFemelles,3,FALSE),0)+(IF(QualitéAlimentsCanard=MOYENNE,VLOOKUP("Concentré jeunes lapins",AlimentsRationCanardsMâles,2,FALSE),0)+(IF(QualitéAlimentsCane=MOYENNE,VLOOKUP("Concentré jeunes lapins",AlimentsRationCanardsFemelles,2,FALSE),0))))))))</f>
        <v>0</v>
      </c>
      <c r="EQ157" s="458">
        <f t="array" ref="EQ157">SUM((IF(QualitéAlimentsCanetonMâle=MAUVAISE,VLOOKUP("Concentré jeunes lapins",AlimentsRationCanardsMâles,4,FALSE),0)+(IF(QualitéAlimentsCanetonFemelle=MAUVAISE,VLOOKUP("Concentré jeunes lapins",AlimentsRationCanardsFemelles,4,FALSE),0)+(IF(QualitéAlimentsJeuneCanard=MAUVAISE,VLOOKUP("Concentré jeunes lapins",AlimentsRationCanardsMâles,3,FALSE),0)+(IF(QualitéAlimentsJeuneCane=MAUVAISE,VLOOKUP("Concentré jeunes lapins",AlimentsRationCanardsFemelles,3,FALSE),0)+(IF(QualitéAlimentsCanard=MAUVAISE,VLOOKUP("Concentré jeunes lapins",AlimentsRationCanardsMâles,2,FALSE),0)+(IF(QualitéAlimentsCane=MAUVAISE,VLOOKUP("Concentré jeunes lapins",AlimentsRationCanardsFemelles,2,FALSE),0))))))))</f>
        <v>0</v>
      </c>
      <c r="EU157" s="457" t="str">
        <f t="shared" si="54"/>
        <v>concentré jeunes porcins</v>
      </c>
      <c r="EV157" s="458">
        <f t="array" ref="EV157">IF(OR(ChoixRationHivernaleComplèteChevauxSelle=OUI,ChoixRationHivernaleComplèteChevauxSelle="",ChoixChevauxSellePréHiver=NON),0,IFERROR(IF(OR(AND(INDEX(Règles_chevaux_selle[Specificite],MATCH(RationHivernaleAuPréChevauxSelle&amp;$EU157,Règles_chevaux_selle[Ration]&amp;Règles_chevaux_selle[Aliment],0))="s1",IF($EU157=Spécificité1ChevauxSelle,1)),
AND(INDEX(Règles_chevaux_selle[Specificite],MATCH(RationHivernaleAuPréChevauxSelle&amp;$EU157,Règles_chevaux_selle[Ration]&amp;Règles_chevaux_selle[Aliment],0))="s2",IF($EU157=Spécificité2ChevauxSelle,1)),
INDEX(Règles_chevaux_selle[Specificite],MATCH(RationHivernaleAuPréChevauxSelle&amp;$EU157,Règles_chevaux_selle[Ration]&amp;Règles_chevaux_selle[Aliment],0))="c"),
INDEX(Règles_chevaux_selle[Valeur 36 et plus],MATCH(RationHivernaleAuPréChevauxSelle&amp;$EU157,Règles_chevaux_selle[Ration]&amp;Règles_chevaux_selle[Aliment],0)),0),0)*SUM(TotalChevauxSelleAdultes)*21)</f>
        <v>0</v>
      </c>
      <c r="EW157" s="458">
        <f t="array" ref="EW157">IF(OR(ChoixRationHivernaleComplèteChevauxSelle=OUI,ChoixRationHivernaleComplèteChevauxSelle="",ChoixChevauxSellePréHiver=NON),0,IFERROR(IF(OR(AND(INDEX(Règles_chevaux_selle[Specificite],MATCH(RationHivernaleAuPréChevauxSelle&amp;$EU157,Règles_chevaux_selle[Ration]&amp;Règles_chevaux_selle[Aliment],0))="s1",IF($EU157=Spécificité1ChevauxSelle,1)),
AND(INDEX(Règles_chevaux_selle[Specificite],MATCH(RationHivernaleAuPréChevauxSelle&amp;$EU157,Règles_chevaux_selle[Ration]&amp;Règles_chevaux_selle[Aliment],0))="s2",IF($EU157=Spécificité2ChevauxSelle,1)),
INDEX(Règles_chevaux_selle[Specificite],MATCH(RationHivernaleAuPréChevauxSelle&amp;$EU157,Règles_chevaux_selle[Ration]&amp;Règles_chevaux_selle[Aliment],0))="c"),
INDEX(Règles_chevaux_selle[Valeur 24-36],MATCH(RationHivernaleAuPréChevauxSelle&amp;$EU157,Règles_chevaux_selle[Ration]&amp;Règles_chevaux_selle[Aliment],0)),0),0)*SUM(TotalChevauxSelle_24_36mois)*21)</f>
        <v>0</v>
      </c>
      <c r="EX157" s="458">
        <f t="array" ref="EX157">IF(OR(ChoixRationHivernaleComplèteChevauxSelle=OUI,ChoixRationHivernaleComplèteChevauxSelle="",ChoixChevauxSellePréHiver=NON),0,IFERROR(IF(OR(AND(INDEX(Règles_chevaux_selle[Specificite],MATCH(RationHivernaleAuPréChevauxSelle&amp;$EU157,Règles_chevaux_selle[Ration]&amp;Règles_chevaux_selle[Aliment],0))="s1",IF($EU157=Spécificité1ChevauxSelle,1)),
AND(INDEX(Règles_chevaux_selle[Specificite],MATCH(RationHivernaleAuPréChevauxSelle&amp;$EU157,Règles_chevaux_selle[Ration]&amp;Règles_chevaux_selle[Aliment],0))="s2",IF($EU157=Spécificité2ChevauxSelle,1)),
INDEX(Règles_chevaux_selle[Specificite],MATCH(RationHivernaleAuPréChevauxSelle&amp;$EU157,Règles_chevaux_selle[Ration]&amp;Règles_chevaux_selle[Aliment],0))="c"),
INDEX(Règles_chevaux_selle[Valeur 12-24],MATCH(RationHivernaleAuPréChevauxSelle&amp;$EU157,Règles_chevaux_selle[Ration]&amp;Règles_chevaux_selle[Aliment],0)),0),0)*SUM(TotalChevauxSelle_12_24mois)*21)</f>
        <v>0</v>
      </c>
      <c r="EY157" s="460">
        <f t="array" ref="EY157">IF(OR(ChoixRationHivernaleComplèteChevauxSelle=OUI,ChoixRationHivernaleComplèteChevauxSelle="",ChoixChevauxSellePréHiver=NON),0,IFERROR(IF(OR(AND(INDEX(Règles_chevaux_selle[Specificite],MATCH(RationHivernaleAuPréChevauxSelle&amp;$EU157,Règles_chevaux_selle[Ration]&amp;Règles_chevaux_selle[Aliment],0))="s1",IF($EU157=Spécificité1ChevauxSelle,1)),
AND(INDEX(Règles_chevaux_selle[Specificite],MATCH(RationHivernaleAuPréChevauxSelle&amp;$EU157,Règles_chevaux_selle[Ration]&amp;Règles_chevaux_selle[Aliment],0))="s2",IF($EU157=Spécificité2ChevauxSelle,1)),
INDEX(Règles_chevaux_selle[Specificite],MATCH(RationHivernaleAuPréChevauxSelle&amp;$EU157,Règles_chevaux_selle[Ration]&amp;Règles_chevaux_selle[Aliment],0))="c"),
INDEX(Règles_chevaux_selle[Valeur 0-12],MATCH(RationHivernaleAuPréChevauxSelle&amp;$EU157,Règles_chevaux_selle[Ration]&amp;Règles_chevaux_selle[Aliment],0)),0),0)*SUM(TotalPoulainsSelle)*21)</f>
        <v>0</v>
      </c>
      <c r="EZ157" s="460">
        <f t="shared" si="53"/>
        <v>0</v>
      </c>
      <c r="FD157" s="457" t="str">
        <f t="shared" si="49"/>
        <v>Haricot vert</v>
      </c>
      <c r="FE157" s="458">
        <f t="array" ref="FE157">IF(OR(ChoixRationHivernaleComplèteChevauxTrait=OUI,ChoixRationHivernaleComplèteChevauxTrait="",ChoixChevauxTraitPréHiver=NON),0,IFERROR(IF(OR(AND(INDEX(Règles_chevaux_trait[Specificite],MATCH(RationHivernaleAuPréChevauxTrait&amp;$FD157,Règles_chevaux_trait[Ration]&amp;Règles_chevaux_trait[Aliment],0))="s1",IF($FD157=Spécificité1ChevauxTrait,1)),
AND(INDEX(Règles_chevaux_trait[Specificite],MATCH(RationHivernaleAuPréChevauxTrait&amp;$FD157,Règles_chevaux_trait[Ration]&amp;Règles_chevaux_trait[Aliment],0))="s2",IF($FD157=Spécificité2ChevauxTrait,1)),
INDEX(Règles_chevaux_trait[Specificite],MATCH(RationHivernaleAuPréChevauxTrait&amp;$FD157,Règles_chevaux_trait[Ration]&amp;Règles_chevaux_trait[Aliment],0))="c"),
INDEX(Règles_chevaux_trait[Valeur 36 et plus],MATCH(RationHivernaleAuPréChevauxTrait&amp;$FD157,Règles_chevaux_trait[Ration]&amp;Règles_chevaux_trait[Aliment],0)),0),0)*SUM(TotalChevauxTraitAdultes)*21)</f>
        <v>0</v>
      </c>
      <c r="FF157" s="458">
        <f t="array" ref="FF157">IF(OR(ChoixRationHivernaleComplèteChevauxTrait=OUI,ChoixRationHivernaleComplèteChevauxTrait="",ChoixChevauxTraitPréHiver=NON),0,IFERROR(IF(OR(AND(INDEX(Règles_chevaux_trait[Specificite],MATCH(RationHivernaleAuPréChevauxTrait&amp;$FD157,Règles_chevaux_trait[Ration]&amp;Règles_chevaux_trait[Aliment],0))="s1",IF($FD157=Spécificité1ChevauxTrait,1)),
AND(INDEX(Règles_chevaux_trait[Specificite],MATCH(RationHivernaleAuPréChevauxTrait&amp;$FD157,Règles_chevaux_trait[Ration]&amp;Règles_chevaux_trait[Aliment],0))="s2",IF($FD157=Spécificité2ChevauxTrait,1)),
INDEX(Règles_chevaux_trait[Specificite],MATCH(RationHivernaleAuPréChevauxTrait&amp;$FD157,Règles_chevaux_trait[Ration]&amp;Règles_chevaux_trait[Aliment],0))="c"),
INDEX(Règles_chevaux_trait[Valeur 24-36],MATCH(RationHivernaleAuPréChevauxTrait&amp;$FD157,Règles_chevaux_trait[Ration]&amp;Règles_chevaux_trait[Aliment],0)),0),0)*SUM(TotalChevauxTrait_24_36mois)*21)</f>
        <v>0</v>
      </c>
      <c r="FG157" s="458">
        <f t="array" ref="FG157">IF(OR(ChoixRationHivernaleComplèteChevauxTrait=OUI,ChoixRationHivernaleComplèteChevauxTrait="",ChoixChevauxTraitPréHiver=NON),0,IFERROR(IF(OR(AND(INDEX(Règles_chevaux_trait[Specificite],MATCH(RationHivernaleAuPréChevauxTrait&amp;$FD157,Règles_chevaux_trait[Ration]&amp;Règles_chevaux_trait[Aliment],0))="s1",IF($FD157=Spécificité1ChevauxTrait,1)),
AND(INDEX(Règles_chevaux_trait[Specificite],MATCH(RationHivernaleAuPréChevauxTrait&amp;$FD157,Règles_chevaux_trait[Ration]&amp;Règles_chevaux_trait[Aliment],0))="s2",IF($FD157=Spécificité2ChevauxTrait,1)),
INDEX(Règles_chevaux_trait[Specificite],MATCH(RationHivernaleAuPréChevauxTrait&amp;$FD157,Règles_chevaux_trait[Ration]&amp;Règles_chevaux_trait[Aliment],0))="c"),
INDEX(Règles_chevaux_trait[Valeur 12-24],MATCH(RationHivernaleAuPréChevauxTrait&amp;$FD157,Règles_chevaux_trait[Ration]&amp;Règles_chevaux_trait[Aliment],0)),0),0)*SUM(TotalChevauxTrait_12_24mois)*21)</f>
        <v>0</v>
      </c>
      <c r="FH157" s="460">
        <f t="array" ref="FH157">IF(OR(ChoixRationHivernaleComplèteChevauxTrait=OUI,ChoixRationHivernaleComplèteChevauxTrait="",ChoixChevauxTraitPréHiver=NON),0,IFERROR(IF(OR(AND(INDEX(Règles_chevaux_trait[Specificite],MATCH(RationHivernaleAuPréChevauxTrait&amp;$FD157,Règles_chevaux_trait[Ration]&amp;Règles_chevaux_trait[Aliment],0))="s1",IF($FD157=Spécificité1ChevauxTrait,1)),
AND(INDEX(Règles_chevaux_trait[Specificite],MATCH(RationHivernaleAuPréChevauxTrait&amp;$FD157,Règles_chevaux_trait[Ration]&amp;Règles_chevaux_trait[Aliment],0))="s2",IF($FD157=Spécificité2ChevauxTrait,1)),
INDEX(Règles_chevaux_trait[Specificite],MATCH(RationHivernaleAuPréChevauxTrait&amp;$FD157,Règles_chevaux_trait[Ration]&amp;Règles_chevaux_trait[Aliment],0))="c"),
INDEX(Règles_chevaux_trait[Valeur 0-12],MATCH(RationHivernaleAuPréChevauxTrait&amp;$FD157,Règles_chevaux_trait[Ration]&amp;Règles_chevaux_trait[Aliment],0)),0),0)*SUM(TotalPoulainsTrait)*21)</f>
        <v>0</v>
      </c>
      <c r="FI157" s="460">
        <f t="shared" si="47"/>
        <v>0</v>
      </c>
      <c r="FN157" s="457" t="str">
        <f t="shared" si="48"/>
        <v>Lentille</v>
      </c>
      <c r="FO157" s="458">
        <f t="array" ref="FO157">IF(OR(ChoixRationHivernaleComplètePoneys=OUI,ChoixRationHivernaleComplètePoneys="",ChoixPoneysPréHiver=NON),0,IFERROR(IF(OR(AND(INDEX(Règles_poneys[Specificite],MATCH(RationHivernaleAuPréPoneys&amp;$FN157,Règles_poneys[Ration]&amp;Règles_poneys[Aliment],0))="s1",IF($FN157=Spécificité1Poneys,1)),
AND(INDEX(Règles_poneys[Specificite],MATCH(RationHivernaleAuPréPoneys&amp;$FN157,Règles_poneys[Ration]&amp;Règles_poneys[Aliment],0))="s2",IF($FN157=Spécificité2Poneys,1)),
INDEX(Règles_poneys[Specificite],MATCH(RationHivernaleAuPréPoneys&amp;$FN157,Règles_poneys[Ration]&amp;Règles_poneys[Aliment],0))="c"),
INDEX(Règles_poneys[Valeur 36 et plus],MATCH(RationHivernaleAuPréPoneys&amp;$FN157,Règles_poneys[Ration]&amp;Règles_poneys[Aliment],0)),0),0)*SUM(TotalPoneysAdultes)*21)</f>
        <v>0</v>
      </c>
      <c r="FP157" s="458">
        <f t="array" ref="FP157">IF(OR(ChoixRationHivernaleComplètePoneys=OUI,ChoixRationHivernaleComplètePoneys="",ChoixPoneysPréHiver=NON),0,IFERROR(IF(OR(AND(INDEX(Règles_poneys[Specificite],MATCH(RationHivernaleAuPréPoneys&amp;$FN157,Règles_poneys[Ration]&amp;Règles_poneys[Aliment],0))="s1",IF($FN157=Spécificité1Poneys,1)),
AND(INDEX(Règles_poneys[Specificite],MATCH(RationHivernaleAuPréPoneys&amp;$FN157,Règles_poneys[Ration]&amp;Règles_poneys[Aliment],0))="s2",IF($FN157=Spécificité2Poneys,1)),
INDEX(Règles_poneys[Specificite],MATCH(RationHivernaleAuPréPoneys&amp;$FN157,Règles_poneys[Ration]&amp;Règles_poneys[Aliment],0))="c"),
INDEX(Règles_poneys[Valeur 24-36],MATCH(RationHivernaleAuPréPoneys&amp;$FN157,Règles_poneys[Ration]&amp;Règles_poneys[Aliment],0)),0),0)*SUM(TotalPoneys_24_36mois)*21)</f>
        <v>0</v>
      </c>
      <c r="FQ157" s="458">
        <f t="array" ref="FQ157">IF(OR(ChoixRationHivernaleComplètePoneys=OUI,ChoixRationHivernaleComplètePoneys="",ChoixPoneysPréHiver=NON),0,IFERROR(IF(OR(AND(INDEX(Règles_poneys[Specificite],MATCH(RationHivernaleAuPréPoneys&amp;$FN157,Règles_poneys[Ration]&amp;Règles_poneys[Aliment],0))="s1",IF($FN157=Spécificité1Poneys,1)),
AND(INDEX(Règles_poneys[Specificite],MATCH(RationHivernaleAuPréPoneys&amp;$FN157,Règles_poneys[Ration]&amp;Règles_poneys[Aliment],0))="s2",IF($FN157=Spécificité2Poneys,1)),
INDEX(Règles_poneys[Specificite],MATCH(RationHivernaleAuPréPoneys&amp;$FN157,Règles_poneys[Ration]&amp;Règles_poneys[Aliment],0))="c"),
INDEX(Règles_poneys[Valeur 12-24],MATCH(RationHivernaleAuPréPoneys&amp;$FN157,Règles_poneys[Ration]&amp;Règles_poneys[Aliment],0)),0),0)*SUM(TotalPoneys_12_24mois)*21)</f>
        <v>0</v>
      </c>
      <c r="FR157" s="460">
        <f t="array" ref="FR157">IF(OR(ChoixRationHivernaleComplètePoneys=OUI,ChoixRationHivernaleComplètePoneys="",ChoixPoneysPréHiver=NON),0,IFERROR(IF(OR(AND(INDEX(Règles_poneys[Specificite],MATCH(RationHivernaleAuPréPoneys&amp;$FN157,Règles_poneys[Ration]&amp;Règles_poneys[Aliment],0))="s1",IF($FN157=Spécificité1Poneys,1)),
AND(INDEX(Règles_poneys[Specificite],MATCH(RationHivernaleAuPréPoneys&amp;$FN157,Règles_poneys[Ration]&amp;Règles_poneys[Aliment],0))="s2",IF($FN157=Spécificité2Poneys,1)),
INDEX(Règles_poneys[Specificite],MATCH(RationHivernaleAuPréPoneys&amp;$FN157,Règles_poneys[Ration]&amp;Règles_poneys[Aliment],0))="c"),
INDEX(Règles_poneys[Valeur 0-12],MATCH(RationHivernaleAuPréPoneys&amp;$FN157,Règles_poneys[Ration]&amp;Règles_poneys[Aliment],0)),0),0)*SUM(TotalPoulainsPoneys)*21)</f>
        <v>0</v>
      </c>
      <c r="FS157" s="460">
        <f t="shared" si="46"/>
        <v>0</v>
      </c>
      <c r="FW157" s="457" t="str">
        <f t="shared" si="44"/>
        <v>Paille</v>
      </c>
      <c r="FX157" s="458">
        <f t="array" ref="FX157">SUM((IF(QualitéAlimentsGavageOison_0_1_mois=BONNE,VLOOKUP("Paille",AlimentsGavageOie,5,FALSE),0)+(IF(QualitéAlimentsGavageCaneton_0_1_mois=BONNE,VLOOKUP("Paille",AlimentsGavageCanard,5,FALSE),0)+(IF(QualitéAlimentsGavageOison_1_2_mois=BONNE,VLOOKUP("Paille",AlimentsGavageOie,4,FALSE),0)+(IF(QualitéAlimentsGavageCaneton_1_2_mois=BONNE,VLOOKUP("Paille",AlimentsGavageCanard,4,FALSE),0)+(IF(QualitéAlimentsGavageOison_2_3_mois=BONNE,VLOOKUP("Paille",AlimentsGavageOie,3,FALSE),0)+(IF(QualitéAlimentsGavageCaneton_2_3_mois=BONNE,VLOOKUP("Paille",AlimentsGavageCanard,3,FALSE),0)+(IF(QualitéAlimentsGavageJeunesOies=BONNE,VLOOKUP("Paille",AlimentsGavageOie,2,FALSE),0)+(IF(QualitéAlimentsGavageJeuneCanard=BONNE,VLOOKUP("Paille",AlimentsGavageCanard,2,FALSE),0))))))))))</f>
        <v>0</v>
      </c>
      <c r="FY157" s="458">
        <f t="array" ref="FY157">SUM((IF(QualitéAlimentsGavageOison_0_1_mois=MOYENNE,VLOOKUP("Paille",AlimentsGavageOie,5,FALSE),0)+(IF(QualitéAlimentsGavageCaneton_0_1_mois=MOYENNE,VLOOKUP("Paille",AlimentsGavageCanard,5,FALSE),0)+(IF(QualitéAlimentsGavageOison_1_2_mois=MOYENNE,VLOOKUP("Paille",AlimentsGavageOie,4,FALSE),0)+(IF(QualitéAlimentsGavageCaneton_1_2_mois=MOYENNE,VLOOKUP("Paille",AlimentsGavageCanard,4,FALSE),0)+(IF(QualitéAlimentsGavageOison_2_3_mois=MOYENNE,VLOOKUP("Paille",AlimentsGavageOie,3,FALSE),0)+(IF(QualitéAlimentsGavageCaneton_2_3_mois=MOYENNE,VLOOKUP("Paille",AlimentsGavageCanard,3,FALSE),0)+(IF(QualitéAlimentsGavageJeunesOies=MOYENNE,VLOOKUP("Paille",AlimentsGavageOie,2,FALSE),0)+(IF(QualitéAlimentsGavageJeuneCanard=MOYENNE,VLOOKUP("Paille",AlimentsGavageCanard,2,FALSE),0))))))))))</f>
        <v>0</v>
      </c>
      <c r="FZ157" s="458">
        <f t="array" ref="FZ157">SUM((IF(QualitéAlimentsGavageOison_0_1_mois=MAUVAISE,VLOOKUP("Paille",AlimentsGavageOie,5,FALSE),0)+(IF(QualitéAlimentsGavageCaneton_0_1_mois=MAUVAISE,VLOOKUP("Paille",AlimentsGavageCanard,5,FALSE),0)+(IF(QualitéAlimentsGavageOison_1_2_mois=MAUVAISE,VLOOKUP("Paille",AlimentsGavageOie,4,FALSE),0)+(IF(QualitéAlimentsGavageCaneton_1_2_mois=MAUVAISE,VLOOKUP("Paille",AlimentsGavageCanard,4,FALSE),0)+(IF(QualitéAlimentsGavageOison_2_3_mois=MAUVAISE,VLOOKUP("Paille",AlimentsGavageOie,3,FALSE),0)+(IF(QualitéAlimentsGavageCaneton_2_3_mois=MAUVAISE,VLOOKUP("Paille",AlimentsGavageCanard,3,FALSE),0)+(IF(QualitéAlimentsGavageJeunesOies=MAUVAISE,VLOOKUP("Paille",AlimentsGavageOie,2,FALSE),0)+(IF(QualitéAlimentsGavageJeuneCanard=MAUVAISE,VLOOKUP("Paille",AlimentsGavageCanard,2,FALSE),0))))))))))</f>
        <v>0</v>
      </c>
      <c r="GB157" s="281"/>
      <c r="GG157" s="276" t="s">
        <v>955</v>
      </c>
      <c r="GH157" s="276" t="s">
        <v>955</v>
      </c>
      <c r="GI157" s="276" t="s">
        <v>955</v>
      </c>
      <c r="GJ157" s="276" t="s">
        <v>955</v>
      </c>
      <c r="GK157" s="276" t="s">
        <v>955</v>
      </c>
      <c r="GL157" s="276" t="s">
        <v>955</v>
      </c>
      <c r="GM157" s="276" t="s">
        <v>955</v>
      </c>
      <c r="GN157" s="276" t="s">
        <v>955</v>
      </c>
      <c r="GO157" s="276" t="s">
        <v>955</v>
      </c>
      <c r="GP157" s="276" t="s">
        <v>955</v>
      </c>
      <c r="GQ157" s="276" t="s">
        <v>955</v>
      </c>
      <c r="GR157" s="276" t="s">
        <v>955</v>
      </c>
      <c r="GS157" s="276" t="s">
        <v>955</v>
      </c>
      <c r="GT157" s="276" t="s">
        <v>955</v>
      </c>
      <c r="GU157" s="276" t="s">
        <v>955</v>
      </c>
      <c r="GV157" s="276" t="s">
        <v>955</v>
      </c>
    </row>
    <row r="158" spans="1:204" ht="12.75" customHeight="1" x14ac:dyDescent="0.2">
      <c r="A158" s="373"/>
      <c r="B158" s="382"/>
      <c r="BB158" s="387" t="s">
        <v>516</v>
      </c>
      <c r="BC158" s="362" t="s">
        <v>1166</v>
      </c>
      <c r="BD158" s="362" t="s">
        <v>886</v>
      </c>
      <c r="BE158" s="388">
        <v>0</v>
      </c>
      <c r="BF158" s="388">
        <v>0</v>
      </c>
      <c r="BG158" s="388">
        <v>0</v>
      </c>
      <c r="BH158" s="388">
        <v>0</v>
      </c>
      <c r="BI158" s="388">
        <v>0</v>
      </c>
      <c r="BJ158" s="388">
        <v>0</v>
      </c>
      <c r="BK158" s="389">
        <v>8</v>
      </c>
      <c r="BL158" s="312"/>
      <c r="BX158" s="350" t="str">
        <f t="shared" si="51"/>
        <v>Foin</v>
      </c>
      <c r="BY158" s="350">
        <f t="array" ref="BY158">IF(ChoixRationComplèteCaprins=OUI,0,IFERROR(IF(OR(AND(INDEX(Règles_caprins[Specificite],MATCH(ChoixRationCaprins&amp;$BX158,Règles_caprins[Ration]&amp;Règles_caprins[Aliment],0))="s1",IF($BX158=Spécificité1Caprins,1)),
INDEX(Règles_caprins[Specificite],MATCH(ChoixRationCaprins&amp;$BX158,Règles_caprins[Ration]&amp;Règles_caprins[Aliment],0))="c"),
INDEX(Règles_caprins[Valeur 12 et plus],MATCH(ChoixRationCaprins&amp;$BX158,Règles_caprins[Ration]&amp;Règles_caprins[Aliment],0)),0),0)*TotalChèvres*NbreJoursNourrirCaprins)</f>
        <v>4112</v>
      </c>
      <c r="BZ158" s="350">
        <f t="array" ref="BZ158">IF(ChoixRationComplèteCaprins=OUI,0,IFERROR(IF(OR(AND(INDEX(Règles_caprins[Specificite],MATCH(ChoixRationCaprins&amp;$BX158,Règles_caprins[Ration]&amp;Règles_caprins[Aliment],0))="s1",IF($BX158=Spécificité1Caprins,1)),
INDEX(Règles_caprins[Specificite],MATCH(ChoixRationCaprins&amp;$BX158,Règles_caprins[Ration]&amp;Règles_caprins[Aliment],0))="c"),
INDEX(Règles_caprins[Valeur 6-12],MATCH(ChoixRationCaprins&amp;$BX158,Règles_caprins[Ration]&amp;Règles_caprins[Aliment],0)),0),0)*jeune_chèvre_6_12_mois*NbreJoursNourrirCaprins)</f>
        <v>816</v>
      </c>
      <c r="CA158" s="350">
        <f t="array" ref="CA158">IF(ChoixRationComplèteCaprins=OUI,0,IFERROR(IF(OR(AND(INDEX(Règles_caprins[Specificite],MATCH(ChoixRationCaprins&amp;$BX158,Règles_caprins[Ration]&amp;Règles_caprins[Aliment],0))="s1",IF($BX158=Spécificité1Caprins,1)),
INDEX(Règles_caprins[Specificite],MATCH(ChoixRationCaprins&amp;$BX158,Règles_caprins[Ration]&amp;Règles_caprins[Aliment],0))="c"),
INDEX(Règles_caprins[Valeur 3-6],MATCH(ChoixRationCaprins&amp;$BX158,Règles_caprins[Ration]&amp;Règles_caprins[Aliment],0)),0),0)*chevrette_3_6_mois*NbreJoursNourrirCaprins)</f>
        <v>198</v>
      </c>
      <c r="CB158" s="350">
        <f t="array" ref="CB158">IF(ChoixRationComplèteCaprins=OUI,0,IFERROR(IF(OR(AND(INDEX(Règles_caprins[Specificite],MATCH(ChoixRationCaprins&amp;$BX158,Règles_caprins[Ration]&amp;Règles_caprins[Aliment],0))="s1",IF($BX158=Spécificité1Caprins,1)),
INDEX(Règles_caprins[Specificite],MATCH(ChoixRationCaprins&amp;$BX158,Règles_caprins[Ration]&amp;Règles_caprins[Aliment],0))="c"),
INDEX(Règles_caprins[Valeur 0-3],MATCH(ChoixRationCaprins&amp;$BX158,Règles_caprins[Ration]&amp;Règles_caprins[Aliment],0)),0),0)*chevrette_0_3_mois*NbreJoursNourrirCaprins)</f>
        <v>148.39999999999998</v>
      </c>
      <c r="CC158" s="350">
        <f t="shared" si="50"/>
        <v>5274.4</v>
      </c>
      <c r="CH158" s="298"/>
      <c r="CI158" s="298"/>
      <c r="CJ158" s="350" t="str">
        <f t="shared" si="45"/>
        <v>Minéraux + vitamines</v>
      </c>
      <c r="CK158" s="351">
        <f t="array" ref="CK158">SUM((IF(QualitéAlimentsPorceletMâle_0_1_mois=BONNE,VLOOKUP("Minéraux + vitamines",AlimentsRationPorcinsMâles[],6,FALSE),0)+(IF(QualitéAlimentsPorceletFemelle_0_1_mois=BONNE,VLOOKUP("Minéraux + vitamines",AlimentsRationPorcinsFemelles[],6,FALSE),0)+(IF(QualitéAlimentsPorceletMâle_1_3_mois=BONNE,VLOOKUP("Minéraux + vitamines",AlimentsRationPorcinsMâles[],5,FALSE),0)+(IF(QualitéAlimentsPorceletFemelle_1_3_mois=BONNE,VLOOKUP("Minéraux + vitamines",AlimentsRationPorcinsFemelles[],5,FALSE),0)+(IF(QualitéAlimentsJeuneVerrat_3_6_mois=BONNE,VLOOKUP("Minéraux + vitamines",AlimentsRationPorcinsMâles[],4,FALSE),0)+(IF(QualitéAlimentsJeuneTruie_3_6_mois=BONNE,VLOOKUP("Minéraux + vitamines",AlimentsRationPorcinsFemelles[],4,FALSE),0)+(IF(QualitéAlimentsJeuneVerrat_6_12_mois=BONNE,VLOOKUP("Minéraux + vitamines",AlimentsRationPorcinsMâles[],3,FALSE),0)+(IF(QualitéAlimentsJeuneTruie_6_12_mois=BONNE,VLOOKUP("Minéraux + vitamines",AlimentsRationPorcinsFemelles[],3,FALSE),0)+(IF(QualitéAlimentsVerrat=BONNE,VLOOKUP("Avoine",AlimentsRationPorcinsMâles[],2,FALSE),0)+(IF(QualitéAlimentsTruie=BONNE,VLOOKUP("Avoine",AlimentsRationPorcinsFemelles[],2,FALSE),0))))))))))))</f>
        <v>0</v>
      </c>
      <c r="CL158" s="351">
        <f t="array" ref="CL158">SUM((IF(QualitéAlimentsPorceletMâle_0_1_mois=MOYENNE,VLOOKUP("Minéraux + vitamines",AlimentsRationPorcinsMâles[],6,FALSE),0)+(IF(QualitéAlimentsPorceletFemelle_0_1_mois=MOYENNE,VLOOKUP("Minéraux + vitamines",AlimentsRationPorcinsFemelles[],6,FALSE),0)+(IF(QualitéAlimentsPorceletMâle_1_3_mois=MOYENNE,VLOOKUP("Minéraux + vitamines",AlimentsRationPorcinsMâles[],5,FALSE),0)+(IF(QualitéAlimentsPorceletFemelle_1_3_mois=MOYENNE,VLOOKUP("Minéraux + vitamines",AlimentsRationPorcinsFemelles[],5,FALSE),0)+(IF(QualitéAlimentsJeuneVerrat_3_6_mois=MOYENNE,VLOOKUP("Minéraux + vitamines",AlimentsRationPorcinsMâles[],4,FALSE),0)+(IF(QualitéAlimentsJeuneTruie_3_6_mois=MOYENNE,VLOOKUP("Minéraux + vitamines",AlimentsRationPorcinsFemelles[],4,FALSE),0)+(IF(QualitéAlimentsJeuneVerrat_6_12_mois=MOYENNE,VLOOKUP("Minéraux + vitamines",AlimentsRationPorcinsMâles[],3,FALSE),0)+(IF(QualitéAlimentsJeuneTruie_6_12_mois=MOYENNE,VLOOKUP("Minéraux + vitamines",AlimentsRationPorcinsFemelles[],3,FALSE),0)+(IF(QualitéAlimentsVerrat=BONNE,VLOOKUP("Avoine",AlimentsRationPorcinsMâles[],2,FALSE),0)+(IF(QualitéAlimentsTruie=BONNE,VLOOKUP("Avoine",AlimentsRationPorcinsFemelles[],2,FALSE),0))))))))))))</f>
        <v>0</v>
      </c>
      <c r="CM158" s="351">
        <f t="array" ref="CM158">SUM((IF(QualitéAlimentsPorceletMâle_0_1_mois=MAUVAISE,VLOOKUP("Minéraux + vitamines",AlimentsRationPorcinsMâles[],6,FALSE),0)+(IF(QualitéAlimentsPorceletFemelle_0_1_mois=MAUVAISE,VLOOKUP("Minéraux + vitamines",AlimentsRationPorcinsFemelles[],6,FALSE),0)+(IF(QualitéAlimentsPorceletMâle_1_3_mois=MAUVAISE,VLOOKUP("Minéraux + vitamines",AlimentsRationPorcinsMâles[],5,FALSE),0)+(IF(QualitéAlimentsPorceletFemelle_1_3_mois=MAUVAISE,VLOOKUP("Minéraux + vitamines",AlimentsRationPorcinsFemelles[],5,FALSE),0)+(IF(QualitéAlimentsJeuneVerrat_3_6_mois=MAUVAISE,VLOOKUP("Minéraux + vitamines",AlimentsRationPorcinsMâles[],4,FALSE),0)+(IF(QualitéAlimentsJeuneTruie_3_6_mois=MAUVAISE,VLOOKUP("Minéraux + vitamines",AlimentsRationPorcinsFemelles[],4,FALSE),0)+(IF(QualitéAlimentsJeuneVerrat_6_12_mois=MAUVAISE,VLOOKUP("Minéraux + vitamines",AlimentsRationPorcinsMâles[],3,FALSE),0)+(IF(QualitéAlimentsJeuneTruie_6_12_mois=MAUVAISE,VLOOKUP("Minéraux + vitamines",AlimentsRationPorcinsFemelles[],3,FALSE),0)+(IF(QualitéAlimentsVerrat=BONNE,VLOOKUP("Avoine",AlimentsRationPorcinsMâles[],2,FALSE),0)+(IF(QualitéAlimentsTruie=BONNE,VLOOKUP("Avoine",AlimentsRationPorcinsFemelles[],2,FALSE),0))))))))))))</f>
        <v>0</v>
      </c>
      <c r="CN158" s="279"/>
      <c r="CO158" s="279"/>
      <c r="CP158" s="298"/>
      <c r="CS158" s="350" t="str">
        <f t="shared" si="59"/>
        <v>Bouchons luzerne</v>
      </c>
      <c r="CT158" s="351">
        <f t="array" ref="CT158">SUM((IF(QualitéAlimentsLapereauMâle_0_1_mois=BONNE,VLOOKUP("Bouchons luzerne",AlimentsRationLapinsMâles[],4,FALSE),0)+(IF(QualitéAlimentsLapereauFemelle_0_1_mois=BONNE,VLOOKUP("Bouchons luzerne",AlimentsRationLapinsFemelles[],4,FALSE),0)+(IF(QualitéAlimentsJeuneLapin=BONNE,VLOOKUP("Bouchons luzerne",AlimentsRationLapinsMâles[],3,FALSE),0)+(IF(QualitéAlimentsJeuneLapine=BONNE,VLOOKUP("Bouchons luzerne",AlimentsRationLapinsFemelles[],3,FALSE),0)+(IF(QualitéAlimentsLapin=BONNE,VLOOKUP("Bouchons luzerne",AlimentsRationLapinsMâles[],2,FALSE),0)+(IF(QualitéAlimentsLapine=BONNE,VLOOKUP("Bouchons luzerne",AlimentsRationLapinsFemelles[],2,FALSE),0))))))))</f>
        <v>0</v>
      </c>
      <c r="CU158" s="351">
        <f t="array" ref="CU158">SUM((IF(QualitéAlimentsLapereauMâle_0_1_mois=MOYENNE,VLOOKUP("Bouchons luzerne",AlimentsRationLapinsMâles[],4,FALSE),0)+(IF(QualitéAlimentsLapereauFemelle_0_1_mois=MOYENNE,VLOOKUP("Bouchons luzerne",AlimentsRationLapinsFemelles[],4,FALSE),0)+(IF(QualitéAlimentsJeuneLapin=MOYENNE,VLOOKUP("Bouchons luzerne",AlimentsRationLapinsMâles[],3,FALSE),0)+(IF(QualitéAlimentsJeuneLapine=MOYENNE,VLOOKUP("Bouchons luzerne",AlimentsRationLapinsFemelles[],3,FALSE),0)+(IF(QualitéAlimentsLapin=MOYENNE,VLOOKUP("Bouchons luzerne",AlimentsRationLapinsMâles[],2,FALSE),0)+(IF(QualitéAlimentsLapine=MOYENNE,VLOOKUP("Bouchons luzerne",AlimentsRationLapinsFemelles[],2,FALSE),0))))))))</f>
        <v>0</v>
      </c>
      <c r="CV158" s="351">
        <f t="array" ref="CV158">SUM((IF(QualitéAlimentsLapereauMâle_0_1_mois=MAUVAISE,VLOOKUP("Bouchons luzerne",AlimentsRationLapinsMâles[],4,FALSE),0)+(IF(QualitéAlimentsLapereauFemelle_0_1_mois=MAUVAISE,VLOOKUP("Bouchons luzerne",AlimentsRationLapinsFemelles[],4,FALSE),0)+(IF(QualitéAlimentsJeuneLapin=MAUVAISE,VLOOKUP("Bouchons luzerne",AlimentsRationLapinsMâles[],3,FALSE),0)+(IF(QualitéAlimentsJeuneLapine=MAUVAISE,VLOOKUP("Bouchons luzerne",AlimentsRationLapinsFemelles[],3,FALSE),0)+(IF(QualitéAlimentsLapin=MAUVAISE,VLOOKUP("Bouchons luzerne",AlimentsRationLapinsMâles[],2,FALSE),0)+(IF(QualitéAlimentsLapine=MAUVAISE,VLOOKUP("Bouchons luzerne",AlimentsRationLapinsFemelles[],2,FALSE),0))))))))</f>
        <v>0</v>
      </c>
      <c r="CZ158" s="350" t="str">
        <f t="shared" si="58"/>
        <v>Chanvre</v>
      </c>
      <c r="DA158" s="351">
        <f t="array" ref="DA158">SUM((IF(QualitéAlimentsPoussinMâle_0_1_mois=BONNE,VLOOKUP("Chanvre",AlimentsRationVolaillesMâles[],4,FALSE),0)+(IF(QualitéAlimentsPoussinFemelle_0_1_mois=BONNE,VLOOKUP("Chanvre",AlimentsRationVolaillesFemelles[],4,FALSE),0)+(IF(QualitéAlimentsJeuneCoq=BONNE,VLOOKUP("Chanvre",AlimentsRationVolaillesMâles[],3,FALSE),0)+(IF(QualitéAlimentsJeunePoule=BONNE,VLOOKUP("Chanvre",AlimentsRationVolaillesFemelles[],3,FALSE),0)+(IF(QualitéAlimentsCoq=BONNE,VLOOKUP("Chanvre",AlimentsRationVolaillesMâles[],2,FALSE),0)+(IF(QualitéAlimentsPoule=BONNE,VLOOKUP("Chanvre",AlimentsRationVolaillesFemelles[],2,FALSE),0))))))))</f>
        <v>0</v>
      </c>
      <c r="DB158" s="351">
        <f t="array" ref="DB158">SUM((IF(QualitéAlimentsPoussinMâle_0_1_mois=MOYENNE,VLOOKUP("Chanvre",AlimentsRationVolaillesMâles[],4,FALSE),0)+(IF(QualitéAlimentsPoussinFemelle_0_1_mois=MOYENNE,VLOOKUP("Chanvre",AlimentsRationVolaillesFemelles[],4,FALSE),0)+(IF(QualitéAlimentsJeuneCoq=MOYENNE,VLOOKUP("Chanvre",AlimentsRationVolaillesMâles[],3,FALSE),0)+(IF(QualitéAlimentsJeunePoule=MOYENNE,VLOOKUP("Chanvre",AlimentsRationVolaillesFemelles[],3,FALSE),0)+(IF(QualitéAlimentsCoq=MOYENNE,VLOOKUP("Chanvre",AlimentsRationVolaillesMâles[],2,FALSE),0)+(IF(QualitéAlimentsPoule=MOYENNE,VLOOKUP("Chanvre",AlimentsRationVolaillesFemelles[],2,FALSE),0))))))))</f>
        <v>0</v>
      </c>
      <c r="DC158" s="351">
        <f t="array" ref="DC158">SUM((IF(QualitéAlimentsPoussinMâle_0_1_mois=MAUVAISE,VLOOKUP("Chanvre",AlimentsRationVolaillesMâles[],4,FALSE),0)+(IF(QualitéAlimentsPoussinFemelle_0_1_mois=MAUVAISE,VLOOKUP("Chanvre",AlimentsRationVolaillesFemelles[],4,FALSE),0)+(IF(QualitéAlimentsJeuneCoq=MAUVAISE,VLOOKUP("Chanvre",AlimentsRationVolaillesMâles[],3,FALSE),0)+(IF(QualitéAlimentsJeunePoule=MAUVAISE,VLOOKUP("Chanvre",AlimentsRationVolaillesFemelles[],3,FALSE),0)+(IF(QualitéAlimentsCoq=MAUVAISE,VLOOKUP("Chanvre",AlimentsRationVolaillesMâles[],2,FALSE),0)+(IF(QualitéAlimentsPoule=MAUVAISE,VLOOKUP("Chanvre",AlimentsRationVolaillesFemelles[],2,FALSE),0))))))))</f>
        <v>0</v>
      </c>
      <c r="DD158" s="277"/>
      <c r="DG158" s="350" t="str">
        <f t="shared" si="52"/>
        <v>Foin</v>
      </c>
      <c r="DH158" s="351">
        <f t="array" ref="DH158">SUM((IF(QualitéAlimentsPintadeauMâle_0_1_mois=BONNE,VLOOKUP("Foin",AlimentsRationPintadesMâles[],4,FALSE),0)+(IF(QualitéAlimentsPintadeauFemelle_0_1_mois=BONNE,VLOOKUP("Foin",AlimentsRationPintadesFemelles[],4,FALSE),0)+(IF(QualitéAlimentsJeunePintadeMâle=BONNE,VLOOKUP("Foin",AlimentsRationPintadesMâles[],3,FALSE),0)+(IF(QualitéAlimentsJeunePintadeFemelle=BONNE,VLOOKUP("Foin",AlimentsRationPintadesFemelles[],3,FALSE),0)+(IF(QualitéAlimentsPintadeMâle=BONNE,VLOOKUP("Foin",AlimentsRationPintadesMâles[],2,FALSE),0)+(IF(QualitéAlimentsPintadeFemelle=BONNE,VLOOKUP("Foin",AlimentsRationPintadesFemelles[],2,FALSE),0))))))))</f>
        <v>0</v>
      </c>
      <c r="DI158" s="351">
        <f t="array" ref="DI158">SUM((IF(QualitéAlimentsPintadeauMâle_0_1_mois=MOYENNE,VLOOKUP("Foin",AlimentsRationPintadesMâles[],4,FALSE),0)+(IF(QualitéAlimentsPintadeauFemelle_0_1_mois=MOYENNE,VLOOKUP("Foin",AlimentsRationPintadesFemelles[],4,FALSE),0)+(IF(QualitéAlimentsJeunePintadeMâle=MOYENNE,VLOOKUP("Foin",AlimentsRationPintadesMâles[],3,FALSE),0)+(IF(QualitéAlimentsJeunePintadeFemelle=MOYENNE,VLOOKUP("Foin",AlimentsRationPintadesFemelles[],3,FALSE),0)+(IF(QualitéAlimentsPintadeMâle=MOYENNE,VLOOKUP("Foin",AlimentsRationPintadesMâles[],2,FALSE),0)+(IF(QualitéAlimentsPintadeFemelle=MOYENNE,VLOOKUP("Foin",AlimentsRationPintadesFemelles[],2,FALSE),0))))))))</f>
        <v>0</v>
      </c>
      <c r="DJ158" s="351">
        <f t="array" ref="DJ158">SUM((IF(QualitéAlimentsPintadeauMâle_0_1_mois=MAUVAISE,VLOOKUP("Foin",AlimentsRationPintadesMâles[],4,FALSE),0)+(IF(QualitéAlimentsPintadeauFemelle_0_1_mois=MAUVAISE,VLOOKUP("Foin",AlimentsRationPintadesFemelles[],4,FALSE),0)+(IF(QualitéAlimentsJeunePintadeMâle=MAUVAISE,VLOOKUP("Foin",AlimentsRationPintadesMâles[],3,FALSE),0)+(IF(QualitéAlimentsJeunePintadeFemelle=MAUVAISE,VLOOKUP("Foin",AlimentsRationPintadesFemelles[],3,FALSE),0)+(IF(QualitéAlimentsPintadeMâle=MAUVAISE,VLOOKUP("Foin",AlimentsRationPintadesMâles[],2,FALSE),0)+(IF(QualitéAlimentsPintadeFemelle=MAUVAISE,VLOOKUP("Foin",AlimentsRationPintadesFemelles[],2,FALSE),0))))))))</f>
        <v>0</v>
      </c>
      <c r="DN158" s="350" t="s">
        <v>1167</v>
      </c>
      <c r="DO158" s="351">
        <f t="array" ref="DO158">IF(ChoixRationComplèteOvins=OUI,0,IFERROR(IF(OR(AND(INDEX(Règles_ovins[Specificite],MATCH(ChoixRationOvins&amp;$DN158,Règles_ovins[Ration]&amp;Règles_ovins[Aliment],0))="s1",IF($DN158=Spécificité1Ovins,1)),
AND(INDEX(Règles_ovins[Specificite],MATCH(ChoixRationOvins&amp;$DN158,Règles_ovins[Ration]&amp;Règles_ovins[Aliment],0))="s2",IF($DN158=Spécificité2Ovins,1)),
INDEX(Règles_ovins[Specificite],MATCH(ChoixRationOvins&amp;$DN158,Règles_ovins[Ration]&amp;Règles_ovins[Aliment],0))="c"),
INDEX(Règles_ovins[Valeur 12 et plus],MATCH(ChoixRationOvins&amp;$DN158,Règles_ovins[Ration]&amp;Règles_ovins[Aliment],0)),0),0)*IF(ChoixOvinsPréHiver=OUI,SUM(TotalOvinsAdultesRacesLaitières)*NbreJoursNourrirOvins,TotalBéliers*NbreJoursNourrirOvins))</f>
        <v>0</v>
      </c>
      <c r="DP158" s="351">
        <f t="array" ref="DP158">IF(ChoixRationComplèteOvins=OUI,0,IFERROR(IF(OR(AND(INDEX(Règles_ovins[Specificite],MATCH(ChoixRationOvins&amp;$DN158,Règles_ovins[Ration]&amp;Règles_ovins[Aliment],0))="s1",IF($DN158=Spécificité1Ovins,1)),
AND(INDEX(Règles_ovins[Specificite],MATCH(ChoixRationOvins&amp;$DN158,Règles_ovins[Ration]&amp;Règles_ovins[Aliment],0))="s2",IF($DN158=Spécificité2Ovins,1)),
INDEX(Règles_ovins[Specificite],MATCH(ChoixRationOvins&amp;$DN158,Règles_ovins[Ration]&amp;Règles_ovins[Aliment],0))="c"),
INDEX(Règles_ovins[Valeur 6-12],MATCH(ChoixRationOvins&amp;$DN158,Règles_ovins[Ration]&amp;Règles_ovins[Aliment],0)),0),0)*IF(ChoixOvinsPréHiver=OUI,SUM(TotalJeunesOvinsRacesLaitières)*NbreJoursNourrirOvins,TotalJeune_bélier_6_12_mois*NbreJoursNourrirOvins))</f>
        <v>0</v>
      </c>
      <c r="DQ158" s="351">
        <f t="array" ref="DQ158">IF(ChoixRationComplèteOvins=OUI,0,IFERROR(IF(OR(AND(INDEX(Règles_ovins[Specificite],MATCH(ChoixRationOvins&amp;$DN158,Règles_ovins[Ration]&amp;Règles_ovins[Aliment],0))="s1",IF($DN158=Spécificité1Ovins,1)),
AND(INDEX(Règles_ovins[Specificite],MATCH(ChoixRationOvins&amp;$DN158,Règles_ovins[Ration]&amp;Règles_ovins[Aliment],0))="s2",IF($DN158=Spécificité2Ovins,1)),
INDEX(Règles_ovins[Specificite],MATCH(ChoixRationOvins&amp;$DN158,Règles_ovins[Ration]&amp;Règles_ovins[Aliment],0))="c"),
INDEX(Règles_ovins[Valeur 3-6],MATCH(ChoixRationOvins&amp;$DN158,Règles_ovins[Ration]&amp;Règles_ovins[Aliment],0)),0),0)*IF(ChoixOvinsPréHiver=OUI,SUM(TotalOvins_3_6moisRacesLaitières)*NbreJoursNourrirOvins,TotalAgneau_3_6_mois*NbreJoursNourrirOvins))</f>
        <v>0</v>
      </c>
      <c r="DR158" s="351">
        <f t="array" ref="DR158">IF(ChoixRationComplèteOvins=OUI,0,IFERROR(IF(OR(AND(INDEX(Règles_ovins[Specificite],MATCH(ChoixRationOvins&amp;$DN158,Règles_ovins[Ration]&amp;Règles_ovins[Aliment],0))="s1",IF($DN158=Spécificité1Ovins,1)),
AND(INDEX(Règles_ovins[Specificite],MATCH(ChoixRationOvins&amp;$DN158,Règles_ovins[Ration]&amp;Règles_ovins[Aliment],0))="s2",IF($DN158=Spécificité2Ovins,1)),
INDEX(Règles_ovins[Specificite],MATCH(ChoixRationOvins&amp;$DN158,Règles_ovins[Ration]&amp;Règles_ovins[Aliment],0))="c"),
INDEX(Règles_ovins[Valeur 0-3],MATCH(ChoixRationOvins&amp;$DN158,Règles_ovins[Ration]&amp;Règles_ovins[Aliment],0)),0),0)*IF(ChoixOvinsPréHiver=OUI,SUM(TotalOvins_3_6moisRacesLaitières)*NbreJoursNourrirOvins,TotalAgneau_0_3_mois*NbreJoursNourrirOvins))</f>
        <v>0</v>
      </c>
      <c r="DS158" s="441">
        <f t="shared" si="55"/>
        <v>0</v>
      </c>
      <c r="EG158" s="350" t="str">
        <f t="shared" si="57"/>
        <v>concentré jeunes lapins</v>
      </c>
      <c r="EH158" s="351">
        <f t="array" ref="EH158">SUM((IF(QualitéAlimentsOisonMâle_0_3_mois=BONNE,VLOOKUP("Concentré jeunes lapins",AlimentsRationOiesMâles[],4,FALSE),0)+(IF(QualitéAlimentsOisonFemelle_0_3_mois=BONNE,VLOOKUP("Concentré jeunes lapins",AlimentsRationOiesFemelles[],4,FALSE),0)+(IF(QualitéAlimentsJeuneJars=BONNE,VLOOKUP("Concentré jeunes lapins",AlimentsRationOiesMâles[],3,FALSE),0)+(IF(QualitéAlimentsJeuneOie=BONNE,VLOOKUP("Concentré jeunes lapins",AlimentsRationOiesFemelles[],3,FALSE),0)+(IF(QualitéAlimentsJars=BONNE,VLOOKUP("Concentré jeunes lapins",AlimentsRationOiesMâles[],2,FALSE),0)+(IF(QualitéAlimentsOie=BONNE,VLOOKUP("Concentré jeunes lapins",AlimentsRationOiesFemelles[],2,FALSE),0))))))))</f>
        <v>0</v>
      </c>
      <c r="EI158" s="351">
        <f t="array" ref="EI158">SUM((IF(QualitéAlimentsOisonMâle_0_3_mois=MOYENNE,VLOOKUP("Concentré jeunes lapins",AlimentsRationOiesMâles[],4,FALSE),0)+(IF(QualitéAlimentsOisonFemelle_0_3_mois=MOYENNE,VLOOKUP("Concentré jeunes lapins",AlimentsRationOiesFemelles[],4,FALSE),0)+(IF(QualitéAlimentsJeuneJars=MOYENNE,VLOOKUP("Concentré jeunes lapins",AlimentsRationOiesMâles[],3,FALSE),0)+(IF(QualitéAlimentsJeuneOie=MOYENNE,VLOOKUP("Concentré jeunes lapins",AlimentsRationOiesFemelles[],3,FALSE),0)+(IF(QualitéAlimentsJars=MOYENNE,VLOOKUP("Concentré jeunes lapins",AlimentsRationOiesMâles[],2,FALSE),0)+(IF(QualitéAlimentsOie=MOYENNE,VLOOKUP("Concentré jeunes lapins",AlimentsRationOiesFemelles[],2,FALSE),0))))))))</f>
        <v>0</v>
      </c>
      <c r="EJ158" s="351">
        <f t="array" ref="EJ158">SUM((IF(QualitéAlimentsOisonMâle_0_3_mois=MAUVAISE,VLOOKUP("Concentré jeunes lapins",AlimentsRationOiesMâles[],4,FALSE),0)+(IF(QualitéAlimentsOisonFemelle_0_3_mois=MAUVAISE,VLOOKUP("Concentré jeunes lapins",AlimentsRationOiesFemelles[],4,FALSE),0)+(IF(QualitéAlimentsJeuneJars=MAUVAISE,VLOOKUP("Concentré jeunes lapins",AlimentsRationOiesMâles[],3,FALSE),0)+(IF(QualitéAlimentsJeuneOie=MAUVAISE,VLOOKUP("Concentré jeunes lapins",AlimentsRationOiesFemelles[],3,FALSE),0)+(IF(QualitéAlimentsJars=MAUVAISE,VLOOKUP("Concentré jeunes lapins",AlimentsRationOiesMâles[],2,FALSE),0)+(IF(QualitéAlimentsOie=MAUVAISE,VLOOKUP("Concentré jeunes lapins",AlimentsRationOiesFemelles[],2,FALSE),0))))))))</f>
        <v>0</v>
      </c>
      <c r="EN158" s="457" t="str">
        <f t="shared" si="56"/>
        <v>concentré jeunes porcins</v>
      </c>
      <c r="EO158" s="458">
        <f t="array" ref="EO158">SUM((IF(QualitéAlimentsCanetonMâle=BONNE,VLOOKUP("Concentré jeunes porcins",AlimentsRationCanardsMâles,4,FALSE),0)+(IF(QualitéAlimentsCanetonFemelle=BONNE,VLOOKUP("Concentré jeunes porcins",AlimentsRationCanardsFemelles,4,FALSE),0)+(IF(QualitéAlimentsJeuneCanard=BONNE,VLOOKUP("Concentré jeunes porcins",AlimentsRationCanardsMâles,3,FALSE),0)+(IF(QualitéAlimentsJeuneCane=BONNE,VLOOKUP("Concentré jeunes porcins",AlimentsRationCanardsFemelles,3,FALSE),0)+(IF(QualitéAlimentsCanard=BONNE,VLOOKUP("Concentré jeunes porcins",AlimentsRationCanardsMâles,2,FALSE),0)+(IF(QualitéAlimentsCane=BONNE,VLOOKUP("Concentré jeunes porcins",AlimentsRationCanardsFemelles,2,FALSE),0))))))))</f>
        <v>0</v>
      </c>
      <c r="EP158" s="458">
        <f t="array" ref="EP158">SUM((IF(QualitéAlimentsCanetonMâle=MOYENNE,VLOOKUP("Concentré jeunes porcins",AlimentsRationCanardsMâles,4,FALSE),0)+(IF(QualitéAlimentsCanetonFemelle=MOYENNE,VLOOKUP("Concentré jeunes porcins",AlimentsRationCanardsFemelles,4,FALSE),0)+(IF(QualitéAlimentsJeuneCanard=MOYENNE,VLOOKUP("Concentré jeunes porcins",AlimentsRationCanardsMâles,3,FALSE),0)+(IF(QualitéAlimentsJeuneCane=MOYENNE,VLOOKUP("Concentré jeunes porcins",AlimentsRationCanardsFemelles,3,FALSE),0)+(IF(QualitéAlimentsCanard=MOYENNE,VLOOKUP("Concentré jeunes porcins",AlimentsRationCanardsMâles,2,FALSE),0)+(IF(QualitéAlimentsCane=MOYENNE,VLOOKUP("Concentré jeunes porcins",AlimentsRationCanardsFemelles,2,FALSE),0))))))))</f>
        <v>0</v>
      </c>
      <c r="EQ158" s="458">
        <f t="array" ref="EQ158">SUM((IF(QualitéAlimentsCanetonMâle=MAUVAISE,VLOOKUP("Concentré jeunes porcins",AlimentsRationCanardsMâles,4,FALSE),0)+(IF(QualitéAlimentsCanetonFemelle=MAUVAISE,VLOOKUP("Concentré jeunes porcins",AlimentsRationCanardsFemelles,4,FALSE),0)+(IF(QualitéAlimentsJeuneCanard=MAUVAISE,VLOOKUP("Concentré jeunes porcins",AlimentsRationCanardsMâles,3,FALSE),0)+(IF(QualitéAlimentsJeuneCane=MAUVAISE,VLOOKUP("Concentré jeunes porcins",AlimentsRationCanardsFemelles,3,FALSE),0)+(IF(QualitéAlimentsCanard=MAUVAISE,VLOOKUP("Concentré jeunes porcins",AlimentsRationCanardsMâles,2,FALSE),0)+(IF(QualitéAlimentsCane=MAUVAISE,VLOOKUP("Concentré jeunes porcins",AlimentsRationCanardsFemelles,2,FALSE),0))))))))</f>
        <v>0</v>
      </c>
      <c r="EU158" s="457" t="str">
        <f t="shared" si="54"/>
        <v>Ensilage d'herbe</v>
      </c>
      <c r="EV158" s="458">
        <f t="array" ref="EV158">IF(OR(ChoixRationHivernaleComplèteChevauxSelle=OUI,ChoixRationHivernaleComplèteChevauxSelle="",ChoixChevauxSellePréHiver=NON),0,IFERROR(IF(OR(AND(INDEX(Règles_chevaux_selle[Specificite],MATCH(RationHivernaleAuPréChevauxSelle&amp;$EU158,Règles_chevaux_selle[Ration]&amp;Règles_chevaux_selle[Aliment],0))="s1",IF($EU158=Spécificité1ChevauxSelle,1)),
AND(INDEX(Règles_chevaux_selle[Specificite],MATCH(RationHivernaleAuPréChevauxSelle&amp;$EU158,Règles_chevaux_selle[Ration]&amp;Règles_chevaux_selle[Aliment],0))="s2",IF($EU158=Spécificité2ChevauxSelle,1)),
INDEX(Règles_chevaux_selle[Specificite],MATCH(RationHivernaleAuPréChevauxSelle&amp;$EU158,Règles_chevaux_selle[Ration]&amp;Règles_chevaux_selle[Aliment],0))="c"),
INDEX(Règles_chevaux_selle[Valeur 36 et plus],MATCH(RationHivernaleAuPréChevauxSelle&amp;$EU158,Règles_chevaux_selle[Ration]&amp;Règles_chevaux_selle[Aliment],0)),0),0)*SUM(TotalChevauxSelleAdultes)*21)</f>
        <v>0</v>
      </c>
      <c r="EW158" s="458">
        <f t="array" ref="EW158">IF(OR(ChoixRationHivernaleComplèteChevauxSelle=OUI,ChoixRationHivernaleComplèteChevauxSelle="",ChoixChevauxSellePréHiver=NON),0,IFERROR(IF(OR(AND(INDEX(Règles_chevaux_selle[Specificite],MATCH(RationHivernaleAuPréChevauxSelle&amp;$EU158,Règles_chevaux_selle[Ration]&amp;Règles_chevaux_selle[Aliment],0))="s1",IF($EU158=Spécificité1ChevauxSelle,1)),
AND(INDEX(Règles_chevaux_selle[Specificite],MATCH(RationHivernaleAuPréChevauxSelle&amp;$EU158,Règles_chevaux_selle[Ration]&amp;Règles_chevaux_selle[Aliment],0))="s2",IF($EU158=Spécificité2ChevauxSelle,1)),
INDEX(Règles_chevaux_selle[Specificite],MATCH(RationHivernaleAuPréChevauxSelle&amp;$EU158,Règles_chevaux_selle[Ration]&amp;Règles_chevaux_selle[Aliment],0))="c"),
INDEX(Règles_chevaux_selle[Valeur 24-36],MATCH(RationHivernaleAuPréChevauxSelle&amp;$EU158,Règles_chevaux_selle[Ration]&amp;Règles_chevaux_selle[Aliment],0)),0),0)*SUM(TotalChevauxSelle_24_36mois)*21)</f>
        <v>0</v>
      </c>
      <c r="EX158" s="458">
        <f t="array" ref="EX158">IF(OR(ChoixRationHivernaleComplèteChevauxSelle=OUI,ChoixRationHivernaleComplèteChevauxSelle="",ChoixChevauxSellePréHiver=NON),0,IFERROR(IF(OR(AND(INDEX(Règles_chevaux_selle[Specificite],MATCH(RationHivernaleAuPréChevauxSelle&amp;$EU158,Règles_chevaux_selle[Ration]&amp;Règles_chevaux_selle[Aliment],0))="s1",IF($EU158=Spécificité1ChevauxSelle,1)),
AND(INDEX(Règles_chevaux_selle[Specificite],MATCH(RationHivernaleAuPréChevauxSelle&amp;$EU158,Règles_chevaux_selle[Ration]&amp;Règles_chevaux_selle[Aliment],0))="s2",IF($EU158=Spécificité2ChevauxSelle,1)),
INDEX(Règles_chevaux_selle[Specificite],MATCH(RationHivernaleAuPréChevauxSelle&amp;$EU158,Règles_chevaux_selle[Ration]&amp;Règles_chevaux_selle[Aliment],0))="c"),
INDEX(Règles_chevaux_selle[Valeur 12-24],MATCH(RationHivernaleAuPréChevauxSelle&amp;$EU158,Règles_chevaux_selle[Ration]&amp;Règles_chevaux_selle[Aliment],0)),0),0)*SUM(TotalChevauxSelle_12_24mois)*21)</f>
        <v>0</v>
      </c>
      <c r="EY158" s="460">
        <f t="array" ref="EY158">IF(OR(ChoixRationHivernaleComplèteChevauxSelle=OUI,ChoixRationHivernaleComplèteChevauxSelle="",ChoixChevauxSellePréHiver=NON),0,IFERROR(IF(OR(AND(INDEX(Règles_chevaux_selle[Specificite],MATCH(RationHivernaleAuPréChevauxSelle&amp;$EU158,Règles_chevaux_selle[Ration]&amp;Règles_chevaux_selle[Aliment],0))="s1",IF($EU158=Spécificité1ChevauxSelle,1)),
AND(INDEX(Règles_chevaux_selle[Specificite],MATCH(RationHivernaleAuPréChevauxSelle&amp;$EU158,Règles_chevaux_selle[Ration]&amp;Règles_chevaux_selle[Aliment],0))="s2",IF($EU158=Spécificité2ChevauxSelle,1)),
INDEX(Règles_chevaux_selle[Specificite],MATCH(RationHivernaleAuPréChevauxSelle&amp;$EU158,Règles_chevaux_selle[Ration]&amp;Règles_chevaux_selle[Aliment],0))="c"),
INDEX(Règles_chevaux_selle[Valeur 0-12],MATCH(RationHivernaleAuPréChevauxSelle&amp;$EU158,Règles_chevaux_selle[Ration]&amp;Règles_chevaux_selle[Aliment],0)),0),0)*SUM(TotalPoulainsSelle)*21)</f>
        <v>0</v>
      </c>
      <c r="EZ158" s="460">
        <f t="shared" si="53"/>
        <v>0</v>
      </c>
      <c r="FD158" s="457" t="str">
        <f t="shared" si="49"/>
        <v>Lentille</v>
      </c>
      <c r="FE158" s="458">
        <f t="array" ref="FE158">IF(OR(ChoixRationHivernaleComplèteChevauxTrait=OUI,ChoixRationHivernaleComplèteChevauxTrait="",ChoixChevauxTraitPréHiver=NON),0,IFERROR(IF(OR(AND(INDEX(Règles_chevaux_trait[Specificite],MATCH(RationHivernaleAuPréChevauxTrait&amp;$FD158,Règles_chevaux_trait[Ration]&amp;Règles_chevaux_trait[Aliment],0))="s1",IF($FD158=Spécificité1ChevauxTrait,1)),
AND(INDEX(Règles_chevaux_trait[Specificite],MATCH(RationHivernaleAuPréChevauxTrait&amp;$FD158,Règles_chevaux_trait[Ration]&amp;Règles_chevaux_trait[Aliment],0))="s2",IF($FD158=Spécificité2ChevauxTrait,1)),
INDEX(Règles_chevaux_trait[Specificite],MATCH(RationHivernaleAuPréChevauxTrait&amp;$FD158,Règles_chevaux_trait[Ration]&amp;Règles_chevaux_trait[Aliment],0))="c"),
INDEX(Règles_chevaux_trait[Valeur 36 et plus],MATCH(RationHivernaleAuPréChevauxTrait&amp;$FD158,Règles_chevaux_trait[Ration]&amp;Règles_chevaux_trait[Aliment],0)),0),0)*SUM(TotalChevauxTraitAdultes)*21)</f>
        <v>0</v>
      </c>
      <c r="FF158" s="458">
        <f t="array" ref="FF158">IF(OR(ChoixRationHivernaleComplèteChevauxTrait=OUI,ChoixRationHivernaleComplèteChevauxTrait="",ChoixChevauxTraitPréHiver=NON),0,IFERROR(IF(OR(AND(INDEX(Règles_chevaux_trait[Specificite],MATCH(RationHivernaleAuPréChevauxTrait&amp;$FD158,Règles_chevaux_trait[Ration]&amp;Règles_chevaux_trait[Aliment],0))="s1",IF($FD158=Spécificité1ChevauxTrait,1)),
AND(INDEX(Règles_chevaux_trait[Specificite],MATCH(RationHivernaleAuPréChevauxTrait&amp;$FD158,Règles_chevaux_trait[Ration]&amp;Règles_chevaux_trait[Aliment],0))="s2",IF($FD158=Spécificité2ChevauxTrait,1)),
INDEX(Règles_chevaux_trait[Specificite],MATCH(RationHivernaleAuPréChevauxTrait&amp;$FD158,Règles_chevaux_trait[Ration]&amp;Règles_chevaux_trait[Aliment],0))="c"),
INDEX(Règles_chevaux_trait[Valeur 24-36],MATCH(RationHivernaleAuPréChevauxTrait&amp;$FD158,Règles_chevaux_trait[Ration]&amp;Règles_chevaux_trait[Aliment],0)),0),0)*SUM(TotalChevauxTrait_24_36mois)*21)</f>
        <v>0</v>
      </c>
      <c r="FG158" s="458">
        <f t="array" ref="FG158">IF(OR(ChoixRationHivernaleComplèteChevauxTrait=OUI,ChoixRationHivernaleComplèteChevauxTrait="",ChoixChevauxTraitPréHiver=NON),0,IFERROR(IF(OR(AND(INDEX(Règles_chevaux_trait[Specificite],MATCH(RationHivernaleAuPréChevauxTrait&amp;$FD158,Règles_chevaux_trait[Ration]&amp;Règles_chevaux_trait[Aliment],0))="s1",IF($FD158=Spécificité1ChevauxTrait,1)),
AND(INDEX(Règles_chevaux_trait[Specificite],MATCH(RationHivernaleAuPréChevauxTrait&amp;$FD158,Règles_chevaux_trait[Ration]&amp;Règles_chevaux_trait[Aliment],0))="s2",IF($FD158=Spécificité2ChevauxTrait,1)),
INDEX(Règles_chevaux_trait[Specificite],MATCH(RationHivernaleAuPréChevauxTrait&amp;$FD158,Règles_chevaux_trait[Ration]&amp;Règles_chevaux_trait[Aliment],0))="c"),
INDEX(Règles_chevaux_trait[Valeur 12-24],MATCH(RationHivernaleAuPréChevauxTrait&amp;$FD158,Règles_chevaux_trait[Ration]&amp;Règles_chevaux_trait[Aliment],0)),0),0)*SUM(TotalChevauxTrait_12_24mois)*21)</f>
        <v>0</v>
      </c>
      <c r="FH158" s="460">
        <f t="array" ref="FH158">IF(OR(ChoixRationHivernaleComplèteChevauxTrait=OUI,ChoixRationHivernaleComplèteChevauxTrait="",ChoixChevauxTraitPréHiver=NON),0,IFERROR(IF(OR(AND(INDEX(Règles_chevaux_trait[Specificite],MATCH(RationHivernaleAuPréChevauxTrait&amp;$FD158,Règles_chevaux_trait[Ration]&amp;Règles_chevaux_trait[Aliment],0))="s1",IF($FD158=Spécificité1ChevauxTrait,1)),
AND(INDEX(Règles_chevaux_trait[Specificite],MATCH(RationHivernaleAuPréChevauxTrait&amp;$FD158,Règles_chevaux_trait[Ration]&amp;Règles_chevaux_trait[Aliment],0))="s2",IF($FD158=Spécificité2ChevauxTrait,1)),
INDEX(Règles_chevaux_trait[Specificite],MATCH(RationHivernaleAuPréChevauxTrait&amp;$FD158,Règles_chevaux_trait[Ration]&amp;Règles_chevaux_trait[Aliment],0))="c"),
INDEX(Règles_chevaux_trait[Valeur 0-12],MATCH(RationHivernaleAuPréChevauxTrait&amp;$FD158,Règles_chevaux_trait[Ration]&amp;Règles_chevaux_trait[Aliment],0)),0),0)*SUM(TotalPoulainsTrait)*21)</f>
        <v>0</v>
      </c>
      <c r="FI158" s="460">
        <f t="shared" si="47"/>
        <v>0</v>
      </c>
      <c r="FN158" s="457" t="str">
        <f t="shared" si="48"/>
        <v>Maïs ensilé</v>
      </c>
      <c r="FO158" s="458">
        <f t="array" ref="FO158">IF(OR(ChoixRationHivernaleComplètePoneys=OUI,ChoixRationHivernaleComplètePoneys="",ChoixPoneysPréHiver=NON),0,IFERROR(IF(OR(AND(INDEX(Règles_poneys[Specificite],MATCH(RationHivernaleAuPréPoneys&amp;$FN158,Règles_poneys[Ration]&amp;Règles_poneys[Aliment],0))="s1",IF($FN158=Spécificité1Poneys,1)),
AND(INDEX(Règles_poneys[Specificite],MATCH(RationHivernaleAuPréPoneys&amp;$FN158,Règles_poneys[Ration]&amp;Règles_poneys[Aliment],0))="s2",IF($FN158=Spécificité2Poneys,1)),
INDEX(Règles_poneys[Specificite],MATCH(RationHivernaleAuPréPoneys&amp;$FN158,Règles_poneys[Ration]&amp;Règles_poneys[Aliment],0))="c"),
INDEX(Règles_poneys[Valeur 36 et plus],MATCH(RationHivernaleAuPréPoneys&amp;$FN158,Règles_poneys[Ration]&amp;Règles_poneys[Aliment],0)),0),0)*SUM(TotalPoneysAdultes)*21)</f>
        <v>0</v>
      </c>
      <c r="FP158" s="458">
        <f t="array" ref="FP158">IF(OR(ChoixRationHivernaleComplètePoneys=OUI,ChoixRationHivernaleComplètePoneys="",ChoixPoneysPréHiver=NON),0,IFERROR(IF(OR(AND(INDEX(Règles_poneys[Specificite],MATCH(RationHivernaleAuPréPoneys&amp;$FN158,Règles_poneys[Ration]&amp;Règles_poneys[Aliment],0))="s1",IF($FN158=Spécificité1Poneys,1)),
AND(INDEX(Règles_poneys[Specificite],MATCH(RationHivernaleAuPréPoneys&amp;$FN158,Règles_poneys[Ration]&amp;Règles_poneys[Aliment],0))="s2",IF($FN158=Spécificité2Poneys,1)),
INDEX(Règles_poneys[Specificite],MATCH(RationHivernaleAuPréPoneys&amp;$FN158,Règles_poneys[Ration]&amp;Règles_poneys[Aliment],0))="c"),
INDEX(Règles_poneys[Valeur 24-36],MATCH(RationHivernaleAuPréPoneys&amp;$FN158,Règles_poneys[Ration]&amp;Règles_poneys[Aliment],0)),0),0)*SUM(TotalPoneys_24_36mois)*21)</f>
        <v>0</v>
      </c>
      <c r="FQ158" s="458">
        <f t="array" ref="FQ158">IF(OR(ChoixRationHivernaleComplètePoneys=OUI,ChoixRationHivernaleComplètePoneys="",ChoixPoneysPréHiver=NON),0,IFERROR(IF(OR(AND(INDEX(Règles_poneys[Specificite],MATCH(RationHivernaleAuPréPoneys&amp;$FN158,Règles_poneys[Ration]&amp;Règles_poneys[Aliment],0))="s1",IF($FN158=Spécificité1Poneys,1)),
AND(INDEX(Règles_poneys[Specificite],MATCH(RationHivernaleAuPréPoneys&amp;$FN158,Règles_poneys[Ration]&amp;Règles_poneys[Aliment],0))="s2",IF($FN158=Spécificité2Poneys,1)),
INDEX(Règles_poneys[Specificite],MATCH(RationHivernaleAuPréPoneys&amp;$FN158,Règles_poneys[Ration]&amp;Règles_poneys[Aliment],0))="c"),
INDEX(Règles_poneys[Valeur 12-24],MATCH(RationHivernaleAuPréPoneys&amp;$FN158,Règles_poneys[Ration]&amp;Règles_poneys[Aliment],0)),0),0)*SUM(TotalPoneys_12_24mois)*21)</f>
        <v>0</v>
      </c>
      <c r="FR158" s="460">
        <f t="array" ref="FR158">IF(OR(ChoixRationHivernaleComplètePoneys=OUI,ChoixRationHivernaleComplètePoneys="",ChoixPoneysPréHiver=NON),0,IFERROR(IF(OR(AND(INDEX(Règles_poneys[Specificite],MATCH(RationHivernaleAuPréPoneys&amp;$FN158,Règles_poneys[Ration]&amp;Règles_poneys[Aliment],0))="s1",IF($FN158=Spécificité1Poneys,1)),
AND(INDEX(Règles_poneys[Specificite],MATCH(RationHivernaleAuPréPoneys&amp;$FN158,Règles_poneys[Ration]&amp;Règles_poneys[Aliment],0))="s2",IF($FN158=Spécificité2Poneys,1)),
INDEX(Règles_poneys[Specificite],MATCH(RationHivernaleAuPréPoneys&amp;$FN158,Règles_poneys[Ration]&amp;Règles_poneys[Aliment],0))="c"),
INDEX(Règles_poneys[Valeur 0-12],MATCH(RationHivernaleAuPréPoneys&amp;$FN158,Règles_poneys[Ration]&amp;Règles_poneys[Aliment],0)),0),0)*SUM(TotalPoulainsPoneys)*21)</f>
        <v>0</v>
      </c>
      <c r="FS158" s="460">
        <f t="shared" si="46"/>
        <v>0</v>
      </c>
      <c r="FW158" s="457" t="str">
        <f t="shared" si="44"/>
        <v>Pois</v>
      </c>
      <c r="FX158" s="458">
        <f t="array" ref="FX158">SUM((IF(QualitéAlimentsGavageOison_0_1_mois=BONNE,VLOOKUP("Pois",AlimentsGavageOie,5,FALSE),0)+(IF(QualitéAlimentsGavageCaneton_0_1_mois=BONNE,VLOOKUP("Pois",AlimentsGavageCanard,5,FALSE),0)+(IF(QualitéAlimentsGavageOison_1_2_mois=BONNE,VLOOKUP("Pois",AlimentsGavageOie,4,FALSE),0)+(IF(QualitéAlimentsGavageCaneton_1_2_mois=BONNE,VLOOKUP("Pois",AlimentsGavageCanard,4,FALSE),0)+(IF(QualitéAlimentsGavageOison_2_3_mois=BONNE,VLOOKUP("Pois",AlimentsGavageOie,3,FALSE),0)+(IF(QualitéAlimentsGavageCaneton_2_3_mois=BONNE,VLOOKUP("Pois",AlimentsGavageCanard,3,FALSE),0)+(IF(QualitéAlimentsGavageJeunesOies=BONNE,VLOOKUP("Pois",AlimentsGavageOie,2,FALSE),0)+(IF(QualitéAlimentsGavageJeuneCanard=BONNE,VLOOKUP("Pois",AlimentsGavageCanard,2,FALSE),0))))))))))</f>
        <v>0</v>
      </c>
      <c r="FY158" s="458">
        <f t="array" ref="FY158">SUM((IF(QualitéAlimentsGavageOison_0_1_mois=MOYENNE,VLOOKUP("Pois",AlimentsGavageOie,5,FALSE),0)+(IF(QualitéAlimentsGavageCaneton_0_1_mois=MOYENNE,VLOOKUP("Pois",AlimentsGavageCanard,5,FALSE),0)+(IF(QualitéAlimentsGavageOison_1_2_mois=MOYENNE,VLOOKUP("Pois",AlimentsGavageOie,4,FALSE),0)+(IF(QualitéAlimentsGavageCaneton_1_2_mois=MOYENNE,VLOOKUP("Pois",AlimentsGavageCanard,4,FALSE),0)+(IF(QualitéAlimentsGavageOison_2_3_mois=MOYENNE,VLOOKUP("Pois",AlimentsGavageOie,3,FALSE),0)+(IF(QualitéAlimentsGavageCaneton_2_3_mois=MOYENNE,VLOOKUP("Pois",AlimentsGavageCanard,3,FALSE),0)+(IF(QualitéAlimentsGavageJeunesOies=MOYENNE,VLOOKUP("Pois",AlimentsGavageOie,2,FALSE),0)+(IF(QualitéAlimentsGavageJeuneCanard=MOYENNE,VLOOKUP("Pois",AlimentsGavageCanard,2,FALSE),0))))))))))</f>
        <v>0</v>
      </c>
      <c r="FZ158" s="458">
        <f t="array" ref="FZ158">SUM((IF(QualitéAlimentsGavageOison_0_1_mois=MAUVAISE,VLOOKUP("Pois",AlimentsGavageOie,5,FALSE),0)+(IF(QualitéAlimentsGavageCaneton_0_1_mois=MAUVAISE,VLOOKUP("Pois",AlimentsGavageCanard,5,FALSE),0)+(IF(QualitéAlimentsGavageOison_1_2_mois=MAUVAISE,VLOOKUP("Pois",AlimentsGavageOie,4,FALSE),0)+(IF(QualitéAlimentsGavageCaneton_1_2_mois=MAUVAISE,VLOOKUP("Pois",AlimentsGavageCanard,4,FALSE),0)+(IF(QualitéAlimentsGavageOison_2_3_mois=MAUVAISE,VLOOKUP("Pois",AlimentsGavageOie,3,FALSE),0)+(IF(QualitéAlimentsGavageCaneton_2_3_mois=MAUVAISE,VLOOKUP("Pois",AlimentsGavageCanard,3,FALSE),0)+(IF(QualitéAlimentsGavageJeunesOies=MAUVAISE,VLOOKUP("Pois",AlimentsGavageOie,2,FALSE),0)+(IF(QualitéAlimentsGavageJeuneCanard=MAUVAISE,VLOOKUP("Pois",AlimentsGavageCanard,2,FALSE),0))))))))))</f>
        <v>0</v>
      </c>
      <c r="GB158" s="281"/>
      <c r="GG158" s="276" t="s">
        <v>955</v>
      </c>
      <c r="GH158" s="276" t="s">
        <v>955</v>
      </c>
      <c r="GI158" s="276" t="s">
        <v>955</v>
      </c>
      <c r="GJ158" s="276" t="s">
        <v>955</v>
      </c>
      <c r="GK158" s="276" t="s">
        <v>955</v>
      </c>
      <c r="GL158" s="276" t="s">
        <v>955</v>
      </c>
      <c r="GM158" s="276" t="s">
        <v>955</v>
      </c>
      <c r="GN158" s="276" t="s">
        <v>955</v>
      </c>
      <c r="GO158" s="276" t="s">
        <v>955</v>
      </c>
      <c r="GP158" s="276" t="s">
        <v>955</v>
      </c>
      <c r="GQ158" s="276" t="s">
        <v>955</v>
      </c>
      <c r="GR158" s="276" t="s">
        <v>955</v>
      </c>
      <c r="GS158" s="276" t="s">
        <v>955</v>
      </c>
      <c r="GT158" s="276" t="s">
        <v>955</v>
      </c>
      <c r="GU158" s="276" t="s">
        <v>955</v>
      </c>
      <c r="GV158" s="276" t="s">
        <v>955</v>
      </c>
    </row>
    <row r="159" spans="1:204" ht="12.75" customHeight="1" x14ac:dyDescent="0.2">
      <c r="A159" s="373"/>
      <c r="B159" s="382"/>
      <c r="BB159" s="387" t="s">
        <v>516</v>
      </c>
      <c r="BC159" s="362" t="s">
        <v>518</v>
      </c>
      <c r="BD159" s="362" t="s">
        <v>886</v>
      </c>
      <c r="BE159" s="388">
        <v>200</v>
      </c>
      <c r="BF159" s="388">
        <v>100</v>
      </c>
      <c r="BG159" s="388">
        <v>80</v>
      </c>
      <c r="BH159" s="388">
        <v>60</v>
      </c>
      <c r="BI159" s="388">
        <v>40</v>
      </c>
      <c r="BJ159" s="388">
        <v>28</v>
      </c>
      <c r="BK159" s="389">
        <v>12</v>
      </c>
      <c r="BL159" s="312"/>
      <c r="BX159" s="350" t="str">
        <f t="shared" si="51"/>
        <v>Haricot vert</v>
      </c>
      <c r="BY159" s="350">
        <f t="array" ref="BY159">IF(ChoixRationComplèteCaprins=OUI,0,IFERROR(IF(OR(AND(INDEX(Règles_caprins[Specificite],MATCH(ChoixRationCaprins&amp;$BX159,Règles_caprins[Ration]&amp;Règles_caprins[Aliment],0))="s1",IF($BX159=Spécificité1Caprins,1)),
INDEX(Règles_caprins[Specificite],MATCH(ChoixRationCaprins&amp;$BX159,Règles_caprins[Ration]&amp;Règles_caprins[Aliment],0))="c"),
INDEX(Règles_caprins[Valeur 12 et plus],MATCH(ChoixRationCaprins&amp;$BX159,Règles_caprins[Ration]&amp;Règles_caprins[Aliment],0)),0),0)*TotalChèvres*NbreJoursNourrirCaprins)</f>
        <v>0</v>
      </c>
      <c r="BZ159" s="350">
        <f t="array" ref="BZ159">IF(ChoixRationComplèteCaprins=OUI,0,IFERROR(IF(OR(AND(INDEX(Règles_caprins[Specificite],MATCH(ChoixRationCaprins&amp;$BX159,Règles_caprins[Ration]&amp;Règles_caprins[Aliment],0))="s1",IF($BX159=Spécificité1Caprins,1)),
INDEX(Règles_caprins[Specificite],MATCH(ChoixRationCaprins&amp;$BX159,Règles_caprins[Ration]&amp;Règles_caprins[Aliment],0))="c"),
INDEX(Règles_caprins[Valeur 6-12],MATCH(ChoixRationCaprins&amp;$BX159,Règles_caprins[Ration]&amp;Règles_caprins[Aliment],0)),0),0)*jeune_chèvre_6_12_mois*NbreJoursNourrirCaprins)</f>
        <v>0</v>
      </c>
      <c r="CA159" s="350">
        <f t="array" ref="CA159">IF(ChoixRationComplèteCaprins=OUI,0,IFERROR(IF(OR(AND(INDEX(Règles_caprins[Specificite],MATCH(ChoixRationCaprins&amp;$BX159,Règles_caprins[Ration]&amp;Règles_caprins[Aliment],0))="s1",IF($BX159=Spécificité1Caprins,1)),
INDEX(Règles_caprins[Specificite],MATCH(ChoixRationCaprins&amp;$BX159,Règles_caprins[Ration]&amp;Règles_caprins[Aliment],0))="c"),
INDEX(Règles_caprins[Valeur 3-6],MATCH(ChoixRationCaprins&amp;$BX159,Règles_caprins[Ration]&amp;Règles_caprins[Aliment],0)),0),0)*chevrette_3_6_mois*NbreJoursNourrirCaprins)</f>
        <v>0</v>
      </c>
      <c r="CB159" s="350">
        <f t="array" ref="CB159">IF(ChoixRationComplèteCaprins=OUI,0,IFERROR(IF(OR(AND(INDEX(Règles_caprins[Specificite],MATCH(ChoixRationCaprins&amp;$BX159,Règles_caprins[Ration]&amp;Règles_caprins[Aliment],0))="s1",IF($BX159=Spécificité1Caprins,1)),
INDEX(Règles_caprins[Specificite],MATCH(ChoixRationCaprins&amp;$BX159,Règles_caprins[Ration]&amp;Règles_caprins[Aliment],0))="c"),
INDEX(Règles_caprins[Valeur 0-3],MATCH(ChoixRationCaprins&amp;$BX159,Règles_caprins[Ration]&amp;Règles_caprins[Aliment],0)),0),0)*chevrette_0_3_mois*NbreJoursNourrirCaprins)</f>
        <v>0</v>
      </c>
      <c r="CC159" s="350">
        <f t="shared" si="50"/>
        <v>0</v>
      </c>
      <c r="CH159" s="298"/>
      <c r="CI159" s="277"/>
      <c r="CJ159" s="350" t="str">
        <f t="shared" si="45"/>
        <v>Orge</v>
      </c>
      <c r="CK159" s="351">
        <f t="array" ref="CK159">SUM((IF(QualitéAlimentsPorceletMâle_0_1_mois=BONNE,VLOOKUP("Orge",AlimentsRationPorcinsMâles[],6,FALSE),0)+(IF(QualitéAlimentsPorceletFemelle_0_1_mois=BONNE,VLOOKUP("Orge",AlimentsRationPorcinsFemelles[],6,FALSE),0)+(IF(QualitéAlimentsPorceletMâle_1_3_mois=BONNE,VLOOKUP("Orge",AlimentsRationPorcinsMâles[],5,FALSE),0)+(IF(QualitéAlimentsPorceletFemelle_1_3_mois=BONNE,VLOOKUP("Orge",AlimentsRationPorcinsFemelles[],5,FALSE),0)+(IF(QualitéAlimentsJeuneVerrat_3_6_mois=BONNE,VLOOKUP("Orge",AlimentsRationPorcinsMâles[],4,FALSE),0)+(IF(QualitéAlimentsJeuneTruie_3_6_mois=BONNE,VLOOKUP("Orge",AlimentsRationPorcinsFemelles[],4,FALSE),0)+(IF(QualitéAlimentsJeuneVerrat_6_12_mois=BONNE,VLOOKUP("Orge",AlimentsRationPorcinsMâles[],3,FALSE),0)+(IF(QualitéAlimentsJeuneTruie_6_12_mois=BONNE,VLOOKUP("Orge",AlimentsRationPorcinsFemelles[],3,FALSE),0)+(IF(QualitéAlimentsVerrat=BONNE,VLOOKUP("Avoine",AlimentsRationPorcinsMâles[],2,FALSE),0)+(IF(QualitéAlimentsTruie=BONNE,VLOOKUP("Avoine",AlimentsRationPorcinsFemelles[],2,FALSE),0))))))))))))</f>
        <v>0</v>
      </c>
      <c r="CL159" s="351">
        <f t="array" ref="CL159">SUM((IF(QualitéAlimentsPorceletMâle_0_1_mois=MOYENNE,VLOOKUP("Orge",AlimentsRationPorcinsMâles[],6,FALSE),0)+(IF(QualitéAlimentsPorceletFemelle_0_1_mois=MOYENNE,VLOOKUP("Orge",AlimentsRationPorcinsFemelles[],6,FALSE),0)+(IF(QualitéAlimentsPorceletMâle_1_3_mois=MOYENNE,VLOOKUP("Orge",AlimentsRationPorcinsMâles[],5,FALSE),0)+(IF(QualitéAlimentsPorceletFemelle_1_3_mois=MOYENNE,VLOOKUP("Orge",AlimentsRationPorcinsFemelles[],5,FALSE),0)+(IF(QualitéAlimentsJeuneVerrat_3_6_mois=MOYENNE,VLOOKUP("Orge",AlimentsRationPorcinsMâles[],4,FALSE),0)+(IF(QualitéAlimentsJeuneTruie_3_6_mois=MOYENNE,VLOOKUP("Orge",AlimentsRationPorcinsFemelles[],4,FALSE),0)+(IF(QualitéAlimentsJeuneVerrat_6_12_mois=MOYENNE,VLOOKUP("Orge",AlimentsRationPorcinsMâles[],3,FALSE),0)+(IF(QualitéAlimentsJeuneTruie_6_12_mois=MOYENNE,VLOOKUP("Orge",AlimentsRationPorcinsFemelles[],3,FALSE),0)+(IF(QualitéAlimentsVerrat=BONNE,VLOOKUP("Avoine",AlimentsRationPorcinsMâles[],2,FALSE),0)+(IF(QualitéAlimentsTruie=BONNE,VLOOKUP("Avoine",AlimentsRationPorcinsFemelles[],2,FALSE),0))))))))))))</f>
        <v>0</v>
      </c>
      <c r="CM159" s="351">
        <f t="array" ref="CM159">SUM((IF(QualitéAlimentsPorceletMâle_0_1_mois=MAUVAISE,VLOOKUP("Orge",AlimentsRationPorcinsMâles[],6,FALSE),0)+(IF(QualitéAlimentsPorceletFemelle_0_1_mois=MAUVAISE,VLOOKUP("Orge",AlimentsRationPorcinsFemelles[],6,FALSE),0)+(IF(QualitéAlimentsPorceletMâle_1_3_mois=MAUVAISE,VLOOKUP("Orge",AlimentsRationPorcinsMâles[],5,FALSE),0)+(IF(QualitéAlimentsPorceletFemelle_1_3_mois=MAUVAISE,VLOOKUP("Orge",AlimentsRationPorcinsFemelles[],5,FALSE),0)+(IF(QualitéAlimentsJeuneVerrat_3_6_mois=MAUVAISE,VLOOKUP("Orge",AlimentsRationPorcinsMâles[],4,FALSE),0)+(IF(QualitéAlimentsJeuneTruie_3_6_mois=MAUVAISE,VLOOKUP("Orge",AlimentsRationPorcinsFemelles[],4,FALSE),0)+(IF(QualitéAlimentsJeuneVerrat_6_12_mois=MAUVAISE,VLOOKUP("Orge",AlimentsRationPorcinsMâles[],3,FALSE),0)+(IF(QualitéAlimentsJeuneTruie_6_12_mois=MAUVAISE,VLOOKUP("Orge",AlimentsRationPorcinsFemelles[],3,FALSE),0)+(IF(QualitéAlimentsVerrat=BONNE,VLOOKUP("Avoine",AlimentsRationPorcinsMâles[],2,FALSE),0)+(IF(QualitéAlimentsTruie=BONNE,VLOOKUP("Avoine",AlimentsRationPorcinsFemelles[],2,FALSE),0))))))))))))</f>
        <v>0</v>
      </c>
      <c r="CN159" s="279"/>
      <c r="CO159" s="279"/>
      <c r="CP159" s="298"/>
      <c r="CS159" s="350" t="str">
        <f t="shared" si="59"/>
        <v>Chanvre</v>
      </c>
      <c r="CT159" s="351">
        <f t="array" ref="CT159">SUM((IF(QualitéAlimentsLapereauMâle_0_1_mois=BONNE,VLOOKUP("Chanvre",AlimentsRationLapinsMâles[],4,FALSE),0)+(IF(QualitéAlimentsLapereauFemelle_0_1_mois=BONNE,VLOOKUP("Chanvre",AlimentsRationLapinsFemelles[],4,FALSE),0)+(IF(QualitéAlimentsJeuneLapin=BONNE,VLOOKUP("Chanvre",AlimentsRationLapinsMâles[],3,FALSE),0)+(IF(QualitéAlimentsJeuneLapine=BONNE,VLOOKUP("Chanvre",AlimentsRationLapinsFemelles[],3,FALSE),0)+(IF(QualitéAlimentsLapin=BONNE,VLOOKUP("Chanvre",AlimentsRationLapinsMâles[],2,FALSE),0)+(IF(QualitéAlimentsLapine=BONNE,VLOOKUP("Chanvre",AlimentsRationLapinsFemelles[],2,FALSE),0))))))))</f>
        <v>0</v>
      </c>
      <c r="CU159" s="351">
        <f t="array" ref="CU159">SUM((IF(QualitéAlimentsLapereauMâle_0_1_mois=MOYENNE,VLOOKUP("Chanvre",AlimentsRationLapinsMâles[],4,FALSE),0)+(IF(QualitéAlimentsLapereauFemelle_0_1_mois=MOYENNE,VLOOKUP("Chanvre",AlimentsRationLapinsFemelles[],4,FALSE),0)+(IF(QualitéAlimentsJeuneLapin=MOYENNE,VLOOKUP("Chanvre",AlimentsRationLapinsMâles[],3,FALSE),0)+(IF(QualitéAlimentsJeuneLapine=MOYENNE,VLOOKUP("Chanvre",AlimentsRationLapinsFemelles[],3,FALSE),0)+(IF(QualitéAlimentsLapin=MOYENNE,VLOOKUP("Chanvre",AlimentsRationLapinsMâles[],2,FALSE),0)+(IF(QualitéAlimentsLapine=MOYENNE,VLOOKUP("Chanvre",AlimentsRationLapinsFemelles[],2,FALSE),0))))))))</f>
        <v>0</v>
      </c>
      <c r="CV159" s="351">
        <f t="array" ref="CV159">SUM((IF(QualitéAlimentsLapereauMâle_0_1_mois=MAUVAISE,VLOOKUP("Chanvre",AlimentsRationLapinsMâles[],4,FALSE),0)+(IF(QualitéAlimentsLapereauFemelle_0_1_mois=MAUVAISE,VLOOKUP("Chanvre",AlimentsRationLapinsFemelles[],4,FALSE),0)+(IF(QualitéAlimentsJeuneLapin=MAUVAISE,VLOOKUP("Chanvre",AlimentsRationLapinsMâles[],3,FALSE),0)+(IF(QualitéAlimentsJeuneLapine=MAUVAISE,VLOOKUP("Chanvre",AlimentsRationLapinsFemelles[],3,FALSE),0)+(IF(QualitéAlimentsLapin=MAUVAISE,VLOOKUP("Chanvre",AlimentsRationLapinsMâles[],2,FALSE),0)+(IF(QualitéAlimentsLapine=MAUVAISE,VLOOKUP("Chanvre",AlimentsRationLapinsFemelles[],2,FALSE),0))))))))</f>
        <v>0</v>
      </c>
      <c r="CZ159" s="350" t="str">
        <f t="shared" si="58"/>
        <v>Canola</v>
      </c>
      <c r="DA159" s="351">
        <f t="array" ref="DA159">SUM((IF(QualitéAlimentsPoussinMâle_0_1_mois=BONNE,VLOOKUP("Canola",AlimentsRationVolaillesMâles[],4,FALSE),0)+(IF(QualitéAlimentsPoussinFemelle_0_1_mois=BONNE,VLOOKUP("Canola",AlimentsRationVolaillesFemelles[],4,FALSE),0)+(IF(QualitéAlimentsJeuneCoq=BONNE,VLOOKUP("Canola",AlimentsRationVolaillesMâles[],3,FALSE),0)+(IF(QualitéAlimentsJeunePoule=BONNE,VLOOKUP("Canola",AlimentsRationVolaillesFemelles[],3,FALSE),0)+(IF(QualitéAlimentsCoq=BONNE,VLOOKUP("Canola",AlimentsRationVolaillesMâles[],2,FALSE),0)+(IF(QualitéAlimentsPoule=BONNE,VLOOKUP("Canola",AlimentsRationVolaillesFemelles[],2,FALSE),0))))))))</f>
        <v>0</v>
      </c>
      <c r="DB159" s="351">
        <f t="array" ref="DB159">SUM((IF(QualitéAlimentsPoussinMâle_0_1_mois=MOYENNE,VLOOKUP("Canola",AlimentsRationVolaillesMâles[],4,FALSE),0)+(IF(QualitéAlimentsPoussinFemelle_0_1_mois=MOYENNE,VLOOKUP("Canola",AlimentsRationVolaillesFemelles[],4,FALSE),0)+(IF(QualitéAlimentsJeuneCoq=MOYENNE,VLOOKUP("Canola",AlimentsRationVolaillesMâles[],3,FALSE),0)+(IF(QualitéAlimentsJeunePoule=MOYENNE,VLOOKUP("Canola",AlimentsRationVolaillesFemelles[],3,FALSE),0)+(IF(QualitéAlimentsCoq=MOYENNE,VLOOKUP("Canola",AlimentsRationVolaillesMâles[],2,FALSE),0)+(IF(QualitéAlimentsPoule=MOYENNE,VLOOKUP("Canola",AlimentsRationVolaillesFemelles[],2,FALSE),0))))))))</f>
        <v>0</v>
      </c>
      <c r="DC159" s="351">
        <f t="array" ref="DC159">SUM((IF(QualitéAlimentsPoussinMâle_0_1_mois=MAUVAISE,VLOOKUP("Canola",AlimentsRationVolaillesMâles[],4,FALSE),0)+(IF(QualitéAlimentsPoussinFemelle_0_1_mois=MAUVAISE,VLOOKUP("Canola",AlimentsRationVolaillesFemelles[],4,FALSE),0)+(IF(QualitéAlimentsJeuneCoq=MAUVAISE,VLOOKUP("Canola",AlimentsRationVolaillesMâles[],3,FALSE),0)+(IF(QualitéAlimentsJeunePoule=MAUVAISE,VLOOKUP("Canola",AlimentsRationVolaillesFemelles[],3,FALSE),0)+(IF(QualitéAlimentsCoq=MAUVAISE,VLOOKUP("Canola",AlimentsRationVolaillesMâles[],2,FALSE),0)+(IF(QualitéAlimentsPoule=MAUVAISE,VLOOKUP("Canola",AlimentsRationVolaillesFemelles[],2,FALSE),0))))))))</f>
        <v>0</v>
      </c>
      <c r="DD159" s="277"/>
      <c r="DG159" s="350" t="str">
        <f t="shared" si="52"/>
        <v>Haricot vert</v>
      </c>
      <c r="DH159" s="351">
        <f t="array" ref="DH159">SUM((IF(QualitéAlimentsPintadeauMâle_0_1_mois=BONNE,VLOOKUP("Haricot vert",AlimentsRationPintadesMâles[],4,FALSE),0)+(IF(QualitéAlimentsPintadeauFemelle_0_1_mois=BONNE,VLOOKUP("Haricot vert",AlimentsRationPintadesFemelles[],4,FALSE),0)+(IF(QualitéAlimentsJeunePintadeMâle=BONNE,VLOOKUP("Haricot vert",AlimentsRationPintadesMâles[],3,FALSE),0)+(IF(QualitéAlimentsJeunePintadeFemelle=BONNE,VLOOKUP("Haricot vert",AlimentsRationPintadesFemelles[],3,FALSE),0)+(IF(QualitéAlimentsPintadeMâle=BONNE,VLOOKUP("Haricot vert",AlimentsRationPintadesMâles[],2,FALSE),0)+(IF(QualitéAlimentsPintadeFemelle=BONNE,VLOOKUP("Haricot vert",AlimentsRationPintadesFemelles[],2,FALSE),0))))))))</f>
        <v>0</v>
      </c>
      <c r="DI159" s="351">
        <f t="array" ref="DI159">SUM((IF(QualitéAlimentsPintadeauMâle_0_1_mois=MOYENNE,VLOOKUP("Haricot vert",AlimentsRationPintadesMâles[],4,FALSE),0)+(IF(QualitéAlimentsPintadeauFemelle_0_1_mois=MOYENNE,VLOOKUP("Haricot vert",AlimentsRationPintadesFemelles[],4,FALSE),0)+(IF(QualitéAlimentsJeunePintadeMâle=MOYENNE,VLOOKUP("Haricot vert",AlimentsRationPintadesMâles[],3,FALSE),0)+(IF(QualitéAlimentsJeunePintadeFemelle=MOYENNE,VLOOKUP("Haricot vert",AlimentsRationPintadesFemelles[],3,FALSE),0)+(IF(QualitéAlimentsPintadeMâle=MOYENNE,VLOOKUP("Haricot vert",AlimentsRationPintadesMâles[],2,FALSE),0)+(IF(QualitéAlimentsPintadeFemelle=MOYENNE,VLOOKUP("Haricot vert",AlimentsRationPintadesFemelles[],2,FALSE),0))))))))</f>
        <v>0</v>
      </c>
      <c r="DJ159" s="351">
        <f t="array" ref="DJ159">SUM((IF(QualitéAlimentsPintadeauMâle_0_1_mois=MAUVAISE,VLOOKUP("Haricot vert",AlimentsRationPintadesMâles[],4,FALSE),0)+(IF(QualitéAlimentsPintadeauFemelle_0_1_mois=MAUVAISE,VLOOKUP("Haricot vert",AlimentsRationPintadesFemelles[],4,FALSE),0)+(IF(QualitéAlimentsJeunePintadeMâle=MAUVAISE,VLOOKUP("Haricot vert",AlimentsRationPintadesMâles[],3,FALSE),0)+(IF(QualitéAlimentsJeunePintadeFemelle=MAUVAISE,VLOOKUP("Haricot vert",AlimentsRationPintadesFemelles[],3,FALSE),0)+(IF(QualitéAlimentsPintadeMâle=MAUVAISE,VLOOKUP("Haricot vert",AlimentsRationPintadesMâles[],2,FALSE),0)+(IF(QualitéAlimentsPintadeFemelle=MAUVAISE,VLOOKUP("Haricot vert",AlimentsRationPintadesFemelles[],2,FALSE),0))))))))</f>
        <v>0</v>
      </c>
      <c r="DN159" s="350" t="s">
        <v>1165</v>
      </c>
      <c r="DO159" s="351">
        <f t="array" ref="DO159">IF(ChoixRationComplèteOvins=OUI,0,IFERROR(IF(OR(AND(INDEX(Règles_ovins[Specificite],MATCH(ChoixRationOvins&amp;$DN159,Règles_ovins[Ration]&amp;Règles_ovins[Aliment],0))="s1",IF($DN159=Spécificité1Ovins,1)),
AND(INDEX(Règles_ovins[Specificite],MATCH(ChoixRationOvins&amp;$DN159,Règles_ovins[Ration]&amp;Règles_ovins[Aliment],0))="s2",IF($DN159=Spécificité2Ovins,1)),
INDEX(Règles_ovins[Specificite],MATCH(ChoixRationOvins&amp;$DN159,Règles_ovins[Ration]&amp;Règles_ovins[Aliment],0))="c"),
INDEX(Règles_ovins[Valeur 12 et plus],MATCH(ChoixRationOvins&amp;$DN159,Règles_ovins[Ration]&amp;Règles_ovins[Aliment],0)),0),0)*IF(ChoixOvinsPréHiver=OUI,SUM(TotalOvinsAdultesRacesLaitières)*NbreJoursNourrirOvins,TotalBéliers*NbreJoursNourrirOvins))</f>
        <v>0</v>
      </c>
      <c r="DP159" s="351">
        <f t="array" ref="DP159">IF(ChoixRationComplèteOvins=OUI,0,IFERROR(IF(OR(AND(INDEX(Règles_ovins[Specificite],MATCH(ChoixRationOvins&amp;$DN159,Règles_ovins[Ration]&amp;Règles_ovins[Aliment],0))="s1",IF($DN159=Spécificité1Ovins,1)),
AND(INDEX(Règles_ovins[Specificite],MATCH(ChoixRationOvins&amp;$DN159,Règles_ovins[Ration]&amp;Règles_ovins[Aliment],0))="s2",IF($DN159=Spécificité2Ovins,1)),
INDEX(Règles_ovins[Specificite],MATCH(ChoixRationOvins&amp;$DN159,Règles_ovins[Ration]&amp;Règles_ovins[Aliment],0))="c"),
INDEX(Règles_ovins[Valeur 6-12],MATCH(ChoixRationOvins&amp;$DN159,Règles_ovins[Ration]&amp;Règles_ovins[Aliment],0)),0),0)*IF(ChoixOvinsPréHiver=OUI,SUM(TotalJeunesOvinsRacesLaitières)*NbreJoursNourrirOvins,TotalJeune_bélier_6_12_mois*NbreJoursNourrirOvins))</f>
        <v>0</v>
      </c>
      <c r="DQ159" s="351">
        <f t="array" ref="DQ159">IF(ChoixRationComplèteOvins=OUI,0,IFERROR(IF(OR(AND(INDEX(Règles_ovins[Specificite],MATCH(ChoixRationOvins&amp;$DN159,Règles_ovins[Ration]&amp;Règles_ovins[Aliment],0))="s1",IF($DN159=Spécificité1Ovins,1)),
AND(INDEX(Règles_ovins[Specificite],MATCH(ChoixRationOvins&amp;$DN159,Règles_ovins[Ration]&amp;Règles_ovins[Aliment],0))="s2",IF($DN159=Spécificité2Ovins,1)),
INDEX(Règles_ovins[Specificite],MATCH(ChoixRationOvins&amp;$DN159,Règles_ovins[Ration]&amp;Règles_ovins[Aliment],0))="c"),
INDEX(Règles_ovins[Valeur 3-6],MATCH(ChoixRationOvins&amp;$DN159,Règles_ovins[Ration]&amp;Règles_ovins[Aliment],0)),0),0)*IF(ChoixOvinsPréHiver=OUI,SUM(TotalOvins_3_6moisRacesLaitières)*NbreJoursNourrirOvins,TotalAgneau_3_6_mois*NbreJoursNourrirOvins))</f>
        <v>0</v>
      </c>
      <c r="DR159" s="351">
        <f t="array" ref="DR159">IF(ChoixRationComplèteOvins=OUI,0,IFERROR(IF(OR(AND(INDEX(Règles_ovins[Specificite],MATCH(ChoixRationOvins&amp;$DN159,Règles_ovins[Ration]&amp;Règles_ovins[Aliment],0))="s1",IF($DN159=Spécificité1Ovins,1)),
AND(INDEX(Règles_ovins[Specificite],MATCH(ChoixRationOvins&amp;$DN159,Règles_ovins[Ration]&amp;Règles_ovins[Aliment],0))="s2",IF($DN159=Spécificité2Ovins,1)),
INDEX(Règles_ovins[Specificite],MATCH(ChoixRationOvins&amp;$DN159,Règles_ovins[Ration]&amp;Règles_ovins[Aliment],0))="c"),
INDEX(Règles_ovins[Valeur 0-3],MATCH(ChoixRationOvins&amp;$DN159,Règles_ovins[Ration]&amp;Règles_ovins[Aliment],0)),0),0)*IF(ChoixOvinsPréHiver=OUI,SUM(TotalOvins_3_6moisRacesLaitières)*NbreJoursNourrirOvins,TotalAgneau_0_3_mois*NbreJoursNourrirOvins))</f>
        <v>0</v>
      </c>
      <c r="DS159" s="441">
        <f t="shared" si="55"/>
        <v>0</v>
      </c>
      <c r="EG159" s="350" t="str">
        <f t="shared" si="57"/>
        <v>concentré jeunes porcins</v>
      </c>
      <c r="EH159" s="351">
        <f t="array" ref="EH159">SUM((IF(QualitéAlimentsOisonMâle_0_3_mois=BONNE,VLOOKUP("Concentré jeunes porcins",AlimentsRationOiesMâles[],4,FALSE),0)+(IF(QualitéAlimentsOisonFemelle_0_3_mois=BONNE,VLOOKUP("Concentré jeunes porcins",AlimentsRationOiesFemelles[],4,FALSE),0)+(IF(QualitéAlimentsJeuneJars=BONNE,VLOOKUP("Concentré jeunes porcins",AlimentsRationOiesMâles[],3,FALSE),0)+(IF(QualitéAlimentsJeuneOie=BONNE,VLOOKUP("Concentré jeunes porcins",AlimentsRationOiesFemelles[],3,FALSE),0)+(IF(QualitéAlimentsJars=BONNE,VLOOKUP("Concentré jeunes porcins",AlimentsRationOiesMâles[],2,FALSE),0)+(IF(QualitéAlimentsOie=BONNE,VLOOKUP("Concentré jeunes porcins",AlimentsRationOiesFemelles[],2,FALSE),0))))))))</f>
        <v>0</v>
      </c>
      <c r="EI159" s="351">
        <f t="array" ref="EI159">SUM((IF(QualitéAlimentsOisonMâle_0_3_mois=MOYENNE,VLOOKUP("Concentré jeunes porcins",AlimentsRationOiesMâles[],4,FALSE),0)+(IF(QualitéAlimentsOisonFemelle_0_3_mois=MOYENNE,VLOOKUP("Concentré jeunes porcins",AlimentsRationOiesFemelles[],4,FALSE),0)+(IF(QualitéAlimentsJeuneJars=MOYENNE,VLOOKUP("Concentré jeunes porcins",AlimentsRationOiesMâles[],3,FALSE),0)+(IF(QualitéAlimentsJeuneOie=MOYENNE,VLOOKUP("Concentré jeunes porcins",AlimentsRationOiesFemelles[],3,FALSE),0)+(IF(QualitéAlimentsJars=MOYENNE,VLOOKUP("Concentré jeunes porcins",AlimentsRationOiesMâles[],2,FALSE),0)+(IF(QualitéAlimentsOie=MOYENNE,VLOOKUP("Concentré jeunes porcins",AlimentsRationOiesFemelles[],2,FALSE),0))))))))</f>
        <v>0</v>
      </c>
      <c r="EJ159" s="351">
        <f t="array" ref="EJ159">SUM((IF(QualitéAlimentsOisonMâle_0_3_mois=MAUVAISE,VLOOKUP("Concentré jeunes porcins",AlimentsRationOiesMâles[],4,FALSE),0)+(IF(QualitéAlimentsOisonFemelle_0_3_mois=MAUVAISE,VLOOKUP("Concentré jeunes porcins",AlimentsRationOiesFemelles[],4,FALSE),0)+(IF(QualitéAlimentsJeuneJars=MAUVAISE,VLOOKUP("Concentré jeunes porcins",AlimentsRationOiesMâles[],3,FALSE),0)+(IF(QualitéAlimentsJeuneOie=MAUVAISE,VLOOKUP("Concentré jeunes porcins",AlimentsRationOiesFemelles[],3,FALSE),0)+(IF(QualitéAlimentsJars=MAUVAISE,VLOOKUP("Concentré jeunes porcins",AlimentsRationOiesMâles[],2,FALSE),0)+(IF(QualitéAlimentsOie=MAUVAISE,VLOOKUP("Concentré jeunes porcins",AlimentsRationOiesFemelles[],2,FALSE),0))))))))</f>
        <v>0</v>
      </c>
      <c r="EN159" s="457" t="str">
        <f t="shared" si="56"/>
        <v>Ensilage d'herbe</v>
      </c>
      <c r="EO159" s="458">
        <f t="array" ref="EO159">SUM((IF(QualitéAlimentsCanetonMâle=BONNE,VLOOKUP("Ensilage d'herbe",AlimentsRationCanardsMâles,4,FALSE),0)+(IF(QualitéAlimentsCanetonFemelle=BONNE,VLOOKUP("Ensilage d'herbe",AlimentsRationCanardsFemelles,4,FALSE),0)+(IF(QualitéAlimentsJeuneCanard=BONNE,VLOOKUP("Ensilage d'herbe",AlimentsRationCanardsMâles,3,FALSE),0)+(IF(QualitéAlimentsJeuneCane=BONNE,VLOOKUP("Ensilage d'herbe",AlimentsRationCanardsFemelles,3,FALSE),0)+(IF(QualitéAlimentsCanard=BONNE,VLOOKUP("Ensilage d'herbe",AlimentsRationCanardsMâles,2,FALSE),0)+(IF(QualitéAlimentsCane=BONNE,VLOOKUP("Ensilage d'herbe",AlimentsRationCanardsFemelles,2,FALSE),0))))))))</f>
        <v>0</v>
      </c>
      <c r="EP159" s="458">
        <f t="array" ref="EP159">SUM((IF(QualitéAlimentsCanetonMâle=MOYENNE,VLOOKUP("Ensilage d'herbe",AlimentsRationCanardsMâles,4,FALSE),0)+(IF(QualitéAlimentsCanetonFemelle=MOYENNE,VLOOKUP("Ensilage d'herbe",AlimentsRationCanardsFemelles,4,FALSE),0)+(IF(QualitéAlimentsJeuneCanard=MOYENNE,VLOOKUP("Ensilage d'herbe",AlimentsRationCanardsMâles,3,FALSE),0)+(IF(QualitéAlimentsJeuneCane=MOYENNE,VLOOKUP("Ensilage d'herbe",AlimentsRationCanardsFemelles,3,FALSE),0)+(IF(QualitéAlimentsCanard=MOYENNE,VLOOKUP("Ensilage d'herbe",AlimentsRationCanardsMâles,2,FALSE),0)+(IF(QualitéAlimentsCane=MOYENNE,VLOOKUP("Ensilage d'herbe",AlimentsRationCanardsFemelles,2,FALSE),0))))))))</f>
        <v>0</v>
      </c>
      <c r="EQ159" s="458">
        <f t="array" ref="EQ159">SUM((IF(QualitéAlimentsCanetonMâle=MAUVAISE,VLOOKUP("Ensilage d'herbe",AlimentsRationCanardsMâles,4,FALSE),0)+(IF(QualitéAlimentsCanetonFemelle=MAUVAISE,VLOOKUP("Ensilage d'herbe",AlimentsRationCanardsFemelles,4,FALSE),0)+(IF(QualitéAlimentsJeuneCanard=MAUVAISE,VLOOKUP("Ensilage d'herbe",AlimentsRationCanardsMâles,3,FALSE),0)+(IF(QualitéAlimentsJeuneCane=MAUVAISE,VLOOKUP("Ensilage d'herbe",AlimentsRationCanardsFemelles,3,FALSE),0)+(IF(QualitéAlimentsCanard=MAUVAISE,VLOOKUP("Ensilage d'herbe",AlimentsRationCanardsMâles,2,FALSE),0)+(IF(QualitéAlimentsCane=MAUVAISE,VLOOKUP("Ensilage d'herbe",AlimentsRationCanardsFemelles,2,FALSE),0))))))))</f>
        <v>0</v>
      </c>
      <c r="EU159" s="457" t="str">
        <f t="shared" si="54"/>
        <v>Eau</v>
      </c>
      <c r="EV159" s="458">
        <f t="array" ref="EV159">IF(OR(ChoixRationHivernaleComplèteChevauxSelle=OUI,ChoixRationHivernaleComplèteChevauxSelle="",ChoixChevauxSellePréHiver=NON),0,IFERROR(IF(OR(AND(INDEX(Règles_chevaux_selle[Specificite],MATCH(RationHivernaleAuPréChevauxSelle&amp;$EU159,Règles_chevaux_selle[Ration]&amp;Règles_chevaux_selle[Aliment],0))="s1",IF($EU159=Spécificité1ChevauxSelle,1)),
AND(INDEX(Règles_chevaux_selle[Specificite],MATCH(RationHivernaleAuPréChevauxSelle&amp;$EU159,Règles_chevaux_selle[Ration]&amp;Règles_chevaux_selle[Aliment],0))="s2",IF($EU159=Spécificité2ChevauxSelle,1)),
INDEX(Règles_chevaux_selle[Specificite],MATCH(RationHivernaleAuPréChevauxSelle&amp;$EU159,Règles_chevaux_selle[Ration]&amp;Règles_chevaux_selle[Aliment],0))="c"),
INDEX(Règles_chevaux_selle[Valeur 36 et plus],MATCH(RationHivernaleAuPréChevauxSelle&amp;$EU159,Règles_chevaux_selle[Ration]&amp;Règles_chevaux_selle[Aliment],0)),0),0)*SUM(TotalChevauxSelleAdultes)*21)</f>
        <v>0</v>
      </c>
      <c r="EW159" s="458">
        <f t="array" ref="EW159">IF(OR(ChoixRationHivernaleComplèteChevauxSelle=OUI,ChoixRationHivernaleComplèteChevauxSelle="",ChoixChevauxSellePréHiver=NON),0,IFERROR(IF(OR(AND(INDEX(Règles_chevaux_selle[Specificite],MATCH(RationHivernaleAuPréChevauxSelle&amp;$EU159,Règles_chevaux_selle[Ration]&amp;Règles_chevaux_selle[Aliment],0))="s1",IF($EU159=Spécificité1ChevauxSelle,1)),
AND(INDEX(Règles_chevaux_selle[Specificite],MATCH(RationHivernaleAuPréChevauxSelle&amp;$EU159,Règles_chevaux_selle[Ration]&amp;Règles_chevaux_selle[Aliment],0))="s2",IF($EU159=Spécificité2ChevauxSelle,1)),
INDEX(Règles_chevaux_selle[Specificite],MATCH(RationHivernaleAuPréChevauxSelle&amp;$EU159,Règles_chevaux_selle[Ration]&amp;Règles_chevaux_selle[Aliment],0))="c"),
INDEX(Règles_chevaux_selle[Valeur 24-36],MATCH(RationHivernaleAuPréChevauxSelle&amp;$EU159,Règles_chevaux_selle[Ration]&amp;Règles_chevaux_selle[Aliment],0)),0),0)*SUM(TotalChevauxSelle_24_36mois)*21)</f>
        <v>0</v>
      </c>
      <c r="EX159" s="458">
        <f t="array" ref="EX159">IF(OR(ChoixRationHivernaleComplèteChevauxSelle=OUI,ChoixRationHivernaleComplèteChevauxSelle="",ChoixChevauxSellePréHiver=NON),0,IFERROR(IF(OR(AND(INDEX(Règles_chevaux_selle[Specificite],MATCH(RationHivernaleAuPréChevauxSelle&amp;$EU159,Règles_chevaux_selle[Ration]&amp;Règles_chevaux_selle[Aliment],0))="s1",IF($EU159=Spécificité1ChevauxSelle,1)),
AND(INDEX(Règles_chevaux_selle[Specificite],MATCH(RationHivernaleAuPréChevauxSelle&amp;$EU159,Règles_chevaux_selle[Ration]&amp;Règles_chevaux_selle[Aliment],0))="s2",IF($EU159=Spécificité2ChevauxSelle,1)),
INDEX(Règles_chevaux_selle[Specificite],MATCH(RationHivernaleAuPréChevauxSelle&amp;$EU159,Règles_chevaux_selle[Ration]&amp;Règles_chevaux_selle[Aliment],0))="c"),
INDEX(Règles_chevaux_selle[Valeur 12-24],MATCH(RationHivernaleAuPréChevauxSelle&amp;$EU159,Règles_chevaux_selle[Ration]&amp;Règles_chevaux_selle[Aliment],0)),0),0)*SUM(TotalChevauxSelle_12_24mois)*21)</f>
        <v>0</v>
      </c>
      <c r="EY159" s="460">
        <f t="array" ref="EY159">IF(OR(ChoixRationHivernaleComplèteChevauxSelle=OUI,ChoixRationHivernaleComplèteChevauxSelle="",ChoixChevauxSellePréHiver=NON),0,IFERROR(IF(OR(AND(INDEX(Règles_chevaux_selle[Specificite],MATCH(RationHivernaleAuPréChevauxSelle&amp;$EU159,Règles_chevaux_selle[Ration]&amp;Règles_chevaux_selle[Aliment],0))="s1",IF($EU159=Spécificité1ChevauxSelle,1)),
AND(INDEX(Règles_chevaux_selle[Specificite],MATCH(RationHivernaleAuPréChevauxSelle&amp;$EU159,Règles_chevaux_selle[Ration]&amp;Règles_chevaux_selle[Aliment],0))="s2",IF($EU159=Spécificité2ChevauxSelle,1)),
INDEX(Règles_chevaux_selle[Specificite],MATCH(RationHivernaleAuPréChevauxSelle&amp;$EU159,Règles_chevaux_selle[Ration]&amp;Règles_chevaux_selle[Aliment],0))="c"),
INDEX(Règles_chevaux_selle[Valeur 0-12],MATCH(RationHivernaleAuPréChevauxSelle&amp;$EU159,Règles_chevaux_selle[Ration]&amp;Règles_chevaux_selle[Aliment],0)),0),0)*SUM(TotalPoulainsSelle)*21)</f>
        <v>0</v>
      </c>
      <c r="EZ159" s="460">
        <f t="shared" si="53"/>
        <v>0</v>
      </c>
      <c r="FD159" s="457" t="str">
        <f t="shared" si="49"/>
        <v>Maïs ensilé</v>
      </c>
      <c r="FE159" s="458">
        <f t="array" ref="FE159">IF(OR(ChoixRationHivernaleComplèteChevauxTrait=OUI,ChoixRationHivernaleComplèteChevauxTrait="",ChoixChevauxTraitPréHiver=NON),0,IFERROR(IF(OR(AND(INDEX(Règles_chevaux_trait[Specificite],MATCH(RationHivernaleAuPréChevauxTrait&amp;$FD159,Règles_chevaux_trait[Ration]&amp;Règles_chevaux_trait[Aliment],0))="s1",IF($FD159=Spécificité1ChevauxTrait,1)),
AND(INDEX(Règles_chevaux_trait[Specificite],MATCH(RationHivernaleAuPréChevauxTrait&amp;$FD159,Règles_chevaux_trait[Ration]&amp;Règles_chevaux_trait[Aliment],0))="s2",IF($FD159=Spécificité2ChevauxTrait,1)),
INDEX(Règles_chevaux_trait[Specificite],MATCH(RationHivernaleAuPréChevauxTrait&amp;$FD159,Règles_chevaux_trait[Ration]&amp;Règles_chevaux_trait[Aliment],0))="c"),
INDEX(Règles_chevaux_trait[Valeur 36 et plus],MATCH(RationHivernaleAuPréChevauxTrait&amp;$FD159,Règles_chevaux_trait[Ration]&amp;Règles_chevaux_trait[Aliment],0)),0),0)*SUM(TotalChevauxTraitAdultes)*21)</f>
        <v>0</v>
      </c>
      <c r="FF159" s="458">
        <f t="array" ref="FF159">IF(OR(ChoixRationHivernaleComplèteChevauxTrait=OUI,ChoixRationHivernaleComplèteChevauxTrait="",ChoixChevauxTraitPréHiver=NON),0,IFERROR(IF(OR(AND(INDEX(Règles_chevaux_trait[Specificite],MATCH(RationHivernaleAuPréChevauxTrait&amp;$FD159,Règles_chevaux_trait[Ration]&amp;Règles_chevaux_trait[Aliment],0))="s1",IF($FD159=Spécificité1ChevauxTrait,1)),
AND(INDEX(Règles_chevaux_trait[Specificite],MATCH(RationHivernaleAuPréChevauxTrait&amp;$FD159,Règles_chevaux_trait[Ration]&amp;Règles_chevaux_trait[Aliment],0))="s2",IF($FD159=Spécificité2ChevauxTrait,1)),
INDEX(Règles_chevaux_trait[Specificite],MATCH(RationHivernaleAuPréChevauxTrait&amp;$FD159,Règles_chevaux_trait[Ration]&amp;Règles_chevaux_trait[Aliment],0))="c"),
INDEX(Règles_chevaux_trait[Valeur 24-36],MATCH(RationHivernaleAuPréChevauxTrait&amp;$FD159,Règles_chevaux_trait[Ration]&amp;Règles_chevaux_trait[Aliment],0)),0),0)*SUM(TotalChevauxTrait_24_36mois)*21)</f>
        <v>0</v>
      </c>
      <c r="FG159" s="458">
        <f t="array" ref="FG159">IF(OR(ChoixRationHivernaleComplèteChevauxTrait=OUI,ChoixRationHivernaleComplèteChevauxTrait="",ChoixChevauxTraitPréHiver=NON),0,IFERROR(IF(OR(AND(INDEX(Règles_chevaux_trait[Specificite],MATCH(RationHivernaleAuPréChevauxTrait&amp;$FD159,Règles_chevaux_trait[Ration]&amp;Règles_chevaux_trait[Aliment],0))="s1",IF($FD159=Spécificité1ChevauxTrait,1)),
AND(INDEX(Règles_chevaux_trait[Specificite],MATCH(RationHivernaleAuPréChevauxTrait&amp;$FD159,Règles_chevaux_trait[Ration]&amp;Règles_chevaux_trait[Aliment],0))="s2",IF($FD159=Spécificité2ChevauxTrait,1)),
INDEX(Règles_chevaux_trait[Specificite],MATCH(RationHivernaleAuPréChevauxTrait&amp;$FD159,Règles_chevaux_trait[Ration]&amp;Règles_chevaux_trait[Aliment],0))="c"),
INDEX(Règles_chevaux_trait[Valeur 12-24],MATCH(RationHivernaleAuPréChevauxTrait&amp;$FD159,Règles_chevaux_trait[Ration]&amp;Règles_chevaux_trait[Aliment],0)),0),0)*SUM(TotalChevauxTrait_12_24mois)*21)</f>
        <v>0</v>
      </c>
      <c r="FH159" s="460">
        <f t="array" ref="FH159">IF(OR(ChoixRationHivernaleComplèteChevauxTrait=OUI,ChoixRationHivernaleComplèteChevauxTrait="",ChoixChevauxTraitPréHiver=NON),0,IFERROR(IF(OR(AND(INDEX(Règles_chevaux_trait[Specificite],MATCH(RationHivernaleAuPréChevauxTrait&amp;$FD159,Règles_chevaux_trait[Ration]&amp;Règles_chevaux_trait[Aliment],0))="s1",IF($FD159=Spécificité1ChevauxTrait,1)),
AND(INDEX(Règles_chevaux_trait[Specificite],MATCH(RationHivernaleAuPréChevauxTrait&amp;$FD159,Règles_chevaux_trait[Ration]&amp;Règles_chevaux_trait[Aliment],0))="s2",IF($FD159=Spécificité2ChevauxTrait,1)),
INDEX(Règles_chevaux_trait[Specificite],MATCH(RationHivernaleAuPréChevauxTrait&amp;$FD159,Règles_chevaux_trait[Ration]&amp;Règles_chevaux_trait[Aliment],0))="c"),
INDEX(Règles_chevaux_trait[Valeur 0-12],MATCH(RationHivernaleAuPréChevauxTrait&amp;$FD159,Règles_chevaux_trait[Ration]&amp;Règles_chevaux_trait[Aliment],0)),0),0)*SUM(TotalPoulainsTrait)*21)</f>
        <v>0</v>
      </c>
      <c r="FI159" s="460">
        <f t="shared" si="47"/>
        <v>0</v>
      </c>
      <c r="FN159" s="457" t="str">
        <f t="shared" si="48"/>
        <v>Maïs grain</v>
      </c>
      <c r="FO159" s="458">
        <f t="array" ref="FO159">IF(OR(ChoixRationHivernaleComplètePoneys=OUI,ChoixRationHivernaleComplètePoneys="",ChoixPoneysPréHiver=NON),0,IFERROR(IF(OR(AND(INDEX(Règles_poneys[Specificite],MATCH(RationHivernaleAuPréPoneys&amp;$FN159,Règles_poneys[Ration]&amp;Règles_poneys[Aliment],0))="s1",IF($FN159=Spécificité1Poneys,1)),
AND(INDEX(Règles_poneys[Specificite],MATCH(RationHivernaleAuPréPoneys&amp;$FN159,Règles_poneys[Ration]&amp;Règles_poneys[Aliment],0))="s2",IF($FN159=Spécificité2Poneys,1)),
INDEX(Règles_poneys[Specificite],MATCH(RationHivernaleAuPréPoneys&amp;$FN159,Règles_poneys[Ration]&amp;Règles_poneys[Aliment],0))="c"),
INDEX(Règles_poneys[Valeur 36 et plus],MATCH(RationHivernaleAuPréPoneys&amp;$FN159,Règles_poneys[Ration]&amp;Règles_poneys[Aliment],0)),0),0)*SUM(TotalPoneysAdultes)*21)</f>
        <v>0</v>
      </c>
      <c r="FP159" s="458">
        <f t="array" ref="FP159">IF(OR(ChoixRationHivernaleComplètePoneys=OUI,ChoixRationHivernaleComplètePoneys="",ChoixPoneysPréHiver=NON),0,IFERROR(IF(OR(AND(INDEX(Règles_poneys[Specificite],MATCH(RationHivernaleAuPréPoneys&amp;$FN159,Règles_poneys[Ration]&amp;Règles_poneys[Aliment],0))="s1",IF($FN159=Spécificité1Poneys,1)),
AND(INDEX(Règles_poneys[Specificite],MATCH(RationHivernaleAuPréPoneys&amp;$FN159,Règles_poneys[Ration]&amp;Règles_poneys[Aliment],0))="s2",IF($FN159=Spécificité2Poneys,1)),
INDEX(Règles_poneys[Specificite],MATCH(RationHivernaleAuPréPoneys&amp;$FN159,Règles_poneys[Ration]&amp;Règles_poneys[Aliment],0))="c"),
INDEX(Règles_poneys[Valeur 24-36],MATCH(RationHivernaleAuPréPoneys&amp;$FN159,Règles_poneys[Ration]&amp;Règles_poneys[Aliment],0)),0),0)*SUM(TotalPoneys_24_36mois)*21)</f>
        <v>0</v>
      </c>
      <c r="FQ159" s="458">
        <f t="array" ref="FQ159">IF(OR(ChoixRationHivernaleComplètePoneys=OUI,ChoixRationHivernaleComplètePoneys="",ChoixPoneysPréHiver=NON),0,IFERROR(IF(OR(AND(INDEX(Règles_poneys[Specificite],MATCH(RationHivernaleAuPréPoneys&amp;$FN159,Règles_poneys[Ration]&amp;Règles_poneys[Aliment],0))="s1",IF($FN159=Spécificité1Poneys,1)),
AND(INDEX(Règles_poneys[Specificite],MATCH(RationHivernaleAuPréPoneys&amp;$FN159,Règles_poneys[Ration]&amp;Règles_poneys[Aliment],0))="s2",IF($FN159=Spécificité2Poneys,1)),
INDEX(Règles_poneys[Specificite],MATCH(RationHivernaleAuPréPoneys&amp;$FN159,Règles_poneys[Ration]&amp;Règles_poneys[Aliment],0))="c"),
INDEX(Règles_poneys[Valeur 12-24],MATCH(RationHivernaleAuPréPoneys&amp;$FN159,Règles_poneys[Ration]&amp;Règles_poneys[Aliment],0)),0),0)*SUM(TotalPoneys_12_24mois)*21)</f>
        <v>0</v>
      </c>
      <c r="FR159" s="460">
        <f t="array" ref="FR159">IF(OR(ChoixRationHivernaleComplètePoneys=OUI,ChoixRationHivernaleComplètePoneys="",ChoixPoneysPréHiver=NON),0,IFERROR(IF(OR(AND(INDEX(Règles_poneys[Specificite],MATCH(RationHivernaleAuPréPoneys&amp;$FN159,Règles_poneys[Ration]&amp;Règles_poneys[Aliment],0))="s1",IF($FN159=Spécificité1Poneys,1)),
AND(INDEX(Règles_poneys[Specificite],MATCH(RationHivernaleAuPréPoneys&amp;$FN159,Règles_poneys[Ration]&amp;Règles_poneys[Aliment],0))="s2",IF($FN159=Spécificité2Poneys,1)),
INDEX(Règles_poneys[Specificite],MATCH(RationHivernaleAuPréPoneys&amp;$FN159,Règles_poneys[Ration]&amp;Règles_poneys[Aliment],0))="c"),
INDEX(Règles_poneys[Valeur 0-12],MATCH(RationHivernaleAuPréPoneys&amp;$FN159,Règles_poneys[Ration]&amp;Règles_poneys[Aliment],0)),0),0)*SUM(TotalPoulainsPoneys)*21)</f>
        <v>0</v>
      </c>
      <c r="FS159" s="460">
        <f t="shared" si="46"/>
        <v>0</v>
      </c>
      <c r="FW159" s="457" t="str">
        <f t="shared" si="44"/>
        <v>Pomme de terre</v>
      </c>
      <c r="FX159" s="458">
        <f t="array" ref="FX159">SUM((IF(QualitéAlimentsGavageOison_0_1_mois=BONNE,VLOOKUP("Pomme de terre",AlimentsGavageOie,5,FALSE),0)+(IF(QualitéAlimentsGavageCaneton_0_1_mois=BONNE,VLOOKUP("Pomme de terre",AlimentsGavageCanard,5,FALSE),0)+(IF(QualitéAlimentsGavageOison_1_2_mois=BONNE,VLOOKUP("Pomme de terre",AlimentsGavageOie,4,FALSE),0)+(IF(QualitéAlimentsGavageCaneton_1_2_mois=BONNE,VLOOKUP("Pomme de terre",AlimentsGavageCanard,4,FALSE),0)+(IF(QualitéAlimentsGavageOison_2_3_mois=BONNE,VLOOKUP("Pomme de terre",AlimentsGavageOie,3,FALSE),0)+(IF(QualitéAlimentsGavageCaneton_2_3_mois=BONNE,VLOOKUP("Pomme de terre",AlimentsGavageCanard,3,FALSE),0)+(IF(QualitéAlimentsGavageJeunesOies=BONNE,VLOOKUP("Pomme de terre",AlimentsGavageOie,2,FALSE),0)+(IF(QualitéAlimentsGavageJeuneCanard=BONNE,VLOOKUP("Pomme de terre",AlimentsGavageCanard,2,FALSE),0))))))))))</f>
        <v>0</v>
      </c>
      <c r="FY159" s="458">
        <f t="array" ref="FY159">SUM((IF(QualitéAlimentsGavageOison_0_1_mois=MOYENNE,VLOOKUP("Pomme de terre",AlimentsGavageOie,5,FALSE),0)+(IF(QualitéAlimentsGavageCaneton_0_1_mois=MOYENNE,VLOOKUP("Pomme de terre",AlimentsGavageCanard,5,FALSE),0)+(IF(QualitéAlimentsGavageOison_1_2_mois=MOYENNE,VLOOKUP("Pomme de terre",AlimentsGavageOie,4,FALSE),0)+(IF(QualitéAlimentsGavageCaneton_1_2_mois=MOYENNE,VLOOKUP("Pomme de terre",AlimentsGavageCanard,4,FALSE),0)+(IF(QualitéAlimentsGavageOison_2_3_mois=MOYENNE,VLOOKUP("Pomme de terre",AlimentsGavageOie,3,FALSE),0)+(IF(QualitéAlimentsGavageCaneton_2_3_mois=MOYENNE,VLOOKUP("Pomme de terre",AlimentsGavageCanard,3,FALSE),0)+(IF(QualitéAlimentsGavageJeunesOies=MOYENNE,VLOOKUP("Pomme de terre",AlimentsGavageOie,2,FALSE),0)+(IF(QualitéAlimentsGavageJeuneCanard=MOYENNE,VLOOKUP("Pomme de terre",AlimentsGavageCanard,2,FALSE),0))))))))))</f>
        <v>0</v>
      </c>
      <c r="FZ159" s="458">
        <f t="array" ref="FZ159">SUM((IF(QualitéAlimentsGavageOison_0_1_mois=MAUVAISE,VLOOKUP("Pomme de terre",AlimentsGavageOie,5,FALSE),0)+(IF(QualitéAlimentsGavageCaneton_0_1_mois=MAUVAISE,VLOOKUP("Pomme de terre",AlimentsGavageCanard,5,FALSE),0)+(IF(QualitéAlimentsGavageOison_1_2_mois=MAUVAISE,VLOOKUP("Pomme de terre",AlimentsGavageOie,4,FALSE),0)+(IF(QualitéAlimentsGavageCaneton_1_2_mois=MAUVAISE,VLOOKUP("Pomme de terre",AlimentsGavageCanard,4,FALSE),0)+(IF(QualitéAlimentsGavageOison_2_3_mois=MAUVAISE,VLOOKUP("Pomme de terre",AlimentsGavageOie,3,FALSE),0)+(IF(QualitéAlimentsGavageCaneton_2_3_mois=MAUVAISE,VLOOKUP("Pomme de terre",AlimentsGavageCanard,3,FALSE),0)+(IF(QualitéAlimentsGavageJeunesOies=MAUVAISE,VLOOKUP("Pomme de terre",AlimentsGavageOie,2,FALSE),0)+(IF(QualitéAlimentsGavageJeuneCanard=MAUVAISE,VLOOKUP("Pomme de terre",AlimentsGavageCanard,2,FALSE),0))))))))))</f>
        <v>0</v>
      </c>
      <c r="GB159" s="281"/>
      <c r="GG159" s="276" t="s">
        <v>955</v>
      </c>
      <c r="GH159" s="276" t="s">
        <v>955</v>
      </c>
      <c r="GI159" s="276" t="s">
        <v>955</v>
      </c>
      <c r="GJ159" s="276" t="s">
        <v>955</v>
      </c>
      <c r="GK159" s="276" t="s">
        <v>955</v>
      </c>
      <c r="GL159" s="276" t="s">
        <v>955</v>
      </c>
      <c r="GM159" s="276" t="s">
        <v>955</v>
      </c>
      <c r="GN159" s="276" t="s">
        <v>955</v>
      </c>
      <c r="GO159" s="276" t="s">
        <v>955</v>
      </c>
      <c r="GP159" s="276" t="s">
        <v>955</v>
      </c>
      <c r="GQ159" s="276" t="s">
        <v>955</v>
      </c>
      <c r="GR159" s="276" t="s">
        <v>955</v>
      </c>
      <c r="GS159" s="276" t="s">
        <v>955</v>
      </c>
      <c r="GT159" s="276" t="s">
        <v>955</v>
      </c>
      <c r="GU159" s="276" t="s">
        <v>955</v>
      </c>
      <c r="GV159" s="276" t="s">
        <v>955</v>
      </c>
    </row>
    <row r="160" spans="1:204" ht="12.75" customHeight="1" x14ac:dyDescent="0.2">
      <c r="A160" s="373"/>
      <c r="B160" s="382"/>
      <c r="BB160" s="387" t="s">
        <v>949</v>
      </c>
      <c r="BC160" s="362" t="s">
        <v>508</v>
      </c>
      <c r="BD160" s="362" t="s">
        <v>911</v>
      </c>
      <c r="BE160" s="388">
        <v>83</v>
      </c>
      <c r="BF160" s="388">
        <v>71</v>
      </c>
      <c r="BG160" s="388">
        <v>55</v>
      </c>
      <c r="BH160" s="388">
        <v>42</v>
      </c>
      <c r="BI160" s="388">
        <v>28</v>
      </c>
      <c r="BJ160" s="388">
        <v>14</v>
      </c>
      <c r="BK160" s="389">
        <v>0</v>
      </c>
      <c r="BL160" s="312"/>
      <c r="BX160" s="350" t="str">
        <f t="shared" si="51"/>
        <v>Lentille</v>
      </c>
      <c r="BY160" s="350">
        <f t="array" ref="BY160">IF(ChoixRationComplèteCaprins=OUI,0,IFERROR(IF(OR(AND(INDEX(Règles_caprins[Specificite],MATCH(ChoixRationCaprins&amp;$BX160,Règles_caprins[Ration]&amp;Règles_caprins[Aliment],0))="s1",IF($BX160=Spécificité1Caprins,1)),
INDEX(Règles_caprins[Specificite],MATCH(ChoixRationCaprins&amp;$BX160,Règles_caprins[Ration]&amp;Règles_caprins[Aliment],0))="c"),
INDEX(Règles_caprins[Valeur 12 et plus],MATCH(ChoixRationCaprins&amp;$BX160,Règles_caprins[Ration]&amp;Règles_caprins[Aliment],0)),0),0)*TotalChèvres*NbreJoursNourrirCaprins)</f>
        <v>0</v>
      </c>
      <c r="BZ160" s="350">
        <f t="array" ref="BZ160">IF(ChoixRationComplèteCaprins=OUI,0,IFERROR(IF(OR(AND(INDEX(Règles_caprins[Specificite],MATCH(ChoixRationCaprins&amp;$BX160,Règles_caprins[Ration]&amp;Règles_caprins[Aliment],0))="s1",IF($BX160=Spécificité1Caprins,1)),
INDEX(Règles_caprins[Specificite],MATCH(ChoixRationCaprins&amp;$BX160,Règles_caprins[Ration]&amp;Règles_caprins[Aliment],0))="c"),
INDEX(Règles_caprins[Valeur 6-12],MATCH(ChoixRationCaprins&amp;$BX160,Règles_caprins[Ration]&amp;Règles_caprins[Aliment],0)),0),0)*jeune_chèvre_6_12_mois*NbreJoursNourrirCaprins)</f>
        <v>0</v>
      </c>
      <c r="CA160" s="350">
        <f t="array" ref="CA160">IF(ChoixRationComplèteCaprins=OUI,0,IFERROR(IF(OR(AND(INDEX(Règles_caprins[Specificite],MATCH(ChoixRationCaprins&amp;$BX160,Règles_caprins[Ration]&amp;Règles_caprins[Aliment],0))="s1",IF($BX160=Spécificité1Caprins,1)),
INDEX(Règles_caprins[Specificite],MATCH(ChoixRationCaprins&amp;$BX160,Règles_caprins[Ration]&amp;Règles_caprins[Aliment],0))="c"),
INDEX(Règles_caprins[Valeur 3-6],MATCH(ChoixRationCaprins&amp;$BX160,Règles_caprins[Ration]&amp;Règles_caprins[Aliment],0)),0),0)*chevrette_3_6_mois*NbreJoursNourrirCaprins)</f>
        <v>0</v>
      </c>
      <c r="CB160" s="350">
        <f t="array" ref="CB160">IF(ChoixRationComplèteCaprins=OUI,0,IFERROR(IF(OR(AND(INDEX(Règles_caprins[Specificite],MATCH(ChoixRationCaprins&amp;$BX160,Règles_caprins[Ration]&amp;Règles_caprins[Aliment],0))="s1",IF($BX160=Spécificité1Caprins,1)),
INDEX(Règles_caprins[Specificite],MATCH(ChoixRationCaprins&amp;$BX160,Règles_caprins[Ration]&amp;Règles_caprins[Aliment],0))="c"),
INDEX(Règles_caprins[Valeur 0-3],MATCH(ChoixRationCaprins&amp;$BX160,Règles_caprins[Ration]&amp;Règles_caprins[Aliment],0)),0),0)*chevrette_0_3_mois*NbreJoursNourrirCaprins)</f>
        <v>0</v>
      </c>
      <c r="CC160" s="350">
        <f t="shared" si="50"/>
        <v>0</v>
      </c>
      <c r="CH160" s="298"/>
      <c r="CI160" s="277"/>
      <c r="CJ160" s="350" t="str">
        <f t="shared" si="45"/>
        <v>Paille</v>
      </c>
      <c r="CK160" s="351">
        <f t="array" ref="CK160">SUM((IF(QualitéAlimentsPorceletMâle_0_1_mois=BONNE,VLOOKUP("Paille",AlimentsRationPorcinsMâles[],6,FALSE),0)+(IF(QualitéAlimentsPorceletFemelle_0_1_mois=BONNE,VLOOKUP("Paille",AlimentsRationPorcinsFemelles[],6,FALSE),0)+(IF(QualitéAlimentsPorceletMâle_1_3_mois=BONNE,VLOOKUP("Paille",AlimentsRationPorcinsMâles[],5,FALSE),0)+(IF(QualitéAlimentsPorceletFemelle_1_3_mois=BONNE,VLOOKUP("Paille",AlimentsRationPorcinsFemelles[],5,FALSE),0)+(IF(QualitéAlimentsJeuneVerrat_3_6_mois=BONNE,VLOOKUP("Paille",AlimentsRationPorcinsMâles[],4,FALSE),0)+(IF(QualitéAlimentsJeuneTruie_3_6_mois=BONNE,VLOOKUP("Paille",AlimentsRationPorcinsFemelles[],4,FALSE),0)+(IF(QualitéAlimentsJeuneVerrat_6_12_mois=BONNE,VLOOKUP("Paille",AlimentsRationPorcinsMâles[],3,FALSE),0)+(IF(QualitéAlimentsJeuneTruie_6_12_mois=BONNE,VLOOKUP("Paille",AlimentsRationPorcinsFemelles[],3,FALSE),0)+(IF(QualitéAlimentsVerrat=BONNE,VLOOKUP("Avoine",AlimentsRationPorcinsMâles[],2,FALSE),0)+(IF(QualitéAlimentsTruie=BONNE,VLOOKUP("Avoine",AlimentsRationPorcinsFemelles[],2,FALSE),0))))))))))))</f>
        <v>0</v>
      </c>
      <c r="CL160" s="351">
        <f t="array" ref="CL160">SUM((IF(QualitéAlimentsPorceletMâle_0_1_mois=MOYENNE,VLOOKUP("Paille",AlimentsRationPorcinsMâles[],6,FALSE),0)+(IF(QualitéAlimentsPorceletFemelle_0_1_mois=MOYENNE,VLOOKUP("Paille",AlimentsRationPorcinsFemelles[],6,FALSE),0)+(IF(QualitéAlimentsPorceletMâle_1_3_mois=MOYENNE,VLOOKUP("Paille",AlimentsRationPorcinsMâles[],5,FALSE),0)+(IF(QualitéAlimentsPorceletFemelle_1_3_mois=MOYENNE,VLOOKUP("Paille",AlimentsRationPorcinsFemelles[],5,FALSE),0)+(IF(QualitéAlimentsJeuneVerrat_3_6_mois=MOYENNE,VLOOKUP("Paille",AlimentsRationPorcinsMâles[],4,FALSE),0)+(IF(QualitéAlimentsJeuneTruie_3_6_mois=MOYENNE,VLOOKUP("Paille",AlimentsRationPorcinsFemelles[],4,FALSE),0)+(IF(QualitéAlimentsJeuneVerrat_6_12_mois=MOYENNE,VLOOKUP("Paille",AlimentsRationPorcinsMâles[],3,FALSE),0)+(IF(QualitéAlimentsJeuneTruie_6_12_mois=MOYENNE,VLOOKUP("Paille",AlimentsRationPorcinsFemelles[],3,FALSE),0)+(IF(QualitéAlimentsVerrat=BONNE,VLOOKUP("Avoine",AlimentsRationPorcinsMâles[],2,FALSE),0)+(IF(QualitéAlimentsTruie=BONNE,VLOOKUP("Avoine",AlimentsRationPorcinsFemelles[],2,FALSE),0))))))))))))</f>
        <v>0</v>
      </c>
      <c r="CM160" s="351">
        <f t="array" ref="CM160">SUM((IF(QualitéAlimentsPorceletMâle_0_1_mois=MAUVAISE,VLOOKUP("Paille",AlimentsRationPorcinsMâles[],6,FALSE),0)+(IF(QualitéAlimentsPorceletFemelle_0_1_mois=MAUVAISE,VLOOKUP("Paille",AlimentsRationPorcinsFemelles[],6,FALSE),0)+(IF(QualitéAlimentsPorceletMâle_1_3_mois=MAUVAISE,VLOOKUP("Paille",AlimentsRationPorcinsMâles[],5,FALSE),0)+(IF(QualitéAlimentsPorceletFemelle_1_3_mois=MAUVAISE,VLOOKUP("Paille",AlimentsRationPorcinsFemelles[],5,FALSE),0)+(IF(QualitéAlimentsJeuneVerrat_3_6_mois=MAUVAISE,VLOOKUP("Paille",AlimentsRationPorcinsMâles[],4,FALSE),0)+(IF(QualitéAlimentsJeuneTruie_3_6_mois=MAUVAISE,VLOOKUP("Paille",AlimentsRationPorcinsFemelles[],4,FALSE),0)+(IF(QualitéAlimentsJeuneVerrat_6_12_mois=MAUVAISE,VLOOKUP("Paille",AlimentsRationPorcinsMâles[],3,FALSE),0)+(IF(QualitéAlimentsJeuneTruie_6_12_mois=MAUVAISE,VLOOKUP("Paille",AlimentsRationPorcinsFemelles[],3,FALSE),0)+(IF(QualitéAlimentsVerrat=BONNE,VLOOKUP("Avoine",AlimentsRationPorcinsMâles[],2,FALSE),0)+(IF(QualitéAlimentsTruie=BONNE,VLOOKUP("Avoine",AlimentsRationPorcinsFemelles[],2,FALSE),0)+LitièrePorcins[[#Totals],[litière]])))))))))))</f>
        <v>0</v>
      </c>
      <c r="CN160" s="279"/>
      <c r="CO160" s="279"/>
      <c r="CP160" s="298"/>
      <c r="CS160" s="350" t="str">
        <f t="shared" si="59"/>
        <v>Canola</v>
      </c>
      <c r="CT160" s="351">
        <f t="array" ref="CT160">SUM((IF(QualitéAlimentsLapereauMâle_0_1_mois=BONNE,VLOOKUP("Canola",AlimentsRationLapinsMâles[],4,FALSE),0)+(IF(QualitéAlimentsLapereauFemelle_0_1_mois=BONNE,VLOOKUP("Canola",AlimentsRationLapinsFemelles[],4,FALSE),0)+(IF(QualitéAlimentsJeuneLapin=BONNE,VLOOKUP("Canola",AlimentsRationLapinsMâles[],3,FALSE),0)+(IF(QualitéAlimentsJeuneLapine=BONNE,VLOOKUP("Canola",AlimentsRationLapinsFemelles[],3,FALSE),0)+(IF(QualitéAlimentsLapin=BONNE,VLOOKUP("Canola",AlimentsRationLapinsMâles[],2,FALSE),0)+(IF(QualitéAlimentsLapine=BONNE,VLOOKUP("Canola",AlimentsRationLapinsFemelles[],2,FALSE),0))))))))</f>
        <v>0</v>
      </c>
      <c r="CU160" s="351">
        <f t="array" ref="CU160">SUM((IF(QualitéAlimentsLapereauMâle_0_1_mois=MOYENNE,VLOOKUP("Canola",AlimentsRationLapinsMâles[],4,FALSE),0)+(IF(QualitéAlimentsLapereauFemelle_0_1_mois=MOYENNE,VLOOKUP("Canola",AlimentsRationLapinsFemelles[],4,FALSE),0)+(IF(QualitéAlimentsJeuneLapin=MOYENNE,VLOOKUP("Canola",AlimentsRationLapinsMâles[],3,FALSE),0)+(IF(QualitéAlimentsJeuneLapine=MOYENNE,VLOOKUP("Canola",AlimentsRationLapinsFemelles[],3,FALSE),0)+(IF(QualitéAlimentsLapin=MOYENNE,VLOOKUP("Canola",AlimentsRationLapinsMâles[],2,FALSE),0)+(IF(QualitéAlimentsLapine=MOYENNE,VLOOKUP("Canola",AlimentsRationLapinsFemelles[],2,FALSE),0))))))))</f>
        <v>0</v>
      </c>
      <c r="CV160" s="351">
        <f t="array" ref="CV160">SUM((IF(QualitéAlimentsLapereauMâle_0_1_mois=MAUVAISE,VLOOKUP("Canola",AlimentsRationLapinsMâles[],4,FALSE),0)+(IF(QualitéAlimentsLapereauFemelle_0_1_mois=MAUVAISE,VLOOKUP("Canola",AlimentsRationLapinsFemelles[],4,FALSE),0)+(IF(QualitéAlimentsJeuneLapin=MAUVAISE,VLOOKUP("Canola",AlimentsRationLapinsMâles[],3,FALSE),0)+(IF(QualitéAlimentsJeuneLapine=MAUVAISE,VLOOKUP("Canola",AlimentsRationLapinsFemelles[],3,FALSE),0)+(IF(QualitéAlimentsLapin=MAUVAISE,VLOOKUP("Canola",AlimentsRationLapinsMâles[],2,FALSE),0)+(IF(QualitéAlimentsLapine=MAUVAISE,VLOOKUP("Canola",AlimentsRationLapinsFemelles[],2,FALSE),0))))))))</f>
        <v>0</v>
      </c>
      <c r="CZ160" s="350" t="str">
        <f t="shared" si="58"/>
        <v>Colza</v>
      </c>
      <c r="DA160" s="351">
        <f t="array" ref="DA160">SUM((IF(QualitéAlimentsPoussinMâle_0_1_mois=BONNE,VLOOKUP("Colza",AlimentsRationVolaillesMâles[],4,FALSE),0)+(IF(QualitéAlimentsPoussinFemelle_0_1_mois=BONNE,VLOOKUP("Colza",AlimentsRationVolaillesFemelles[],4,FALSE),0)+(IF(QualitéAlimentsJeuneCoq=BONNE,VLOOKUP("Colza",AlimentsRationVolaillesMâles[],3,FALSE),0)+(IF(QualitéAlimentsJeunePoule=BONNE,VLOOKUP("Colza",AlimentsRationVolaillesFemelles[],3,FALSE),0)+(IF(QualitéAlimentsCoq=BONNE,VLOOKUP("Colza",AlimentsRationVolaillesMâles[],2,FALSE),0)+(IF(QualitéAlimentsPoule=BONNE,VLOOKUP("Colza",AlimentsRationVolaillesFemelles[],2,FALSE),0))))))))</f>
        <v>0</v>
      </c>
      <c r="DB160" s="351">
        <f t="array" ref="DB160">SUM((IF(QualitéAlimentsPoussinMâle_0_1_mois=MOYENNE,VLOOKUP("Colza",AlimentsRationVolaillesMâles[],4,FALSE),0)+(IF(QualitéAlimentsPoussinFemelle_0_1_mois=MOYENNE,VLOOKUP("Colza",AlimentsRationVolaillesFemelles[],4,FALSE),0)+(IF(QualitéAlimentsJeuneCoq=MOYENNE,VLOOKUP("Colza",AlimentsRationVolaillesMâles[],3,FALSE),0)+(IF(QualitéAlimentsJeunePoule=MOYENNE,VLOOKUP("Colza",AlimentsRationVolaillesFemelles[],3,FALSE),0)+(IF(QualitéAlimentsCoq=MOYENNE,VLOOKUP("Colza",AlimentsRationVolaillesMâles[],2,FALSE),0)+(IF(QualitéAlimentsPoule=MOYENNE,VLOOKUP("Colza",AlimentsRationVolaillesFemelles[],2,FALSE),0))))))))</f>
        <v>0</v>
      </c>
      <c r="DC160" s="351">
        <f t="array" ref="DC160">SUM((IF(QualitéAlimentsPoussinMâle_0_1_mois=MAUVAISE,VLOOKUP("Colza",AlimentsRationVolaillesMâles[],4,FALSE),0)+(IF(QualitéAlimentsPoussinFemelle_0_1_mois=MAUVAISE,VLOOKUP("Colza",AlimentsRationVolaillesFemelles[],4,FALSE),0)+(IF(QualitéAlimentsJeuneCoq=MAUVAISE,VLOOKUP("Colza",AlimentsRationVolaillesMâles[],3,FALSE),0)+(IF(QualitéAlimentsJeunePoule=MAUVAISE,VLOOKUP("Colza",AlimentsRationVolaillesFemelles[],3,FALSE),0)+(IF(QualitéAlimentsCoq=MAUVAISE,VLOOKUP("Colza",AlimentsRationVolaillesMâles[],2,FALSE),0)+(IF(QualitéAlimentsPoule=MAUVAISE,VLOOKUP("Colza",AlimentsRationVolaillesFemelles[],2,FALSE),0))))))))</f>
        <v>0</v>
      </c>
      <c r="DD160" s="277"/>
      <c r="DG160" s="350" t="str">
        <f t="shared" si="52"/>
        <v>Lentille</v>
      </c>
      <c r="DH160" s="351">
        <f t="array" ref="DH160">SUM((IF(QualitéAlimentsPintadeauMâle_0_1_mois=BONNE,VLOOKUP("Lentille",AlimentsRationPintadesMâles[],4,FALSE),0)+(IF(QualitéAlimentsPintadeauFemelle_0_1_mois=BONNE,VLOOKUP("Lentille",AlimentsRationPintadesFemelles[],4,FALSE),0)+(IF(QualitéAlimentsJeunePintadeMâle=BONNE,VLOOKUP("Lentille",AlimentsRationPintadesMâles[],3,FALSE),0)+(IF(QualitéAlimentsJeunePintadeFemelle=BONNE,VLOOKUP("Lentille",AlimentsRationPintadesFemelles[],3,FALSE),0)+(IF(QualitéAlimentsPintadeMâle=BONNE,VLOOKUP("Lentille",AlimentsRationPintadesMâles[],2,FALSE),0)+(IF(QualitéAlimentsPintadeFemelle=BONNE,VLOOKUP("Lentille",AlimentsRationPintadesFemelles[],2,FALSE),0))))))))</f>
        <v>0</v>
      </c>
      <c r="DI160" s="351">
        <f t="array" ref="DI160">SUM((IF(QualitéAlimentsPintadeauMâle_0_1_mois=MOYENNE,VLOOKUP("Lentille",AlimentsRationPintadesMâles[],4,FALSE),0)+(IF(QualitéAlimentsPintadeauFemelle_0_1_mois=MOYENNE,VLOOKUP("Lentille",AlimentsRationPintadesFemelles[],4,FALSE),0)+(IF(QualitéAlimentsJeunePintadeMâle=MOYENNE,VLOOKUP("Lentille",AlimentsRationPintadesMâles[],3,FALSE),0)+(IF(QualitéAlimentsJeunePintadeFemelle=MOYENNE,VLOOKUP("Lentille",AlimentsRationPintadesFemelles[],3,FALSE),0)+(IF(QualitéAlimentsPintadeMâle=MOYENNE,VLOOKUP("Lentille",AlimentsRationPintadesMâles[],2,FALSE),0)+(IF(QualitéAlimentsPintadeFemelle=MOYENNE,VLOOKUP("Lentille",AlimentsRationPintadesFemelles[],2,FALSE),0))))))))</f>
        <v>0</v>
      </c>
      <c r="DJ160" s="351">
        <f t="array" ref="DJ160">SUM((IF(QualitéAlimentsPintadeauMâle_0_1_mois=MAUVAISE,VLOOKUP("Lentille",AlimentsRationPintadesMâles[],4,FALSE),0)+(IF(QualitéAlimentsPintadeauFemelle_0_1_mois=MAUVAISE,VLOOKUP("Lentille",AlimentsRationPintadesFemelles[],4,FALSE),0)+(IF(QualitéAlimentsJeunePintadeMâle=MAUVAISE,VLOOKUP("Lentille",AlimentsRationPintadesMâles[],3,FALSE),0)+(IF(QualitéAlimentsJeunePintadeFemelle=MAUVAISE,VLOOKUP("Lentille",AlimentsRationPintadesFemelles[],3,FALSE),0)+(IF(QualitéAlimentsPintadeMâle=MAUVAISE,VLOOKUP("Lentille",AlimentsRationPintadesMâles[],2,FALSE),0)+(IF(QualitéAlimentsPintadeFemelle=MAUVAISE,VLOOKUP("Lentille",AlimentsRationPintadesFemelles[],2,FALSE),0))))))))</f>
        <v>0</v>
      </c>
      <c r="DN160" s="350" t="s">
        <v>513</v>
      </c>
      <c r="DO160" s="351">
        <f t="array" ref="DO160">IF(ChoixRationComplèteOvins=OUI,0,IFERROR(IF(OR(AND(INDEX(Règles_ovins[Specificite],MATCH(ChoixRationOvins&amp;$DN160,Règles_ovins[Ration]&amp;Règles_ovins[Aliment],0))="s1",IF($DN160=Spécificité1Ovins,1)),
AND(INDEX(Règles_ovins[Specificite],MATCH(ChoixRationOvins&amp;$DN160,Règles_ovins[Ration]&amp;Règles_ovins[Aliment],0))="s2",IF($DN160=Spécificité2Ovins,1)),
INDEX(Règles_ovins[Specificite],MATCH(ChoixRationOvins&amp;$DN160,Règles_ovins[Ration]&amp;Règles_ovins[Aliment],0))="c"),
INDEX(Règles_ovins[Valeur 12 et plus],MATCH(ChoixRationOvins&amp;$DN160,Règles_ovins[Ration]&amp;Règles_ovins[Aliment],0)),0),0)*IF(ChoixOvinsPréHiver=OUI,SUM(TotalOvinsAdultesRacesLaitières)*NbreJoursNourrirOvins,TotalBéliers*NbreJoursNourrirOvins))</f>
        <v>0</v>
      </c>
      <c r="DP160" s="351">
        <f t="array" ref="DP160">IF(ChoixRationComplèteOvins=OUI,0,IFERROR(IF(OR(AND(INDEX(Règles_ovins[Specificite],MATCH(ChoixRationOvins&amp;$DN160,Règles_ovins[Ration]&amp;Règles_ovins[Aliment],0))="s1",IF($DN160=Spécificité1Ovins,1)),
AND(INDEX(Règles_ovins[Specificite],MATCH(ChoixRationOvins&amp;$DN160,Règles_ovins[Ration]&amp;Règles_ovins[Aliment],0))="s2",IF($DN160=Spécificité2Ovins,1)),
INDEX(Règles_ovins[Specificite],MATCH(ChoixRationOvins&amp;$DN160,Règles_ovins[Ration]&amp;Règles_ovins[Aliment],0))="c"),
INDEX(Règles_ovins[Valeur 6-12],MATCH(ChoixRationOvins&amp;$DN160,Règles_ovins[Ration]&amp;Règles_ovins[Aliment],0)),0),0)*IF(ChoixOvinsPréHiver=OUI,SUM(TotalJeunesOvinsRacesLaitières)*NbreJoursNourrirOvins,TotalJeune_bélier_6_12_mois*NbreJoursNourrirOvins))</f>
        <v>0</v>
      </c>
      <c r="DQ160" s="351">
        <f t="array" ref="DQ160">IF(ChoixRationComplèteOvins=OUI,0,IFERROR(IF(OR(AND(INDEX(Règles_ovins[Specificite],MATCH(ChoixRationOvins&amp;$DN160,Règles_ovins[Ration]&amp;Règles_ovins[Aliment],0))="s1",IF($DN160=Spécificité1Ovins,1)),
AND(INDEX(Règles_ovins[Specificite],MATCH(ChoixRationOvins&amp;$DN160,Règles_ovins[Ration]&amp;Règles_ovins[Aliment],0))="s2",IF($DN160=Spécificité2Ovins,1)),
INDEX(Règles_ovins[Specificite],MATCH(ChoixRationOvins&amp;$DN160,Règles_ovins[Ration]&amp;Règles_ovins[Aliment],0))="c"),
INDEX(Règles_ovins[Valeur 3-6],MATCH(ChoixRationOvins&amp;$DN160,Règles_ovins[Ration]&amp;Règles_ovins[Aliment],0)),0),0)*IF(ChoixOvinsPréHiver=OUI,SUM(TotalOvins_3_6moisRacesLaitières)*NbreJoursNourrirOvins,TotalAgneau_3_6_mois*NbreJoursNourrirOvins))</f>
        <v>0</v>
      </c>
      <c r="DR160" s="351">
        <f t="array" ref="DR160">IF(ChoixRationComplèteOvins=OUI,0,IFERROR(IF(OR(AND(INDEX(Règles_ovins[Specificite],MATCH(ChoixRationOvins&amp;$DN160,Règles_ovins[Ration]&amp;Règles_ovins[Aliment],0))="s1",IF($DN160=Spécificité1Ovins,1)),
AND(INDEX(Règles_ovins[Specificite],MATCH(ChoixRationOvins&amp;$DN160,Règles_ovins[Ration]&amp;Règles_ovins[Aliment],0))="s2",IF($DN160=Spécificité2Ovins,1)),
INDEX(Règles_ovins[Specificite],MATCH(ChoixRationOvins&amp;$DN160,Règles_ovins[Ration]&amp;Règles_ovins[Aliment],0))="c"),
INDEX(Règles_ovins[Valeur 0-3],MATCH(ChoixRationOvins&amp;$DN160,Règles_ovins[Ration]&amp;Règles_ovins[Aliment],0)),0),0)*IF(ChoixOvinsPréHiver=OUI,SUM(TotalOvins_3_6moisRacesLaitières)*NbreJoursNourrirOvins,TotalAgneau_0_3_mois*NbreJoursNourrirOvins))</f>
        <v>0</v>
      </c>
      <c r="DS160" s="441">
        <f t="shared" si="55"/>
        <v>0</v>
      </c>
      <c r="EG160" s="350" t="str">
        <f t="shared" si="57"/>
        <v>Ensilage d'herbe</v>
      </c>
      <c r="EH160" s="351">
        <f t="array" ref="EH160">SUM((IF(QualitéAlimentsOisonMâle_0_3_mois=BONNE,VLOOKUP("Ensilage d'herbe",AlimentsRationOiesMâles[],4,FALSE),0)+(IF(QualitéAlimentsOisonFemelle_0_3_mois=BONNE,VLOOKUP("Ensilage d'herbe",AlimentsRationOiesFemelles[],4,FALSE),0)+(IF(QualitéAlimentsJeuneJars=BONNE,VLOOKUP("Ensilage d'herbe",AlimentsRationOiesMâles[],3,FALSE),0)+(IF(QualitéAlimentsJeuneOie=BONNE,VLOOKUP("Ensilage d'herbe",AlimentsRationOiesFemelles[],3,FALSE),0)+(IF(QualitéAlimentsJars=BONNE,VLOOKUP("Ensilage d'herbe",AlimentsRationOiesMâles[],2,FALSE),0)+(IF(QualitéAlimentsOie=BONNE,VLOOKUP("Ensilage d'herbe",AlimentsRationOiesFemelles[],2,FALSE),0))))))))</f>
        <v>0</v>
      </c>
      <c r="EI160" s="351">
        <f t="array" ref="EI160">SUM((IF(QualitéAlimentsOisonMâle_0_3_mois=MOYENNE,VLOOKUP("Ensilage d'herbe",AlimentsRationOiesMâles[],4,FALSE),0)+(IF(QualitéAlimentsOisonFemelle_0_3_mois=MOYENNE,VLOOKUP("Ensilage d'herbe",AlimentsRationOiesFemelles[],4,FALSE),0)+(IF(QualitéAlimentsJeuneJars=MOYENNE,VLOOKUP("Ensilage d'herbe",AlimentsRationOiesMâles[],3,FALSE),0)+(IF(QualitéAlimentsJeuneOie=MOYENNE,VLOOKUP("Ensilage d'herbe",AlimentsRationOiesFemelles[],3,FALSE),0)+(IF(QualitéAlimentsJars=MOYENNE,VLOOKUP("Ensilage d'herbe",AlimentsRationOiesMâles[],2,FALSE),0)+(IF(QualitéAlimentsOie=MOYENNE,VLOOKUP("Ensilage d'herbe",AlimentsRationOiesFemelles[],2,FALSE),0))))))))</f>
        <v>0</v>
      </c>
      <c r="EJ160" s="351">
        <f t="array" ref="EJ160">SUM((IF(QualitéAlimentsOisonMâle_0_3_mois=MAUVAISE,VLOOKUP("Ensilage d'herbe",AlimentsRationOiesMâles[],4,FALSE),0)+(IF(QualitéAlimentsOisonFemelle_0_3_mois=MAUVAISE,VLOOKUP("Ensilage d'herbe",AlimentsRationOiesFemelles[],4,FALSE),0)+(IF(QualitéAlimentsJeuneJars=MAUVAISE,VLOOKUP("Ensilage d'herbe",AlimentsRationOiesMâles[],3,FALSE),0)+(IF(QualitéAlimentsJeuneOie=MAUVAISE,VLOOKUP("Ensilage d'herbe",AlimentsRationOiesFemelles[],3,FALSE),0)+(IF(QualitéAlimentsJars=MAUVAISE,VLOOKUP("Ensilage d'herbe",AlimentsRationOiesMâles[],2,FALSE),0)+(IF(QualitéAlimentsOie=MAUVAISE,VLOOKUP("Ensilage d'herbe",AlimentsRationOiesFemelles[],2,FALSE),0))))))))</f>
        <v>0</v>
      </c>
      <c r="EN160" s="457" t="str">
        <f t="shared" si="56"/>
        <v>Eau</v>
      </c>
      <c r="EO160" s="458">
        <f t="array" ref="EO160">SUM((IF(QualitéAlimentsCanetonMâle=BONNE,VLOOKUP("Eau",AlimentsRationCanardsMâles,4,FALSE),0)+(IF(QualitéAlimentsCanetonFemelle=BONNE,VLOOKUP("Eau",AlimentsRationCanardsFemelles,4,FALSE),0)+(IF(QualitéAlimentsJeuneCanard=BONNE,VLOOKUP("Eau",AlimentsRationCanardsMâles,3,FALSE),0)+(IF(QualitéAlimentsJeuneCane=BONNE,VLOOKUP("Eau",AlimentsRationCanardsFemelles,3,FALSE),0)+(IF(QualitéAlimentsCanard=BONNE,VLOOKUP("Eau",AlimentsRationCanardsMâles,2,FALSE),0)+(IF(QualitéAlimentsCane=BONNE,VLOOKUP("Eau",AlimentsRationCanardsFemelles,2,FALSE),0))))))))</f>
        <v>0</v>
      </c>
      <c r="EP160" s="458">
        <f t="array" ref="EP160">SUM((IF(QualitéAlimentsCanetonMâle=MOYENNE,VLOOKUP("Eau",AlimentsRationCanardsMâles,4,FALSE),0)+(IF(QualitéAlimentsCanetonFemelle=MOYENNE,VLOOKUP("Eau",AlimentsRationCanardsFemelles,4,FALSE),0)+(IF(QualitéAlimentsJeuneCanard=MOYENNE,VLOOKUP("Eau",AlimentsRationCanardsMâles,3,FALSE),0)+(IF(QualitéAlimentsJeuneCane=MOYENNE,VLOOKUP("Eau",AlimentsRationCanardsFemelles,3,FALSE),0)+(IF(QualitéAlimentsCanard=MOYENNE,VLOOKUP("Eau",AlimentsRationCanardsMâles,2,FALSE),0)+(IF(QualitéAlimentsCane=MOYENNE,VLOOKUP("Eau",AlimentsRationCanardsFemelles,2,FALSE),0))))))))</f>
        <v>0</v>
      </c>
      <c r="EQ160" s="458">
        <f t="array" ref="EQ160">SUM((IF(QualitéAlimentsCanetonMâle=MAUVAISE,VLOOKUP("Eau",AlimentsRationCanardsMâles,4,FALSE),0)+(IF(QualitéAlimentsCanetonFemelle=MAUVAISE,VLOOKUP("Eau",AlimentsRationCanardsFemelles,4,FALSE),0)+(IF(QualitéAlimentsJeuneCanard=MAUVAISE,VLOOKUP("Eau",AlimentsRationCanardsMâles,3,FALSE),0)+(IF(QualitéAlimentsJeuneCane=MAUVAISE,VLOOKUP("Eau",AlimentsRationCanardsFemelles,3,FALSE),0)+(IF(QualitéAlimentsCanard=MAUVAISE,VLOOKUP("Eau",AlimentsRationCanardsMâles,2,FALSE),0)+(IF(QualitéAlimentsCane=MAUVAISE,VLOOKUP("Eau",AlimentsRationCanardsFemelles,2,FALSE),0))))))))</f>
        <v>0</v>
      </c>
      <c r="EU160" s="457" t="str">
        <f t="shared" si="54"/>
        <v>Epinard</v>
      </c>
      <c r="EV160" s="458">
        <f t="array" ref="EV160">IF(OR(ChoixRationHivernaleComplèteChevauxSelle=OUI,ChoixRationHivernaleComplèteChevauxSelle="",ChoixChevauxSellePréHiver=NON),0,IFERROR(IF(OR(AND(INDEX(Règles_chevaux_selle[Specificite],MATCH(RationHivernaleAuPréChevauxSelle&amp;$EU160,Règles_chevaux_selle[Ration]&amp;Règles_chevaux_selle[Aliment],0))="s1",IF($EU160=Spécificité1ChevauxSelle,1)),
AND(INDEX(Règles_chevaux_selle[Specificite],MATCH(RationHivernaleAuPréChevauxSelle&amp;$EU160,Règles_chevaux_selle[Ration]&amp;Règles_chevaux_selle[Aliment],0))="s2",IF($EU160=Spécificité2ChevauxSelle,1)),
INDEX(Règles_chevaux_selle[Specificite],MATCH(RationHivernaleAuPréChevauxSelle&amp;$EU160,Règles_chevaux_selle[Ration]&amp;Règles_chevaux_selle[Aliment],0))="c"),
INDEX(Règles_chevaux_selle[Valeur 36 et plus],MATCH(RationHivernaleAuPréChevauxSelle&amp;$EU160,Règles_chevaux_selle[Ration]&amp;Règles_chevaux_selle[Aliment],0)),0),0)*SUM(TotalChevauxSelleAdultes)*21)</f>
        <v>0</v>
      </c>
      <c r="EW160" s="458">
        <f t="array" ref="EW160">IF(OR(ChoixRationHivernaleComplèteChevauxSelle=OUI,ChoixRationHivernaleComplèteChevauxSelle="",ChoixChevauxSellePréHiver=NON),0,IFERROR(IF(OR(AND(INDEX(Règles_chevaux_selle[Specificite],MATCH(RationHivernaleAuPréChevauxSelle&amp;$EU160,Règles_chevaux_selle[Ration]&amp;Règles_chevaux_selle[Aliment],0))="s1",IF($EU160=Spécificité1ChevauxSelle,1)),
AND(INDEX(Règles_chevaux_selle[Specificite],MATCH(RationHivernaleAuPréChevauxSelle&amp;$EU160,Règles_chevaux_selle[Ration]&amp;Règles_chevaux_selle[Aliment],0))="s2",IF($EU160=Spécificité2ChevauxSelle,1)),
INDEX(Règles_chevaux_selle[Specificite],MATCH(RationHivernaleAuPréChevauxSelle&amp;$EU160,Règles_chevaux_selle[Ration]&amp;Règles_chevaux_selle[Aliment],0))="c"),
INDEX(Règles_chevaux_selle[Valeur 24-36],MATCH(RationHivernaleAuPréChevauxSelle&amp;$EU160,Règles_chevaux_selle[Ration]&amp;Règles_chevaux_selle[Aliment],0)),0),0)*SUM(TotalChevauxSelle_24_36mois)*21)</f>
        <v>0</v>
      </c>
      <c r="EX160" s="458">
        <f t="array" ref="EX160">IF(OR(ChoixRationHivernaleComplèteChevauxSelle=OUI,ChoixRationHivernaleComplèteChevauxSelle="",ChoixChevauxSellePréHiver=NON),0,IFERROR(IF(OR(AND(INDEX(Règles_chevaux_selle[Specificite],MATCH(RationHivernaleAuPréChevauxSelle&amp;$EU160,Règles_chevaux_selle[Ration]&amp;Règles_chevaux_selle[Aliment],0))="s1",IF($EU160=Spécificité1ChevauxSelle,1)),
AND(INDEX(Règles_chevaux_selle[Specificite],MATCH(RationHivernaleAuPréChevauxSelle&amp;$EU160,Règles_chevaux_selle[Ration]&amp;Règles_chevaux_selle[Aliment],0))="s2",IF($EU160=Spécificité2ChevauxSelle,1)),
INDEX(Règles_chevaux_selle[Specificite],MATCH(RationHivernaleAuPréChevauxSelle&amp;$EU160,Règles_chevaux_selle[Ration]&amp;Règles_chevaux_selle[Aliment],0))="c"),
INDEX(Règles_chevaux_selle[Valeur 12-24],MATCH(RationHivernaleAuPréChevauxSelle&amp;$EU160,Règles_chevaux_selle[Ration]&amp;Règles_chevaux_selle[Aliment],0)),0),0)*SUM(TotalChevauxSelle_12_24mois)*21)</f>
        <v>0</v>
      </c>
      <c r="EY160" s="460">
        <f t="array" ref="EY160">IF(OR(ChoixRationHivernaleComplèteChevauxSelle=OUI,ChoixRationHivernaleComplèteChevauxSelle="",ChoixChevauxSellePréHiver=NON),0,IFERROR(IF(OR(AND(INDEX(Règles_chevaux_selle[Specificite],MATCH(RationHivernaleAuPréChevauxSelle&amp;$EU160,Règles_chevaux_selle[Ration]&amp;Règles_chevaux_selle[Aliment],0))="s1",IF($EU160=Spécificité1ChevauxSelle,1)),
AND(INDEX(Règles_chevaux_selle[Specificite],MATCH(RationHivernaleAuPréChevauxSelle&amp;$EU160,Règles_chevaux_selle[Ration]&amp;Règles_chevaux_selle[Aliment],0))="s2",IF($EU160=Spécificité2ChevauxSelle,1)),
INDEX(Règles_chevaux_selle[Specificite],MATCH(RationHivernaleAuPréChevauxSelle&amp;$EU160,Règles_chevaux_selle[Ration]&amp;Règles_chevaux_selle[Aliment],0))="c"),
INDEX(Règles_chevaux_selle[Valeur 0-12],MATCH(RationHivernaleAuPréChevauxSelle&amp;$EU160,Règles_chevaux_selle[Ration]&amp;Règles_chevaux_selle[Aliment],0)),0),0)*SUM(TotalPoulainsSelle)*21)</f>
        <v>0</v>
      </c>
      <c r="EZ160" s="460">
        <f t="shared" si="53"/>
        <v>0</v>
      </c>
      <c r="FD160" s="457" t="str">
        <f t="shared" si="49"/>
        <v>Maïs grain</v>
      </c>
      <c r="FE160" s="458">
        <f t="array" ref="FE160">IF(OR(ChoixRationHivernaleComplèteChevauxTrait=OUI,ChoixRationHivernaleComplèteChevauxTrait="",ChoixChevauxTraitPréHiver=NON),0,IFERROR(IF(OR(AND(INDEX(Règles_chevaux_trait[Specificite],MATCH(RationHivernaleAuPréChevauxTrait&amp;$FD160,Règles_chevaux_trait[Ration]&amp;Règles_chevaux_trait[Aliment],0))="s1",IF($FD160=Spécificité1ChevauxTrait,1)),
AND(INDEX(Règles_chevaux_trait[Specificite],MATCH(RationHivernaleAuPréChevauxTrait&amp;$FD160,Règles_chevaux_trait[Ration]&amp;Règles_chevaux_trait[Aliment],0))="s2",IF($FD160=Spécificité2ChevauxTrait,1)),
INDEX(Règles_chevaux_trait[Specificite],MATCH(RationHivernaleAuPréChevauxTrait&amp;$FD160,Règles_chevaux_trait[Ration]&amp;Règles_chevaux_trait[Aliment],0))="c"),
INDEX(Règles_chevaux_trait[Valeur 36 et plus],MATCH(RationHivernaleAuPréChevauxTrait&amp;$FD160,Règles_chevaux_trait[Ration]&amp;Règles_chevaux_trait[Aliment],0)),0),0)*SUM(TotalChevauxTraitAdultes)*21)</f>
        <v>0</v>
      </c>
      <c r="FF160" s="458">
        <f t="array" ref="FF160">IF(OR(ChoixRationHivernaleComplèteChevauxTrait=OUI,ChoixRationHivernaleComplèteChevauxTrait="",ChoixChevauxTraitPréHiver=NON),0,IFERROR(IF(OR(AND(INDEX(Règles_chevaux_trait[Specificite],MATCH(RationHivernaleAuPréChevauxTrait&amp;$FD160,Règles_chevaux_trait[Ration]&amp;Règles_chevaux_trait[Aliment],0))="s1",IF($FD160=Spécificité1ChevauxTrait,1)),
AND(INDEX(Règles_chevaux_trait[Specificite],MATCH(RationHivernaleAuPréChevauxTrait&amp;$FD160,Règles_chevaux_trait[Ration]&amp;Règles_chevaux_trait[Aliment],0))="s2",IF($FD160=Spécificité2ChevauxTrait,1)),
INDEX(Règles_chevaux_trait[Specificite],MATCH(RationHivernaleAuPréChevauxTrait&amp;$FD160,Règles_chevaux_trait[Ration]&amp;Règles_chevaux_trait[Aliment],0))="c"),
INDEX(Règles_chevaux_trait[Valeur 24-36],MATCH(RationHivernaleAuPréChevauxTrait&amp;$FD160,Règles_chevaux_trait[Ration]&amp;Règles_chevaux_trait[Aliment],0)),0),0)*SUM(TotalChevauxTrait_24_36mois)*21)</f>
        <v>0</v>
      </c>
      <c r="FG160" s="458">
        <f t="array" ref="FG160">IF(OR(ChoixRationHivernaleComplèteChevauxTrait=OUI,ChoixRationHivernaleComplèteChevauxTrait="",ChoixChevauxTraitPréHiver=NON),0,IFERROR(IF(OR(AND(INDEX(Règles_chevaux_trait[Specificite],MATCH(RationHivernaleAuPréChevauxTrait&amp;$FD160,Règles_chevaux_trait[Ration]&amp;Règles_chevaux_trait[Aliment],0))="s1",IF($FD160=Spécificité1ChevauxTrait,1)),
AND(INDEX(Règles_chevaux_trait[Specificite],MATCH(RationHivernaleAuPréChevauxTrait&amp;$FD160,Règles_chevaux_trait[Ration]&amp;Règles_chevaux_trait[Aliment],0))="s2",IF($FD160=Spécificité2ChevauxTrait,1)),
INDEX(Règles_chevaux_trait[Specificite],MATCH(RationHivernaleAuPréChevauxTrait&amp;$FD160,Règles_chevaux_trait[Ration]&amp;Règles_chevaux_trait[Aliment],0))="c"),
INDEX(Règles_chevaux_trait[Valeur 12-24],MATCH(RationHivernaleAuPréChevauxTrait&amp;$FD160,Règles_chevaux_trait[Ration]&amp;Règles_chevaux_trait[Aliment],0)),0),0)*SUM(TotalChevauxTrait_12_24mois)*21)</f>
        <v>0</v>
      </c>
      <c r="FH160" s="460">
        <f t="array" ref="FH160">IF(OR(ChoixRationHivernaleComplèteChevauxTrait=OUI,ChoixRationHivernaleComplèteChevauxTrait="",ChoixChevauxTraitPréHiver=NON),0,IFERROR(IF(OR(AND(INDEX(Règles_chevaux_trait[Specificite],MATCH(RationHivernaleAuPréChevauxTrait&amp;$FD160,Règles_chevaux_trait[Ration]&amp;Règles_chevaux_trait[Aliment],0))="s1",IF($FD160=Spécificité1ChevauxTrait,1)),
AND(INDEX(Règles_chevaux_trait[Specificite],MATCH(RationHivernaleAuPréChevauxTrait&amp;$FD160,Règles_chevaux_trait[Ration]&amp;Règles_chevaux_trait[Aliment],0))="s2",IF($FD160=Spécificité2ChevauxTrait,1)),
INDEX(Règles_chevaux_trait[Specificite],MATCH(RationHivernaleAuPréChevauxTrait&amp;$FD160,Règles_chevaux_trait[Ration]&amp;Règles_chevaux_trait[Aliment],0))="c"),
INDEX(Règles_chevaux_trait[Valeur 0-12],MATCH(RationHivernaleAuPréChevauxTrait&amp;$FD160,Règles_chevaux_trait[Ration]&amp;Règles_chevaux_trait[Aliment],0)),0),0)*SUM(TotalPoulainsTrait)*21)</f>
        <v>0</v>
      </c>
      <c r="FI160" s="460">
        <f t="shared" si="47"/>
        <v>0</v>
      </c>
      <c r="FN160" s="457" t="str">
        <f t="shared" si="48"/>
        <v>Minéraux + vitamines</v>
      </c>
      <c r="FO160" s="458">
        <f t="array" ref="FO160">IF(OR(ChoixRationHivernaleComplètePoneys=OUI,ChoixRationHivernaleComplètePoneys="",ChoixPoneysPréHiver=NON),0,IFERROR(IF(OR(AND(INDEX(Règles_poneys[Specificite],MATCH(RationHivernaleAuPréPoneys&amp;$FN160,Règles_poneys[Ration]&amp;Règles_poneys[Aliment],0))="s1",IF($FN160=Spécificité1Poneys,1)),
AND(INDEX(Règles_poneys[Specificite],MATCH(RationHivernaleAuPréPoneys&amp;$FN160,Règles_poneys[Ration]&amp;Règles_poneys[Aliment],0))="s2",IF($FN160=Spécificité2Poneys,1)),
INDEX(Règles_poneys[Specificite],MATCH(RationHivernaleAuPréPoneys&amp;$FN160,Règles_poneys[Ration]&amp;Règles_poneys[Aliment],0))="c"),
INDEX(Règles_poneys[Valeur 36 et plus],MATCH(RationHivernaleAuPréPoneys&amp;$FN160,Règles_poneys[Ration]&amp;Règles_poneys[Aliment],0)),0),0)*SUM(TotalPoneysAdultes)*21)</f>
        <v>0</v>
      </c>
      <c r="FP160" s="458">
        <f t="array" ref="FP160">IF(OR(ChoixRationHivernaleComplètePoneys=OUI,ChoixRationHivernaleComplètePoneys="",ChoixPoneysPréHiver=NON),0,IFERROR(IF(OR(AND(INDEX(Règles_poneys[Specificite],MATCH(RationHivernaleAuPréPoneys&amp;$FN160,Règles_poneys[Ration]&amp;Règles_poneys[Aliment],0))="s1",IF($FN160=Spécificité1Poneys,1)),
AND(INDEX(Règles_poneys[Specificite],MATCH(RationHivernaleAuPréPoneys&amp;$FN160,Règles_poneys[Ration]&amp;Règles_poneys[Aliment],0))="s2",IF($FN160=Spécificité2Poneys,1)),
INDEX(Règles_poneys[Specificite],MATCH(RationHivernaleAuPréPoneys&amp;$FN160,Règles_poneys[Ration]&amp;Règles_poneys[Aliment],0))="c"),
INDEX(Règles_poneys[Valeur 24-36],MATCH(RationHivernaleAuPréPoneys&amp;$FN160,Règles_poneys[Ration]&amp;Règles_poneys[Aliment],0)),0),0)*SUM(TotalPoneys_24_36mois)*21)</f>
        <v>0</v>
      </c>
      <c r="FQ160" s="458">
        <f t="array" ref="FQ160">IF(OR(ChoixRationHivernaleComplètePoneys=OUI,ChoixRationHivernaleComplètePoneys="",ChoixPoneysPréHiver=NON),0,IFERROR(IF(OR(AND(INDEX(Règles_poneys[Specificite],MATCH(RationHivernaleAuPréPoneys&amp;$FN160,Règles_poneys[Ration]&amp;Règles_poneys[Aliment],0))="s1",IF($FN160=Spécificité1Poneys,1)),
AND(INDEX(Règles_poneys[Specificite],MATCH(RationHivernaleAuPréPoneys&amp;$FN160,Règles_poneys[Ration]&amp;Règles_poneys[Aliment],0))="s2",IF($FN160=Spécificité2Poneys,1)),
INDEX(Règles_poneys[Specificite],MATCH(RationHivernaleAuPréPoneys&amp;$FN160,Règles_poneys[Ration]&amp;Règles_poneys[Aliment],0))="c"),
INDEX(Règles_poneys[Valeur 12-24],MATCH(RationHivernaleAuPréPoneys&amp;$FN160,Règles_poneys[Ration]&amp;Règles_poneys[Aliment],0)),0),0)*SUM(TotalPoneys_12_24mois)*21)</f>
        <v>0</v>
      </c>
      <c r="FR160" s="460">
        <f t="array" ref="FR160">IF(OR(ChoixRationHivernaleComplètePoneys=OUI,ChoixRationHivernaleComplètePoneys="",ChoixPoneysPréHiver=NON),0,IFERROR(IF(OR(AND(INDEX(Règles_poneys[Specificite],MATCH(RationHivernaleAuPréPoneys&amp;$FN160,Règles_poneys[Ration]&amp;Règles_poneys[Aliment],0))="s1",IF($FN160=Spécificité1Poneys,1)),
AND(INDEX(Règles_poneys[Specificite],MATCH(RationHivernaleAuPréPoneys&amp;$FN160,Règles_poneys[Ration]&amp;Règles_poneys[Aliment],0))="s2",IF($FN160=Spécificité2Poneys,1)),
INDEX(Règles_poneys[Specificite],MATCH(RationHivernaleAuPréPoneys&amp;$FN160,Règles_poneys[Ration]&amp;Règles_poneys[Aliment],0))="c"),
INDEX(Règles_poneys[Valeur 0-12],MATCH(RationHivernaleAuPréPoneys&amp;$FN160,Règles_poneys[Ration]&amp;Règles_poneys[Aliment],0)),0),0)*SUM(TotalPoulainsPoneys)*21)</f>
        <v>0</v>
      </c>
      <c r="FS160" s="460">
        <f t="shared" si="46"/>
        <v>0</v>
      </c>
      <c r="FW160" s="457" t="str">
        <f t="shared" si="44"/>
        <v>Pulpe déshydratée de betterave</v>
      </c>
      <c r="FX160" s="458">
        <f t="array" ref="FX160">SUM((IF(QualitéAlimentsGavageOison_0_1_mois=BONNE,VLOOKUP("Pulpe déshydratée de betterave",AlimentsGavageOie,5,FALSE),0)+(IF(QualitéAlimentsGavageCaneton_0_1_mois=BONNE,VLOOKUP("Pulpe déshydratée de betterave",AlimentsGavageCanard,5,FALSE),0)+(IF(QualitéAlimentsGavageOison_1_2_mois=BONNE,VLOOKUP("Pulpe déshydratée de betterave",AlimentsGavageOie,4,FALSE),0)+(IF(QualitéAlimentsGavageCaneton_1_2_mois=BONNE,VLOOKUP("Pulpe déshydratée de betterave",AlimentsGavageCanard,4,FALSE),0)+(IF(QualitéAlimentsGavageOison_2_3_mois=BONNE,VLOOKUP("Pulpe déshydratée de betterave",AlimentsGavageOie,3,FALSE),0)+(IF(QualitéAlimentsGavageCaneton_2_3_mois=BONNE,VLOOKUP("Pulpe déshydratée de betterave",AlimentsGavageCanard,3,FALSE),0)+(IF(QualitéAlimentsGavageJeunesOies=BONNE,VLOOKUP("Pulpe déshydratée de betterave",AlimentsGavageOie,2,FALSE),0)+(IF(QualitéAlimentsGavageJeuneCanard=BONNE,VLOOKUP("Pulpe déshydratée de betterave",AlimentsGavageCanard,2,FALSE),0))))))))))</f>
        <v>0</v>
      </c>
      <c r="FY160" s="458">
        <f t="array" ref="FY160">SUM((IF(QualitéAlimentsGavageOison_0_1_mois=MOYENNE,VLOOKUP("Pulpe déshydratée de betterave",AlimentsGavageOie,5,FALSE),0)+(IF(QualitéAlimentsGavageCaneton_0_1_mois=MOYENNE,VLOOKUP("Pulpe déshydratée de betterave",AlimentsGavageCanard,5,FALSE),0)+(IF(QualitéAlimentsGavageOison_1_2_mois=MOYENNE,VLOOKUP("Pulpe déshydratée de betterave",AlimentsGavageOie,4,FALSE),0)+(IF(QualitéAlimentsGavageCaneton_1_2_mois=MOYENNE,VLOOKUP("Pulpe déshydratée de betterave",AlimentsGavageCanard,4,FALSE),0)+(IF(QualitéAlimentsGavageOison_2_3_mois=MOYENNE,VLOOKUP("Pulpe déshydratée de betterave",AlimentsGavageOie,3,FALSE),0)+(IF(QualitéAlimentsGavageCaneton_2_3_mois=MOYENNE,VLOOKUP("Pulpe déshydratée de betterave",AlimentsGavageCanard,3,FALSE),0)+(IF(QualitéAlimentsGavageJeunesOies=MOYENNE,VLOOKUP("Pulpe déshydratée de betterave",AlimentsGavageOie,2,FALSE),0)+(IF(QualitéAlimentsGavageJeuneCanard=MOYENNE,VLOOKUP("Pulpe déshydratée de betterave",AlimentsGavageCanard,2,FALSE),0))))))))))</f>
        <v>0</v>
      </c>
      <c r="FZ160" s="458">
        <f t="array" ref="FZ160">SUM((IF(QualitéAlimentsGavageOison_0_1_mois=MAUVAISE,VLOOKUP("Pulpe déshydratée de betterave",AlimentsGavageOie,5,FALSE),0)+(IF(QualitéAlimentsGavageCaneton_0_1_mois=MAUVAISE,VLOOKUP("Pulpe déshydratée de betterave",AlimentsGavageCanard,5,FALSE),0)+(IF(QualitéAlimentsGavageOison_1_2_mois=MAUVAISE,VLOOKUP("Pulpe déshydratée de betterave",AlimentsGavageOie,4,FALSE),0)+(IF(QualitéAlimentsGavageCaneton_1_2_mois=MAUVAISE,VLOOKUP("Pulpe déshydratée de betterave",AlimentsGavageCanard,4,FALSE),0)+(IF(QualitéAlimentsGavageOison_2_3_mois=MAUVAISE,VLOOKUP("Pulpe déshydratée de betterave",AlimentsGavageOie,3,FALSE),0)+(IF(QualitéAlimentsGavageCaneton_2_3_mois=MAUVAISE,VLOOKUP("Pulpe déshydratée de betterave",AlimentsGavageCanard,3,FALSE),0)+(IF(QualitéAlimentsGavageJeunesOies=MAUVAISE,VLOOKUP("Pulpe déshydratée de betterave",AlimentsGavageOie,2,FALSE),0)+(IF(QualitéAlimentsGavageJeuneCanard=MAUVAISE,VLOOKUP("Pulpe déshydratée de betterave",AlimentsGavageCanard,2,FALSE),0))))))))))</f>
        <v>0</v>
      </c>
      <c r="GB160" s="281"/>
      <c r="GG160" s="276" t="s">
        <v>955</v>
      </c>
      <c r="GH160" s="276" t="s">
        <v>955</v>
      </c>
      <c r="GI160" s="276" t="s">
        <v>955</v>
      </c>
      <c r="GJ160" s="276" t="s">
        <v>955</v>
      </c>
      <c r="GK160" s="276" t="s">
        <v>955</v>
      </c>
      <c r="GL160" s="276" t="s">
        <v>955</v>
      </c>
      <c r="GM160" s="276" t="s">
        <v>955</v>
      </c>
      <c r="GN160" s="276" t="s">
        <v>955</v>
      </c>
      <c r="GO160" s="276" t="s">
        <v>955</v>
      </c>
      <c r="GP160" s="276" t="s">
        <v>955</v>
      </c>
      <c r="GQ160" s="276" t="s">
        <v>955</v>
      </c>
      <c r="GR160" s="276" t="s">
        <v>955</v>
      </c>
      <c r="GS160" s="276" t="s">
        <v>955</v>
      </c>
      <c r="GT160" s="276" t="s">
        <v>955</v>
      </c>
      <c r="GU160" s="276" t="s">
        <v>955</v>
      </c>
      <c r="GV160" s="276" t="s">
        <v>955</v>
      </c>
    </row>
    <row r="161" spans="1:204" ht="12.75" customHeight="1" x14ac:dyDescent="0.2">
      <c r="A161" s="373"/>
      <c r="B161" s="382"/>
      <c r="BB161" s="387" t="s">
        <v>949</v>
      </c>
      <c r="BC161" s="362" t="s">
        <v>269</v>
      </c>
      <c r="BD161" s="362" t="s">
        <v>886</v>
      </c>
      <c r="BE161" s="388">
        <v>30</v>
      </c>
      <c r="BF161" s="388">
        <v>27</v>
      </c>
      <c r="BG161" s="388">
        <v>24</v>
      </c>
      <c r="BH161" s="388">
        <v>21</v>
      </c>
      <c r="BI161" s="388">
        <v>18</v>
      </c>
      <c r="BJ161" s="388">
        <v>15</v>
      </c>
      <c r="BK161" s="389">
        <v>0</v>
      </c>
      <c r="BL161" s="312"/>
      <c r="BX161" s="350" t="str">
        <f t="shared" si="51"/>
        <v>Maïs ensilé</v>
      </c>
      <c r="BY161" s="350">
        <f t="array" ref="BY161">IF(ChoixRationComplèteCaprins=OUI,0,IFERROR(IF(OR(AND(INDEX(Règles_caprins[Specificite],MATCH(ChoixRationCaprins&amp;$BX161,Règles_caprins[Ration]&amp;Règles_caprins[Aliment],0))="s1",IF($BX161=Spécificité1Caprins,1)),
INDEX(Règles_caprins[Specificite],MATCH(ChoixRationCaprins&amp;$BX161,Règles_caprins[Ration]&amp;Règles_caprins[Aliment],0))="c"),
INDEX(Règles_caprins[Valeur 12 et plus],MATCH(ChoixRationCaprins&amp;$BX161,Règles_caprins[Ration]&amp;Règles_caprins[Aliment],0)),0),0)*TotalChèvres*NbreJoursNourrirCaprins)</f>
        <v>0</v>
      </c>
      <c r="BZ161" s="350">
        <f t="array" ref="BZ161">IF(ChoixRationComplèteCaprins=OUI,0,IFERROR(IF(OR(AND(INDEX(Règles_caprins[Specificite],MATCH(ChoixRationCaprins&amp;$BX161,Règles_caprins[Ration]&amp;Règles_caprins[Aliment],0))="s1",IF($BX161=Spécificité1Caprins,1)),
INDEX(Règles_caprins[Specificite],MATCH(ChoixRationCaprins&amp;$BX161,Règles_caprins[Ration]&amp;Règles_caprins[Aliment],0))="c"),
INDEX(Règles_caprins[Valeur 6-12],MATCH(ChoixRationCaprins&amp;$BX161,Règles_caprins[Ration]&amp;Règles_caprins[Aliment],0)),0),0)*jeune_chèvre_6_12_mois*NbreJoursNourrirCaprins)</f>
        <v>0</v>
      </c>
      <c r="CA161" s="350">
        <f t="array" ref="CA161">IF(ChoixRationComplèteCaprins=OUI,0,IFERROR(IF(OR(AND(INDEX(Règles_caprins[Specificite],MATCH(ChoixRationCaprins&amp;$BX161,Règles_caprins[Ration]&amp;Règles_caprins[Aliment],0))="s1",IF($BX161=Spécificité1Caprins,1)),
INDEX(Règles_caprins[Specificite],MATCH(ChoixRationCaprins&amp;$BX161,Règles_caprins[Ration]&amp;Règles_caprins[Aliment],0))="c"),
INDEX(Règles_caprins[Valeur 3-6],MATCH(ChoixRationCaprins&amp;$BX161,Règles_caprins[Ration]&amp;Règles_caprins[Aliment],0)),0),0)*chevrette_3_6_mois*NbreJoursNourrirCaprins)</f>
        <v>0</v>
      </c>
      <c r="CB161" s="350">
        <f t="array" ref="CB161">IF(ChoixRationComplèteCaprins=OUI,0,IFERROR(IF(OR(AND(INDEX(Règles_caprins[Specificite],MATCH(ChoixRationCaprins&amp;$BX161,Règles_caprins[Ration]&amp;Règles_caprins[Aliment],0))="s1",IF($BX161=Spécificité1Caprins,1)),
INDEX(Règles_caprins[Specificite],MATCH(ChoixRationCaprins&amp;$BX161,Règles_caprins[Ration]&amp;Règles_caprins[Aliment],0))="c"),
INDEX(Règles_caprins[Valeur 0-3],MATCH(ChoixRationCaprins&amp;$BX161,Règles_caprins[Ration]&amp;Règles_caprins[Aliment],0)),0),0)*chevrette_0_3_mois*NbreJoursNourrirCaprins)</f>
        <v>0</v>
      </c>
      <c r="CC161" s="350">
        <f t="shared" si="50"/>
        <v>0</v>
      </c>
      <c r="CH161" s="298"/>
      <c r="CI161" s="277"/>
      <c r="CJ161" s="350" t="str">
        <f t="shared" si="45"/>
        <v>Pois</v>
      </c>
      <c r="CK161" s="351">
        <f t="array" ref="CK161">SUM((IF(QualitéAlimentsPorceletMâle_0_1_mois=BONNE,VLOOKUP("Pois",AlimentsRationPorcinsMâles[],6,FALSE),0)+(IF(QualitéAlimentsPorceletFemelle_0_1_mois=BONNE,VLOOKUP("Pois",AlimentsRationPorcinsFemelles[],6,FALSE),0)+(IF(QualitéAlimentsPorceletMâle_1_3_mois=BONNE,VLOOKUP("Pois",AlimentsRationPorcinsMâles[],5,FALSE),0)+(IF(QualitéAlimentsPorceletFemelle_1_3_mois=BONNE,VLOOKUP("Pois",AlimentsRationPorcinsFemelles[],5,FALSE),0)+(IF(QualitéAlimentsJeuneVerrat_3_6_mois=BONNE,VLOOKUP("Pois",AlimentsRationPorcinsMâles[],4,FALSE),0)+(IF(QualitéAlimentsJeuneTruie_3_6_mois=BONNE,VLOOKUP("Pois",AlimentsRationPorcinsFemelles[],4,FALSE),0)+(IF(QualitéAlimentsJeuneVerrat_6_12_mois=BONNE,VLOOKUP("Pois",AlimentsRationPorcinsMâles[],3,FALSE),0)+(IF(QualitéAlimentsJeuneTruie_6_12_mois=BONNE,VLOOKUP("Pois",AlimentsRationPorcinsFemelles[],3,FALSE),0)+(IF(QualitéAlimentsVerrat=BONNE,VLOOKUP("Avoine",AlimentsRationPorcinsMâles[],2,FALSE),0)+(IF(QualitéAlimentsTruie=BONNE,VLOOKUP("Avoine",AlimentsRationPorcinsFemelles[],2,FALSE),0))))))))))))</f>
        <v>0</v>
      </c>
      <c r="CL161" s="351">
        <f t="array" ref="CL161">SUM((IF(QualitéAlimentsPorceletMâle_0_1_mois=MOYENNE,VLOOKUP("Pois",AlimentsRationPorcinsMâles[],6,FALSE),0)+(IF(QualitéAlimentsPorceletFemelle_0_1_mois=MOYENNE,VLOOKUP("Pois",AlimentsRationPorcinsFemelles[],6,FALSE),0)+(IF(QualitéAlimentsPorceletMâle_1_3_mois=MOYENNE,VLOOKUP("Pois",AlimentsRationPorcinsMâles[],5,FALSE),0)+(IF(QualitéAlimentsPorceletFemelle_1_3_mois=MOYENNE,VLOOKUP("Pois",AlimentsRationPorcinsFemelles[],5,FALSE),0)+(IF(QualitéAlimentsJeuneVerrat_3_6_mois=MOYENNE,VLOOKUP("Pois",AlimentsRationPorcinsMâles[],4,FALSE),0)+(IF(QualitéAlimentsJeuneTruie_3_6_mois=MOYENNE,VLOOKUP("Pois",AlimentsRationPorcinsFemelles[],4,FALSE),0)+(IF(QualitéAlimentsJeuneVerrat_6_12_mois=MOYENNE,VLOOKUP("Pois",AlimentsRationPorcinsMâles[],3,FALSE),0)+(IF(QualitéAlimentsJeuneTruie_6_12_mois=MOYENNE,VLOOKUP("Pois",AlimentsRationPorcinsFemelles[],3,FALSE),0)+(IF(QualitéAlimentsVerrat=BONNE,VLOOKUP("Avoine",AlimentsRationPorcinsMâles[],2,FALSE),0)+(IF(QualitéAlimentsTruie=BONNE,VLOOKUP("Avoine",AlimentsRationPorcinsFemelles[],2,FALSE),0))))))))))))</f>
        <v>0</v>
      </c>
      <c r="CM161" s="351">
        <f t="array" ref="CM161">SUM((IF(QualitéAlimentsPorceletMâle_0_1_mois=MAUVAISE,VLOOKUP("Pois",AlimentsRationPorcinsMâles[],6,FALSE),0)+(IF(QualitéAlimentsPorceletFemelle_0_1_mois=MAUVAISE,VLOOKUP("Pois",AlimentsRationPorcinsFemelles[],6,FALSE),0)+(IF(QualitéAlimentsPorceletMâle_1_3_mois=MAUVAISE,VLOOKUP("Pois",AlimentsRationPorcinsMâles[],5,FALSE),0)+(IF(QualitéAlimentsPorceletFemelle_1_3_mois=MAUVAISE,VLOOKUP("Pois",AlimentsRationPorcinsFemelles[],5,FALSE),0)+(IF(QualitéAlimentsJeuneVerrat_3_6_mois=MAUVAISE,VLOOKUP("Pois",AlimentsRationPorcinsMâles[],4,FALSE),0)+(IF(QualitéAlimentsJeuneTruie_3_6_mois=MAUVAISE,VLOOKUP("Pois",AlimentsRationPorcinsFemelles[],4,FALSE),0)+(IF(QualitéAlimentsJeuneVerrat_6_12_mois=MAUVAISE,VLOOKUP("Pois",AlimentsRationPorcinsMâles[],3,FALSE),0)+(IF(QualitéAlimentsJeuneTruie_6_12_mois=MAUVAISE,VLOOKUP("Pois",AlimentsRationPorcinsFemelles[],3,FALSE),0)+(IF(QualitéAlimentsVerrat=BONNE,VLOOKUP("Avoine",AlimentsRationPorcinsMâles[],2,FALSE),0)+(IF(QualitéAlimentsTruie=BONNE,VLOOKUP("Avoine",AlimentsRationPorcinsFemelles[],2,FALSE),0))))))))))))</f>
        <v>0</v>
      </c>
      <c r="CN161" s="279"/>
      <c r="CO161" s="279"/>
      <c r="CP161" s="298"/>
      <c r="CS161" s="350" t="str">
        <f t="shared" si="59"/>
        <v>Colza</v>
      </c>
      <c r="CT161" s="351">
        <f t="array" ref="CT161">SUM((IF(QualitéAlimentsLapereauMâle_0_1_mois=BONNE,VLOOKUP("Colza",AlimentsRationLapinsMâles[],4,FALSE),0)+(IF(QualitéAlimentsLapereauFemelle_0_1_mois=BONNE,VLOOKUP("Colza",AlimentsRationLapinsFemelles[],4,FALSE),0)+(IF(QualitéAlimentsJeuneLapin=BONNE,VLOOKUP("Colza",AlimentsRationLapinsMâles[],3,FALSE),0)+(IF(QualitéAlimentsJeuneLapine=BONNE,VLOOKUP("Colza",AlimentsRationLapinsFemelles[],3,FALSE),0)+(IF(QualitéAlimentsLapin=BONNE,VLOOKUP("Colza",AlimentsRationLapinsMâles[],2,FALSE),0)+(IF(QualitéAlimentsLapine=BONNE,VLOOKUP("Colza",AlimentsRationLapinsFemelles[],2,FALSE),0))))))))</f>
        <v>0</v>
      </c>
      <c r="CU161" s="351">
        <f t="array" ref="CU161">SUM((IF(QualitéAlimentsLapereauMâle_0_1_mois=MOYENNE,VLOOKUP("Colza",AlimentsRationLapinsMâles[],4,FALSE),0)+(IF(QualitéAlimentsLapereauFemelle_0_1_mois=MOYENNE,VLOOKUP("Colza",AlimentsRationLapinsFemelles[],4,FALSE),0)+(IF(QualitéAlimentsJeuneLapin=MOYENNE,VLOOKUP("Colza",AlimentsRationLapinsMâles[],3,FALSE),0)+(IF(QualitéAlimentsJeuneLapine=MOYENNE,VLOOKUP("Colza",AlimentsRationLapinsFemelles[],3,FALSE),0)+(IF(QualitéAlimentsLapin=MOYENNE,VLOOKUP("Colza",AlimentsRationLapinsMâles[],2,FALSE),0)+(IF(QualitéAlimentsLapine=MOYENNE,VLOOKUP("Colza",AlimentsRationLapinsFemelles[],2,FALSE),0))))))))</f>
        <v>0</v>
      </c>
      <c r="CV161" s="351">
        <f t="array" ref="CV161">SUM((IF(QualitéAlimentsLapereauMâle_0_1_mois=MAUVAISE,VLOOKUP("Colza",AlimentsRationLapinsMâles[],4,FALSE),0)+(IF(QualitéAlimentsLapereauFemelle_0_1_mois=MAUVAISE,VLOOKUP("Colza",AlimentsRationLapinsFemelles[],4,FALSE),0)+(IF(QualitéAlimentsJeuneLapin=MAUVAISE,VLOOKUP("Colza",AlimentsRationLapinsMâles[],3,FALSE),0)+(IF(QualitéAlimentsJeuneLapine=MAUVAISE,VLOOKUP("Colza",AlimentsRationLapinsFemelles[],3,FALSE),0)+(IF(QualitéAlimentsLapin=MAUVAISE,VLOOKUP("Colza",AlimentsRationLapinsMâles[],2,FALSE),0)+(IF(QualitéAlimentsLapine=MAUVAISE,VLOOKUP("Colza",AlimentsRationLapinsFemelles[],2,FALSE),0))))))))</f>
        <v>0</v>
      </c>
      <c r="CZ161" s="350" t="str">
        <f t="shared" si="58"/>
        <v>concentré jeunes bovins</v>
      </c>
      <c r="DA161" s="351">
        <f t="array" ref="DA161">SUM((IF(QualitéAlimentsPoussinMâle_0_1_mois=BONNE,VLOOKUP("Concentré jeunes bovins",AlimentsRationVolaillesMâles[],4,FALSE),0)+(IF(QualitéAlimentsPoussinFemelle_0_1_mois=BONNE,VLOOKUP("Concentré jeunes bovins",AlimentsRationVolaillesFemelles[],4,FALSE),0)+(IF(QualitéAlimentsJeuneCoq=BONNE,VLOOKUP("Concentré jeunes bovins",AlimentsRationVolaillesMâles[],3,FALSE),0)+(IF(QualitéAlimentsJeunePoule=BONNE,VLOOKUP("Concentré jeunes bovins",AlimentsRationVolaillesFemelles[],3,FALSE),0)+(IF(QualitéAlimentsCoq=BONNE,VLOOKUP("Concentré jeunes bovins",AlimentsRationVolaillesMâles[],2,FALSE),0)+(IF(QualitéAlimentsPoule=BONNE,VLOOKUP("Concentré jeunes bovins",AlimentsRationVolaillesFemelles[],2,FALSE),0))))))))</f>
        <v>0</v>
      </c>
      <c r="DB161" s="351">
        <f t="array" ref="DB161">SUM((IF(QualitéAlimentsPoussinMâle_0_1_mois=MOYENNE,VLOOKUP("Concentré jeunes bovins",AlimentsRationVolaillesMâles[],4,FALSE),0)+(IF(QualitéAlimentsPoussinFemelle_0_1_mois=MOYENNE,VLOOKUP("Concentré jeunes bovins",AlimentsRationVolaillesFemelles[],4,FALSE),0)+(IF(QualitéAlimentsJeuneCoq=MOYENNE,VLOOKUP("Concentré jeunes bovins",AlimentsRationVolaillesMâles[],3,FALSE),0)+(IF(QualitéAlimentsJeunePoule=MOYENNE,VLOOKUP("Concentré jeunes bovins",AlimentsRationVolaillesFemelles[],3,FALSE),0)+(IF(QualitéAlimentsCoq=MOYENNE,VLOOKUP("Concentré jeunes bovins",AlimentsRationVolaillesMâles[],2,FALSE),0)+(IF(QualitéAlimentsPoule=MOYENNE,VLOOKUP("Concentré jeunes bovins",AlimentsRationVolaillesFemelles[],2,FALSE),0))))))))</f>
        <v>0</v>
      </c>
      <c r="DC161" s="351">
        <f t="array" ref="DC161">SUM((IF(QualitéAlimentsPoussinMâle_0_1_mois=MAUVAISE,VLOOKUP("Concentré jeunes bovins",AlimentsRationVolaillesMâles[],4,FALSE),0)+(IF(QualitéAlimentsPoussinFemelle_0_1_mois=MAUVAISE,VLOOKUP("Concentré jeunes bovins",AlimentsRationVolaillesFemelles[],4,FALSE),0)+(IF(QualitéAlimentsJeuneCoq=MAUVAISE,VLOOKUP("Concentré jeunes bovins",AlimentsRationVolaillesMâles[],3,FALSE),0)+(IF(QualitéAlimentsJeunePoule=MAUVAISE,VLOOKUP("Concentré jeunes bovins",AlimentsRationVolaillesFemelles[],3,FALSE),0)+(IF(QualitéAlimentsCoq=MAUVAISE,VLOOKUP("Concentré jeunes bovins",AlimentsRationVolaillesMâles[],2,FALSE),0)+(IF(QualitéAlimentsPoule=MAUVAISE,VLOOKUP("Concentré jeunes bovins",AlimentsRationVolaillesFemelles[],2,FALSE),0))))))))</f>
        <v>0</v>
      </c>
      <c r="DD161" s="279"/>
      <c r="DG161" s="350" t="str">
        <f t="shared" si="52"/>
        <v>Maïs ensilé</v>
      </c>
      <c r="DH161" s="351">
        <f t="array" ref="DH161">SUM((IF(QualitéAlimentsPintadeauMâle_0_1_mois=BONNE,VLOOKUP("Maïs ensilé",AlimentsRationPintadesMâles[],4,FALSE),0)+(IF(QualitéAlimentsPintadeauFemelle_0_1_mois=BONNE,VLOOKUP("Maïs ensilé",AlimentsRationPintadesFemelles[],4,FALSE),0)+(IF(QualitéAlimentsJeunePintadeMâle=BONNE,VLOOKUP("Maïs ensilé",AlimentsRationPintadesMâles[],3,FALSE),0)+(IF(QualitéAlimentsJeunePintadeFemelle=BONNE,VLOOKUP("Maïs ensilé",AlimentsRationPintadesFemelles[],3,FALSE),0)+(IF(QualitéAlimentsPintadeMâle=BONNE,VLOOKUP("Maïs ensilé",AlimentsRationPintadesMâles[],2,FALSE),0)+(IF(QualitéAlimentsPintadeFemelle=BONNE,VLOOKUP("Maïs ensilé",AlimentsRationPintadesFemelles[],2,FALSE),0))))))))</f>
        <v>0</v>
      </c>
      <c r="DI161" s="351">
        <f t="array" ref="DI161">SUM((IF(QualitéAlimentsPintadeauMâle_0_1_mois=MOYENNE,VLOOKUP("Maïs ensilé",AlimentsRationPintadesMâles[],4,FALSE),0)+(IF(QualitéAlimentsPintadeauFemelle_0_1_mois=MOYENNE,VLOOKUP("Maïs ensilé",AlimentsRationPintadesFemelles[],4,FALSE),0)+(IF(QualitéAlimentsJeunePintadeMâle=MOYENNE,VLOOKUP("Maïs ensilé",AlimentsRationPintadesMâles[],3,FALSE),0)+(IF(QualitéAlimentsJeunePintadeFemelle=MOYENNE,VLOOKUP("Maïs ensilé",AlimentsRationPintadesFemelles[],3,FALSE),0)+(IF(QualitéAlimentsPintadeMâle=MOYENNE,VLOOKUP("Maïs ensilé",AlimentsRationPintadesMâles[],2,FALSE),0)+(IF(QualitéAlimentsPintadeFemelle=MOYENNE,VLOOKUP("Maïs ensilé",AlimentsRationPintadesFemelles[],2,FALSE),0))))))))</f>
        <v>0</v>
      </c>
      <c r="DJ161" s="351">
        <f t="array" ref="DJ161">SUM((IF(QualitéAlimentsPintadeauMâle_0_1_mois=MAUVAISE,VLOOKUP("Maïs ensilé",AlimentsRationPintadesMâles[],4,FALSE),0)+(IF(QualitéAlimentsPintadeauFemelle_0_1_mois=MAUVAISE,VLOOKUP("Maïs ensilé",AlimentsRationPintadesFemelles[],4,FALSE),0)+(IF(QualitéAlimentsJeunePintadeMâle=MAUVAISE,VLOOKUP("Maïs ensilé",AlimentsRationPintadesMâles[],3,FALSE),0)+(IF(QualitéAlimentsJeunePintadeFemelle=MAUVAISE,VLOOKUP("Maïs ensilé",AlimentsRationPintadesFemelles[],3,FALSE),0)+(IF(QualitéAlimentsPintadeMâle=MAUVAISE,VLOOKUP("Maïs ensilé",AlimentsRationPintadesMâles[],2,FALSE),0)+(IF(QualitéAlimentsPintadeFemelle=MAUVAISE,VLOOKUP("Maïs ensilé",AlimentsRationPintadesFemelles[],2,FALSE),0))))))))</f>
        <v>0</v>
      </c>
      <c r="DN161" s="350" t="s">
        <v>518</v>
      </c>
      <c r="DO161" s="351">
        <f t="array" ref="DO161">IF(ChoixRationComplèteOvins=OUI,0,IFERROR(IF(OR(AND(INDEX(Règles_ovins[Specificite],MATCH(ChoixRationOvins&amp;$DN161,Règles_ovins[Ration]&amp;Règles_ovins[Aliment],0))="s1",IF($DN161=Spécificité1Ovins,1)),
AND(INDEX(Règles_ovins[Specificite],MATCH(ChoixRationOvins&amp;$DN161,Règles_ovins[Ration]&amp;Règles_ovins[Aliment],0))="s2",IF($DN161=Spécificité2Ovins,1)),
INDEX(Règles_ovins[Specificite],MATCH(ChoixRationOvins&amp;$DN161,Règles_ovins[Ration]&amp;Règles_ovins[Aliment],0))="c"),
INDEX(Règles_ovins[Valeur 12 et plus],MATCH(ChoixRationOvins&amp;$DN161,Règles_ovins[Ration]&amp;Règles_ovins[Aliment],0)),0),0)*IF(ChoixOvinsPréHiver=OUI,SUM(TotalOvinsAdultesRacesLaitières)*NbreJoursNourrirOvins,TotalBéliers*NbreJoursNourrirOvins))</f>
        <v>0</v>
      </c>
      <c r="DP161" s="351">
        <f t="array" ref="DP161">IF(ChoixRationComplèteOvins=OUI,0,IFERROR(IF(OR(AND(INDEX(Règles_ovins[Specificite],MATCH(ChoixRationOvins&amp;$DN161,Règles_ovins[Ration]&amp;Règles_ovins[Aliment],0))="s1",IF($DN161=Spécificité1Ovins,1)),
AND(INDEX(Règles_ovins[Specificite],MATCH(ChoixRationOvins&amp;$DN161,Règles_ovins[Ration]&amp;Règles_ovins[Aliment],0))="s2",IF($DN161=Spécificité2Ovins,1)),
INDEX(Règles_ovins[Specificite],MATCH(ChoixRationOvins&amp;$DN161,Règles_ovins[Ration]&amp;Règles_ovins[Aliment],0))="c"),
INDEX(Règles_ovins[Valeur 6-12],MATCH(ChoixRationOvins&amp;$DN161,Règles_ovins[Ration]&amp;Règles_ovins[Aliment],0)),0),0)*IF(ChoixOvinsPréHiver=OUI,SUM(TotalJeunesOvinsRacesLaitières)*NbreJoursNourrirOvins,TotalJeune_bélier_6_12_mois*NbreJoursNourrirOvins))</f>
        <v>0</v>
      </c>
      <c r="DQ161" s="351">
        <f t="array" ref="DQ161">IF(ChoixRationComplèteOvins=OUI,0,IFERROR(IF(OR(AND(INDEX(Règles_ovins[Specificite],MATCH(ChoixRationOvins&amp;$DN161,Règles_ovins[Ration]&amp;Règles_ovins[Aliment],0))="s1",IF($DN161=Spécificité1Ovins,1)),
AND(INDEX(Règles_ovins[Specificite],MATCH(ChoixRationOvins&amp;$DN161,Règles_ovins[Ration]&amp;Règles_ovins[Aliment],0))="s2",IF($DN161=Spécificité2Ovins,1)),
INDEX(Règles_ovins[Specificite],MATCH(ChoixRationOvins&amp;$DN161,Règles_ovins[Ration]&amp;Règles_ovins[Aliment],0))="c"),
INDEX(Règles_ovins[Valeur 3-6],MATCH(ChoixRationOvins&amp;$DN161,Règles_ovins[Ration]&amp;Règles_ovins[Aliment],0)),0),0)*IF(ChoixOvinsPréHiver=OUI,SUM(TotalOvins_3_6moisRacesLaitières)*NbreJoursNourrirOvins,TotalAgneau_3_6_mois*NbreJoursNourrirOvins))</f>
        <v>0</v>
      </c>
      <c r="DR161" s="351">
        <f t="array" ref="DR161">IF(ChoixRationComplèteOvins=OUI,0,IFERROR(IF(OR(AND(INDEX(Règles_ovins[Specificite],MATCH(ChoixRationOvins&amp;$DN161,Règles_ovins[Ration]&amp;Règles_ovins[Aliment],0))="s1",IF($DN161=Spécificité1Ovins,1)),
AND(INDEX(Règles_ovins[Specificite],MATCH(ChoixRationOvins&amp;$DN161,Règles_ovins[Ration]&amp;Règles_ovins[Aliment],0))="s2",IF($DN161=Spécificité2Ovins,1)),
INDEX(Règles_ovins[Specificite],MATCH(ChoixRationOvins&amp;$DN161,Règles_ovins[Ration]&amp;Règles_ovins[Aliment],0))="c"),
INDEX(Règles_ovins[Valeur 0-3],MATCH(ChoixRationOvins&amp;$DN161,Règles_ovins[Ration]&amp;Règles_ovins[Aliment],0)),0),0)*IF(ChoixOvinsPréHiver=OUI,SUM(TotalOvins_3_6moisRacesLaitières)*NbreJoursNourrirOvins,TotalAgneau_0_3_mois*NbreJoursNourrirOvins))</f>
        <v>0</v>
      </c>
      <c r="DS161" s="441">
        <f t="shared" si="55"/>
        <v>0</v>
      </c>
      <c r="EG161" s="350" t="str">
        <f t="shared" si="57"/>
        <v>Eau</v>
      </c>
      <c r="EH161" s="351">
        <f t="array" ref="EH161">SUM((IF(QualitéAlimentsOisonMâle_0_3_mois=BONNE,VLOOKUP("Eau",AlimentsRationOiesMâles[],4,FALSE),0)+(IF(QualitéAlimentsOisonFemelle_0_3_mois=BONNE,VLOOKUP("Eau",AlimentsRationOiesFemelles[],4,FALSE),0)+(IF(QualitéAlimentsJeuneJars=BONNE,VLOOKUP("Eau",AlimentsRationOiesMâles[],3,FALSE),0)+(IF(QualitéAlimentsJeuneOie=BONNE,VLOOKUP("Eau",AlimentsRationOiesFemelles[],3,FALSE),0)+(IF(QualitéAlimentsJars=BONNE,VLOOKUP("Eau",AlimentsRationOiesMâles[],2,FALSE),0)+(IF(QualitéAlimentsOie=BONNE,VLOOKUP("Eau",AlimentsRationOiesFemelles[],2,FALSE),0))))))))</f>
        <v>0</v>
      </c>
      <c r="EI161" s="351">
        <f t="array" ref="EI161">SUM((IF(QualitéAlimentsOisonMâle_0_3_mois=MOYENNE,VLOOKUP("Eau",AlimentsRationOiesMâles[],4,FALSE),0)+(IF(QualitéAlimentsOisonFemelle_0_3_mois=MOYENNE,VLOOKUP("Eau",AlimentsRationOiesFemelles[],4,FALSE),0)+(IF(QualitéAlimentsJeuneJars=MOYENNE,VLOOKUP("Eau",AlimentsRationOiesMâles[],3,FALSE),0)+(IF(QualitéAlimentsJeuneOie=MOYENNE,VLOOKUP("Eau",AlimentsRationOiesFemelles[],3,FALSE),0)+(IF(QualitéAlimentsJars=MOYENNE,VLOOKUP("Eau",AlimentsRationOiesMâles[],2,FALSE),0)+(IF(QualitéAlimentsOie=MOYENNE,VLOOKUP("Eau",AlimentsRationOiesFemelles[],2,FALSE),0))))))))</f>
        <v>0</v>
      </c>
      <c r="EJ161" s="351">
        <f t="array" ref="EJ161">SUM((IF(QualitéAlimentsOisonMâle_0_3_mois=MAUVAISE,VLOOKUP("Eau",AlimentsRationOiesMâles[],4,FALSE),0)+(IF(QualitéAlimentsOisonFemelle_0_3_mois=MAUVAISE,VLOOKUP("Eau",AlimentsRationOiesFemelles[],4,FALSE),0)+(IF(QualitéAlimentsJeuneJars=MAUVAISE,VLOOKUP("Eau",AlimentsRationOiesMâles[],3,FALSE),0)+(IF(QualitéAlimentsJeuneOie=MAUVAISE,VLOOKUP("Eau",AlimentsRationOiesFemelles[],3,FALSE),0)+(IF(QualitéAlimentsJars=MAUVAISE,VLOOKUP("Eau",AlimentsRationOiesMâles[],2,FALSE),0)+(IF(QualitéAlimentsOie=MAUVAISE,VLOOKUP("Eau",AlimentsRationOiesFemelles[],2,FALSE),0))))))))</f>
        <v>0</v>
      </c>
      <c r="EN161" s="457" t="str">
        <f t="shared" si="56"/>
        <v>Epinard</v>
      </c>
      <c r="EO161" s="458">
        <f t="array" ref="EO161">SUM((IF(QualitéAlimentsCanetonMâle=BONNE,VLOOKUP("Epinard",AlimentsRationCanardsMâles,4,FALSE),0)+(IF(QualitéAlimentsCanetonFemelle=BONNE,VLOOKUP("Epinard",AlimentsRationCanardsFemelles,4,FALSE),0)+(IF(QualitéAlimentsJeuneCanard=BONNE,VLOOKUP("Epinard",AlimentsRationCanardsMâles,3,FALSE),0)+(IF(QualitéAlimentsJeuneCane=BONNE,VLOOKUP("Epinard",AlimentsRationCanardsFemelles,3,FALSE),0)+(IF(QualitéAlimentsCanard=BONNE,VLOOKUP("Epinard",AlimentsRationCanardsMâles,2,FALSE),0)+(IF(QualitéAlimentsCane=BONNE,VLOOKUP("Epinard",AlimentsRationCanardsFemelles,2,FALSE),0))))))))</f>
        <v>0</v>
      </c>
      <c r="EP161" s="458">
        <f t="array" ref="EP161">SUM((IF(QualitéAlimentsCanetonMâle=MOYENNE,VLOOKUP("Epinard",AlimentsRationCanardsMâles,4,FALSE),0)+(IF(QualitéAlimentsCanetonFemelle=MOYENNE,VLOOKUP("Epinard",AlimentsRationCanardsFemelles,4,FALSE),0)+(IF(QualitéAlimentsJeuneCanard=MOYENNE,VLOOKUP("Epinard",AlimentsRationCanardsMâles,3,FALSE),0)+(IF(QualitéAlimentsJeuneCane=MOYENNE,VLOOKUP("Epinard",AlimentsRationCanardsFemelles,3,FALSE),0)+(IF(QualitéAlimentsCanard=MOYENNE,VLOOKUP("Epinard",AlimentsRationCanardsMâles,2,FALSE),0)+(IF(QualitéAlimentsCane=MOYENNE,VLOOKUP("Epinard",AlimentsRationCanardsFemelles,2,FALSE),0))))))))</f>
        <v>0</v>
      </c>
      <c r="EQ161" s="458">
        <f t="array" ref="EQ161">SUM((IF(QualitéAlimentsCanetonMâle=MAUVAISE,VLOOKUP("Epinard",AlimentsRationCanardsMâles,4,FALSE),0)+(IF(QualitéAlimentsCanetonFemelle=MAUVAISE,VLOOKUP("Epinard",AlimentsRationCanardsFemelles,4,FALSE),0)+(IF(QualitéAlimentsJeuneCanard=MAUVAISE,VLOOKUP("Epinard",AlimentsRationCanardsMâles,3,FALSE),0)+(IF(QualitéAlimentsJeuneCane=MAUVAISE,VLOOKUP("Epinard",AlimentsRationCanardsFemelles,3,FALSE),0)+(IF(QualitéAlimentsCanard=MAUVAISE,VLOOKUP("Epinard",AlimentsRationCanardsMâles,2,FALSE),0)+(IF(QualitéAlimentsCane=MAUVAISE,VLOOKUP("Epinard",AlimentsRationCanardsFemelles,2,FALSE),0))))))))</f>
        <v>0</v>
      </c>
      <c r="EU161" s="457" t="str">
        <f t="shared" si="54"/>
        <v>Féverole</v>
      </c>
      <c r="EV161" s="458">
        <f t="array" ref="EV161">IF(OR(ChoixRationHivernaleComplèteChevauxSelle=OUI,ChoixRationHivernaleComplèteChevauxSelle="",ChoixChevauxSellePréHiver=NON),0,IFERROR(IF(OR(AND(INDEX(Règles_chevaux_selle[Specificite],MATCH(RationHivernaleAuPréChevauxSelle&amp;$EU161,Règles_chevaux_selle[Ration]&amp;Règles_chevaux_selle[Aliment],0))="s1",IF($EU161=Spécificité1ChevauxSelle,1)),
AND(INDEX(Règles_chevaux_selle[Specificite],MATCH(RationHivernaleAuPréChevauxSelle&amp;$EU161,Règles_chevaux_selle[Ration]&amp;Règles_chevaux_selle[Aliment],0))="s2",IF($EU161=Spécificité2ChevauxSelle,1)),
INDEX(Règles_chevaux_selle[Specificite],MATCH(RationHivernaleAuPréChevauxSelle&amp;$EU161,Règles_chevaux_selle[Ration]&amp;Règles_chevaux_selle[Aliment],0))="c"),
INDEX(Règles_chevaux_selle[Valeur 36 et plus],MATCH(RationHivernaleAuPréChevauxSelle&amp;$EU161,Règles_chevaux_selle[Ration]&amp;Règles_chevaux_selle[Aliment],0)),0),0)*SUM(TotalChevauxSelleAdultes)*21)</f>
        <v>0</v>
      </c>
      <c r="EW161" s="458">
        <f t="array" ref="EW161">IF(OR(ChoixRationHivernaleComplèteChevauxSelle=OUI,ChoixRationHivernaleComplèteChevauxSelle="",ChoixChevauxSellePréHiver=NON),0,IFERROR(IF(OR(AND(INDEX(Règles_chevaux_selle[Specificite],MATCH(RationHivernaleAuPréChevauxSelle&amp;$EU161,Règles_chevaux_selle[Ration]&amp;Règles_chevaux_selle[Aliment],0))="s1",IF($EU161=Spécificité1ChevauxSelle,1)),
AND(INDEX(Règles_chevaux_selle[Specificite],MATCH(RationHivernaleAuPréChevauxSelle&amp;$EU161,Règles_chevaux_selle[Ration]&amp;Règles_chevaux_selle[Aliment],0))="s2",IF($EU161=Spécificité2ChevauxSelle,1)),
INDEX(Règles_chevaux_selle[Specificite],MATCH(RationHivernaleAuPréChevauxSelle&amp;$EU161,Règles_chevaux_selle[Ration]&amp;Règles_chevaux_selle[Aliment],0))="c"),
INDEX(Règles_chevaux_selle[Valeur 24-36],MATCH(RationHivernaleAuPréChevauxSelle&amp;$EU161,Règles_chevaux_selle[Ration]&amp;Règles_chevaux_selle[Aliment],0)),0),0)*SUM(TotalChevauxSelle_24_36mois)*21)</f>
        <v>0</v>
      </c>
      <c r="EX161" s="458">
        <f t="array" ref="EX161">IF(OR(ChoixRationHivernaleComplèteChevauxSelle=OUI,ChoixRationHivernaleComplèteChevauxSelle="",ChoixChevauxSellePréHiver=NON),0,IFERROR(IF(OR(AND(INDEX(Règles_chevaux_selle[Specificite],MATCH(RationHivernaleAuPréChevauxSelle&amp;$EU161,Règles_chevaux_selle[Ration]&amp;Règles_chevaux_selle[Aliment],0))="s1",IF($EU161=Spécificité1ChevauxSelle,1)),
AND(INDEX(Règles_chevaux_selle[Specificite],MATCH(RationHivernaleAuPréChevauxSelle&amp;$EU161,Règles_chevaux_selle[Ration]&amp;Règles_chevaux_selle[Aliment],0))="s2",IF($EU161=Spécificité2ChevauxSelle,1)),
INDEX(Règles_chevaux_selle[Specificite],MATCH(RationHivernaleAuPréChevauxSelle&amp;$EU161,Règles_chevaux_selle[Ration]&amp;Règles_chevaux_selle[Aliment],0))="c"),
INDEX(Règles_chevaux_selle[Valeur 12-24],MATCH(RationHivernaleAuPréChevauxSelle&amp;$EU161,Règles_chevaux_selle[Ration]&amp;Règles_chevaux_selle[Aliment],0)),0),0)*SUM(TotalChevauxSelle_12_24mois)*21)</f>
        <v>0</v>
      </c>
      <c r="EY161" s="460">
        <f t="array" ref="EY161">IF(OR(ChoixRationHivernaleComplèteChevauxSelle=OUI,ChoixRationHivernaleComplèteChevauxSelle="",ChoixChevauxSellePréHiver=NON),0,IFERROR(IF(OR(AND(INDEX(Règles_chevaux_selle[Specificite],MATCH(RationHivernaleAuPréChevauxSelle&amp;$EU161,Règles_chevaux_selle[Ration]&amp;Règles_chevaux_selle[Aliment],0))="s1",IF($EU161=Spécificité1ChevauxSelle,1)),
AND(INDEX(Règles_chevaux_selle[Specificite],MATCH(RationHivernaleAuPréChevauxSelle&amp;$EU161,Règles_chevaux_selle[Ration]&amp;Règles_chevaux_selle[Aliment],0))="s2",IF($EU161=Spécificité2ChevauxSelle,1)),
INDEX(Règles_chevaux_selle[Specificite],MATCH(RationHivernaleAuPréChevauxSelle&amp;$EU161,Règles_chevaux_selle[Ration]&amp;Règles_chevaux_selle[Aliment],0))="c"),
INDEX(Règles_chevaux_selle[Valeur 0-12],MATCH(RationHivernaleAuPréChevauxSelle&amp;$EU161,Règles_chevaux_selle[Ration]&amp;Règles_chevaux_selle[Aliment],0)),0),0)*SUM(TotalPoulainsSelle)*21)</f>
        <v>0</v>
      </c>
      <c r="EZ161" s="460">
        <f t="shared" si="53"/>
        <v>0</v>
      </c>
      <c r="FD161" s="457" t="str">
        <f t="shared" si="49"/>
        <v>Minéraux + vitamines</v>
      </c>
      <c r="FE161" s="458">
        <f t="array" ref="FE161">IF(OR(ChoixRationHivernaleComplèteChevauxTrait=OUI,ChoixRationHivernaleComplèteChevauxTrait="",ChoixChevauxTraitPréHiver=NON),0,IFERROR(IF(OR(AND(INDEX(Règles_chevaux_trait[Specificite],MATCH(RationHivernaleAuPréChevauxTrait&amp;$FD161,Règles_chevaux_trait[Ration]&amp;Règles_chevaux_trait[Aliment],0))="s1",IF($FD161=Spécificité1ChevauxTrait,1)),
AND(INDEX(Règles_chevaux_trait[Specificite],MATCH(RationHivernaleAuPréChevauxTrait&amp;$FD161,Règles_chevaux_trait[Ration]&amp;Règles_chevaux_trait[Aliment],0))="s2",IF($FD161=Spécificité2ChevauxTrait,1)),
INDEX(Règles_chevaux_trait[Specificite],MATCH(RationHivernaleAuPréChevauxTrait&amp;$FD161,Règles_chevaux_trait[Ration]&amp;Règles_chevaux_trait[Aliment],0))="c"),
INDEX(Règles_chevaux_trait[Valeur 36 et plus],MATCH(RationHivernaleAuPréChevauxTrait&amp;$FD161,Règles_chevaux_trait[Ration]&amp;Règles_chevaux_trait[Aliment],0)),0),0)*SUM(TotalChevauxTraitAdultes)*21)</f>
        <v>0</v>
      </c>
      <c r="FF161" s="458">
        <f t="array" ref="FF161">IF(OR(ChoixRationHivernaleComplèteChevauxTrait=OUI,ChoixRationHivernaleComplèteChevauxTrait="",ChoixChevauxTraitPréHiver=NON),0,IFERROR(IF(OR(AND(INDEX(Règles_chevaux_trait[Specificite],MATCH(RationHivernaleAuPréChevauxTrait&amp;$FD161,Règles_chevaux_trait[Ration]&amp;Règles_chevaux_trait[Aliment],0))="s1",IF($FD161=Spécificité1ChevauxTrait,1)),
AND(INDEX(Règles_chevaux_trait[Specificite],MATCH(RationHivernaleAuPréChevauxTrait&amp;$FD161,Règles_chevaux_trait[Ration]&amp;Règles_chevaux_trait[Aliment],0))="s2",IF($FD161=Spécificité2ChevauxTrait,1)),
INDEX(Règles_chevaux_trait[Specificite],MATCH(RationHivernaleAuPréChevauxTrait&amp;$FD161,Règles_chevaux_trait[Ration]&amp;Règles_chevaux_trait[Aliment],0))="c"),
INDEX(Règles_chevaux_trait[Valeur 24-36],MATCH(RationHivernaleAuPréChevauxTrait&amp;$FD161,Règles_chevaux_trait[Ration]&amp;Règles_chevaux_trait[Aliment],0)),0),0)*SUM(TotalChevauxTrait_24_36mois)*21)</f>
        <v>0</v>
      </c>
      <c r="FG161" s="458">
        <f t="array" ref="FG161">IF(OR(ChoixRationHivernaleComplèteChevauxTrait=OUI,ChoixRationHivernaleComplèteChevauxTrait="",ChoixChevauxTraitPréHiver=NON),0,IFERROR(IF(OR(AND(INDEX(Règles_chevaux_trait[Specificite],MATCH(RationHivernaleAuPréChevauxTrait&amp;$FD161,Règles_chevaux_trait[Ration]&amp;Règles_chevaux_trait[Aliment],0))="s1",IF($FD161=Spécificité1ChevauxTrait,1)),
AND(INDEX(Règles_chevaux_trait[Specificite],MATCH(RationHivernaleAuPréChevauxTrait&amp;$FD161,Règles_chevaux_trait[Ration]&amp;Règles_chevaux_trait[Aliment],0))="s2",IF($FD161=Spécificité2ChevauxTrait,1)),
INDEX(Règles_chevaux_trait[Specificite],MATCH(RationHivernaleAuPréChevauxTrait&amp;$FD161,Règles_chevaux_trait[Ration]&amp;Règles_chevaux_trait[Aliment],0))="c"),
INDEX(Règles_chevaux_trait[Valeur 12-24],MATCH(RationHivernaleAuPréChevauxTrait&amp;$FD161,Règles_chevaux_trait[Ration]&amp;Règles_chevaux_trait[Aliment],0)),0),0)*SUM(TotalChevauxTrait_12_24mois)*21)</f>
        <v>0</v>
      </c>
      <c r="FH161" s="460">
        <f t="array" ref="FH161">IF(OR(ChoixRationHivernaleComplèteChevauxTrait=OUI,ChoixRationHivernaleComplèteChevauxTrait="",ChoixChevauxTraitPréHiver=NON),0,IFERROR(IF(OR(AND(INDEX(Règles_chevaux_trait[Specificite],MATCH(RationHivernaleAuPréChevauxTrait&amp;$FD161,Règles_chevaux_trait[Ration]&amp;Règles_chevaux_trait[Aliment],0))="s1",IF($FD161=Spécificité1ChevauxTrait,1)),
AND(INDEX(Règles_chevaux_trait[Specificite],MATCH(RationHivernaleAuPréChevauxTrait&amp;$FD161,Règles_chevaux_trait[Ration]&amp;Règles_chevaux_trait[Aliment],0))="s2",IF($FD161=Spécificité2ChevauxTrait,1)),
INDEX(Règles_chevaux_trait[Specificite],MATCH(RationHivernaleAuPréChevauxTrait&amp;$FD161,Règles_chevaux_trait[Ration]&amp;Règles_chevaux_trait[Aliment],0))="c"),
INDEX(Règles_chevaux_trait[Valeur 0-12],MATCH(RationHivernaleAuPréChevauxTrait&amp;$FD161,Règles_chevaux_trait[Ration]&amp;Règles_chevaux_trait[Aliment],0)),0),0)*SUM(TotalPoulainsTrait)*21)</f>
        <v>0</v>
      </c>
      <c r="FI161" s="460">
        <f t="shared" si="47"/>
        <v>0</v>
      </c>
      <c r="FN161" s="457" t="str">
        <f t="shared" si="48"/>
        <v>Orge</v>
      </c>
      <c r="FO161" s="458">
        <f t="array" ref="FO161">IF(OR(ChoixRationHivernaleComplètePoneys=OUI,ChoixRationHivernaleComplètePoneys="",ChoixPoneysPréHiver=NON),0,IFERROR(IF(OR(AND(INDEX(Règles_poneys[Specificite],MATCH(RationHivernaleAuPréPoneys&amp;$FN161,Règles_poneys[Ration]&amp;Règles_poneys[Aliment],0))="s1",IF($FN161=Spécificité1Poneys,1)),
AND(INDEX(Règles_poneys[Specificite],MATCH(RationHivernaleAuPréPoneys&amp;$FN161,Règles_poneys[Ration]&amp;Règles_poneys[Aliment],0))="s2",IF($FN161=Spécificité2Poneys,1)),
INDEX(Règles_poneys[Specificite],MATCH(RationHivernaleAuPréPoneys&amp;$FN161,Règles_poneys[Ration]&amp;Règles_poneys[Aliment],0))="c"),
INDEX(Règles_poneys[Valeur 36 et plus],MATCH(RationHivernaleAuPréPoneys&amp;$FN161,Règles_poneys[Ration]&amp;Règles_poneys[Aliment],0)),0),0)*SUM(TotalPoneysAdultes)*21)</f>
        <v>0</v>
      </c>
      <c r="FP161" s="458">
        <f t="array" ref="FP161">IF(OR(ChoixRationHivernaleComplètePoneys=OUI,ChoixRationHivernaleComplètePoneys="",ChoixPoneysPréHiver=NON),0,IFERROR(IF(OR(AND(INDEX(Règles_poneys[Specificite],MATCH(RationHivernaleAuPréPoneys&amp;$FN161,Règles_poneys[Ration]&amp;Règles_poneys[Aliment],0))="s1",IF($FN161=Spécificité1Poneys,1)),
AND(INDEX(Règles_poneys[Specificite],MATCH(RationHivernaleAuPréPoneys&amp;$FN161,Règles_poneys[Ration]&amp;Règles_poneys[Aliment],0))="s2",IF($FN161=Spécificité2Poneys,1)),
INDEX(Règles_poneys[Specificite],MATCH(RationHivernaleAuPréPoneys&amp;$FN161,Règles_poneys[Ration]&amp;Règles_poneys[Aliment],0))="c"),
INDEX(Règles_poneys[Valeur 24-36],MATCH(RationHivernaleAuPréPoneys&amp;$FN161,Règles_poneys[Ration]&amp;Règles_poneys[Aliment],0)),0),0)*SUM(TotalPoneys_24_36mois)*21)</f>
        <v>0</v>
      </c>
      <c r="FQ161" s="458">
        <f t="array" ref="FQ161">IF(OR(ChoixRationHivernaleComplètePoneys=OUI,ChoixRationHivernaleComplètePoneys="",ChoixPoneysPréHiver=NON),0,IFERROR(IF(OR(AND(INDEX(Règles_poneys[Specificite],MATCH(RationHivernaleAuPréPoneys&amp;$FN161,Règles_poneys[Ration]&amp;Règles_poneys[Aliment],0))="s1",IF($FN161=Spécificité1Poneys,1)),
AND(INDEX(Règles_poneys[Specificite],MATCH(RationHivernaleAuPréPoneys&amp;$FN161,Règles_poneys[Ration]&amp;Règles_poneys[Aliment],0))="s2",IF($FN161=Spécificité2Poneys,1)),
INDEX(Règles_poneys[Specificite],MATCH(RationHivernaleAuPréPoneys&amp;$FN161,Règles_poneys[Ration]&amp;Règles_poneys[Aliment],0))="c"),
INDEX(Règles_poneys[Valeur 12-24],MATCH(RationHivernaleAuPréPoneys&amp;$FN161,Règles_poneys[Ration]&amp;Règles_poneys[Aliment],0)),0),0)*SUM(TotalPoneys_12_24mois)*21)</f>
        <v>0</v>
      </c>
      <c r="FR161" s="460">
        <f t="array" ref="FR161">IF(OR(ChoixRationHivernaleComplètePoneys=OUI,ChoixRationHivernaleComplètePoneys="",ChoixPoneysPréHiver=NON),0,IFERROR(IF(OR(AND(INDEX(Règles_poneys[Specificite],MATCH(RationHivernaleAuPréPoneys&amp;$FN161,Règles_poneys[Ration]&amp;Règles_poneys[Aliment],0))="s1",IF($FN161=Spécificité1Poneys,1)),
AND(INDEX(Règles_poneys[Specificite],MATCH(RationHivernaleAuPréPoneys&amp;$FN161,Règles_poneys[Ration]&amp;Règles_poneys[Aliment],0))="s2",IF($FN161=Spécificité2Poneys,1)),
INDEX(Règles_poneys[Specificite],MATCH(RationHivernaleAuPréPoneys&amp;$FN161,Règles_poneys[Ration]&amp;Règles_poneys[Aliment],0))="c"),
INDEX(Règles_poneys[Valeur 0-12],MATCH(RationHivernaleAuPréPoneys&amp;$FN161,Règles_poneys[Ration]&amp;Règles_poneys[Aliment],0)),0),0)*SUM(TotalPoulainsPoneys)*21)</f>
        <v>0</v>
      </c>
      <c r="FS161" s="460">
        <f t="shared" si="46"/>
        <v>0</v>
      </c>
      <c r="FW161" s="457" t="str">
        <f t="shared" si="44"/>
        <v>Ration complète</v>
      </c>
      <c r="FX161" s="458">
        <f t="array" ref="FX161">SUM((IF(QualitéAlimentsGavageOison_0_1_mois=BONNE,VLOOKUP("Ration complète",AlimentsGavageOie,5,FALSE),0)+(IF(QualitéAlimentsGavageCaneton_0_1_mois=BONNE,VLOOKUP("Ration complète",AlimentsGavageCanard,5,FALSE),0)+(IF(QualitéAlimentsGavageOison_1_2_mois=BONNE,VLOOKUP("Ration complète",AlimentsGavageOie,4,FALSE),0)+(IF(QualitéAlimentsGavageCaneton_1_2_mois=BONNE,VLOOKUP("Ration complète",AlimentsGavageCanard,4,FALSE),0)+(IF(QualitéAlimentsGavageOison_2_3_mois=BONNE,VLOOKUP("Ration complète",AlimentsGavageOie,3,FALSE),0)+(IF(QualitéAlimentsGavageCaneton_2_3_mois=BONNE,VLOOKUP("Ration complète",AlimentsGavageCanard,3,FALSE),0)+(IF(QualitéAlimentsGavageJeunesOies=BONNE,VLOOKUP("Ration complète",AlimentsGavageOie,2,FALSE),0)+(IF(QualitéAlimentsGavageJeuneCanard=BONNE,VLOOKUP("Ration complète",AlimentsGavageCanard,2,FALSE),0))))))))))</f>
        <v>0</v>
      </c>
      <c r="FY161" s="458">
        <f t="array" ref="FY161">SUM((IF(QualitéAlimentsGavageOison_0_1_mois=MOYENNE,VLOOKUP("Ration complète",AlimentsGavageOie,5,FALSE),0)+(IF(QualitéAlimentsGavageCaneton_0_1_mois=MOYENNE,VLOOKUP("Ration complète",AlimentsGavageCanard,5,FALSE),0)+(IF(QualitéAlimentsGavageOison_1_2_mois=MOYENNE,VLOOKUP("Ration complète",AlimentsGavageOie,4,FALSE),0)+(IF(QualitéAlimentsGavageCaneton_1_2_mois=MOYENNE,VLOOKUP("Ration complète",AlimentsGavageCanard,4,FALSE),0)+(IF(QualitéAlimentsGavageOison_2_3_mois=MOYENNE,VLOOKUP("Ration complète",AlimentsGavageOie,3,FALSE),0)+(IF(QualitéAlimentsGavageCaneton_2_3_mois=MOYENNE,VLOOKUP("Ration complète",AlimentsGavageCanard,3,FALSE),0)+(IF(QualitéAlimentsGavageJeunesOies=MOYENNE,VLOOKUP("Ration complète",AlimentsGavageOie,2,FALSE),0)+(IF(QualitéAlimentsGavageJeuneCanard=MOYENNE,VLOOKUP("Ration complète",AlimentsGavageCanard,2,FALSE),0))))))))))</f>
        <v>0</v>
      </c>
      <c r="FZ161" s="458">
        <f t="array" ref="FZ161">SUM((IF(QualitéAlimentsGavageOison_0_1_mois=MAUVAISE,VLOOKUP("Ration complète",AlimentsGavageOie,5,FALSE),0)+(IF(QualitéAlimentsGavageCaneton_0_1_mois=MAUVAISE,VLOOKUP("Ration complète",AlimentsGavageCanard,5,FALSE),0)+(IF(QualitéAlimentsGavageOison_1_2_mois=MAUVAISE,VLOOKUP("Ration complète",AlimentsGavageOie,4,FALSE),0)+(IF(QualitéAlimentsGavageCaneton_1_2_mois=MAUVAISE,VLOOKUP("Ration complète",AlimentsGavageCanard,4,FALSE),0)+(IF(QualitéAlimentsGavageOison_2_3_mois=MAUVAISE,VLOOKUP("Ration complète",AlimentsGavageOie,3,FALSE),0)+(IF(QualitéAlimentsGavageCaneton_2_3_mois=MAUVAISE,VLOOKUP("Ration complète",AlimentsGavageCanard,3,FALSE),0)+(IF(QualitéAlimentsGavageJeunesOies=MAUVAISE,VLOOKUP("Ration complète",AlimentsGavageOie,2,FALSE),0)+(IF(QualitéAlimentsGavageJeuneCanard=MAUVAISE,VLOOKUP("Ration complète",AlimentsGavageCanard,2,FALSE),0))))))))))</f>
        <v>0</v>
      </c>
      <c r="GB161" s="281"/>
      <c r="GG161" s="276" t="s">
        <v>955</v>
      </c>
      <c r="GH161" s="276" t="s">
        <v>955</v>
      </c>
      <c r="GI161" s="276" t="s">
        <v>955</v>
      </c>
      <c r="GJ161" s="276" t="s">
        <v>955</v>
      </c>
      <c r="GK161" s="276" t="s">
        <v>955</v>
      </c>
      <c r="GL161" s="276" t="s">
        <v>955</v>
      </c>
      <c r="GM161" s="276" t="s">
        <v>955</v>
      </c>
      <c r="GN161" s="276" t="s">
        <v>955</v>
      </c>
      <c r="GO161" s="276" t="s">
        <v>955</v>
      </c>
      <c r="GP161" s="276" t="s">
        <v>955</v>
      </c>
      <c r="GQ161" s="276" t="s">
        <v>955</v>
      </c>
      <c r="GR161" s="276" t="s">
        <v>955</v>
      </c>
      <c r="GS161" s="276" t="s">
        <v>955</v>
      </c>
      <c r="GT161" s="276" t="s">
        <v>955</v>
      </c>
      <c r="GU161" s="276" t="s">
        <v>955</v>
      </c>
      <c r="GV161" s="276" t="s">
        <v>955</v>
      </c>
    </row>
    <row r="162" spans="1:204" ht="12.75" customHeight="1" x14ac:dyDescent="0.2">
      <c r="A162" s="373"/>
      <c r="B162" s="382"/>
      <c r="BB162" s="387" t="s">
        <v>949</v>
      </c>
      <c r="BC162" s="362" t="s">
        <v>488</v>
      </c>
      <c r="BD162" s="362" t="s">
        <v>886</v>
      </c>
      <c r="BE162" s="388">
        <v>30</v>
      </c>
      <c r="BF162" s="388">
        <v>27</v>
      </c>
      <c r="BG162" s="388">
        <v>24</v>
      </c>
      <c r="BH162" s="388">
        <v>21</v>
      </c>
      <c r="BI162" s="388">
        <v>18</v>
      </c>
      <c r="BJ162" s="388">
        <v>15</v>
      </c>
      <c r="BK162" s="389">
        <v>0</v>
      </c>
      <c r="BL162" s="312"/>
      <c r="BX162" s="350" t="str">
        <f t="shared" si="51"/>
        <v>Maïs grain</v>
      </c>
      <c r="BY162" s="350">
        <f t="array" ref="BY162">IF(ChoixRationComplèteCaprins=OUI,0,IFERROR(IF(OR(AND(INDEX(Règles_caprins[Specificite],MATCH(ChoixRationCaprins&amp;$BX162,Règles_caprins[Ration]&amp;Règles_caprins[Aliment],0))="s1",IF($BX162=Spécificité1Caprins,1)),
INDEX(Règles_caprins[Specificite],MATCH(ChoixRationCaprins&amp;$BX162,Règles_caprins[Ration]&amp;Règles_caprins[Aliment],0))="c"),
INDEX(Règles_caprins[Valeur 12 et plus],MATCH(ChoixRationCaprins&amp;$BX162,Règles_caprins[Ration]&amp;Règles_caprins[Aliment],0)),0),0)*TotalChèvres*NbreJoursNourrirCaprins)</f>
        <v>0</v>
      </c>
      <c r="BZ162" s="350">
        <f t="array" ref="BZ162">IF(ChoixRationComplèteCaprins=OUI,0,IFERROR(IF(OR(AND(INDEX(Règles_caprins[Specificite],MATCH(ChoixRationCaprins&amp;$BX162,Règles_caprins[Ration]&amp;Règles_caprins[Aliment],0))="s1",IF($BX162=Spécificité1Caprins,1)),
INDEX(Règles_caprins[Specificite],MATCH(ChoixRationCaprins&amp;$BX162,Règles_caprins[Ration]&amp;Règles_caprins[Aliment],0))="c"),
INDEX(Règles_caprins[Valeur 6-12],MATCH(ChoixRationCaprins&amp;$BX162,Règles_caprins[Ration]&amp;Règles_caprins[Aliment],0)),0),0)*jeune_chèvre_6_12_mois*NbreJoursNourrirCaprins)</f>
        <v>0</v>
      </c>
      <c r="CA162" s="350">
        <f t="array" ref="CA162">IF(ChoixRationComplèteCaprins=OUI,0,IFERROR(IF(OR(AND(INDEX(Règles_caprins[Specificite],MATCH(ChoixRationCaprins&amp;$BX162,Règles_caprins[Ration]&amp;Règles_caprins[Aliment],0))="s1",IF($BX162=Spécificité1Caprins,1)),
INDEX(Règles_caprins[Specificite],MATCH(ChoixRationCaprins&amp;$BX162,Règles_caprins[Ration]&amp;Règles_caprins[Aliment],0))="c"),
INDEX(Règles_caprins[Valeur 3-6],MATCH(ChoixRationCaprins&amp;$BX162,Règles_caprins[Ration]&amp;Règles_caprins[Aliment],0)),0),0)*chevrette_3_6_mois*NbreJoursNourrirCaprins)</f>
        <v>0</v>
      </c>
      <c r="CB162" s="350">
        <f t="array" ref="CB162">IF(ChoixRationComplèteCaprins=OUI,0,IFERROR(IF(OR(AND(INDEX(Règles_caprins[Specificite],MATCH(ChoixRationCaprins&amp;$BX162,Règles_caprins[Ration]&amp;Règles_caprins[Aliment],0))="s1",IF($BX162=Spécificité1Caprins,1)),
INDEX(Règles_caprins[Specificite],MATCH(ChoixRationCaprins&amp;$BX162,Règles_caprins[Ration]&amp;Règles_caprins[Aliment],0))="c"),
INDEX(Règles_caprins[Valeur 0-3],MATCH(ChoixRationCaprins&amp;$BX162,Règles_caprins[Ration]&amp;Règles_caprins[Aliment],0)),0),0)*chevrette_0_3_mois*NbreJoursNourrirCaprins)</f>
        <v>0</v>
      </c>
      <c r="CC162" s="350">
        <f t="shared" si="50"/>
        <v>0</v>
      </c>
      <c r="CH162" s="298"/>
      <c r="CI162" s="277"/>
      <c r="CJ162" s="350" t="str">
        <f t="shared" si="45"/>
        <v>Pomme de terre</v>
      </c>
      <c r="CK162" s="351">
        <f t="array" ref="CK162">SUM((IF(QualitéAlimentsPorceletMâle_0_1_mois=BONNE,VLOOKUP("Pomme de terre",AlimentsRationPorcinsMâles[],6,FALSE),0)+(IF(QualitéAlimentsPorceletFemelle_0_1_mois=BONNE,VLOOKUP("Pomme de terre",AlimentsRationPorcinsFemelles[],6,FALSE),0)+(IF(QualitéAlimentsPorceletMâle_1_3_mois=BONNE,VLOOKUP("Pomme de terre",AlimentsRationPorcinsMâles[],5,FALSE),0)+(IF(QualitéAlimentsPorceletFemelle_1_3_mois=BONNE,VLOOKUP("Pomme de terre",AlimentsRationPorcinsFemelles[],5,FALSE),0)+(IF(QualitéAlimentsJeuneVerrat_3_6_mois=BONNE,VLOOKUP("Pomme de terre",AlimentsRationPorcinsMâles[],4,FALSE),0)+(IF(QualitéAlimentsJeuneTruie_3_6_mois=BONNE,VLOOKUP("Pomme de terre",AlimentsRationPorcinsFemelles[],4,FALSE),0)+(IF(QualitéAlimentsJeuneVerrat_6_12_mois=BONNE,VLOOKUP("Pomme de terre",AlimentsRationPorcinsMâles[],3,FALSE),0)+(IF(QualitéAlimentsJeuneTruie_6_12_mois=BONNE,VLOOKUP("Pomme de terre",AlimentsRationPorcinsFemelles[],3,FALSE),0)+(IF(QualitéAlimentsVerrat=BONNE,VLOOKUP("Avoine",AlimentsRationPorcinsMâles[],2,FALSE),0)+(IF(QualitéAlimentsTruie=BONNE,VLOOKUP("Avoine",AlimentsRationPorcinsFemelles[],2,FALSE),0))))))))))))</f>
        <v>0</v>
      </c>
      <c r="CL162" s="351">
        <f t="array" ref="CL162">SUM((IF(QualitéAlimentsPorceletMâle_0_1_mois=MOYENNE,VLOOKUP("Pomme de terre",AlimentsRationPorcinsMâles[],6,FALSE),0)+(IF(QualitéAlimentsPorceletFemelle_0_1_mois=MOYENNE,VLOOKUP("Pomme de terre",AlimentsRationPorcinsFemelles[],6,FALSE),0)+(IF(QualitéAlimentsPorceletMâle_1_3_mois=MOYENNE,VLOOKUP("Pomme de terre",AlimentsRationPorcinsMâles[],5,FALSE),0)+(IF(QualitéAlimentsPorceletFemelle_1_3_mois=MOYENNE,VLOOKUP("Pomme de terre",AlimentsRationPorcinsFemelles[],5,FALSE),0)+(IF(QualitéAlimentsJeuneVerrat_3_6_mois=MOYENNE,VLOOKUP("Pomme de terre",AlimentsRationPorcinsMâles[],4,FALSE),0)+(IF(QualitéAlimentsJeuneTruie_3_6_mois=MOYENNE,VLOOKUP("Pomme de terre",AlimentsRationPorcinsFemelles[],4,FALSE),0)+(IF(QualitéAlimentsJeuneVerrat_6_12_mois=MOYENNE,VLOOKUP("Pomme de terre",AlimentsRationPorcinsMâles[],3,FALSE),0)+(IF(QualitéAlimentsJeuneTruie_6_12_mois=MOYENNE,VLOOKUP("Pomme de terre",AlimentsRationPorcinsFemelles[],3,FALSE),0)+(IF(QualitéAlimentsVerrat=BONNE,VLOOKUP("Avoine",AlimentsRationPorcinsMâles[],2,FALSE),0)+(IF(QualitéAlimentsTruie=BONNE,VLOOKUP("Avoine",AlimentsRationPorcinsFemelles[],2,FALSE),0))))))))))))</f>
        <v>0</v>
      </c>
      <c r="CM162" s="351">
        <f t="array" ref="CM162">SUM((IF(QualitéAlimentsPorceletMâle_0_1_mois=MAUVAISE,VLOOKUP("Pomme de terre",AlimentsRationPorcinsMâles[],6,FALSE),0)+(IF(QualitéAlimentsPorceletFemelle_0_1_mois=MAUVAISE,VLOOKUP("Pomme de terre",AlimentsRationPorcinsFemelles[],6,FALSE),0)+(IF(QualitéAlimentsPorceletMâle_1_3_mois=MAUVAISE,VLOOKUP("Pomme de terre",AlimentsRationPorcinsMâles[],5,FALSE),0)+(IF(QualitéAlimentsPorceletFemelle_1_3_mois=MAUVAISE,VLOOKUP("Pomme de terre",AlimentsRationPorcinsFemelles[],5,FALSE),0)+(IF(QualitéAlimentsJeuneVerrat_3_6_mois=MAUVAISE,VLOOKUP("Pomme de terre",AlimentsRationPorcinsMâles[],4,FALSE),0)+(IF(QualitéAlimentsJeuneTruie_3_6_mois=MAUVAISE,VLOOKUP("Pomme de terre",AlimentsRationPorcinsFemelles[],4,FALSE),0)+(IF(QualitéAlimentsJeuneVerrat_6_12_mois=MAUVAISE,VLOOKUP("Pomme de terre",AlimentsRationPorcinsMâles[],3,FALSE),0)+(IF(QualitéAlimentsJeuneTruie_6_12_mois=MAUVAISE,VLOOKUP("Pomme de terre",AlimentsRationPorcinsFemelles[],3,FALSE),0)+(IF(QualitéAlimentsVerrat=BONNE,VLOOKUP("Avoine",AlimentsRationPorcinsMâles[],2,FALSE),0)+(IF(QualitéAlimentsTruie=BONNE,VLOOKUP("Avoine",AlimentsRationPorcinsFemelles[],2,FALSE),0))))))))))))</f>
        <v>0</v>
      </c>
      <c r="CN162" s="279"/>
      <c r="CO162" s="279"/>
      <c r="CP162" s="298"/>
      <c r="CS162" s="350" t="str">
        <f t="shared" si="59"/>
        <v>concentré jeunes bovins</v>
      </c>
      <c r="CT162" s="351">
        <f t="array" ref="CT162">SUM((IF(QualitéAlimentsLapereauMâle_0_1_mois=BONNE,VLOOKUP("Concentré jeunes bovins",AlimentsRationLapinsMâles[],4,FALSE),0)+(IF(QualitéAlimentsLapereauFemelle_0_1_mois=BONNE,VLOOKUP("Concentré jeunes bovins",AlimentsRationLapinsFemelles[],4,FALSE),0)+(IF(QualitéAlimentsJeuneLapin=BONNE,VLOOKUP("Concentré jeunes bovins",AlimentsRationLapinsMâles[],3,FALSE),0)+(IF(QualitéAlimentsJeuneLapine=BONNE,VLOOKUP("Concentré jeunes bovins",AlimentsRationLapinsFemelles[],3,FALSE),0)+(IF(QualitéAlimentsLapin=BONNE,VLOOKUP("Concentré jeunes bovins",AlimentsRationLapinsMâles[],2,FALSE),0)+(IF(QualitéAlimentsLapine=BONNE,VLOOKUP("Concentré jeunes bovins",AlimentsRationLapinsFemelles[],2,FALSE),0))))))))</f>
        <v>0</v>
      </c>
      <c r="CU162" s="351">
        <f t="array" ref="CU162">SUM((IF(QualitéAlimentsLapereauMâle_0_1_mois=MOYENNE,VLOOKUP("Concentré jeunes bovins",AlimentsRationLapinsMâles[],4,FALSE),0)+(IF(QualitéAlimentsLapereauFemelle_0_1_mois=MOYENNE,VLOOKUP("Concentré jeunes bovins",AlimentsRationLapinsFemelles[],4,FALSE),0)+(IF(QualitéAlimentsJeuneLapin=MOYENNE,VLOOKUP("Concentré jeunes bovins",AlimentsRationLapinsMâles[],3,FALSE),0)+(IF(QualitéAlimentsJeuneLapine=MOYENNE,VLOOKUP("Concentré jeunes bovins",AlimentsRationLapinsFemelles[],3,FALSE),0)+(IF(QualitéAlimentsLapin=MOYENNE,VLOOKUP("Concentré jeunes bovins",AlimentsRationLapinsMâles[],2,FALSE),0)+(IF(QualitéAlimentsLapine=MOYENNE,VLOOKUP("Concentré jeunes bovins",AlimentsRationLapinsFemelles[],2,FALSE),0))))))))</f>
        <v>0</v>
      </c>
      <c r="CV162" s="351">
        <f t="array" ref="CV162">SUM((IF(QualitéAlimentsLapereauMâle_0_1_mois=MAUVAISE,VLOOKUP("Concentré jeunes bovins",AlimentsRationLapinsMâles[],4,FALSE),0)+(IF(QualitéAlimentsLapereauFemelle_0_1_mois=MAUVAISE,VLOOKUP("Concentré jeunes bovins",AlimentsRationLapinsFemelles[],4,FALSE),0)+(IF(QualitéAlimentsJeuneLapin=MAUVAISE,VLOOKUP("Concentré jeunes bovins",AlimentsRationLapinsMâles[],3,FALSE),0)+(IF(QualitéAlimentsJeuneLapine=MAUVAISE,VLOOKUP("Concentré jeunes bovins",AlimentsRationLapinsFemelles[],3,FALSE),0)+(IF(QualitéAlimentsLapin=MAUVAISE,VLOOKUP("Concentré jeunes bovins",AlimentsRationLapinsMâles[],2,FALSE),0)+(IF(QualitéAlimentsLapine=MAUVAISE,VLOOKUP("Concentré jeunes bovins",AlimentsRationLapinsFemelles[],2,FALSE),0))))))))</f>
        <v>0</v>
      </c>
      <c r="CZ162" s="350" t="str">
        <f t="shared" si="58"/>
        <v>concentré jeunes lapins</v>
      </c>
      <c r="DA162" s="351">
        <f t="array" ref="DA162">SUM((IF(QualitéAlimentsPoussinMâle_0_1_mois=BONNE,VLOOKUP("Concentré jeunes lapins",AlimentsRationVolaillesMâles[],4,FALSE),0)+(IF(QualitéAlimentsPoussinFemelle_0_1_mois=BONNE,VLOOKUP("Concentré jeunes lapins",AlimentsRationVolaillesFemelles[],4,FALSE),0)+(IF(QualitéAlimentsJeuneCoq=BONNE,VLOOKUP("Concentré jeunes lapins",AlimentsRationVolaillesMâles[],3,FALSE),0)+(IF(QualitéAlimentsJeunePoule=BONNE,VLOOKUP("Concentré jeunes lapins",AlimentsRationVolaillesFemelles[],3,FALSE),0)+(IF(QualitéAlimentsCoq=BONNE,VLOOKUP("Concentré jeunes lapins",AlimentsRationVolaillesMâles[],2,FALSE),0)+(IF(QualitéAlimentsPoule=BONNE,VLOOKUP("Concentré jeunes lapins",AlimentsRationVolaillesFemelles[],2,FALSE),0))))))))</f>
        <v>0</v>
      </c>
      <c r="DB162" s="351">
        <f t="array" ref="DB162">SUM((IF(QualitéAlimentsPoussinMâle_0_1_mois=MOYENNE,VLOOKUP("Concentré jeunes lapins",AlimentsRationVolaillesMâles[],4,FALSE),0)+(IF(QualitéAlimentsPoussinFemelle_0_1_mois=MOYENNE,VLOOKUP("Concentré jeunes lapins",AlimentsRationVolaillesFemelles[],4,FALSE),0)+(IF(QualitéAlimentsJeuneCoq=MOYENNE,VLOOKUP("Concentré jeunes lapins",AlimentsRationVolaillesMâles[],3,FALSE),0)+(IF(QualitéAlimentsJeunePoule=MOYENNE,VLOOKUP("Concentré jeunes lapins",AlimentsRationVolaillesFemelles[],3,FALSE),0)+(IF(QualitéAlimentsCoq=MOYENNE,VLOOKUP("Concentré jeunes lapins",AlimentsRationVolaillesMâles[],2,FALSE),0)+(IF(QualitéAlimentsPoule=MOYENNE,VLOOKUP("Concentré jeunes lapins",AlimentsRationVolaillesFemelles[],2,FALSE),0))))))))</f>
        <v>0</v>
      </c>
      <c r="DC162" s="351">
        <f t="array" ref="DC162">SUM((IF(QualitéAlimentsPoussinMâle_0_1_mois=MAUVAISE,VLOOKUP("Concentré jeunes lapins",AlimentsRationVolaillesMâles[],4,FALSE),0)+(IF(QualitéAlimentsPoussinFemelle_0_1_mois=MAUVAISE,VLOOKUP("Concentré jeunes lapins",AlimentsRationVolaillesFemelles[],4,FALSE),0)+(IF(QualitéAlimentsJeuneCoq=MAUVAISE,VLOOKUP("Concentré jeunes lapins",AlimentsRationVolaillesMâles[],3,FALSE),0)+(IF(QualitéAlimentsJeunePoule=MAUVAISE,VLOOKUP("Concentré jeunes lapins",AlimentsRationVolaillesFemelles[],3,FALSE),0)+(IF(QualitéAlimentsCoq=MAUVAISE,VLOOKUP("Concentré jeunes lapins",AlimentsRationVolaillesMâles[],2,FALSE),0)+(IF(QualitéAlimentsPoule=MAUVAISE,VLOOKUP("Concentré jeunes lapins",AlimentsRationVolaillesFemelles[],2,FALSE),0))))))))</f>
        <v>0</v>
      </c>
      <c r="DD162" s="279"/>
      <c r="DG162" s="350" t="str">
        <f t="shared" si="52"/>
        <v>Maïs grain</v>
      </c>
      <c r="DH162" s="351">
        <f t="array" ref="DH162">SUM((IF(QualitéAlimentsPintadeauMâle_0_1_mois=BONNE,VLOOKUP("Maïs grain",AlimentsRationPintadesMâles[],4,FALSE),0)+(IF(QualitéAlimentsPintadeauFemelle_0_1_mois=BONNE,VLOOKUP("Maïs grain",AlimentsRationPintadesFemelles[],4,FALSE),0)+(IF(QualitéAlimentsJeunePintadeMâle=BONNE,VLOOKUP("Maïs grain",AlimentsRationPintadesMâles[],3,FALSE),0)+(IF(QualitéAlimentsJeunePintadeFemelle=BONNE,VLOOKUP("Maïs grain",AlimentsRationPintadesFemelles[],3,FALSE),0)+(IF(QualitéAlimentsPintadeMâle=BONNE,VLOOKUP("Maïs grain",AlimentsRationPintadesMâles[],2,FALSE),0)+(IF(QualitéAlimentsPintadeFemelle=BONNE,VLOOKUP("Maïs grain",AlimentsRationPintadesFemelles[],2,FALSE),0))))))))</f>
        <v>0</v>
      </c>
      <c r="DI162" s="351">
        <f t="array" ref="DI162">SUM((IF(QualitéAlimentsPintadeauMâle_0_1_mois=MOYENNE,VLOOKUP("Maïs grain",AlimentsRationPintadesMâles[],4,FALSE),0)+(IF(QualitéAlimentsPintadeauFemelle_0_1_mois=MOYENNE,VLOOKUP("Maïs grain",AlimentsRationPintadesFemelles[],4,FALSE),0)+(IF(QualitéAlimentsJeunePintadeMâle=MOYENNE,VLOOKUP("Maïs grain",AlimentsRationPintadesMâles[],3,FALSE),0)+(IF(QualitéAlimentsJeunePintadeFemelle=MOYENNE,VLOOKUP("Maïs grain",AlimentsRationPintadesFemelles[],3,FALSE),0)+(IF(QualitéAlimentsPintadeMâle=MOYENNE,VLOOKUP("Maïs grain",AlimentsRationPintadesMâles[],2,FALSE),0)+(IF(QualitéAlimentsPintadeFemelle=MOYENNE,VLOOKUP("Maïs grain",AlimentsRationPintadesFemelles[],2,FALSE),0))))))))</f>
        <v>0</v>
      </c>
      <c r="DJ162" s="351">
        <f t="array" ref="DJ162">SUM((IF(QualitéAlimentsPintadeauMâle_0_1_mois=MAUVAISE,VLOOKUP("Maïs grain",AlimentsRationPintadesMâles[],4,FALSE),0)+(IF(QualitéAlimentsPintadeauFemelle_0_1_mois=MAUVAISE,VLOOKUP("Maïs grain",AlimentsRationPintadesFemelles[],4,FALSE),0)+(IF(QualitéAlimentsJeunePintadeMâle=MAUVAISE,VLOOKUP("Maïs grain",AlimentsRationPintadesMâles[],3,FALSE),0)+(IF(QualitéAlimentsJeunePintadeFemelle=MAUVAISE,VLOOKUP("Maïs grain",AlimentsRationPintadesFemelles[],3,FALSE),0)+(IF(QualitéAlimentsPintadeMâle=MAUVAISE,VLOOKUP("Maïs grain",AlimentsRationPintadesMâles[],2,FALSE),0)+(IF(QualitéAlimentsPintadeFemelle=MAUVAISE,VLOOKUP("Maïs grain",AlimentsRationPintadesFemelles[],2,FALSE),0))))))))</f>
        <v>0</v>
      </c>
      <c r="DN162" s="350" t="s">
        <v>265</v>
      </c>
      <c r="DO162" s="351">
        <f t="array" ref="DO162">IF(ChoixRationComplèteOvins=OUI,0,IFERROR(IF(OR(AND(INDEX(Règles_ovins[Specificite],MATCH(ChoixRationOvins&amp;$DN162,Règles_ovins[Ration]&amp;Règles_ovins[Aliment],0))="s1",IF($DN162=Spécificité1Ovins,1)),
AND(INDEX(Règles_ovins[Specificite],MATCH(ChoixRationOvins&amp;$DN162,Règles_ovins[Ration]&amp;Règles_ovins[Aliment],0))="s2",IF($DN162=Spécificité2Ovins,1)),
INDEX(Règles_ovins[Specificite],MATCH(ChoixRationOvins&amp;$DN162,Règles_ovins[Ration]&amp;Règles_ovins[Aliment],0))="c"),
INDEX(Règles_ovins[Valeur 12 et plus],MATCH(ChoixRationOvins&amp;$DN162,Règles_ovins[Ration]&amp;Règles_ovins[Aliment],0)),0),0)*IF(ChoixOvinsPréHiver=OUI,SUM(TotalOvinsAdultesRacesLaitières)*NbreJoursNourrirOvins,TotalBéliers*NbreJoursNourrirOvins))</f>
        <v>0</v>
      </c>
      <c r="DP162" s="351">
        <f t="array" ref="DP162">IF(ChoixRationComplèteOvins=OUI,0,IFERROR(IF(OR(AND(INDEX(Règles_ovins[Specificite],MATCH(ChoixRationOvins&amp;$DN162,Règles_ovins[Ration]&amp;Règles_ovins[Aliment],0))="s1",IF($DN162=Spécificité1Ovins,1)),
AND(INDEX(Règles_ovins[Specificite],MATCH(ChoixRationOvins&amp;$DN162,Règles_ovins[Ration]&amp;Règles_ovins[Aliment],0))="s2",IF($DN162=Spécificité2Ovins,1)),
INDEX(Règles_ovins[Specificite],MATCH(ChoixRationOvins&amp;$DN162,Règles_ovins[Ration]&amp;Règles_ovins[Aliment],0))="c"),
INDEX(Règles_ovins[Valeur 6-12],MATCH(ChoixRationOvins&amp;$DN162,Règles_ovins[Ration]&amp;Règles_ovins[Aliment],0)),0),0)*IF(ChoixOvinsPréHiver=OUI,SUM(TotalJeunesOvinsRacesLaitières)*NbreJoursNourrirOvins,TotalJeune_bélier_6_12_mois*NbreJoursNourrirOvins))</f>
        <v>0</v>
      </c>
      <c r="DQ162" s="351">
        <f t="array" ref="DQ162">IF(ChoixRationComplèteOvins=OUI,0,IFERROR(IF(OR(AND(INDEX(Règles_ovins[Specificite],MATCH(ChoixRationOvins&amp;$DN162,Règles_ovins[Ration]&amp;Règles_ovins[Aliment],0))="s1",IF($DN162=Spécificité1Ovins,1)),
AND(INDEX(Règles_ovins[Specificite],MATCH(ChoixRationOvins&amp;$DN162,Règles_ovins[Ration]&amp;Règles_ovins[Aliment],0))="s2",IF($DN162=Spécificité2Ovins,1)),
INDEX(Règles_ovins[Specificite],MATCH(ChoixRationOvins&amp;$DN162,Règles_ovins[Ration]&amp;Règles_ovins[Aliment],0))="c"),
INDEX(Règles_ovins[Valeur 3-6],MATCH(ChoixRationOvins&amp;$DN162,Règles_ovins[Ration]&amp;Règles_ovins[Aliment],0)),0),0)*IF(ChoixOvinsPréHiver=OUI,SUM(TotalOvins_3_6moisRacesLaitières)*NbreJoursNourrirOvins,TotalAgneau_3_6_mois*NbreJoursNourrirOvins))</f>
        <v>0</v>
      </c>
      <c r="DR162" s="351">
        <f t="array" ref="DR162">IF(ChoixRationComplèteOvins=OUI,0,IFERROR(IF(OR(AND(INDEX(Règles_ovins[Specificite],MATCH(ChoixRationOvins&amp;$DN162,Règles_ovins[Ration]&amp;Règles_ovins[Aliment],0))="s1",IF($DN162=Spécificité1Ovins,1)),
AND(INDEX(Règles_ovins[Specificite],MATCH(ChoixRationOvins&amp;$DN162,Règles_ovins[Ration]&amp;Règles_ovins[Aliment],0))="s2",IF($DN162=Spécificité2Ovins,1)),
INDEX(Règles_ovins[Specificite],MATCH(ChoixRationOvins&amp;$DN162,Règles_ovins[Ration]&amp;Règles_ovins[Aliment],0))="c"),
INDEX(Règles_ovins[Valeur 0-3],MATCH(ChoixRationOvins&amp;$DN162,Règles_ovins[Ration]&amp;Règles_ovins[Aliment],0)),0),0)*IF(ChoixOvinsPréHiver=OUI,SUM(TotalOvins_3_6moisRacesLaitières)*NbreJoursNourrirOvins,TotalAgneau_0_3_mois*NbreJoursNourrirOvins))</f>
        <v>0</v>
      </c>
      <c r="DS162" s="441">
        <f t="shared" si="55"/>
        <v>0</v>
      </c>
      <c r="EG162" s="350" t="str">
        <f t="shared" si="57"/>
        <v>Epinard</v>
      </c>
      <c r="EH162" s="351">
        <f t="array" ref="EH162">SUM((IF(QualitéAlimentsOisonMâle_0_3_mois=BONNE,VLOOKUP("Epinard",AlimentsRationOiesMâles[],4,FALSE),0)+(IF(QualitéAlimentsOisonFemelle_0_3_mois=BONNE,VLOOKUP("Epinard",AlimentsRationOiesFemelles[],4,FALSE),0)+(IF(QualitéAlimentsJeuneJars=BONNE,VLOOKUP("Epinard",AlimentsRationOiesMâles[],3,FALSE),0)+(IF(QualitéAlimentsJeuneOie=BONNE,VLOOKUP("Epinard",AlimentsRationOiesFemelles[],3,FALSE),0)+(IF(QualitéAlimentsJars=BONNE,VLOOKUP("Epinard",AlimentsRationOiesMâles[],2,FALSE),0)+(IF(QualitéAlimentsOie=BONNE,VLOOKUP("Epinard",AlimentsRationOiesFemelles[],2,FALSE),0))))))))</f>
        <v>0</v>
      </c>
      <c r="EI162" s="351">
        <f t="array" ref="EI162">SUM((IF(QualitéAlimentsOisonMâle_0_3_mois=MOYENNE,VLOOKUP("Epinard",AlimentsRationOiesMâles[],4,FALSE),0)+(IF(QualitéAlimentsOisonFemelle_0_3_mois=MOYENNE,VLOOKUP("Epinard",AlimentsRationOiesFemelles[],4,FALSE),0)+(IF(QualitéAlimentsJeuneJars=MOYENNE,VLOOKUP("Epinard",AlimentsRationOiesMâles[],3,FALSE),0)+(IF(QualitéAlimentsJeuneOie=MOYENNE,VLOOKUP("Epinard",AlimentsRationOiesFemelles[],3,FALSE),0)+(IF(QualitéAlimentsJars=MOYENNE,VLOOKUP("Epinard",AlimentsRationOiesMâles[],2,FALSE),0)+(IF(QualitéAlimentsOie=MOYENNE,VLOOKUP("Epinard",AlimentsRationOiesFemelles[],2,FALSE),0))))))))</f>
        <v>0</v>
      </c>
      <c r="EJ162" s="351">
        <f t="array" ref="EJ162">SUM((IF(QualitéAlimentsOisonMâle_0_3_mois=MAUVAISE,VLOOKUP("Epinard",AlimentsRationOiesMâles[],4,FALSE),0)+(IF(QualitéAlimentsOisonFemelle_0_3_mois=MAUVAISE,VLOOKUP("Epinard",AlimentsRationOiesFemelles[],4,FALSE),0)+(IF(QualitéAlimentsJeuneJars=MAUVAISE,VLOOKUP("Epinard",AlimentsRationOiesMâles[],3,FALSE),0)+(IF(QualitéAlimentsJeuneOie=MAUVAISE,VLOOKUP("Epinard",AlimentsRationOiesFemelles[],3,FALSE),0)+(IF(QualitéAlimentsJars=MAUVAISE,VLOOKUP("Epinard",AlimentsRationOiesMâles[],2,FALSE),0)+(IF(QualitéAlimentsOie=MAUVAISE,VLOOKUP("Epinard",AlimentsRationOiesFemelles[],2,FALSE),0))))))))</f>
        <v>0</v>
      </c>
      <c r="EN162" s="457" t="str">
        <f t="shared" si="56"/>
        <v>Féverole</v>
      </c>
      <c r="EO162" s="458">
        <f t="array" ref="EO162">SUM((IF(QualitéAlimentsCanetonMâle=BONNE,VLOOKUP("Féverole",AlimentsRationCanardsMâles,4,FALSE),0)+(IF(QualitéAlimentsCanetonFemelle=BONNE,VLOOKUP("Féverole",AlimentsRationCanardsFemelles,4,FALSE),0)+(IF(QualitéAlimentsJeuneCanard=BONNE,VLOOKUP("Féverole",AlimentsRationCanardsMâles,3,FALSE),0)+(IF(QualitéAlimentsJeuneCane=BONNE,VLOOKUP("Féverole",AlimentsRationCanardsFemelles,3,FALSE),0)+(IF(QualitéAlimentsCanard=BONNE,VLOOKUP("Féverole",AlimentsRationCanardsMâles,2,FALSE),0)+(IF(QualitéAlimentsCane=BONNE,VLOOKUP("Féverole",AlimentsRationCanardsFemelles,2,FALSE),0))))))))</f>
        <v>0</v>
      </c>
      <c r="EP162" s="458">
        <f t="array" ref="EP162">SUM((IF(QualitéAlimentsCanetonMâle=MOYENNE,VLOOKUP("Féverole",AlimentsRationCanardsMâles,4,FALSE),0)+(IF(QualitéAlimentsCanetonFemelle=MOYENNE,VLOOKUP("Féverole",AlimentsRationCanardsFemelles,4,FALSE),0)+(IF(QualitéAlimentsJeuneCanard=MOYENNE,VLOOKUP("Féverole",AlimentsRationCanardsMâles,3,FALSE),0)+(IF(QualitéAlimentsJeuneCane=MOYENNE,VLOOKUP("Féverole",AlimentsRationCanardsFemelles,3,FALSE),0)+(IF(QualitéAlimentsCanard=MOYENNE,VLOOKUP("Féverole",AlimentsRationCanardsMâles,2,FALSE),0)+(IF(QualitéAlimentsCane=MOYENNE,VLOOKUP("Féverole",AlimentsRationCanardsFemelles,2,FALSE),0))))))))</f>
        <v>0</v>
      </c>
      <c r="EQ162" s="458">
        <f t="array" ref="EQ162">SUM((IF(QualitéAlimentsCanetonMâle=MAUVAISE,VLOOKUP("Féverole",AlimentsRationCanardsMâles,4,FALSE),0)+(IF(QualitéAlimentsCanetonFemelle=MAUVAISE,VLOOKUP("Féverole",AlimentsRationCanardsFemelles,4,FALSE),0)+(IF(QualitéAlimentsJeuneCanard=MAUVAISE,VLOOKUP("Féverole",AlimentsRationCanardsMâles,3,FALSE),0)+(IF(QualitéAlimentsJeuneCane=MAUVAISE,VLOOKUP("Féverole",AlimentsRationCanardsFemelles,3,FALSE),0)+(IF(QualitéAlimentsCanard=MAUVAISE,VLOOKUP("Féverole",AlimentsRationCanardsMâles,2,FALSE),0)+(IF(QualitéAlimentsCane=MAUVAISE,VLOOKUP("Féverole",AlimentsRationCanardsFemelles,2,FALSE),0))))))))</f>
        <v>0</v>
      </c>
      <c r="EU162" s="457" t="str">
        <f t="shared" si="54"/>
        <v>Foin</v>
      </c>
      <c r="EV162" s="458">
        <f t="array" ref="EV162">IF(OR(ChoixRationHivernaleComplèteChevauxSelle=OUI,ChoixRationHivernaleComplèteChevauxSelle="",ChoixChevauxSellePréHiver=NON),0,IFERROR(IF(OR(AND(INDEX(Règles_chevaux_selle[Specificite],MATCH(RationHivernaleAuPréChevauxSelle&amp;$EU162,Règles_chevaux_selle[Ration]&amp;Règles_chevaux_selle[Aliment],0))="s1",IF($EU162=Spécificité1ChevauxSelle,1)),
AND(INDEX(Règles_chevaux_selle[Specificite],MATCH(RationHivernaleAuPréChevauxSelle&amp;$EU162,Règles_chevaux_selle[Ration]&amp;Règles_chevaux_selle[Aliment],0))="s2",IF($EU162=Spécificité2ChevauxSelle,1)),
INDEX(Règles_chevaux_selle[Specificite],MATCH(RationHivernaleAuPréChevauxSelle&amp;$EU162,Règles_chevaux_selle[Ration]&amp;Règles_chevaux_selle[Aliment],0))="c"),
INDEX(Règles_chevaux_selle[Valeur 36 et plus],MATCH(RationHivernaleAuPréChevauxSelle&amp;$EU162,Règles_chevaux_selle[Ration]&amp;Règles_chevaux_selle[Aliment],0)),0),0)*SUM(TotalChevauxSelleAdultes)*21)</f>
        <v>0</v>
      </c>
      <c r="EW162" s="458">
        <f t="array" ref="EW162">IF(OR(ChoixRationHivernaleComplèteChevauxSelle=OUI,ChoixRationHivernaleComplèteChevauxSelle="",ChoixChevauxSellePréHiver=NON),0,IFERROR(IF(OR(AND(INDEX(Règles_chevaux_selle[Specificite],MATCH(RationHivernaleAuPréChevauxSelle&amp;$EU162,Règles_chevaux_selle[Ration]&amp;Règles_chevaux_selle[Aliment],0))="s1",IF($EU162=Spécificité1ChevauxSelle,1)),
AND(INDEX(Règles_chevaux_selle[Specificite],MATCH(RationHivernaleAuPréChevauxSelle&amp;$EU162,Règles_chevaux_selle[Ration]&amp;Règles_chevaux_selle[Aliment],0))="s2",IF($EU162=Spécificité2ChevauxSelle,1)),
INDEX(Règles_chevaux_selle[Specificite],MATCH(RationHivernaleAuPréChevauxSelle&amp;$EU162,Règles_chevaux_selle[Ration]&amp;Règles_chevaux_selle[Aliment],0))="c"),
INDEX(Règles_chevaux_selle[Valeur 24-36],MATCH(RationHivernaleAuPréChevauxSelle&amp;$EU162,Règles_chevaux_selle[Ration]&amp;Règles_chevaux_selle[Aliment],0)),0),0)*SUM(TotalChevauxSelle_24_36mois)*21)</f>
        <v>0</v>
      </c>
      <c r="EX162" s="458">
        <f t="array" ref="EX162">IF(OR(ChoixRationHivernaleComplèteChevauxSelle=OUI,ChoixRationHivernaleComplèteChevauxSelle="",ChoixChevauxSellePréHiver=NON),0,IFERROR(IF(OR(AND(INDEX(Règles_chevaux_selle[Specificite],MATCH(RationHivernaleAuPréChevauxSelle&amp;$EU162,Règles_chevaux_selle[Ration]&amp;Règles_chevaux_selle[Aliment],0))="s1",IF($EU162=Spécificité1ChevauxSelle,1)),
AND(INDEX(Règles_chevaux_selle[Specificite],MATCH(RationHivernaleAuPréChevauxSelle&amp;$EU162,Règles_chevaux_selle[Ration]&amp;Règles_chevaux_selle[Aliment],0))="s2",IF($EU162=Spécificité2ChevauxSelle,1)),
INDEX(Règles_chevaux_selle[Specificite],MATCH(RationHivernaleAuPréChevauxSelle&amp;$EU162,Règles_chevaux_selle[Ration]&amp;Règles_chevaux_selle[Aliment],0))="c"),
INDEX(Règles_chevaux_selle[Valeur 12-24],MATCH(RationHivernaleAuPréChevauxSelle&amp;$EU162,Règles_chevaux_selle[Ration]&amp;Règles_chevaux_selle[Aliment],0)),0),0)*SUM(TotalChevauxSelle_12_24mois)*21)</f>
        <v>0</v>
      </c>
      <c r="EY162" s="460">
        <f t="array" ref="EY162">IF(OR(ChoixRationHivernaleComplèteChevauxSelle=OUI,ChoixRationHivernaleComplèteChevauxSelle="",ChoixChevauxSellePréHiver=NON),0,IFERROR(IF(OR(AND(INDEX(Règles_chevaux_selle[Specificite],MATCH(RationHivernaleAuPréChevauxSelle&amp;$EU162,Règles_chevaux_selle[Ration]&amp;Règles_chevaux_selle[Aliment],0))="s1",IF($EU162=Spécificité1ChevauxSelle,1)),
AND(INDEX(Règles_chevaux_selle[Specificite],MATCH(RationHivernaleAuPréChevauxSelle&amp;$EU162,Règles_chevaux_selle[Ration]&amp;Règles_chevaux_selle[Aliment],0))="s2",IF($EU162=Spécificité2ChevauxSelle,1)),
INDEX(Règles_chevaux_selle[Specificite],MATCH(RationHivernaleAuPréChevauxSelle&amp;$EU162,Règles_chevaux_selle[Ration]&amp;Règles_chevaux_selle[Aliment],0))="c"),
INDEX(Règles_chevaux_selle[Valeur 0-12],MATCH(RationHivernaleAuPréChevauxSelle&amp;$EU162,Règles_chevaux_selle[Ration]&amp;Règles_chevaux_selle[Aliment],0)),0),0)*SUM(TotalPoulainsSelle)*21)</f>
        <v>0</v>
      </c>
      <c r="EZ162" s="460">
        <f t="shared" si="53"/>
        <v>0</v>
      </c>
      <c r="FD162" s="457" t="str">
        <f t="shared" si="49"/>
        <v>Orge</v>
      </c>
      <c r="FE162" s="458">
        <f t="array" ref="FE162">IF(OR(ChoixRationHivernaleComplèteChevauxTrait=OUI,ChoixRationHivernaleComplèteChevauxTrait="",ChoixChevauxTraitPréHiver=NON),0,IFERROR(IF(OR(AND(INDEX(Règles_chevaux_trait[Specificite],MATCH(RationHivernaleAuPréChevauxTrait&amp;$FD162,Règles_chevaux_trait[Ration]&amp;Règles_chevaux_trait[Aliment],0))="s1",IF($FD162=Spécificité1ChevauxTrait,1)),
AND(INDEX(Règles_chevaux_trait[Specificite],MATCH(RationHivernaleAuPréChevauxTrait&amp;$FD162,Règles_chevaux_trait[Ration]&amp;Règles_chevaux_trait[Aliment],0))="s2",IF($FD162=Spécificité2ChevauxTrait,1)),
INDEX(Règles_chevaux_trait[Specificite],MATCH(RationHivernaleAuPréChevauxTrait&amp;$FD162,Règles_chevaux_trait[Ration]&amp;Règles_chevaux_trait[Aliment],0))="c"),
INDEX(Règles_chevaux_trait[Valeur 36 et plus],MATCH(RationHivernaleAuPréChevauxTrait&amp;$FD162,Règles_chevaux_trait[Ration]&amp;Règles_chevaux_trait[Aliment],0)),0),0)*SUM(TotalChevauxTraitAdultes)*21)</f>
        <v>0</v>
      </c>
      <c r="FF162" s="458">
        <f t="array" ref="FF162">IF(OR(ChoixRationHivernaleComplèteChevauxTrait=OUI,ChoixRationHivernaleComplèteChevauxTrait="",ChoixChevauxTraitPréHiver=NON),0,IFERROR(IF(OR(AND(INDEX(Règles_chevaux_trait[Specificite],MATCH(RationHivernaleAuPréChevauxTrait&amp;$FD162,Règles_chevaux_trait[Ration]&amp;Règles_chevaux_trait[Aliment],0))="s1",IF($FD162=Spécificité1ChevauxTrait,1)),
AND(INDEX(Règles_chevaux_trait[Specificite],MATCH(RationHivernaleAuPréChevauxTrait&amp;$FD162,Règles_chevaux_trait[Ration]&amp;Règles_chevaux_trait[Aliment],0))="s2",IF($FD162=Spécificité2ChevauxTrait,1)),
INDEX(Règles_chevaux_trait[Specificite],MATCH(RationHivernaleAuPréChevauxTrait&amp;$FD162,Règles_chevaux_trait[Ration]&amp;Règles_chevaux_trait[Aliment],0))="c"),
INDEX(Règles_chevaux_trait[Valeur 24-36],MATCH(RationHivernaleAuPréChevauxTrait&amp;$FD162,Règles_chevaux_trait[Ration]&amp;Règles_chevaux_trait[Aliment],0)),0),0)*SUM(TotalChevauxTrait_24_36mois)*21)</f>
        <v>0</v>
      </c>
      <c r="FG162" s="458">
        <f t="array" ref="FG162">IF(OR(ChoixRationHivernaleComplèteChevauxTrait=OUI,ChoixRationHivernaleComplèteChevauxTrait="",ChoixChevauxTraitPréHiver=NON),0,IFERROR(IF(OR(AND(INDEX(Règles_chevaux_trait[Specificite],MATCH(RationHivernaleAuPréChevauxTrait&amp;$FD162,Règles_chevaux_trait[Ration]&amp;Règles_chevaux_trait[Aliment],0))="s1",IF($FD162=Spécificité1ChevauxTrait,1)),
AND(INDEX(Règles_chevaux_trait[Specificite],MATCH(RationHivernaleAuPréChevauxTrait&amp;$FD162,Règles_chevaux_trait[Ration]&amp;Règles_chevaux_trait[Aliment],0))="s2",IF($FD162=Spécificité2ChevauxTrait,1)),
INDEX(Règles_chevaux_trait[Specificite],MATCH(RationHivernaleAuPréChevauxTrait&amp;$FD162,Règles_chevaux_trait[Ration]&amp;Règles_chevaux_trait[Aliment],0))="c"),
INDEX(Règles_chevaux_trait[Valeur 12-24],MATCH(RationHivernaleAuPréChevauxTrait&amp;$FD162,Règles_chevaux_trait[Ration]&amp;Règles_chevaux_trait[Aliment],0)),0),0)*SUM(TotalChevauxTrait_12_24mois)*21)</f>
        <v>0</v>
      </c>
      <c r="FH162" s="460">
        <f t="array" ref="FH162">IF(OR(ChoixRationHivernaleComplèteChevauxTrait=OUI,ChoixRationHivernaleComplèteChevauxTrait="",ChoixChevauxTraitPréHiver=NON),0,IFERROR(IF(OR(AND(INDEX(Règles_chevaux_trait[Specificite],MATCH(RationHivernaleAuPréChevauxTrait&amp;$FD162,Règles_chevaux_trait[Ration]&amp;Règles_chevaux_trait[Aliment],0))="s1",IF($FD162=Spécificité1ChevauxTrait,1)),
AND(INDEX(Règles_chevaux_trait[Specificite],MATCH(RationHivernaleAuPréChevauxTrait&amp;$FD162,Règles_chevaux_trait[Ration]&amp;Règles_chevaux_trait[Aliment],0))="s2",IF($FD162=Spécificité2ChevauxTrait,1)),
INDEX(Règles_chevaux_trait[Specificite],MATCH(RationHivernaleAuPréChevauxTrait&amp;$FD162,Règles_chevaux_trait[Ration]&amp;Règles_chevaux_trait[Aliment],0))="c"),
INDEX(Règles_chevaux_trait[Valeur 0-12],MATCH(RationHivernaleAuPréChevauxTrait&amp;$FD162,Règles_chevaux_trait[Ration]&amp;Règles_chevaux_trait[Aliment],0)),0),0)*SUM(TotalPoulainsTrait)*21)</f>
        <v>0</v>
      </c>
      <c r="FI162" s="460">
        <f t="shared" si="47"/>
        <v>0</v>
      </c>
      <c r="FN162" s="457" t="str">
        <f t="shared" si="48"/>
        <v>Paille</v>
      </c>
      <c r="FO162" s="458">
        <f t="array" ref="FO162">IF(OR(ChoixRationHivernaleComplètePoneys=OUI,ChoixRationHivernaleComplètePoneys="",ChoixPoneysPréHiver=NON),0,IFERROR(IF(OR(AND(INDEX(Règles_poneys[Specificite],MATCH(RationHivernaleAuPréPoneys&amp;$FN162,Règles_poneys[Ration]&amp;Règles_poneys[Aliment],0))="s1",IF($FN162=Spécificité1Poneys,1)),
AND(INDEX(Règles_poneys[Specificite],MATCH(RationHivernaleAuPréPoneys&amp;$FN162,Règles_poneys[Ration]&amp;Règles_poneys[Aliment],0))="s2",IF($FN162=Spécificité2Poneys,1)),
INDEX(Règles_poneys[Specificite],MATCH(RationHivernaleAuPréPoneys&amp;$FN162,Règles_poneys[Ration]&amp;Règles_poneys[Aliment],0))="c"),
INDEX(Règles_poneys[Valeur 36 et plus],MATCH(RationHivernaleAuPréPoneys&amp;$FN162,Règles_poneys[Ration]&amp;Règles_poneys[Aliment],0)),0),0)*SUM(TotalPoneysAdultes)*21)</f>
        <v>0</v>
      </c>
      <c r="FP162" s="458">
        <f t="array" ref="FP162">IF(OR(ChoixRationHivernaleComplètePoneys=OUI,ChoixRationHivernaleComplètePoneys="",ChoixPoneysPréHiver=NON),0,IFERROR(IF(OR(AND(INDEX(Règles_poneys[Specificite],MATCH(RationHivernaleAuPréPoneys&amp;$FN162,Règles_poneys[Ration]&amp;Règles_poneys[Aliment],0))="s1",IF($FN162=Spécificité1Poneys,1)),
AND(INDEX(Règles_poneys[Specificite],MATCH(RationHivernaleAuPréPoneys&amp;$FN162,Règles_poneys[Ration]&amp;Règles_poneys[Aliment],0))="s2",IF($FN162=Spécificité2Poneys,1)),
INDEX(Règles_poneys[Specificite],MATCH(RationHivernaleAuPréPoneys&amp;$FN162,Règles_poneys[Ration]&amp;Règles_poneys[Aliment],0))="c"),
INDEX(Règles_poneys[Valeur 24-36],MATCH(RationHivernaleAuPréPoneys&amp;$FN162,Règles_poneys[Ration]&amp;Règles_poneys[Aliment],0)),0),0)*SUM(TotalPoneys_24_36mois)*21)</f>
        <v>0</v>
      </c>
      <c r="FQ162" s="458">
        <f t="array" ref="FQ162">IF(OR(ChoixRationHivernaleComplètePoneys=OUI,ChoixRationHivernaleComplètePoneys="",ChoixPoneysPréHiver=NON),0,IFERROR(IF(OR(AND(INDEX(Règles_poneys[Specificite],MATCH(RationHivernaleAuPréPoneys&amp;$FN162,Règles_poneys[Ration]&amp;Règles_poneys[Aliment],0))="s1",IF($FN162=Spécificité1Poneys,1)),
AND(INDEX(Règles_poneys[Specificite],MATCH(RationHivernaleAuPréPoneys&amp;$FN162,Règles_poneys[Ration]&amp;Règles_poneys[Aliment],0))="s2",IF($FN162=Spécificité2Poneys,1)),
INDEX(Règles_poneys[Specificite],MATCH(RationHivernaleAuPréPoneys&amp;$FN162,Règles_poneys[Ration]&amp;Règles_poneys[Aliment],0))="c"),
INDEX(Règles_poneys[Valeur 12-24],MATCH(RationHivernaleAuPréPoneys&amp;$FN162,Règles_poneys[Ration]&amp;Règles_poneys[Aliment],0)),0),0)*SUM(TotalPoneys_12_24mois)*21)</f>
        <v>0</v>
      </c>
      <c r="FR162" s="460">
        <f t="array" ref="FR162">IF(OR(ChoixRationHivernaleComplètePoneys=OUI,ChoixRationHivernaleComplètePoneys="",ChoixPoneysPréHiver=NON),0,IFERROR(IF(OR(AND(INDEX(Règles_poneys[Specificite],MATCH(RationHivernaleAuPréPoneys&amp;$FN162,Règles_poneys[Ration]&amp;Règles_poneys[Aliment],0))="s1",IF($FN162=Spécificité1Poneys,1)),
AND(INDEX(Règles_poneys[Specificite],MATCH(RationHivernaleAuPréPoneys&amp;$FN162,Règles_poneys[Ration]&amp;Règles_poneys[Aliment],0))="s2",IF($FN162=Spécificité2Poneys,1)),
INDEX(Règles_poneys[Specificite],MATCH(RationHivernaleAuPréPoneys&amp;$FN162,Règles_poneys[Ration]&amp;Règles_poneys[Aliment],0))="c"),
INDEX(Règles_poneys[Valeur 0-12],MATCH(RationHivernaleAuPréPoneys&amp;$FN162,Règles_poneys[Ration]&amp;Règles_poneys[Aliment],0)),0),0)*SUM(TotalPoulainsPoneys)*21)</f>
        <v>0</v>
      </c>
      <c r="FS162" s="460">
        <f t="shared" si="46"/>
        <v>0</v>
      </c>
      <c r="FW162" s="457" t="str">
        <f t="shared" si="44"/>
        <v>Seigle</v>
      </c>
      <c r="FX162" s="458">
        <f t="array" ref="FX162">SUM((IF(QualitéAlimentsGavageOison_0_1_mois=BONNE,VLOOKUP("Seigle",AlimentsGavageOie,5,FALSE),0)+(IF(QualitéAlimentsGavageCaneton_0_1_mois=BONNE,VLOOKUP("Seigle",AlimentsGavageCanard,5,FALSE),0)+(IF(QualitéAlimentsGavageOison_1_2_mois=BONNE,VLOOKUP("Seigle",AlimentsGavageOie,4,FALSE),0)+(IF(QualitéAlimentsGavageCaneton_1_2_mois=BONNE,VLOOKUP("Seigle",AlimentsGavageCanard,4,FALSE),0)+(IF(QualitéAlimentsGavageOison_2_3_mois=BONNE,VLOOKUP("Seigle",AlimentsGavageOie,3,FALSE),0)+(IF(QualitéAlimentsGavageCaneton_2_3_mois=BONNE,VLOOKUP("Seigle",AlimentsGavageCanard,3,FALSE),0)+(IF(QualitéAlimentsGavageJeunesOies=BONNE,VLOOKUP("Seigle",AlimentsGavageOie,2,FALSE),0)+(IF(QualitéAlimentsGavageJeuneCanard=BONNE,VLOOKUP("Seigle",AlimentsGavageCanard,2,FALSE),0))))))))))</f>
        <v>0</v>
      </c>
      <c r="FY162" s="458">
        <f t="array" ref="FY162">SUM((IF(QualitéAlimentsGavageOison_0_1_mois=MOYENNE,VLOOKUP("Seigle",AlimentsGavageOie,5,FALSE),0)+(IF(QualitéAlimentsGavageCaneton_0_1_mois=MOYENNE,VLOOKUP("Seigle",AlimentsGavageCanard,5,FALSE),0)+(IF(QualitéAlimentsGavageOison_1_2_mois=MOYENNE,VLOOKUP("Seigle",AlimentsGavageOie,4,FALSE),0)+(IF(QualitéAlimentsGavageCaneton_1_2_mois=MOYENNE,VLOOKUP("Seigle",AlimentsGavageCanard,4,FALSE),0)+(IF(QualitéAlimentsGavageOison_2_3_mois=MOYENNE,VLOOKUP("Seigle",AlimentsGavageOie,3,FALSE),0)+(IF(QualitéAlimentsGavageCaneton_2_3_mois=MOYENNE,VLOOKUP("Seigle",AlimentsGavageCanard,3,FALSE),0)+(IF(QualitéAlimentsGavageJeunesOies=MOYENNE,VLOOKUP("Seigle",AlimentsGavageOie,2,FALSE),0)+(IF(QualitéAlimentsGavageJeuneCanard=MOYENNE,VLOOKUP("Seigle",AlimentsGavageCanard,2,FALSE),0))))))))))</f>
        <v>0</v>
      </c>
      <c r="FZ162" s="458">
        <f t="array" ref="FZ162">SUM((IF(QualitéAlimentsGavageOison_0_1_mois=MAUVAISE,VLOOKUP("Seigle",AlimentsGavageOie,5,FALSE),0)+(IF(QualitéAlimentsGavageCaneton_0_1_mois=MAUVAISE,VLOOKUP("Seigle",AlimentsGavageCanard,5,FALSE),0)+(IF(QualitéAlimentsGavageOison_1_2_mois=MAUVAISE,VLOOKUP("Seigle",AlimentsGavageOie,4,FALSE),0)+(IF(QualitéAlimentsGavageCaneton_1_2_mois=MAUVAISE,VLOOKUP("Seigle",AlimentsGavageCanard,4,FALSE),0)+(IF(QualitéAlimentsGavageOison_2_3_mois=MAUVAISE,VLOOKUP("Seigle",AlimentsGavageOie,3,FALSE),0)+(IF(QualitéAlimentsGavageCaneton_2_3_mois=MAUVAISE,VLOOKUP("Seigle",AlimentsGavageCanard,3,FALSE),0)+(IF(QualitéAlimentsGavageJeunesOies=MAUVAISE,VLOOKUP("Seigle",AlimentsGavageOie,2,FALSE),0)+(IF(QualitéAlimentsGavageJeuneCanard=MAUVAISE,VLOOKUP("Seigle",AlimentsGavageCanard,2,FALSE),0))))))))))</f>
        <v>0</v>
      </c>
      <c r="GB162" s="281"/>
      <c r="GG162" s="276" t="s">
        <v>955</v>
      </c>
      <c r="GH162" s="276" t="s">
        <v>955</v>
      </c>
      <c r="GI162" s="276" t="s">
        <v>955</v>
      </c>
      <c r="GJ162" s="276" t="s">
        <v>955</v>
      </c>
      <c r="GK162" s="276" t="s">
        <v>955</v>
      </c>
      <c r="GL162" s="276" t="s">
        <v>955</v>
      </c>
      <c r="GM162" s="276" t="s">
        <v>955</v>
      </c>
      <c r="GN162" s="276" t="s">
        <v>955</v>
      </c>
      <c r="GO162" s="276" t="s">
        <v>955</v>
      </c>
      <c r="GP162" s="276" t="s">
        <v>955</v>
      </c>
      <c r="GQ162" s="276" t="s">
        <v>955</v>
      </c>
      <c r="GR162" s="276" t="s">
        <v>955</v>
      </c>
      <c r="GS162" s="276" t="s">
        <v>955</v>
      </c>
      <c r="GT162" s="276" t="s">
        <v>955</v>
      </c>
      <c r="GU162" s="276" t="s">
        <v>955</v>
      </c>
      <c r="GV162" s="276" t="s">
        <v>955</v>
      </c>
    </row>
    <row r="163" spans="1:204" ht="12.75" customHeight="1" x14ac:dyDescent="0.2">
      <c r="A163" s="373"/>
      <c r="B163" s="382"/>
      <c r="BB163" s="387" t="s">
        <v>949</v>
      </c>
      <c r="BC163" s="362" t="s">
        <v>515</v>
      </c>
      <c r="BD163" s="362" t="s">
        <v>886</v>
      </c>
      <c r="BE163" s="388">
        <v>10</v>
      </c>
      <c r="BF163" s="388">
        <v>9</v>
      </c>
      <c r="BG163" s="388">
        <v>8</v>
      </c>
      <c r="BH163" s="388">
        <v>7</v>
      </c>
      <c r="BI163" s="388">
        <v>6</v>
      </c>
      <c r="BJ163" s="388">
        <v>5</v>
      </c>
      <c r="BK163" s="389">
        <v>0</v>
      </c>
      <c r="BL163" s="312"/>
      <c r="BX163" s="350" t="str">
        <f t="shared" si="51"/>
        <v>Minéraux + vitamines</v>
      </c>
      <c r="BY163" s="350">
        <f t="array" ref="BY163">IF(ChoixRationComplèteCaprins=OUI,0,IFERROR(IF(OR(AND(INDEX(Règles_caprins[Specificite],MATCH(ChoixRationCaprins&amp;$BX163,Règles_caprins[Ration]&amp;Règles_caprins[Aliment],0))="s1",IF($BX163=Spécificité1Caprins,1)),
INDEX(Règles_caprins[Specificite],MATCH(ChoixRationCaprins&amp;$BX163,Règles_caprins[Ration]&amp;Règles_caprins[Aliment],0))="c"),
INDEX(Règles_caprins[Valeur 12 et plus],MATCH(ChoixRationCaprins&amp;$BX163,Règles_caprins[Ration]&amp;Règles_caprins[Aliment],0)),0),0)*TotalChèvres*NbreJoursNourrirCaprins)</f>
        <v>20.56</v>
      </c>
      <c r="BZ163" s="350">
        <f t="array" ref="BZ163">IF(ChoixRationComplèteCaprins=OUI,0,IFERROR(IF(OR(AND(INDEX(Règles_caprins[Specificite],MATCH(ChoixRationCaprins&amp;$BX163,Règles_caprins[Ration]&amp;Règles_caprins[Aliment],0))="s1",IF($BX163=Spécificité1Caprins,1)),
INDEX(Règles_caprins[Specificite],MATCH(ChoixRationCaprins&amp;$BX163,Règles_caprins[Ration]&amp;Règles_caprins[Aliment],0))="c"),
INDEX(Règles_caprins[Valeur 6-12],MATCH(ChoixRationCaprins&amp;$BX163,Règles_caprins[Ration]&amp;Règles_caprins[Aliment],0)),0),0)*jeune_chèvre_6_12_mois*NbreJoursNourrirCaprins)</f>
        <v>2.72</v>
      </c>
      <c r="CA163" s="350">
        <f t="array" ref="CA163">IF(ChoixRationComplèteCaprins=OUI,0,IFERROR(IF(OR(AND(INDEX(Règles_caprins[Specificite],MATCH(ChoixRationCaprins&amp;$BX163,Règles_caprins[Ration]&amp;Règles_caprins[Aliment],0))="s1",IF($BX163=Spécificité1Caprins,1)),
INDEX(Règles_caprins[Specificite],MATCH(ChoixRationCaprins&amp;$BX163,Règles_caprins[Ration]&amp;Règles_caprins[Aliment],0))="c"),
INDEX(Règles_caprins[Valeur 3-6],MATCH(ChoixRationCaprins&amp;$BX163,Règles_caprins[Ration]&amp;Règles_caprins[Aliment],0)),0),0)*chevrette_3_6_mois*NbreJoursNourrirCaprins)</f>
        <v>1.32</v>
      </c>
      <c r="CB163" s="350">
        <f t="array" ref="CB163">IF(ChoixRationComplèteCaprins=OUI,0,IFERROR(IF(OR(AND(INDEX(Règles_caprins[Specificite],MATCH(ChoixRationCaprins&amp;$BX163,Règles_caprins[Ration]&amp;Règles_caprins[Aliment],0))="s1",IF($BX163=Spécificité1Caprins,1)),
INDEX(Règles_caprins[Specificite],MATCH(ChoixRationCaprins&amp;$BX163,Règles_caprins[Ration]&amp;Règles_caprins[Aliment],0))="c"),
INDEX(Règles_caprins[Valeur 0-3],MATCH(ChoixRationCaprins&amp;$BX163,Règles_caprins[Ration]&amp;Règles_caprins[Aliment],0)),0),0)*chevrette_0_3_mois*NbreJoursNourrirCaprins)</f>
        <v>2.12</v>
      </c>
      <c r="CC163" s="350">
        <f t="shared" si="50"/>
        <v>26.72</v>
      </c>
      <c r="CH163" s="298"/>
      <c r="CI163" s="277"/>
      <c r="CJ163" s="350" t="str">
        <f t="shared" si="45"/>
        <v>Pulpe déshydratée de betterave</v>
      </c>
      <c r="CK163" s="351">
        <f t="array" ref="CK163">SUM((IF(QualitéAlimentsPorceletMâle_0_1_mois=BONNE,VLOOKUP("Pulpe déshydratée de betterave",AlimentsRationPorcinsMâles[],6,FALSE),0)+(IF(QualitéAlimentsPorceletFemelle_0_1_mois=BONNE,VLOOKUP("Pulpe déshydratée de betterave",AlimentsRationPorcinsFemelles[],6,FALSE),0)+(IF(QualitéAlimentsPorceletMâle_1_3_mois=BONNE,VLOOKUP("Pulpe déshydratée de betterave",AlimentsRationPorcinsMâles[],5,FALSE),0)+(IF(QualitéAlimentsPorceletFemelle_1_3_mois=BONNE,VLOOKUP("Pulpe déshydratée de betterave",AlimentsRationPorcinsFemelles[],5,FALSE),0)+(IF(QualitéAlimentsJeuneVerrat_3_6_mois=BONNE,VLOOKUP("Pulpe déshydratée de betterave",AlimentsRationPorcinsMâles[],4,FALSE),0)+(IF(QualitéAlimentsJeuneTruie_3_6_mois=BONNE,VLOOKUP("Pulpe déshydratée de betterave",AlimentsRationPorcinsFemelles[],4,FALSE),0)+(IF(QualitéAlimentsJeuneVerrat_6_12_mois=BONNE,VLOOKUP("Pulpe déshydratée de betterave",AlimentsRationPorcinsMâles[],3,FALSE),0)+(IF(QualitéAlimentsJeuneTruie_6_12_mois=BONNE,VLOOKUP("Pulpe déshydratée de betterave",AlimentsRationPorcinsFemelles[],3,FALSE),0)+(IF(QualitéAlimentsVerrat=BONNE,VLOOKUP("Avoine",AlimentsRationPorcinsMâles[],2,FALSE),0)+(IF(QualitéAlimentsTruie=BONNE,VLOOKUP("Avoine",AlimentsRationPorcinsFemelles[],2,FALSE),0))))))))))))</f>
        <v>0</v>
      </c>
      <c r="CL163" s="351">
        <f t="array" ref="CL163">SUM((IF(QualitéAlimentsPorceletMâle_0_1_mois=MOYENNE,VLOOKUP("Pulpe déshydratée de betterave",AlimentsRationPorcinsMâles[],6,FALSE),0)+(IF(QualitéAlimentsPorceletFemelle_0_1_mois=MOYENNE,VLOOKUP("Pulpe déshydratée de betterave",AlimentsRationPorcinsFemelles[],6,FALSE),0)+(IF(QualitéAlimentsPorceletMâle_1_3_mois=MOYENNE,VLOOKUP("Pulpe déshydratée de betterave",AlimentsRationPorcinsMâles[],5,FALSE),0)+(IF(QualitéAlimentsPorceletFemelle_1_3_mois=MOYENNE,VLOOKUP("Pulpe déshydratée de betterave",AlimentsRationPorcinsFemelles[],5,FALSE),0)+(IF(QualitéAlimentsJeuneVerrat_3_6_mois=MOYENNE,VLOOKUP("Pulpe déshydratée de betterave",AlimentsRationPorcinsMâles[],4,FALSE),0)+(IF(QualitéAlimentsJeuneTruie_3_6_mois=MOYENNE,VLOOKUP("Pulpe déshydratée de betterave",AlimentsRationPorcinsFemelles[],4,FALSE),0)+(IF(QualitéAlimentsJeuneVerrat_6_12_mois=MOYENNE,VLOOKUP("Pulpe déshydratée de betterave",AlimentsRationPorcinsMâles[],3,FALSE),0)+(IF(QualitéAlimentsJeuneTruie_6_12_mois=MOYENNE,VLOOKUP("Pulpe déshydratée de betterave",AlimentsRationPorcinsFemelles[],3,FALSE),0)+(IF(QualitéAlimentsVerrat=BONNE,VLOOKUP("Avoine",AlimentsRationPorcinsMâles[],2,FALSE),0)+(IF(QualitéAlimentsTruie=BONNE,VLOOKUP("Avoine",AlimentsRationPorcinsFemelles[],2,FALSE),0))))))))))))</f>
        <v>0</v>
      </c>
      <c r="CM163" s="351">
        <f t="array" ref="CM163">SUM((IF(QualitéAlimentsPorceletMâle_0_1_mois=MAUVAISE,VLOOKUP("Pulpe déshydratée de betterave",AlimentsRationPorcinsMâles[],6,FALSE),0)+(IF(QualitéAlimentsPorceletFemelle_0_1_mois=MAUVAISE,VLOOKUP("Pulpe déshydratée de betterave",AlimentsRationPorcinsFemelles[],6,FALSE),0)+(IF(QualitéAlimentsPorceletMâle_1_3_mois=MAUVAISE,VLOOKUP("Pulpe déshydratée de betterave",AlimentsRationPorcinsMâles[],5,FALSE),0)+(IF(QualitéAlimentsPorceletFemelle_1_3_mois=MAUVAISE,VLOOKUP("Pulpe déshydratée de betterave",AlimentsRationPorcinsFemelles[],5,FALSE),0)+(IF(QualitéAlimentsJeuneVerrat_3_6_mois=MAUVAISE,VLOOKUP("Pulpe déshydratée de betterave",AlimentsRationPorcinsMâles[],4,FALSE),0)+(IF(QualitéAlimentsJeuneTruie_3_6_mois=MAUVAISE,VLOOKUP("Pulpe déshydratée de betterave",AlimentsRationPorcinsFemelles[],4,FALSE),0)+(IF(QualitéAlimentsJeuneVerrat_6_12_mois=MAUVAISE,VLOOKUP("Pulpe déshydratée de betterave",AlimentsRationPorcinsMâles[],3,FALSE),0)+(IF(QualitéAlimentsJeuneTruie_6_12_mois=MAUVAISE,VLOOKUP("Pulpe déshydratée de betterave",AlimentsRationPorcinsFemelles[],3,FALSE),0)+(IF(QualitéAlimentsVerrat=BONNE,VLOOKUP("Avoine",AlimentsRationPorcinsMâles[],2,FALSE),0)+(IF(QualitéAlimentsTruie=BONNE,VLOOKUP("Avoine",AlimentsRationPorcinsFemelles[],2,FALSE),0))))))))))))</f>
        <v>0</v>
      </c>
      <c r="CN163" s="279"/>
      <c r="CO163" s="279"/>
      <c r="CP163" s="298"/>
      <c r="CS163" s="350" t="str">
        <f t="shared" si="59"/>
        <v>concentré jeunes lapins</v>
      </c>
      <c r="CT163" s="351">
        <f t="array" ref="CT163">SUM((IF(QualitéAlimentsLapereauMâle_0_1_mois=BONNE,VLOOKUP("Concentré jeunes lapins",AlimentsRationLapinsMâles[],4,FALSE),0)+(IF(QualitéAlimentsLapereauFemelle_0_1_mois=BONNE,VLOOKUP("Concentré jeunes lapins",AlimentsRationLapinsFemelles[],4,FALSE),0)+(IF(QualitéAlimentsJeuneLapin=BONNE,VLOOKUP("Concentré jeunes lapins",AlimentsRationLapinsMâles[],3,FALSE),0)+(IF(QualitéAlimentsJeuneLapine=BONNE,VLOOKUP("Concentré jeunes lapins",AlimentsRationLapinsFemelles[],3,FALSE),0)+(IF(QualitéAlimentsLapin=BONNE,VLOOKUP("Concentré jeunes lapins",AlimentsRationLapinsMâles[],2,FALSE),0)+(IF(QualitéAlimentsLapine=BONNE,VLOOKUP("Concentré jeunes lapins",AlimentsRationLapinsFemelles[],2,FALSE),0))))))))</f>
        <v>0</v>
      </c>
      <c r="CU163" s="351">
        <f t="array" ref="CU163">SUM((IF(QualitéAlimentsLapereauMâle_0_1_mois=MOYENNE,VLOOKUP("Concentré jeunes lapins",AlimentsRationLapinsMâles[],4,FALSE),0)+(IF(QualitéAlimentsLapereauFemelle_0_1_mois=MOYENNE,VLOOKUP("Concentré jeunes lapins",AlimentsRationLapinsFemelles[],4,FALSE),0)+(IF(QualitéAlimentsJeuneLapin=MOYENNE,VLOOKUP("Concentré jeunes lapins",AlimentsRationLapinsMâles[],3,FALSE),0)+(IF(QualitéAlimentsJeuneLapine=MOYENNE,VLOOKUP("Concentré jeunes lapins",AlimentsRationLapinsFemelles[],3,FALSE),0)+(IF(QualitéAlimentsLapin=MOYENNE,VLOOKUP("Concentré jeunes lapins",AlimentsRationLapinsMâles[],2,FALSE),0)+(IF(QualitéAlimentsLapine=MOYENNE,VLOOKUP("Concentré jeunes lapins",AlimentsRationLapinsFemelles[],2,FALSE),0))))))))</f>
        <v>0</v>
      </c>
      <c r="CV163" s="351">
        <f t="array" ref="CV163">SUM((IF(QualitéAlimentsLapereauMâle_0_1_mois=MAUVAISE,VLOOKUP("Concentré jeunes lapins",AlimentsRationLapinsMâles[],4,FALSE),0)+(IF(QualitéAlimentsLapereauFemelle_0_1_mois=MAUVAISE,VLOOKUP("Concentré jeunes lapins",AlimentsRationLapinsFemelles[],4,FALSE),0)+(IF(QualitéAlimentsJeuneLapin=MAUVAISE,VLOOKUP("Concentré jeunes lapins",AlimentsRationLapinsMâles[],3,FALSE),0)+(IF(QualitéAlimentsJeuneLapine=MAUVAISE,VLOOKUP("Concentré jeunes lapins",AlimentsRationLapinsFemelles[],3,FALSE),0)+(IF(QualitéAlimentsLapin=MAUVAISE,VLOOKUP("Concentré jeunes lapins",AlimentsRationLapinsMâles[],2,FALSE),0)+(IF(QualitéAlimentsLapine=MAUVAISE,VLOOKUP("Concentré jeunes lapins",AlimentsRationLapinsFemelles[],2,FALSE),0))))))))</f>
        <v>0</v>
      </c>
      <c r="CZ163" s="350" t="str">
        <f t="shared" si="58"/>
        <v>concentré jeunes porcins</v>
      </c>
      <c r="DA163" s="351">
        <f t="array" ref="DA163">SUM((IF(QualitéAlimentsPoussinMâle_0_1_mois=BONNE,VLOOKUP("Concentré jeunes porcins",AlimentsRationVolaillesMâles[],4,FALSE),0)+(IF(QualitéAlimentsPoussinFemelle_0_1_mois=BONNE,VLOOKUP("Concentré jeunes porcins",AlimentsRationVolaillesFemelles[],4,FALSE),0)+(IF(QualitéAlimentsJeuneCoq=BONNE,VLOOKUP("Concentré jeunes porcins",AlimentsRationVolaillesMâles[],3,FALSE),0)+(IF(QualitéAlimentsJeunePoule=BONNE,VLOOKUP("Concentré jeunes porcins",AlimentsRationVolaillesFemelles[],3,FALSE),0)+(IF(QualitéAlimentsCoq=BONNE,VLOOKUP("Concentré jeunes porcins",AlimentsRationVolaillesMâles[],2,FALSE),0)+(IF(QualitéAlimentsPoule=BONNE,VLOOKUP("Concentré jeunes porcins",AlimentsRationVolaillesFemelles[],2,FALSE),0))))))))</f>
        <v>0</v>
      </c>
      <c r="DB163" s="351">
        <f t="array" ref="DB163">SUM((IF(QualitéAlimentsPoussinMâle_0_1_mois=MOYENNE,VLOOKUP("Concentré jeunes porcins",AlimentsRationVolaillesMâles[],4,FALSE),0)+(IF(QualitéAlimentsPoussinFemelle_0_1_mois=MOYENNE,VLOOKUP("Concentré jeunes porcins",AlimentsRationVolaillesFemelles[],4,FALSE),0)+(IF(QualitéAlimentsJeuneCoq=MOYENNE,VLOOKUP("Concentré jeunes porcins",AlimentsRationVolaillesMâles[],3,FALSE),0)+(IF(QualitéAlimentsJeunePoule=MOYENNE,VLOOKUP("Concentré jeunes porcins",AlimentsRationVolaillesFemelles[],3,FALSE),0)+(IF(QualitéAlimentsCoq=MOYENNE,VLOOKUP("Concentré jeunes porcins",AlimentsRationVolaillesMâles[],2,FALSE),0)+(IF(QualitéAlimentsPoule=MOYENNE,VLOOKUP("Concentré jeunes porcins",AlimentsRationVolaillesFemelles[],2,FALSE),0))))))))</f>
        <v>0</v>
      </c>
      <c r="DC163" s="351">
        <f t="array" ref="DC163">SUM((IF(QualitéAlimentsPoussinMâle_0_1_mois=MAUVAISE,VLOOKUP("Concentré jeunes porcins",AlimentsRationVolaillesMâles[],4,FALSE),0)+(IF(QualitéAlimentsPoussinFemelle_0_1_mois=MAUVAISE,VLOOKUP("Concentré jeunes porcins",AlimentsRationVolaillesFemelles[],4,FALSE),0)+(IF(QualitéAlimentsJeuneCoq=MAUVAISE,VLOOKUP("Concentré jeunes porcins",AlimentsRationVolaillesMâles[],3,FALSE),0)+(IF(QualitéAlimentsJeunePoule=MAUVAISE,VLOOKUP("Concentré jeunes porcins",AlimentsRationVolaillesFemelles[],3,FALSE),0)+(IF(QualitéAlimentsCoq=MAUVAISE,VLOOKUP("Concentré jeunes porcins",AlimentsRationVolaillesMâles[],2,FALSE),0)+(IF(QualitéAlimentsPoule=MAUVAISE,VLOOKUP("Concentré jeunes porcins",AlimentsRationVolaillesFemelles[],2,FALSE),0))))))))</f>
        <v>0</v>
      </c>
      <c r="DD163" s="279"/>
      <c r="DG163" s="350" t="str">
        <f t="shared" si="52"/>
        <v>Minéraux + vitamines</v>
      </c>
      <c r="DH163" s="351">
        <f t="array" ref="DH163">SUM((IF(QualitéAlimentsPintadeauMâle_0_1_mois=BONNE,VLOOKUP("Minéraux + vitamines",AlimentsRationPintadesMâles[],4,FALSE),0)+(IF(QualitéAlimentsPintadeauFemelle_0_1_mois=BONNE,VLOOKUP("Minéraux + vitamines",AlimentsRationPintadesFemelles[],4,FALSE),0)+(IF(QualitéAlimentsJeunePintadeMâle=BONNE,VLOOKUP("Minéraux + vitamines",AlimentsRationPintadesMâles[],3,FALSE),0)+(IF(QualitéAlimentsJeunePintadeFemelle=BONNE,VLOOKUP("Minéraux + vitamines",AlimentsRationPintadesFemelles[],3,FALSE),0)+(IF(QualitéAlimentsPintadeMâle=BONNE,VLOOKUP("Minéraux + vitamines",AlimentsRationPintadesMâles[],2,FALSE),0)+(IF(QualitéAlimentsPintadeFemelle=BONNE,VLOOKUP("Minéraux + vitamines",AlimentsRationPintadesFemelles[],2,FALSE),0))))))))</f>
        <v>0</v>
      </c>
      <c r="DI163" s="351">
        <f t="array" ref="DI163">SUM((IF(QualitéAlimentsPintadeauMâle_0_1_mois=MOYENNE,VLOOKUP("Minéraux + vitamines",AlimentsRationPintadesMâles[],4,FALSE),0)+(IF(QualitéAlimentsPintadeauFemelle_0_1_mois=MOYENNE,VLOOKUP("Minéraux + vitamines",AlimentsRationPintadesFemelles[],4,FALSE),0)+(IF(QualitéAlimentsJeunePintadeMâle=MOYENNE,VLOOKUP("Minéraux + vitamines",AlimentsRationPintadesMâles[],3,FALSE),0)+(IF(QualitéAlimentsJeunePintadeFemelle=MOYENNE,VLOOKUP("Minéraux + vitamines",AlimentsRationPintadesFemelles[],3,FALSE),0)+(IF(QualitéAlimentsPintadeMâle=MOYENNE,VLOOKUP("Minéraux + vitamines",AlimentsRationPintadesMâles[],2,FALSE),0)+(IF(QualitéAlimentsPintadeFemelle=MOYENNE,VLOOKUP("Minéraux + vitamines",AlimentsRationPintadesFemelles[],2,FALSE),0))))))))</f>
        <v>0</v>
      </c>
      <c r="DJ163" s="351">
        <f t="array" ref="DJ163">SUM((IF(QualitéAlimentsPintadeauMâle_0_1_mois=MAUVAISE,VLOOKUP("Minéraux + vitamines",AlimentsRationPintadesMâles[],4,FALSE),0)+(IF(QualitéAlimentsPintadeauFemelle_0_1_mois=MAUVAISE,VLOOKUP("Minéraux + vitamines",AlimentsRationPintadesFemelles[],4,FALSE),0)+(IF(QualitéAlimentsJeunePintadeMâle=MAUVAISE,VLOOKUP("Minéraux + vitamines",AlimentsRationPintadesMâles[],3,FALSE),0)+(IF(QualitéAlimentsJeunePintadeFemelle=MAUVAISE,VLOOKUP("Minéraux + vitamines",AlimentsRationPintadesFemelles[],3,FALSE),0)+(IF(QualitéAlimentsPintadeMâle=MAUVAISE,VLOOKUP("Minéraux + vitamines",AlimentsRationPintadesMâles[],2,FALSE),0)+(IF(QualitéAlimentsPintadeFemelle=MAUVAISE,VLOOKUP("Minéraux + vitamines",AlimentsRationPintadesFemelles[],2,FALSE),0))))))))</f>
        <v>0</v>
      </c>
      <c r="DN163" s="350" t="s">
        <v>233</v>
      </c>
      <c r="DO163" s="351">
        <f t="array" ref="DO163">IF(ChoixRationComplèteOvins=OUI,0,IFERROR(IF(OR(AND(INDEX(Règles_ovins[Specificite],MATCH(ChoixRationOvins&amp;$DN163,Règles_ovins[Ration]&amp;Règles_ovins[Aliment],0))="s1",IF($DN163=Spécificité1Ovins,1)),
AND(INDEX(Règles_ovins[Specificite],MATCH(ChoixRationOvins&amp;$DN163,Règles_ovins[Ration]&amp;Règles_ovins[Aliment],0))="s2",IF($DN163=Spécificité2Ovins,1)),
INDEX(Règles_ovins[Specificite],MATCH(ChoixRationOvins&amp;$DN163,Règles_ovins[Ration]&amp;Règles_ovins[Aliment],0))="c"),
INDEX(Règles_ovins[Valeur 12 et plus],MATCH(ChoixRationOvins&amp;$DN163,Règles_ovins[Ration]&amp;Règles_ovins[Aliment],0)),0),0)*IF(ChoixOvinsPréHiver=OUI,SUM(TotalOvinsAdultesRacesLaitières)*NbreJoursNourrirOvins,TotalBéliers*NbreJoursNourrirOvins))</f>
        <v>0</v>
      </c>
      <c r="DP163" s="351">
        <f t="array" ref="DP163">IF(ChoixRationComplèteOvins=OUI,0,IFERROR(IF(OR(AND(INDEX(Règles_ovins[Specificite],MATCH(ChoixRationOvins&amp;$DN163,Règles_ovins[Ration]&amp;Règles_ovins[Aliment],0))="s1",IF($DN163=Spécificité1Ovins,1)),
AND(INDEX(Règles_ovins[Specificite],MATCH(ChoixRationOvins&amp;$DN163,Règles_ovins[Ration]&amp;Règles_ovins[Aliment],0))="s2",IF($DN163=Spécificité2Ovins,1)),
INDEX(Règles_ovins[Specificite],MATCH(ChoixRationOvins&amp;$DN163,Règles_ovins[Ration]&amp;Règles_ovins[Aliment],0))="c"),
INDEX(Règles_ovins[Valeur 6-12],MATCH(ChoixRationOvins&amp;$DN163,Règles_ovins[Ration]&amp;Règles_ovins[Aliment],0)),0),0)*IF(ChoixOvinsPréHiver=OUI,SUM(TotalJeunesOvinsRacesLaitières)*NbreJoursNourrirOvins,TotalJeune_bélier_6_12_mois*NbreJoursNourrirOvins))</f>
        <v>0</v>
      </c>
      <c r="DQ163" s="351">
        <f t="array" ref="DQ163">IF(ChoixRationComplèteOvins=OUI,0,IFERROR(IF(OR(AND(INDEX(Règles_ovins[Specificite],MATCH(ChoixRationOvins&amp;$DN163,Règles_ovins[Ration]&amp;Règles_ovins[Aliment],0))="s1",IF($DN163=Spécificité1Ovins,1)),
AND(INDEX(Règles_ovins[Specificite],MATCH(ChoixRationOvins&amp;$DN163,Règles_ovins[Ration]&amp;Règles_ovins[Aliment],0))="s2",IF($DN163=Spécificité2Ovins,1)),
INDEX(Règles_ovins[Specificite],MATCH(ChoixRationOvins&amp;$DN163,Règles_ovins[Ration]&amp;Règles_ovins[Aliment],0))="c"),
INDEX(Règles_ovins[Valeur 3-6],MATCH(ChoixRationOvins&amp;$DN163,Règles_ovins[Ration]&amp;Règles_ovins[Aliment],0)),0),0)*IF(ChoixOvinsPréHiver=OUI,SUM(TotalOvins_3_6moisRacesLaitières)*NbreJoursNourrirOvins,TotalAgneau_3_6_mois*NbreJoursNourrirOvins))</f>
        <v>0</v>
      </c>
      <c r="DR163" s="351">
        <f t="array" ref="DR163">IF(ChoixRationComplèteOvins=OUI,0,IFERROR(IF(OR(AND(INDEX(Règles_ovins[Specificite],MATCH(ChoixRationOvins&amp;$DN163,Règles_ovins[Ration]&amp;Règles_ovins[Aliment],0))="s1",IF($DN163=Spécificité1Ovins,1)),
AND(INDEX(Règles_ovins[Specificite],MATCH(ChoixRationOvins&amp;$DN163,Règles_ovins[Ration]&amp;Règles_ovins[Aliment],0))="s2",IF($DN163=Spécificité2Ovins,1)),
INDEX(Règles_ovins[Specificite],MATCH(ChoixRationOvins&amp;$DN163,Règles_ovins[Ration]&amp;Règles_ovins[Aliment],0))="c"),
INDEX(Règles_ovins[Valeur 0-3],MATCH(ChoixRationOvins&amp;$DN163,Règles_ovins[Ration]&amp;Règles_ovins[Aliment],0)),0),0)*IF(ChoixOvinsPréHiver=OUI,SUM(TotalOvins_3_6moisRacesLaitières)*NbreJoursNourrirOvins,TotalAgneau_0_3_mois*NbreJoursNourrirOvins))</f>
        <v>0</v>
      </c>
      <c r="DS163" s="441">
        <f t="shared" si="55"/>
        <v>0</v>
      </c>
      <c r="EG163" s="350" t="str">
        <f t="shared" si="57"/>
        <v>Féverole</v>
      </c>
      <c r="EH163" s="351">
        <f t="array" ref="EH163">SUM((IF(QualitéAlimentsOisonMâle_0_3_mois=BONNE,VLOOKUP("Féverole",AlimentsRationOiesMâles[],4,FALSE),0)+(IF(QualitéAlimentsOisonFemelle_0_3_mois=BONNE,VLOOKUP("Féverole",AlimentsRationOiesFemelles[],4,FALSE),0)+(IF(QualitéAlimentsJeuneJars=BONNE,VLOOKUP("Féverole",AlimentsRationOiesMâles[],3,FALSE),0)+(IF(QualitéAlimentsJeuneOie=BONNE,VLOOKUP("Féverole",AlimentsRationOiesFemelles[],3,FALSE),0)+(IF(QualitéAlimentsJars=BONNE,VLOOKUP("Féverole",AlimentsRationOiesMâles[],2,FALSE),0)+(IF(QualitéAlimentsOie=BONNE,VLOOKUP("Féverole",AlimentsRationOiesFemelles[],2,FALSE),0))))))))</f>
        <v>0</v>
      </c>
      <c r="EI163" s="351">
        <f t="array" ref="EI163">SUM((IF(QualitéAlimentsOisonMâle_0_3_mois=MOYENNE,VLOOKUP("Féverole",AlimentsRationOiesMâles[],4,FALSE),0)+(IF(QualitéAlimentsOisonFemelle_0_3_mois=MOYENNE,VLOOKUP("Féverole",AlimentsRationOiesFemelles[],4,FALSE),0)+(IF(QualitéAlimentsJeuneJars=MOYENNE,VLOOKUP("Féverole",AlimentsRationOiesMâles[],3,FALSE),0)+(IF(QualitéAlimentsJeuneOie=MOYENNE,VLOOKUP("Féverole",AlimentsRationOiesFemelles[],3,FALSE),0)+(IF(QualitéAlimentsJars=MOYENNE,VLOOKUP("Féverole",AlimentsRationOiesMâles[],2,FALSE),0)+(IF(QualitéAlimentsOie=MOYENNE,VLOOKUP("Féverole",AlimentsRationOiesFemelles[],2,FALSE),0))))))))</f>
        <v>0</v>
      </c>
      <c r="EJ163" s="351">
        <f t="array" ref="EJ163">SUM((IF(QualitéAlimentsOisonMâle_0_3_mois=MAUVAISE,VLOOKUP("Féverole",AlimentsRationOiesMâles[],4,FALSE),0)+(IF(QualitéAlimentsOisonFemelle_0_3_mois=MAUVAISE,VLOOKUP("Féverole",AlimentsRationOiesFemelles[],4,FALSE),0)+(IF(QualitéAlimentsJeuneJars=MAUVAISE,VLOOKUP("Féverole",AlimentsRationOiesMâles[],3,FALSE),0)+(IF(QualitéAlimentsJeuneOie=MAUVAISE,VLOOKUP("Féverole",AlimentsRationOiesFemelles[],3,FALSE),0)+(IF(QualitéAlimentsJars=MAUVAISE,VLOOKUP("Féverole",AlimentsRationOiesMâles[],2,FALSE),0)+(IF(QualitéAlimentsOie=MAUVAISE,VLOOKUP("Féverole",AlimentsRationOiesFemelles[],2,FALSE),0))))))))</f>
        <v>0</v>
      </c>
      <c r="EN163" s="457" t="str">
        <f t="shared" si="56"/>
        <v>Foin</v>
      </c>
      <c r="EO163" s="458">
        <f t="array" ref="EO163">SUM((IF(QualitéAlimentsCanetonMâle=BONNE,VLOOKUP("Foin",AlimentsRationCanardsMâles,4,FALSE),0)+(IF(QualitéAlimentsCanetonFemelle=BONNE,VLOOKUP("Foin",AlimentsRationCanardsFemelles,4,FALSE),0)+(IF(QualitéAlimentsJeuneCanard=BONNE,VLOOKUP("Foin",AlimentsRationCanardsMâles,3,FALSE),0)+(IF(QualitéAlimentsJeuneCane=BONNE,VLOOKUP("Foin",AlimentsRationCanardsFemelles,3,FALSE),0)+(IF(QualitéAlimentsCanard=BONNE,VLOOKUP("Foin",AlimentsRationCanardsMâles,2,FALSE),0)+(IF(QualitéAlimentsCane=BONNE,VLOOKUP("Foin",AlimentsRationCanardsFemelles,2,FALSE),0))))))))</f>
        <v>0</v>
      </c>
      <c r="EP163" s="458">
        <f t="array" ref="EP163">SUM((IF(QualitéAlimentsCanetonMâle=MOYENNE,VLOOKUP("Foin",AlimentsRationCanardsMâles,4,FALSE),0)+(IF(QualitéAlimentsCanetonFemelle=MOYENNE,VLOOKUP("Foin",AlimentsRationCanardsFemelles,4,FALSE),0)+(IF(QualitéAlimentsJeuneCanard=MOYENNE,VLOOKUP("Foin",AlimentsRationCanardsMâles,3,FALSE),0)+(IF(QualitéAlimentsJeuneCane=MOYENNE,VLOOKUP("Foin",AlimentsRationCanardsFemelles,3,FALSE),0)+(IF(QualitéAlimentsCanard=MOYENNE,VLOOKUP("Foin",AlimentsRationCanardsMâles,2,FALSE),0)+(IF(QualitéAlimentsCane=MOYENNE,VLOOKUP("Foin",AlimentsRationCanardsFemelles,2,FALSE),0))))))))</f>
        <v>0</v>
      </c>
      <c r="EQ163" s="458">
        <f t="array" ref="EQ163">SUM((IF(QualitéAlimentsCanetonMâle=MAUVAISE,VLOOKUP("Foin",AlimentsRationCanardsMâles,4,FALSE),0)+(IF(QualitéAlimentsCanetonFemelle=MAUVAISE,VLOOKUP("Foin",AlimentsRationCanardsFemelles,4,FALSE),0)+(IF(QualitéAlimentsJeuneCanard=MAUVAISE,VLOOKUP("Foin",AlimentsRationCanardsMâles,3,FALSE),0)+(IF(QualitéAlimentsJeuneCane=MAUVAISE,VLOOKUP("Foin",AlimentsRationCanardsFemelles,3,FALSE),0)+(IF(QualitéAlimentsCanard=MAUVAISE,VLOOKUP("Foin",AlimentsRationCanardsMâles,2,FALSE),0)+(IF(QualitéAlimentsCane=MAUVAISE,VLOOKUP("Foin",AlimentsRationCanardsFemelles,2,FALSE),0))))))))</f>
        <v>0</v>
      </c>
      <c r="EU163" s="457" t="str">
        <f t="shared" si="54"/>
        <v>Haricot vert</v>
      </c>
      <c r="EV163" s="458">
        <f t="array" ref="EV163">IF(OR(ChoixRationHivernaleComplèteChevauxSelle=OUI,ChoixRationHivernaleComplèteChevauxSelle="",ChoixChevauxSellePréHiver=NON),0,IFERROR(IF(OR(AND(INDEX(Règles_chevaux_selle[Specificite],MATCH(RationHivernaleAuPréChevauxSelle&amp;$EU163,Règles_chevaux_selle[Ration]&amp;Règles_chevaux_selle[Aliment],0))="s1",IF($EU163=Spécificité1ChevauxSelle,1)),
AND(INDEX(Règles_chevaux_selle[Specificite],MATCH(RationHivernaleAuPréChevauxSelle&amp;$EU163,Règles_chevaux_selle[Ration]&amp;Règles_chevaux_selle[Aliment],0))="s2",IF($EU163=Spécificité2ChevauxSelle,1)),
INDEX(Règles_chevaux_selle[Specificite],MATCH(RationHivernaleAuPréChevauxSelle&amp;$EU163,Règles_chevaux_selle[Ration]&amp;Règles_chevaux_selle[Aliment],0))="c"),
INDEX(Règles_chevaux_selle[Valeur 36 et plus],MATCH(RationHivernaleAuPréChevauxSelle&amp;$EU163,Règles_chevaux_selle[Ration]&amp;Règles_chevaux_selle[Aliment],0)),0),0)*SUM(TotalChevauxSelleAdultes)*21)</f>
        <v>0</v>
      </c>
      <c r="EW163" s="458">
        <f t="array" ref="EW163">IF(OR(ChoixRationHivernaleComplèteChevauxSelle=OUI,ChoixRationHivernaleComplèteChevauxSelle="",ChoixChevauxSellePréHiver=NON),0,IFERROR(IF(OR(AND(INDEX(Règles_chevaux_selle[Specificite],MATCH(RationHivernaleAuPréChevauxSelle&amp;$EU163,Règles_chevaux_selle[Ration]&amp;Règles_chevaux_selle[Aliment],0))="s1",IF($EU163=Spécificité1ChevauxSelle,1)),
AND(INDEX(Règles_chevaux_selle[Specificite],MATCH(RationHivernaleAuPréChevauxSelle&amp;$EU163,Règles_chevaux_selle[Ration]&amp;Règles_chevaux_selle[Aliment],0))="s2",IF($EU163=Spécificité2ChevauxSelle,1)),
INDEX(Règles_chevaux_selle[Specificite],MATCH(RationHivernaleAuPréChevauxSelle&amp;$EU163,Règles_chevaux_selle[Ration]&amp;Règles_chevaux_selle[Aliment],0))="c"),
INDEX(Règles_chevaux_selle[Valeur 24-36],MATCH(RationHivernaleAuPréChevauxSelle&amp;$EU163,Règles_chevaux_selle[Ration]&amp;Règles_chevaux_selle[Aliment],0)),0),0)*SUM(TotalChevauxSelle_24_36mois)*21)</f>
        <v>0</v>
      </c>
      <c r="EX163" s="458">
        <f t="array" ref="EX163">IF(OR(ChoixRationHivernaleComplèteChevauxSelle=OUI,ChoixRationHivernaleComplèteChevauxSelle="",ChoixChevauxSellePréHiver=NON),0,IFERROR(IF(OR(AND(INDEX(Règles_chevaux_selle[Specificite],MATCH(RationHivernaleAuPréChevauxSelle&amp;$EU163,Règles_chevaux_selle[Ration]&amp;Règles_chevaux_selle[Aliment],0))="s1",IF($EU163=Spécificité1ChevauxSelle,1)),
AND(INDEX(Règles_chevaux_selle[Specificite],MATCH(RationHivernaleAuPréChevauxSelle&amp;$EU163,Règles_chevaux_selle[Ration]&amp;Règles_chevaux_selle[Aliment],0))="s2",IF($EU163=Spécificité2ChevauxSelle,1)),
INDEX(Règles_chevaux_selle[Specificite],MATCH(RationHivernaleAuPréChevauxSelle&amp;$EU163,Règles_chevaux_selle[Ration]&amp;Règles_chevaux_selle[Aliment],0))="c"),
INDEX(Règles_chevaux_selle[Valeur 12-24],MATCH(RationHivernaleAuPréChevauxSelle&amp;$EU163,Règles_chevaux_selle[Ration]&amp;Règles_chevaux_selle[Aliment],0)),0),0)*SUM(TotalChevauxSelle_12_24mois)*21)</f>
        <v>0</v>
      </c>
      <c r="EY163" s="460">
        <f t="array" ref="EY163">IF(OR(ChoixRationHivernaleComplèteChevauxSelle=OUI,ChoixRationHivernaleComplèteChevauxSelle="",ChoixChevauxSellePréHiver=NON),0,IFERROR(IF(OR(AND(INDEX(Règles_chevaux_selle[Specificite],MATCH(RationHivernaleAuPréChevauxSelle&amp;$EU163,Règles_chevaux_selle[Ration]&amp;Règles_chevaux_selle[Aliment],0))="s1",IF($EU163=Spécificité1ChevauxSelle,1)),
AND(INDEX(Règles_chevaux_selle[Specificite],MATCH(RationHivernaleAuPréChevauxSelle&amp;$EU163,Règles_chevaux_selle[Ration]&amp;Règles_chevaux_selle[Aliment],0))="s2",IF($EU163=Spécificité2ChevauxSelle,1)),
INDEX(Règles_chevaux_selle[Specificite],MATCH(RationHivernaleAuPréChevauxSelle&amp;$EU163,Règles_chevaux_selle[Ration]&amp;Règles_chevaux_selle[Aliment],0))="c"),
INDEX(Règles_chevaux_selle[Valeur 0-12],MATCH(RationHivernaleAuPréChevauxSelle&amp;$EU163,Règles_chevaux_selle[Ration]&amp;Règles_chevaux_selle[Aliment],0)),0),0)*SUM(TotalPoulainsSelle)*21)</f>
        <v>0</v>
      </c>
      <c r="EZ163" s="460">
        <f t="shared" si="53"/>
        <v>0</v>
      </c>
      <c r="FD163" s="457" t="str">
        <f t="shared" si="49"/>
        <v>Paille</v>
      </c>
      <c r="FE163" s="458">
        <f t="array" ref="FE163">IF(OR(ChoixRationHivernaleComplèteChevauxTrait=OUI,ChoixRationHivernaleComplèteChevauxTrait="",ChoixChevauxTraitPréHiver=NON),0,IFERROR(IF(OR(AND(INDEX(Règles_chevaux_trait[Specificite],MATCH(RationHivernaleAuPréChevauxTrait&amp;$FD163,Règles_chevaux_trait[Ration]&amp;Règles_chevaux_trait[Aliment],0))="s1",IF($FD163=Spécificité1ChevauxTrait,1)),
AND(INDEX(Règles_chevaux_trait[Specificite],MATCH(RationHivernaleAuPréChevauxTrait&amp;$FD163,Règles_chevaux_trait[Ration]&amp;Règles_chevaux_trait[Aliment],0))="s2",IF($FD163=Spécificité2ChevauxTrait,1)),
INDEX(Règles_chevaux_trait[Specificite],MATCH(RationHivernaleAuPréChevauxTrait&amp;$FD163,Règles_chevaux_trait[Ration]&amp;Règles_chevaux_trait[Aliment],0))="c"),
INDEX(Règles_chevaux_trait[Valeur 36 et plus],MATCH(RationHivernaleAuPréChevauxTrait&amp;$FD163,Règles_chevaux_trait[Ration]&amp;Règles_chevaux_trait[Aliment],0)),0),0)*SUM(TotalChevauxTraitAdultes)*21)</f>
        <v>0</v>
      </c>
      <c r="FF163" s="458">
        <f t="array" ref="FF163">IF(OR(ChoixRationHivernaleComplèteChevauxTrait=OUI,ChoixRationHivernaleComplèteChevauxTrait="",ChoixChevauxTraitPréHiver=NON),0,IFERROR(IF(OR(AND(INDEX(Règles_chevaux_trait[Specificite],MATCH(RationHivernaleAuPréChevauxTrait&amp;$FD163,Règles_chevaux_trait[Ration]&amp;Règles_chevaux_trait[Aliment],0))="s1",IF($FD163=Spécificité1ChevauxTrait,1)),
AND(INDEX(Règles_chevaux_trait[Specificite],MATCH(RationHivernaleAuPréChevauxTrait&amp;$FD163,Règles_chevaux_trait[Ration]&amp;Règles_chevaux_trait[Aliment],0))="s2",IF($FD163=Spécificité2ChevauxTrait,1)),
INDEX(Règles_chevaux_trait[Specificite],MATCH(RationHivernaleAuPréChevauxTrait&amp;$FD163,Règles_chevaux_trait[Ration]&amp;Règles_chevaux_trait[Aliment],0))="c"),
INDEX(Règles_chevaux_trait[Valeur 24-36],MATCH(RationHivernaleAuPréChevauxTrait&amp;$FD163,Règles_chevaux_trait[Ration]&amp;Règles_chevaux_trait[Aliment],0)),0),0)*SUM(TotalChevauxTrait_24_36mois)*21)</f>
        <v>0</v>
      </c>
      <c r="FG163" s="458">
        <f t="array" ref="FG163">IF(OR(ChoixRationHivernaleComplèteChevauxTrait=OUI,ChoixRationHivernaleComplèteChevauxTrait="",ChoixChevauxTraitPréHiver=NON),0,IFERROR(IF(OR(AND(INDEX(Règles_chevaux_trait[Specificite],MATCH(RationHivernaleAuPréChevauxTrait&amp;$FD163,Règles_chevaux_trait[Ration]&amp;Règles_chevaux_trait[Aliment],0))="s1",IF($FD163=Spécificité1ChevauxTrait,1)),
AND(INDEX(Règles_chevaux_trait[Specificite],MATCH(RationHivernaleAuPréChevauxTrait&amp;$FD163,Règles_chevaux_trait[Ration]&amp;Règles_chevaux_trait[Aliment],0))="s2",IF($FD163=Spécificité2ChevauxTrait,1)),
INDEX(Règles_chevaux_trait[Specificite],MATCH(RationHivernaleAuPréChevauxTrait&amp;$FD163,Règles_chevaux_trait[Ration]&amp;Règles_chevaux_trait[Aliment],0))="c"),
INDEX(Règles_chevaux_trait[Valeur 12-24],MATCH(RationHivernaleAuPréChevauxTrait&amp;$FD163,Règles_chevaux_trait[Ration]&amp;Règles_chevaux_trait[Aliment],0)),0),0)*SUM(TotalChevauxTrait_12_24mois)*21)</f>
        <v>0</v>
      </c>
      <c r="FH163" s="460">
        <f t="array" ref="FH163">IF(OR(ChoixRationHivernaleComplèteChevauxTrait=OUI,ChoixRationHivernaleComplèteChevauxTrait="",ChoixChevauxTraitPréHiver=NON),0,IFERROR(IF(OR(AND(INDEX(Règles_chevaux_trait[Specificite],MATCH(RationHivernaleAuPréChevauxTrait&amp;$FD163,Règles_chevaux_trait[Ration]&amp;Règles_chevaux_trait[Aliment],0))="s1",IF($FD163=Spécificité1ChevauxTrait,1)),
AND(INDEX(Règles_chevaux_trait[Specificite],MATCH(RationHivernaleAuPréChevauxTrait&amp;$FD163,Règles_chevaux_trait[Ration]&amp;Règles_chevaux_trait[Aliment],0))="s2",IF($FD163=Spécificité2ChevauxTrait,1)),
INDEX(Règles_chevaux_trait[Specificite],MATCH(RationHivernaleAuPréChevauxTrait&amp;$FD163,Règles_chevaux_trait[Ration]&amp;Règles_chevaux_trait[Aliment],0))="c"),
INDEX(Règles_chevaux_trait[Valeur 0-12],MATCH(RationHivernaleAuPréChevauxTrait&amp;$FD163,Règles_chevaux_trait[Ration]&amp;Règles_chevaux_trait[Aliment],0)),0),0)*SUM(TotalPoulainsTrait)*21)</f>
        <v>0</v>
      </c>
      <c r="FI163" s="460">
        <f t="shared" si="47"/>
        <v>0</v>
      </c>
      <c r="FN163" s="457" t="str">
        <f t="shared" si="48"/>
        <v>Pois</v>
      </c>
      <c r="FO163" s="458">
        <f t="array" ref="FO163">IF(OR(ChoixRationHivernaleComplètePoneys=OUI,ChoixRationHivernaleComplètePoneys="",ChoixPoneysPréHiver=NON),0,IFERROR(IF(OR(AND(INDEX(Règles_poneys[Specificite],MATCH(RationHivernaleAuPréPoneys&amp;$FN163,Règles_poneys[Ration]&amp;Règles_poneys[Aliment],0))="s1",IF($FN163=Spécificité1Poneys,1)),
AND(INDEX(Règles_poneys[Specificite],MATCH(RationHivernaleAuPréPoneys&amp;$FN163,Règles_poneys[Ration]&amp;Règles_poneys[Aliment],0))="s2",IF($FN163=Spécificité2Poneys,1)),
INDEX(Règles_poneys[Specificite],MATCH(RationHivernaleAuPréPoneys&amp;$FN163,Règles_poneys[Ration]&amp;Règles_poneys[Aliment],0))="c"),
INDEX(Règles_poneys[Valeur 36 et plus],MATCH(RationHivernaleAuPréPoneys&amp;$FN163,Règles_poneys[Ration]&amp;Règles_poneys[Aliment],0)),0),0)*SUM(TotalPoneysAdultes)*21)</f>
        <v>0</v>
      </c>
      <c r="FP163" s="458">
        <f t="array" ref="FP163">IF(OR(ChoixRationHivernaleComplètePoneys=OUI,ChoixRationHivernaleComplètePoneys="",ChoixPoneysPréHiver=NON),0,IFERROR(IF(OR(AND(INDEX(Règles_poneys[Specificite],MATCH(RationHivernaleAuPréPoneys&amp;$FN163,Règles_poneys[Ration]&amp;Règles_poneys[Aliment],0))="s1",IF($FN163=Spécificité1Poneys,1)),
AND(INDEX(Règles_poneys[Specificite],MATCH(RationHivernaleAuPréPoneys&amp;$FN163,Règles_poneys[Ration]&amp;Règles_poneys[Aliment],0))="s2",IF($FN163=Spécificité2Poneys,1)),
INDEX(Règles_poneys[Specificite],MATCH(RationHivernaleAuPréPoneys&amp;$FN163,Règles_poneys[Ration]&amp;Règles_poneys[Aliment],0))="c"),
INDEX(Règles_poneys[Valeur 24-36],MATCH(RationHivernaleAuPréPoneys&amp;$FN163,Règles_poneys[Ration]&amp;Règles_poneys[Aliment],0)),0),0)*SUM(TotalPoneys_24_36mois)*21)</f>
        <v>0</v>
      </c>
      <c r="FQ163" s="458">
        <f t="array" ref="FQ163">IF(OR(ChoixRationHivernaleComplètePoneys=OUI,ChoixRationHivernaleComplètePoneys="",ChoixPoneysPréHiver=NON),0,IFERROR(IF(OR(AND(INDEX(Règles_poneys[Specificite],MATCH(RationHivernaleAuPréPoneys&amp;$FN163,Règles_poneys[Ration]&amp;Règles_poneys[Aliment],0))="s1",IF($FN163=Spécificité1Poneys,1)),
AND(INDEX(Règles_poneys[Specificite],MATCH(RationHivernaleAuPréPoneys&amp;$FN163,Règles_poneys[Ration]&amp;Règles_poneys[Aliment],0))="s2",IF($FN163=Spécificité2Poneys,1)),
INDEX(Règles_poneys[Specificite],MATCH(RationHivernaleAuPréPoneys&amp;$FN163,Règles_poneys[Ration]&amp;Règles_poneys[Aliment],0))="c"),
INDEX(Règles_poneys[Valeur 12-24],MATCH(RationHivernaleAuPréPoneys&amp;$FN163,Règles_poneys[Ration]&amp;Règles_poneys[Aliment],0)),0),0)*SUM(TotalPoneys_12_24mois)*21)</f>
        <v>0</v>
      </c>
      <c r="FR163" s="460">
        <f t="array" ref="FR163">IF(OR(ChoixRationHivernaleComplètePoneys=OUI,ChoixRationHivernaleComplètePoneys="",ChoixPoneysPréHiver=NON),0,IFERROR(IF(OR(AND(INDEX(Règles_poneys[Specificite],MATCH(RationHivernaleAuPréPoneys&amp;$FN163,Règles_poneys[Ration]&amp;Règles_poneys[Aliment],0))="s1",IF($FN163=Spécificité1Poneys,1)),
AND(INDEX(Règles_poneys[Specificite],MATCH(RationHivernaleAuPréPoneys&amp;$FN163,Règles_poneys[Ration]&amp;Règles_poneys[Aliment],0))="s2",IF($FN163=Spécificité2Poneys,1)),
INDEX(Règles_poneys[Specificite],MATCH(RationHivernaleAuPréPoneys&amp;$FN163,Règles_poneys[Ration]&amp;Règles_poneys[Aliment],0))="c"),
INDEX(Règles_poneys[Valeur 0-12],MATCH(RationHivernaleAuPréPoneys&amp;$FN163,Règles_poneys[Ration]&amp;Règles_poneys[Aliment],0)),0),0)*SUM(TotalPoulainsPoneys)*21)</f>
        <v>0</v>
      </c>
      <c r="FS163" s="460">
        <f t="shared" si="46"/>
        <v>0</v>
      </c>
      <c r="FW163" s="457" t="str">
        <f t="shared" si="44"/>
        <v>Soja</v>
      </c>
      <c r="FX163" s="458">
        <f t="array" ref="FX163">SUM((IF(QualitéAlimentsGavageOison_0_1_mois=BONNE,VLOOKUP("Soja",AlimentsGavageOie,5,FALSE),0)+(IF(QualitéAlimentsGavageCaneton_0_1_mois=BONNE,VLOOKUP("Soja",AlimentsGavageCanard,5,FALSE),0)+(IF(QualitéAlimentsGavageOison_1_2_mois=BONNE,VLOOKUP("Soja",AlimentsGavageOie,4,FALSE),0)+(IF(QualitéAlimentsGavageCaneton_1_2_mois=BONNE,VLOOKUP("Soja",AlimentsGavageCanard,4,FALSE),0)+(IF(QualitéAlimentsGavageOison_2_3_mois=BONNE,VLOOKUP("Soja",AlimentsGavageOie,3,FALSE),0)+(IF(QualitéAlimentsGavageCaneton_2_3_mois=BONNE,VLOOKUP("Soja",AlimentsGavageCanard,3,FALSE),0)+(IF(QualitéAlimentsGavageJeunesOies=BONNE,VLOOKUP("Soja",AlimentsGavageOie,2,FALSE),0)+(IF(QualitéAlimentsGavageJeuneCanard=BONNE,VLOOKUP("Soja",AlimentsGavageCanard,2,FALSE),0))))))))))</f>
        <v>0</v>
      </c>
      <c r="FY163" s="458">
        <f t="array" ref="FY163">SUM((IF(QualitéAlimentsGavageOison_0_1_mois=MOYENNE,VLOOKUP("Soja",AlimentsGavageOie,5,FALSE),0)+(IF(QualitéAlimentsGavageCaneton_0_1_mois=MOYENNE,VLOOKUP("Soja",AlimentsGavageCanard,5,FALSE),0)+(IF(QualitéAlimentsGavageOison_1_2_mois=MOYENNE,VLOOKUP("Soja",AlimentsGavageOie,4,FALSE),0)+(IF(QualitéAlimentsGavageCaneton_1_2_mois=MOYENNE,VLOOKUP("Soja",AlimentsGavageCanard,4,FALSE),0)+(IF(QualitéAlimentsGavageOison_2_3_mois=MOYENNE,VLOOKUP("Soja",AlimentsGavageOie,3,FALSE),0)+(IF(QualitéAlimentsGavageCaneton_2_3_mois=MOYENNE,VLOOKUP("Soja",AlimentsGavageCanard,3,FALSE),0)+(IF(QualitéAlimentsGavageJeunesOies=MOYENNE,VLOOKUP("Soja",AlimentsGavageOie,2,FALSE),0)+(IF(QualitéAlimentsGavageJeuneCanard=MOYENNE,VLOOKUP("Soja",AlimentsGavageCanard,2,FALSE),0))))))))))</f>
        <v>0</v>
      </c>
      <c r="FZ163" s="458">
        <f t="array" ref="FZ163">SUM((IF(QualitéAlimentsGavageOison_0_1_mois=MAUVAISE,VLOOKUP("Soja",AlimentsGavageOie,5,FALSE),0)+(IF(QualitéAlimentsGavageCaneton_0_1_mois=MAUVAISE,VLOOKUP("Soja",AlimentsGavageCanard,5,FALSE),0)+(IF(QualitéAlimentsGavageOison_1_2_mois=MAUVAISE,VLOOKUP("Soja",AlimentsGavageOie,4,FALSE),0)+(IF(QualitéAlimentsGavageCaneton_1_2_mois=MAUVAISE,VLOOKUP("Soja",AlimentsGavageCanard,4,FALSE),0)+(IF(QualitéAlimentsGavageOison_2_3_mois=MAUVAISE,VLOOKUP("Soja",AlimentsGavageOie,3,FALSE),0)+(IF(QualitéAlimentsGavageCaneton_2_3_mois=MAUVAISE,VLOOKUP("Soja",AlimentsGavageCanard,3,FALSE),0)+(IF(QualitéAlimentsGavageJeunesOies=MAUVAISE,VLOOKUP("Soja",AlimentsGavageOie,2,FALSE),0)+(IF(QualitéAlimentsGavageJeuneCanard=MAUVAISE,VLOOKUP("Soja",AlimentsGavageCanard,2,FALSE),0))))))))))</f>
        <v>0</v>
      </c>
      <c r="GB163" s="281"/>
      <c r="GG163" s="276" t="s">
        <v>955</v>
      </c>
      <c r="GH163" s="276" t="s">
        <v>955</v>
      </c>
      <c r="GI163" s="276" t="s">
        <v>955</v>
      </c>
      <c r="GJ163" s="276" t="s">
        <v>955</v>
      </c>
      <c r="GK163" s="276" t="s">
        <v>955</v>
      </c>
      <c r="GL163" s="276" t="s">
        <v>955</v>
      </c>
      <c r="GM163" s="276" t="s">
        <v>955</v>
      </c>
      <c r="GN163" s="276" t="s">
        <v>955</v>
      </c>
      <c r="GO163" s="276" t="s">
        <v>955</v>
      </c>
      <c r="GP163" s="276" t="s">
        <v>955</v>
      </c>
      <c r="GQ163" s="276" t="s">
        <v>955</v>
      </c>
      <c r="GR163" s="276" t="s">
        <v>955</v>
      </c>
      <c r="GS163" s="276" t="s">
        <v>955</v>
      </c>
      <c r="GT163" s="276" t="s">
        <v>955</v>
      </c>
      <c r="GU163" s="276" t="s">
        <v>955</v>
      </c>
      <c r="GV163" s="276" t="s">
        <v>955</v>
      </c>
    </row>
    <row r="164" spans="1:204" ht="12.75" customHeight="1" x14ac:dyDescent="0.2">
      <c r="A164" s="373"/>
      <c r="B164" s="382"/>
      <c r="BB164" s="387" t="s">
        <v>949</v>
      </c>
      <c r="BC164" s="362" t="s">
        <v>489</v>
      </c>
      <c r="BD164" s="362" t="s">
        <v>887</v>
      </c>
      <c r="BE164" s="388">
        <v>7.2</v>
      </c>
      <c r="BF164" s="388">
        <v>6</v>
      </c>
      <c r="BG164" s="388">
        <v>4</v>
      </c>
      <c r="BH164" s="388">
        <v>2</v>
      </c>
      <c r="BI164" s="388">
        <v>1.2</v>
      </c>
      <c r="BJ164" s="388">
        <v>0.6</v>
      </c>
      <c r="BK164" s="389">
        <v>0</v>
      </c>
      <c r="BL164" s="312"/>
      <c r="BX164" s="350" t="str">
        <f t="shared" si="51"/>
        <v>Orge</v>
      </c>
      <c r="BY164" s="350">
        <f t="array" ref="BY164">IF(ChoixRationComplèteCaprins=OUI,0,IFERROR(IF(OR(AND(INDEX(Règles_caprins[Specificite],MATCH(ChoixRationCaprins&amp;$BX164,Règles_caprins[Ration]&amp;Règles_caprins[Aliment],0))="s1",IF($BX164=Spécificité1Caprins,1)),
INDEX(Règles_caprins[Specificite],MATCH(ChoixRationCaprins&amp;$BX164,Règles_caprins[Ration]&amp;Règles_caprins[Aliment],0))="c"),
INDEX(Règles_caprins[Valeur 12 et plus],MATCH(ChoixRationCaprins&amp;$BX164,Règles_caprins[Ration]&amp;Règles_caprins[Aliment],0)),0),0)*TotalChèvres*NbreJoursNourrirCaprins)</f>
        <v>411.20000000000005</v>
      </c>
      <c r="BZ164" s="350">
        <f t="array" ref="BZ164">IF(ChoixRationComplèteCaprins=OUI,0,IFERROR(IF(OR(AND(INDEX(Règles_caprins[Specificite],MATCH(ChoixRationCaprins&amp;$BX164,Règles_caprins[Ration]&amp;Règles_caprins[Aliment],0))="s1",IF($BX164=Spécificité1Caprins,1)),
INDEX(Règles_caprins[Specificite],MATCH(ChoixRationCaprins&amp;$BX164,Règles_caprins[Ration]&amp;Règles_caprins[Aliment],0))="c"),
INDEX(Règles_caprins[Valeur 6-12],MATCH(ChoixRationCaprins&amp;$BX164,Règles_caprins[Ration]&amp;Règles_caprins[Aliment],0)),0),0)*jeune_chèvre_6_12_mois*NbreJoursNourrirCaprins)</f>
        <v>95.199999999999989</v>
      </c>
      <c r="CA164" s="350">
        <f t="array" ref="CA164">IF(ChoixRationComplèteCaprins=OUI,0,IFERROR(IF(OR(AND(INDEX(Règles_caprins[Specificite],MATCH(ChoixRationCaprins&amp;$BX164,Règles_caprins[Ration]&amp;Règles_caprins[Aliment],0))="s1",IF($BX164=Spécificité1Caprins,1)),
INDEX(Règles_caprins[Specificite],MATCH(ChoixRationCaprins&amp;$BX164,Règles_caprins[Ration]&amp;Règles_caprins[Aliment],0))="c"),
INDEX(Règles_caprins[Valeur 3-6],MATCH(ChoixRationCaprins&amp;$BX164,Règles_caprins[Ration]&amp;Règles_caprins[Aliment],0)),0),0)*chevrette_3_6_mois*NbreJoursNourrirCaprins)</f>
        <v>39.6</v>
      </c>
      <c r="CB164" s="350">
        <f t="array" ref="CB164">IF(ChoixRationComplèteCaprins=OUI,0,IFERROR(IF(OR(AND(INDEX(Règles_caprins[Specificite],MATCH(ChoixRationCaprins&amp;$BX164,Règles_caprins[Ration]&amp;Règles_caprins[Aliment],0))="s1",IF($BX164=Spécificité1Caprins,1)),
INDEX(Règles_caprins[Specificite],MATCH(ChoixRationCaprins&amp;$BX164,Règles_caprins[Ration]&amp;Règles_caprins[Aliment],0))="c"),
INDEX(Règles_caprins[Valeur 0-3],MATCH(ChoixRationCaprins&amp;$BX164,Règles_caprins[Ration]&amp;Règles_caprins[Aliment],0)),0),0)*chevrette_0_3_mois*NbreJoursNourrirCaprins)</f>
        <v>53</v>
      </c>
      <c r="CC164" s="350">
        <f t="shared" si="50"/>
        <v>599</v>
      </c>
      <c r="CH164" s="298"/>
      <c r="CI164" s="277"/>
      <c r="CJ164" s="350" t="str">
        <f t="shared" si="45"/>
        <v>Ration complète</v>
      </c>
      <c r="CK164" s="351">
        <f t="array" ref="CK164">SUM((IF(QualitéAlimentsPorceletMâle_0_1_mois=BONNE,VLOOKUP("Ration complète",AlimentsRationPorcinsMâles[],6,FALSE),0)+(IF(QualitéAlimentsPorceletFemelle_0_1_mois=BONNE,VLOOKUP("Ration complète",AlimentsRationPorcinsFemelles[],6,FALSE),0)+(IF(QualitéAlimentsPorceletMâle_1_3_mois=BONNE,VLOOKUP("Ration complète",AlimentsRationPorcinsMâles[],5,FALSE),0)+(IF(QualitéAlimentsPorceletFemelle_1_3_mois=BONNE,VLOOKUP("Ration complète",AlimentsRationPorcinsFemelles[],5,FALSE),0)+(IF(QualitéAlimentsJeuneVerrat_3_6_mois=BONNE,VLOOKUP("Ration complète",AlimentsRationPorcinsMâles[],4,FALSE),0)+(IF(QualitéAlimentsJeuneTruie_3_6_mois=BONNE,VLOOKUP("Ration complète",AlimentsRationPorcinsFemelles[],4,FALSE),0)+(IF(QualitéAlimentsJeuneVerrat_6_12_mois=BONNE,VLOOKUP("Ration complète",AlimentsRationPorcinsMâles[],3,FALSE),0)+(IF(QualitéAlimentsJeuneTruie_6_12_mois=BONNE,VLOOKUP("Ration complète",AlimentsRationPorcinsFemelles[],3,FALSE),0)+(IF(QualitéAlimentsVerrat=BONNE,VLOOKUP("Avoine",AlimentsRationPorcinsMâles[],2,FALSE),0)+(IF(QualitéAlimentsTruie=BONNE,VLOOKUP("Avoine",AlimentsRationPorcinsFemelles[],2,FALSE),0))))))))))))</f>
        <v>0</v>
      </c>
      <c r="CL164" s="351">
        <f t="array" ref="CL164">SUM((IF(QualitéAlimentsPorceletMâle_0_1_mois=MOYENNE,VLOOKUP("Ration complète",AlimentsRationPorcinsMâles[],6,FALSE),0)+(IF(QualitéAlimentsPorceletFemelle_0_1_mois=MOYENNE,VLOOKUP("Ration complète",AlimentsRationPorcinsFemelles[],6,FALSE),0)+(IF(QualitéAlimentsPorceletMâle_1_3_mois=MOYENNE,VLOOKUP("Ration complète",AlimentsRationPorcinsMâles[],5,FALSE),0)+(IF(QualitéAlimentsPorceletFemelle_1_3_mois=MOYENNE,VLOOKUP("Ration complète",AlimentsRationPorcinsFemelles[],5,FALSE),0)+(IF(QualitéAlimentsJeuneVerrat_3_6_mois=MOYENNE,VLOOKUP("Ration complète",AlimentsRationPorcinsMâles[],4,FALSE),0)+(IF(QualitéAlimentsJeuneTruie_3_6_mois=MOYENNE,VLOOKUP("Ration complète",AlimentsRationPorcinsFemelles[],4,FALSE),0)+(IF(QualitéAlimentsJeuneVerrat_6_12_mois=MOYENNE,VLOOKUP("Ration complète",AlimentsRationPorcinsMâles[],3,FALSE),0)+(IF(QualitéAlimentsJeuneTruie_6_12_mois=MOYENNE,VLOOKUP("Ration complète",AlimentsRationPorcinsFemelles[],3,FALSE),0)+(IF(QualitéAlimentsVerrat=BONNE,VLOOKUP("Avoine",AlimentsRationPorcinsMâles[],2,FALSE),0)+(IF(QualitéAlimentsTruie=BONNE,VLOOKUP("Avoine",AlimentsRationPorcinsFemelles[],2,FALSE),0))))))))))))</f>
        <v>0</v>
      </c>
      <c r="CM164" s="351">
        <f t="array" ref="CM164">SUM((IF(QualitéAlimentsPorceletMâle_0_1_mois=MAUVAISE,VLOOKUP("Ration complète",AlimentsRationPorcinsMâles[],6,FALSE),0)+(IF(QualitéAlimentsPorceletFemelle_0_1_mois=MAUVAISE,VLOOKUP("Ration complète",AlimentsRationPorcinsFemelles[],6,FALSE),0)+(IF(QualitéAlimentsPorceletMâle_1_3_mois=MAUVAISE,VLOOKUP("Ration complète",AlimentsRationPorcinsMâles[],5,FALSE),0)+(IF(QualitéAlimentsPorceletFemelle_1_3_mois=MAUVAISE,VLOOKUP("Ration complète",AlimentsRationPorcinsFemelles[],5,FALSE),0)+(IF(QualitéAlimentsJeuneVerrat_3_6_mois=MAUVAISE,VLOOKUP("Ration complète",AlimentsRationPorcinsMâles[],4,FALSE),0)+(IF(QualitéAlimentsJeuneTruie_3_6_mois=MAUVAISE,VLOOKUP("Ration complète",AlimentsRationPorcinsFemelles[],4,FALSE),0)+(IF(QualitéAlimentsJeuneVerrat_6_12_mois=MAUVAISE,VLOOKUP("Ration complète",AlimentsRationPorcinsMâles[],3,FALSE),0)+(IF(QualitéAlimentsJeuneTruie_6_12_mois=MAUVAISE,VLOOKUP("Ration complète",AlimentsRationPorcinsFemelles[],3,FALSE),0)+(IF(QualitéAlimentsVerrat=BONNE,VLOOKUP("Avoine",AlimentsRationPorcinsMâles[],2,FALSE),0)+(IF(QualitéAlimentsTruie=BONNE,VLOOKUP("Avoine",AlimentsRationPorcinsFemelles[],2,FALSE),0))))))))))))</f>
        <v>0</v>
      </c>
      <c r="CN164" s="279"/>
      <c r="CO164" s="277"/>
      <c r="CP164" s="277"/>
      <c r="CS164" s="350" t="str">
        <f t="shared" si="59"/>
        <v>concentré jeunes porcins</v>
      </c>
      <c r="CT164" s="351">
        <f t="array" ref="CT164">SUM((IF(QualitéAlimentsLapereauMâle_0_1_mois=BONNE,VLOOKUP("Concentré jeunes porcins",AlimentsRationLapinsMâles[],4,FALSE),0)+(IF(QualitéAlimentsLapereauFemelle_0_1_mois=BONNE,VLOOKUP("Concentré jeunes porcins",AlimentsRationLapinsFemelles[],4,FALSE),0)+(IF(QualitéAlimentsJeuneLapin=BONNE,VLOOKUP("Concentré jeunes porcins",AlimentsRationLapinsMâles[],3,FALSE),0)+(IF(QualitéAlimentsJeuneLapine=BONNE,VLOOKUP("Concentré jeunes porcins",AlimentsRationLapinsFemelles[],3,FALSE),0)+(IF(QualitéAlimentsLapin=BONNE,VLOOKUP("Concentré jeunes porcins",AlimentsRationLapinsMâles[],2,FALSE),0)+(IF(QualitéAlimentsLapine=BONNE,VLOOKUP("Concentré jeunes porcins",AlimentsRationLapinsFemelles[],2,FALSE),0))))))))</f>
        <v>0</v>
      </c>
      <c r="CU164" s="351">
        <f t="array" ref="CU164">SUM((IF(QualitéAlimentsLapereauMâle_0_1_mois=MOYENNE,VLOOKUP("Concentré jeunes porcins",AlimentsRationLapinsMâles[],4,FALSE),0)+(IF(QualitéAlimentsLapereauFemelle_0_1_mois=MOYENNE,VLOOKUP("Concentré jeunes porcins",AlimentsRationLapinsFemelles[],4,FALSE),0)+(IF(QualitéAlimentsJeuneLapin=MOYENNE,VLOOKUP("Concentré jeunes porcins",AlimentsRationLapinsMâles[],3,FALSE),0)+(IF(QualitéAlimentsJeuneLapine=MOYENNE,VLOOKUP("Concentré jeunes porcins",AlimentsRationLapinsFemelles[],3,FALSE),0)+(IF(QualitéAlimentsLapin=MOYENNE,VLOOKUP("Concentré jeunes porcins",AlimentsRationLapinsMâles[],2,FALSE),0)+(IF(QualitéAlimentsLapine=MOYENNE,VLOOKUP("Concentré jeunes porcins",AlimentsRationLapinsFemelles[],2,FALSE),0))))))))</f>
        <v>0</v>
      </c>
      <c r="CV164" s="351">
        <f t="array" ref="CV164">SUM((IF(QualitéAlimentsLapereauMâle_0_1_mois=MAUVAISE,VLOOKUP("Concentré jeunes porcins",AlimentsRationLapinsMâles[],4,FALSE),0)+(IF(QualitéAlimentsLapereauFemelle_0_1_mois=MAUVAISE,VLOOKUP("Concentré jeunes porcins",AlimentsRationLapinsFemelles[],4,FALSE),0)+(IF(QualitéAlimentsJeuneLapin=MAUVAISE,VLOOKUP("Concentré jeunes porcins",AlimentsRationLapinsMâles[],3,FALSE),0)+(IF(QualitéAlimentsJeuneLapine=MAUVAISE,VLOOKUP("Concentré jeunes porcins",AlimentsRationLapinsFemelles[],3,FALSE),0)+(IF(QualitéAlimentsLapin=MAUVAISE,VLOOKUP("Concentré jeunes porcins",AlimentsRationLapinsMâles[],2,FALSE),0)+(IF(QualitéAlimentsLapine=MAUVAISE,VLOOKUP("Concentré jeunes porcins",AlimentsRationLapinsFemelles[],2,FALSE),0))))))))</f>
        <v>0</v>
      </c>
      <c r="CZ164" s="350" t="str">
        <f t="shared" si="58"/>
        <v>Ensilage d'herbe</v>
      </c>
      <c r="DA164" s="351">
        <f t="array" ref="DA164">SUM((IF(QualitéAlimentsPoussinMâle_0_1_mois=BONNE,VLOOKUP("Ensilage d'herbe",AlimentsRationVolaillesMâles[],4,FALSE),0)+(IF(QualitéAlimentsPoussinFemelle_0_1_mois=BONNE,VLOOKUP("Ensilage d'herbe",AlimentsRationVolaillesFemelles[],4,FALSE),0)+(IF(QualitéAlimentsJeuneCoq=BONNE,VLOOKUP("Ensilage d'herbe",AlimentsRationVolaillesMâles[],3,FALSE),0)+(IF(QualitéAlimentsJeunePoule=BONNE,VLOOKUP("Ensilage d'herbe",AlimentsRationVolaillesFemelles[],3,FALSE),0)+(IF(QualitéAlimentsCoq=BONNE,VLOOKUP("Ensilage d'herbe",AlimentsRationVolaillesMâles[],2,FALSE),0)+(IF(QualitéAlimentsPoule=BONNE,VLOOKUP("Ensilage d'herbe",AlimentsRationVolaillesFemelles[],2,FALSE),0))))))))</f>
        <v>0</v>
      </c>
      <c r="DB164" s="351">
        <f t="array" ref="DB164">SUM((IF(QualitéAlimentsPoussinMâle_0_1_mois=MOYENNE,VLOOKUP("Ensilage d'herbe",AlimentsRationVolaillesMâles[],4,FALSE),0)+(IF(QualitéAlimentsPoussinFemelle_0_1_mois=MOYENNE,VLOOKUP("Ensilage d'herbe",AlimentsRationVolaillesFemelles[],4,FALSE),0)+(IF(QualitéAlimentsJeuneCoq=MOYENNE,VLOOKUP("Ensilage d'herbe",AlimentsRationVolaillesMâles[],3,FALSE),0)+(IF(QualitéAlimentsJeunePoule=MOYENNE,VLOOKUP("Ensilage d'herbe",AlimentsRationVolaillesFemelles[],3,FALSE),0)+(IF(QualitéAlimentsCoq=MOYENNE,VLOOKUP("Ensilage d'herbe",AlimentsRationVolaillesMâles[],2,FALSE),0)+(IF(QualitéAlimentsPoule=MOYENNE,VLOOKUP("Ensilage d'herbe",AlimentsRationVolaillesFemelles[],2,FALSE),0))))))))</f>
        <v>0</v>
      </c>
      <c r="DC164" s="351">
        <f t="array" ref="DC164">SUM((IF(QualitéAlimentsPoussinMâle_0_1_mois=MAUVAISE,VLOOKUP("Ensilage d'herbe",AlimentsRationVolaillesMâles[],4,FALSE),0)+(IF(QualitéAlimentsPoussinFemelle_0_1_mois=MAUVAISE,VLOOKUP("Ensilage d'herbe",AlimentsRationVolaillesFemelles[],4,FALSE),0)+(IF(QualitéAlimentsJeuneCoq=MAUVAISE,VLOOKUP("Ensilage d'herbe",AlimentsRationVolaillesMâles[],3,FALSE),0)+(IF(QualitéAlimentsJeunePoule=MAUVAISE,VLOOKUP("Ensilage d'herbe",AlimentsRationVolaillesFemelles[],3,FALSE),0)+(IF(QualitéAlimentsCoq=MAUVAISE,VLOOKUP("Ensilage d'herbe",AlimentsRationVolaillesMâles[],2,FALSE),0)+(IF(QualitéAlimentsPoule=MAUVAISE,VLOOKUP("Ensilage d'herbe",AlimentsRationVolaillesFemelles[],2,FALSE),0))))))))</f>
        <v>0</v>
      </c>
      <c r="DD164" s="279"/>
      <c r="DG164" s="350" t="str">
        <f t="shared" si="52"/>
        <v>Orge</v>
      </c>
      <c r="DH164" s="351">
        <f t="array" ref="DH164">SUM((IF(QualitéAlimentsPintadeauMâle_0_1_mois=BONNE,VLOOKUP("Orge",AlimentsRationPintadesMâles[],4,FALSE),0)+(IF(QualitéAlimentsPintadeauFemelle_0_1_mois=BONNE,VLOOKUP("Orge",AlimentsRationPintadesFemelles[],4,FALSE),0)+(IF(QualitéAlimentsJeunePintadeMâle=BONNE,VLOOKUP("Orge",AlimentsRationPintadesMâles[],3,FALSE),0)+(IF(QualitéAlimentsJeunePintadeFemelle=BONNE,VLOOKUP("Orge",AlimentsRationPintadesFemelles[],3,FALSE),0)+(IF(QualitéAlimentsPintadeMâle=BONNE,VLOOKUP("Orge",AlimentsRationPintadesMâles[],2,FALSE),0)+(IF(QualitéAlimentsPintadeFemelle=BONNE,VLOOKUP("Orge",AlimentsRationPintadesFemelles[],2,FALSE),0))))))))</f>
        <v>0</v>
      </c>
      <c r="DI164" s="351">
        <f t="array" ref="DI164">SUM((IF(QualitéAlimentsPintadeauMâle_0_1_mois=MOYENNE,VLOOKUP("Orge",AlimentsRationPintadesMâles[],4,FALSE),0)+(IF(QualitéAlimentsPintadeauFemelle_0_1_mois=MOYENNE,VLOOKUP("Orge",AlimentsRationPintadesFemelles[],4,FALSE),0)+(IF(QualitéAlimentsJeunePintadeMâle=MOYENNE,VLOOKUP("Orge",AlimentsRationPintadesMâles[],3,FALSE),0)+(IF(QualitéAlimentsJeunePintadeFemelle=MOYENNE,VLOOKUP("Orge",AlimentsRationPintadesFemelles[],3,FALSE),0)+(IF(QualitéAlimentsPintadeMâle=MOYENNE,VLOOKUP("Orge",AlimentsRationPintadesMâles[],2,FALSE),0)+(IF(QualitéAlimentsPintadeFemelle=MOYENNE,VLOOKUP("Orge",AlimentsRationPintadesFemelles[],2,FALSE),0))))))))</f>
        <v>0</v>
      </c>
      <c r="DJ164" s="351">
        <f t="array" ref="DJ164">SUM((IF(QualitéAlimentsPintadeauMâle_0_1_mois=MAUVAISE,VLOOKUP("Orge",AlimentsRationPintadesMâles[],4,FALSE),0)+(IF(QualitéAlimentsPintadeauFemelle_0_1_mois=MAUVAISE,VLOOKUP("Orge",AlimentsRationPintadesFemelles[],4,FALSE),0)+(IF(QualitéAlimentsJeunePintadeMâle=MAUVAISE,VLOOKUP("Orge",AlimentsRationPintadesMâles[],3,FALSE),0)+(IF(QualitéAlimentsJeunePintadeFemelle=MAUVAISE,VLOOKUP("Orge",AlimentsRationPintadesFemelles[],3,FALSE),0)+(IF(QualitéAlimentsPintadeMâle=MAUVAISE,VLOOKUP("Orge",AlimentsRationPintadesMâles[],2,FALSE),0)+(IF(QualitéAlimentsPintadeFemelle=MAUVAISE,VLOOKUP("Orge",AlimentsRationPintadesFemelles[],2,FALSE),0))))))))</f>
        <v>0</v>
      </c>
      <c r="DN164" s="350" t="s">
        <v>168</v>
      </c>
      <c r="DO164" s="351">
        <f t="array" ref="DO164">IF(ChoixRationComplèteOvins=OUI,0,IFERROR(IF(OR(AND(INDEX(Règles_ovins[Specificite],MATCH(ChoixRationOvins&amp;$DN164,Règles_ovins[Ration]&amp;Règles_ovins[Aliment],0))="s1",IF($DN164=Spécificité1Ovins,1)),
AND(INDEX(Règles_ovins[Specificite],MATCH(ChoixRationOvins&amp;$DN164,Règles_ovins[Ration]&amp;Règles_ovins[Aliment],0))="s2",IF($DN164=Spécificité2Ovins,1)),
INDEX(Règles_ovins[Specificite],MATCH(ChoixRationOvins&amp;$DN164,Règles_ovins[Ration]&amp;Règles_ovins[Aliment],0))="c"),
INDEX(Règles_ovins[Valeur 12 et plus],MATCH(ChoixRationOvins&amp;$DN164,Règles_ovins[Ration]&amp;Règles_ovins[Aliment],0)),0),0)*IF(ChoixOvinsPréHiver=OUI,SUM(TotalOvinsAdultesRacesLaitières)*NbreJoursNourrirOvins,TotalBéliers*NbreJoursNourrirOvins))</f>
        <v>0</v>
      </c>
      <c r="DP164" s="351">
        <f t="array" ref="DP164">IF(ChoixRationComplèteOvins=OUI,0,IFERROR(IF(OR(AND(INDEX(Règles_ovins[Specificite],MATCH(ChoixRationOvins&amp;$DN164,Règles_ovins[Ration]&amp;Règles_ovins[Aliment],0))="s1",IF($DN164=Spécificité1Ovins,1)),
AND(INDEX(Règles_ovins[Specificite],MATCH(ChoixRationOvins&amp;$DN164,Règles_ovins[Ration]&amp;Règles_ovins[Aliment],0))="s2",IF($DN164=Spécificité2Ovins,1)),
INDEX(Règles_ovins[Specificite],MATCH(ChoixRationOvins&amp;$DN164,Règles_ovins[Ration]&amp;Règles_ovins[Aliment],0))="c"),
INDEX(Règles_ovins[Valeur 6-12],MATCH(ChoixRationOvins&amp;$DN164,Règles_ovins[Ration]&amp;Règles_ovins[Aliment],0)),0),0)*IF(ChoixOvinsPréHiver=OUI,SUM(TotalJeunesOvinsRacesLaitières)*NbreJoursNourrirOvins,TotalJeune_bélier_6_12_mois*NbreJoursNourrirOvins))</f>
        <v>0</v>
      </c>
      <c r="DQ164" s="351">
        <f t="array" ref="DQ164">IF(ChoixRationComplèteOvins=OUI,0,IFERROR(IF(OR(AND(INDEX(Règles_ovins[Specificite],MATCH(ChoixRationOvins&amp;$DN164,Règles_ovins[Ration]&amp;Règles_ovins[Aliment],0))="s1",IF($DN164=Spécificité1Ovins,1)),
AND(INDEX(Règles_ovins[Specificite],MATCH(ChoixRationOvins&amp;$DN164,Règles_ovins[Ration]&amp;Règles_ovins[Aliment],0))="s2",IF($DN164=Spécificité2Ovins,1)),
INDEX(Règles_ovins[Specificite],MATCH(ChoixRationOvins&amp;$DN164,Règles_ovins[Ration]&amp;Règles_ovins[Aliment],0))="c"),
INDEX(Règles_ovins[Valeur 3-6],MATCH(ChoixRationOvins&amp;$DN164,Règles_ovins[Ration]&amp;Règles_ovins[Aliment],0)),0),0)*IF(ChoixOvinsPréHiver=OUI,SUM(TotalOvins_3_6moisRacesLaitières)*NbreJoursNourrirOvins,TotalAgneau_3_6_mois*NbreJoursNourrirOvins))</f>
        <v>0</v>
      </c>
      <c r="DR164" s="351">
        <f t="array" ref="DR164">IF(ChoixRationComplèteOvins=OUI,0,IFERROR(IF(OR(AND(INDEX(Règles_ovins[Specificite],MATCH(ChoixRationOvins&amp;$DN164,Règles_ovins[Ration]&amp;Règles_ovins[Aliment],0))="s1",IF($DN164=Spécificité1Ovins,1)),
AND(INDEX(Règles_ovins[Specificite],MATCH(ChoixRationOvins&amp;$DN164,Règles_ovins[Ration]&amp;Règles_ovins[Aliment],0))="s2",IF($DN164=Spécificité2Ovins,1)),
INDEX(Règles_ovins[Specificite],MATCH(ChoixRationOvins&amp;$DN164,Règles_ovins[Ration]&amp;Règles_ovins[Aliment],0))="c"),
INDEX(Règles_ovins[Valeur 0-3],MATCH(ChoixRationOvins&amp;$DN164,Règles_ovins[Ration]&amp;Règles_ovins[Aliment],0)),0),0)*IF(ChoixOvinsPréHiver=OUI,SUM(TotalOvins_3_6moisRacesLaitières)*NbreJoursNourrirOvins,TotalAgneau_0_3_mois*NbreJoursNourrirOvins))</f>
        <v>0</v>
      </c>
      <c r="DS164" s="441">
        <f t="shared" si="55"/>
        <v>0</v>
      </c>
      <c r="EG164" s="350" t="str">
        <f t="shared" si="57"/>
        <v>Foin</v>
      </c>
      <c r="EH164" s="351">
        <f t="array" ref="EH164">SUM((IF(QualitéAlimentsOisonMâle_0_3_mois=BONNE,VLOOKUP("Foin",AlimentsRationOiesMâles[],4,FALSE),0)+(IF(QualitéAlimentsOisonFemelle_0_3_mois=BONNE,VLOOKUP("Foin",AlimentsRationOiesFemelles[],4,FALSE),0)+(IF(QualitéAlimentsJeuneJars=BONNE,VLOOKUP("Foin",AlimentsRationOiesMâles[],3,FALSE),0)+(IF(QualitéAlimentsJeuneOie=BONNE,VLOOKUP("Foin",AlimentsRationOiesFemelles[],3,FALSE),0)+(IF(QualitéAlimentsJars=BONNE,VLOOKUP("Foin",AlimentsRationOiesMâles[],2,FALSE),0)+(IF(QualitéAlimentsOie=BONNE,VLOOKUP("Foin",AlimentsRationOiesFemelles[],2,FALSE),0))))))))</f>
        <v>0</v>
      </c>
      <c r="EI164" s="351">
        <f t="array" ref="EI164">SUM((IF(QualitéAlimentsOisonMâle_0_3_mois=MOYENNE,VLOOKUP("Foin",AlimentsRationOiesMâles[],4,FALSE),0)+(IF(QualitéAlimentsOisonFemelle_0_3_mois=MOYENNE,VLOOKUP("Foin",AlimentsRationOiesFemelles[],4,FALSE),0)+(IF(QualitéAlimentsJeuneJars=MOYENNE,VLOOKUP("Foin",AlimentsRationOiesMâles[],3,FALSE),0)+(IF(QualitéAlimentsJeuneOie=MOYENNE,VLOOKUP("Foin",AlimentsRationOiesFemelles[],3,FALSE),0)+(IF(QualitéAlimentsJars=MOYENNE,VLOOKUP("Foin",AlimentsRationOiesMâles[],2,FALSE),0)+(IF(QualitéAlimentsOie=MOYENNE,VLOOKUP("Foin",AlimentsRationOiesFemelles[],2,FALSE),0))))))))</f>
        <v>0</v>
      </c>
      <c r="EJ164" s="351">
        <f t="array" ref="EJ164">SUM((IF(QualitéAlimentsOisonMâle_0_3_mois=MAUVAISE,VLOOKUP("Foin",AlimentsRationOiesMâles[],4,FALSE),0)+(IF(QualitéAlimentsOisonFemelle_0_3_mois=MAUVAISE,VLOOKUP("Foin",AlimentsRationOiesFemelles[],4,FALSE),0)+(IF(QualitéAlimentsJeuneJars=MAUVAISE,VLOOKUP("Foin",AlimentsRationOiesMâles[],3,FALSE),0)+(IF(QualitéAlimentsJeuneOie=MAUVAISE,VLOOKUP("Foin",AlimentsRationOiesFemelles[],3,FALSE),0)+(IF(QualitéAlimentsJars=MAUVAISE,VLOOKUP("Foin",AlimentsRationOiesMâles[],2,FALSE),0)+(IF(QualitéAlimentsOie=MAUVAISE,VLOOKUP("Foin",AlimentsRationOiesFemelles[],2,FALSE),0))))))))</f>
        <v>0</v>
      </c>
      <c r="EN164" s="457" t="str">
        <f t="shared" si="56"/>
        <v>Haricot vert</v>
      </c>
      <c r="EO164" s="458">
        <f t="array" ref="EO164">SUM((IF(QualitéAlimentsCanetonMâle=BONNE,VLOOKUP("Haricot vert",AlimentsRationCanardsMâles,4,FALSE),0)+(IF(QualitéAlimentsCanetonFemelle=BONNE,VLOOKUP("Haricot vert",AlimentsRationCanardsFemelles,4,FALSE),0)+(IF(QualitéAlimentsJeuneCanard=BONNE,VLOOKUP("Haricot vert",AlimentsRationCanardsMâles,3,FALSE),0)+(IF(QualitéAlimentsJeuneCane=BONNE,VLOOKUP("Haricot vert",AlimentsRationCanardsFemelles,3,FALSE),0)+(IF(QualitéAlimentsCanard=BONNE,VLOOKUP("Haricot vert",AlimentsRationCanardsMâles,2,FALSE),0)+(IF(QualitéAlimentsCane=BONNE,VLOOKUP("Haricot vert",AlimentsRationCanardsFemelles,2,FALSE),0))))))))</f>
        <v>0</v>
      </c>
      <c r="EP164" s="458">
        <f t="array" ref="EP164">SUM((IF(QualitéAlimentsCanetonMâle=MOYENNE,VLOOKUP("Haricot vert",AlimentsRationCanardsMâles,4,FALSE),0)+(IF(QualitéAlimentsCanetonFemelle=MOYENNE,VLOOKUP("Haricot vert",AlimentsRationCanardsFemelles,4,FALSE),0)+(IF(QualitéAlimentsJeuneCanard=MOYENNE,VLOOKUP("Haricot vert",AlimentsRationCanardsMâles,3,FALSE),0)+(IF(QualitéAlimentsJeuneCane=MOYENNE,VLOOKUP("Haricot vert",AlimentsRationCanardsFemelles,3,FALSE),0)+(IF(QualitéAlimentsCanard=MOYENNE,VLOOKUP("Haricot vert",AlimentsRationCanardsMâles,2,FALSE),0)+(IF(QualitéAlimentsCane=MOYENNE,VLOOKUP("Haricot vert",AlimentsRationCanardsFemelles,2,FALSE),0))))))))</f>
        <v>0</v>
      </c>
      <c r="EQ164" s="458">
        <f t="array" ref="EQ164">SUM((IF(QualitéAlimentsCanetonMâle=MAUVAISE,VLOOKUP("Haricot vert",AlimentsRationCanardsMâles,4,FALSE),0)+(IF(QualitéAlimentsCanetonFemelle=MAUVAISE,VLOOKUP("Haricot vert",AlimentsRationCanardsFemelles,4,FALSE),0)+(IF(QualitéAlimentsJeuneCanard=MAUVAISE,VLOOKUP("Haricot vert",AlimentsRationCanardsMâles,3,FALSE),0)+(IF(QualitéAlimentsJeuneCane=MAUVAISE,VLOOKUP("Haricot vert",AlimentsRationCanardsFemelles,3,FALSE),0)+(IF(QualitéAlimentsCanard=MAUVAISE,VLOOKUP("Haricot vert",AlimentsRationCanardsMâles,2,FALSE),0)+(IF(QualitéAlimentsCane=MAUVAISE,VLOOKUP("Haricot vert",AlimentsRationCanardsFemelles,2,FALSE),0))))))))</f>
        <v>0</v>
      </c>
      <c r="EU164" s="457" t="str">
        <f t="shared" si="54"/>
        <v>Lentille</v>
      </c>
      <c r="EV164" s="458">
        <f t="array" ref="EV164">IF(OR(ChoixRationHivernaleComplèteChevauxSelle=OUI,ChoixRationHivernaleComplèteChevauxSelle="",ChoixChevauxSellePréHiver=NON),0,IFERROR(IF(OR(AND(INDEX(Règles_chevaux_selle[Specificite],MATCH(RationHivernaleAuPréChevauxSelle&amp;$EU164,Règles_chevaux_selle[Ration]&amp;Règles_chevaux_selle[Aliment],0))="s1",IF($EU164=Spécificité1ChevauxSelle,1)),
AND(INDEX(Règles_chevaux_selle[Specificite],MATCH(RationHivernaleAuPréChevauxSelle&amp;$EU164,Règles_chevaux_selle[Ration]&amp;Règles_chevaux_selle[Aliment],0))="s2",IF($EU164=Spécificité2ChevauxSelle,1)),
INDEX(Règles_chevaux_selle[Specificite],MATCH(RationHivernaleAuPréChevauxSelle&amp;$EU164,Règles_chevaux_selle[Ration]&amp;Règles_chevaux_selle[Aliment],0))="c"),
INDEX(Règles_chevaux_selle[Valeur 36 et plus],MATCH(RationHivernaleAuPréChevauxSelle&amp;$EU164,Règles_chevaux_selle[Ration]&amp;Règles_chevaux_selle[Aliment],0)),0),0)*SUM(TotalChevauxSelleAdultes)*21)</f>
        <v>0</v>
      </c>
      <c r="EW164" s="458">
        <f t="array" ref="EW164">IF(OR(ChoixRationHivernaleComplèteChevauxSelle=OUI,ChoixRationHivernaleComplèteChevauxSelle="",ChoixChevauxSellePréHiver=NON),0,IFERROR(IF(OR(AND(INDEX(Règles_chevaux_selle[Specificite],MATCH(RationHivernaleAuPréChevauxSelle&amp;$EU164,Règles_chevaux_selle[Ration]&amp;Règles_chevaux_selle[Aliment],0))="s1",IF($EU164=Spécificité1ChevauxSelle,1)),
AND(INDEX(Règles_chevaux_selle[Specificite],MATCH(RationHivernaleAuPréChevauxSelle&amp;$EU164,Règles_chevaux_selle[Ration]&amp;Règles_chevaux_selle[Aliment],0))="s2",IF($EU164=Spécificité2ChevauxSelle,1)),
INDEX(Règles_chevaux_selle[Specificite],MATCH(RationHivernaleAuPréChevauxSelle&amp;$EU164,Règles_chevaux_selle[Ration]&amp;Règles_chevaux_selle[Aliment],0))="c"),
INDEX(Règles_chevaux_selle[Valeur 24-36],MATCH(RationHivernaleAuPréChevauxSelle&amp;$EU164,Règles_chevaux_selle[Ration]&amp;Règles_chevaux_selle[Aliment],0)),0),0)*SUM(TotalChevauxSelle_24_36mois)*21)</f>
        <v>0</v>
      </c>
      <c r="EX164" s="458">
        <f t="array" ref="EX164">IF(OR(ChoixRationHivernaleComplèteChevauxSelle=OUI,ChoixRationHivernaleComplèteChevauxSelle="",ChoixChevauxSellePréHiver=NON),0,IFERROR(IF(OR(AND(INDEX(Règles_chevaux_selle[Specificite],MATCH(RationHivernaleAuPréChevauxSelle&amp;$EU164,Règles_chevaux_selle[Ration]&amp;Règles_chevaux_selle[Aliment],0))="s1",IF($EU164=Spécificité1ChevauxSelle,1)),
AND(INDEX(Règles_chevaux_selle[Specificite],MATCH(RationHivernaleAuPréChevauxSelle&amp;$EU164,Règles_chevaux_selle[Ration]&amp;Règles_chevaux_selle[Aliment],0))="s2",IF($EU164=Spécificité2ChevauxSelle,1)),
INDEX(Règles_chevaux_selle[Specificite],MATCH(RationHivernaleAuPréChevauxSelle&amp;$EU164,Règles_chevaux_selle[Ration]&amp;Règles_chevaux_selle[Aliment],0))="c"),
INDEX(Règles_chevaux_selle[Valeur 12-24],MATCH(RationHivernaleAuPréChevauxSelle&amp;$EU164,Règles_chevaux_selle[Ration]&amp;Règles_chevaux_selle[Aliment],0)),0),0)*SUM(TotalChevauxSelle_12_24mois)*21)</f>
        <v>0</v>
      </c>
      <c r="EY164" s="460">
        <f t="array" ref="EY164">IF(OR(ChoixRationHivernaleComplèteChevauxSelle=OUI,ChoixRationHivernaleComplèteChevauxSelle="",ChoixChevauxSellePréHiver=NON),0,IFERROR(IF(OR(AND(INDEX(Règles_chevaux_selle[Specificite],MATCH(RationHivernaleAuPréChevauxSelle&amp;$EU164,Règles_chevaux_selle[Ration]&amp;Règles_chevaux_selle[Aliment],0))="s1",IF($EU164=Spécificité1ChevauxSelle,1)),
AND(INDEX(Règles_chevaux_selle[Specificite],MATCH(RationHivernaleAuPréChevauxSelle&amp;$EU164,Règles_chevaux_selle[Ration]&amp;Règles_chevaux_selle[Aliment],0))="s2",IF($EU164=Spécificité2ChevauxSelle,1)),
INDEX(Règles_chevaux_selle[Specificite],MATCH(RationHivernaleAuPréChevauxSelle&amp;$EU164,Règles_chevaux_selle[Ration]&amp;Règles_chevaux_selle[Aliment],0))="c"),
INDEX(Règles_chevaux_selle[Valeur 0-12],MATCH(RationHivernaleAuPréChevauxSelle&amp;$EU164,Règles_chevaux_selle[Ration]&amp;Règles_chevaux_selle[Aliment],0)),0),0)*SUM(TotalPoulainsSelle)*21)</f>
        <v>0</v>
      </c>
      <c r="EZ164" s="460">
        <f t="shared" si="53"/>
        <v>0</v>
      </c>
      <c r="FD164" s="457" t="str">
        <f t="shared" si="49"/>
        <v>Pois</v>
      </c>
      <c r="FE164" s="458">
        <f t="array" ref="FE164">IF(OR(ChoixRationHivernaleComplèteChevauxTrait=OUI,ChoixRationHivernaleComplèteChevauxTrait="",ChoixChevauxTraitPréHiver=NON),0,IFERROR(IF(OR(AND(INDEX(Règles_chevaux_trait[Specificite],MATCH(RationHivernaleAuPréChevauxTrait&amp;$FD164,Règles_chevaux_trait[Ration]&amp;Règles_chevaux_trait[Aliment],0))="s1",IF($FD164=Spécificité1ChevauxTrait,1)),
AND(INDEX(Règles_chevaux_trait[Specificite],MATCH(RationHivernaleAuPréChevauxTrait&amp;$FD164,Règles_chevaux_trait[Ration]&amp;Règles_chevaux_trait[Aliment],0))="s2",IF($FD164=Spécificité2ChevauxTrait,1)),
INDEX(Règles_chevaux_trait[Specificite],MATCH(RationHivernaleAuPréChevauxTrait&amp;$FD164,Règles_chevaux_trait[Ration]&amp;Règles_chevaux_trait[Aliment],0))="c"),
INDEX(Règles_chevaux_trait[Valeur 36 et plus],MATCH(RationHivernaleAuPréChevauxTrait&amp;$FD164,Règles_chevaux_trait[Ration]&amp;Règles_chevaux_trait[Aliment],0)),0),0)*SUM(TotalChevauxTraitAdultes)*21)</f>
        <v>0</v>
      </c>
      <c r="FF164" s="458">
        <f t="array" ref="FF164">IF(OR(ChoixRationHivernaleComplèteChevauxTrait=OUI,ChoixRationHivernaleComplèteChevauxTrait="",ChoixChevauxTraitPréHiver=NON),0,IFERROR(IF(OR(AND(INDEX(Règles_chevaux_trait[Specificite],MATCH(RationHivernaleAuPréChevauxTrait&amp;$FD164,Règles_chevaux_trait[Ration]&amp;Règles_chevaux_trait[Aliment],0))="s1",IF($FD164=Spécificité1ChevauxTrait,1)),
AND(INDEX(Règles_chevaux_trait[Specificite],MATCH(RationHivernaleAuPréChevauxTrait&amp;$FD164,Règles_chevaux_trait[Ration]&amp;Règles_chevaux_trait[Aliment],0))="s2",IF($FD164=Spécificité2ChevauxTrait,1)),
INDEX(Règles_chevaux_trait[Specificite],MATCH(RationHivernaleAuPréChevauxTrait&amp;$FD164,Règles_chevaux_trait[Ration]&amp;Règles_chevaux_trait[Aliment],0))="c"),
INDEX(Règles_chevaux_trait[Valeur 24-36],MATCH(RationHivernaleAuPréChevauxTrait&amp;$FD164,Règles_chevaux_trait[Ration]&amp;Règles_chevaux_trait[Aliment],0)),0),0)*SUM(TotalChevauxTrait_24_36mois)*21)</f>
        <v>0</v>
      </c>
      <c r="FG164" s="458">
        <f t="array" ref="FG164">IF(OR(ChoixRationHivernaleComplèteChevauxTrait=OUI,ChoixRationHivernaleComplèteChevauxTrait="",ChoixChevauxTraitPréHiver=NON),0,IFERROR(IF(OR(AND(INDEX(Règles_chevaux_trait[Specificite],MATCH(RationHivernaleAuPréChevauxTrait&amp;$FD164,Règles_chevaux_trait[Ration]&amp;Règles_chevaux_trait[Aliment],0))="s1",IF($FD164=Spécificité1ChevauxTrait,1)),
AND(INDEX(Règles_chevaux_trait[Specificite],MATCH(RationHivernaleAuPréChevauxTrait&amp;$FD164,Règles_chevaux_trait[Ration]&amp;Règles_chevaux_trait[Aliment],0))="s2",IF($FD164=Spécificité2ChevauxTrait,1)),
INDEX(Règles_chevaux_trait[Specificite],MATCH(RationHivernaleAuPréChevauxTrait&amp;$FD164,Règles_chevaux_trait[Ration]&amp;Règles_chevaux_trait[Aliment],0))="c"),
INDEX(Règles_chevaux_trait[Valeur 12-24],MATCH(RationHivernaleAuPréChevauxTrait&amp;$FD164,Règles_chevaux_trait[Ration]&amp;Règles_chevaux_trait[Aliment],0)),0),0)*SUM(TotalChevauxTrait_12_24mois)*21)</f>
        <v>0</v>
      </c>
      <c r="FH164" s="460">
        <f t="array" ref="FH164">IF(OR(ChoixRationHivernaleComplèteChevauxTrait=OUI,ChoixRationHivernaleComplèteChevauxTrait="",ChoixChevauxTraitPréHiver=NON),0,IFERROR(IF(OR(AND(INDEX(Règles_chevaux_trait[Specificite],MATCH(RationHivernaleAuPréChevauxTrait&amp;$FD164,Règles_chevaux_trait[Ration]&amp;Règles_chevaux_trait[Aliment],0))="s1",IF($FD164=Spécificité1ChevauxTrait,1)),
AND(INDEX(Règles_chevaux_trait[Specificite],MATCH(RationHivernaleAuPréChevauxTrait&amp;$FD164,Règles_chevaux_trait[Ration]&amp;Règles_chevaux_trait[Aliment],0))="s2",IF($FD164=Spécificité2ChevauxTrait,1)),
INDEX(Règles_chevaux_trait[Specificite],MATCH(RationHivernaleAuPréChevauxTrait&amp;$FD164,Règles_chevaux_trait[Ration]&amp;Règles_chevaux_trait[Aliment],0))="c"),
INDEX(Règles_chevaux_trait[Valeur 0-12],MATCH(RationHivernaleAuPréChevauxTrait&amp;$FD164,Règles_chevaux_trait[Ration]&amp;Règles_chevaux_trait[Aliment],0)),0),0)*SUM(TotalPoulainsTrait)*21)</f>
        <v>0</v>
      </c>
      <c r="FI164" s="460">
        <f t="shared" si="47"/>
        <v>0</v>
      </c>
      <c r="FN164" s="457" t="str">
        <f t="shared" si="48"/>
        <v>Pomme de terre</v>
      </c>
      <c r="FO164" s="458">
        <f t="array" ref="FO164">IF(OR(ChoixRationHivernaleComplètePoneys=OUI,ChoixRationHivernaleComplètePoneys="",ChoixPoneysPréHiver=NON),0,IFERROR(IF(OR(AND(INDEX(Règles_poneys[Specificite],MATCH(RationHivernaleAuPréPoneys&amp;$FN164,Règles_poneys[Ration]&amp;Règles_poneys[Aliment],0))="s1",IF($FN164=Spécificité1Poneys,1)),
AND(INDEX(Règles_poneys[Specificite],MATCH(RationHivernaleAuPréPoneys&amp;$FN164,Règles_poneys[Ration]&amp;Règles_poneys[Aliment],0))="s2",IF($FN164=Spécificité2Poneys,1)),
INDEX(Règles_poneys[Specificite],MATCH(RationHivernaleAuPréPoneys&amp;$FN164,Règles_poneys[Ration]&amp;Règles_poneys[Aliment],0))="c"),
INDEX(Règles_poneys[Valeur 36 et plus],MATCH(RationHivernaleAuPréPoneys&amp;$FN164,Règles_poneys[Ration]&amp;Règles_poneys[Aliment],0)),0),0)*SUM(TotalPoneysAdultes)*21)</f>
        <v>0</v>
      </c>
      <c r="FP164" s="458">
        <f t="array" ref="FP164">IF(OR(ChoixRationHivernaleComplètePoneys=OUI,ChoixRationHivernaleComplètePoneys="",ChoixPoneysPréHiver=NON),0,IFERROR(IF(OR(AND(INDEX(Règles_poneys[Specificite],MATCH(RationHivernaleAuPréPoneys&amp;$FN164,Règles_poneys[Ration]&amp;Règles_poneys[Aliment],0))="s1",IF($FN164=Spécificité1Poneys,1)),
AND(INDEX(Règles_poneys[Specificite],MATCH(RationHivernaleAuPréPoneys&amp;$FN164,Règles_poneys[Ration]&amp;Règles_poneys[Aliment],0))="s2",IF($FN164=Spécificité2Poneys,1)),
INDEX(Règles_poneys[Specificite],MATCH(RationHivernaleAuPréPoneys&amp;$FN164,Règles_poneys[Ration]&amp;Règles_poneys[Aliment],0))="c"),
INDEX(Règles_poneys[Valeur 24-36],MATCH(RationHivernaleAuPréPoneys&amp;$FN164,Règles_poneys[Ration]&amp;Règles_poneys[Aliment],0)),0),0)*SUM(TotalPoneys_24_36mois)*21)</f>
        <v>0</v>
      </c>
      <c r="FQ164" s="458">
        <f t="array" ref="FQ164">IF(OR(ChoixRationHivernaleComplètePoneys=OUI,ChoixRationHivernaleComplètePoneys="",ChoixPoneysPréHiver=NON),0,IFERROR(IF(OR(AND(INDEX(Règles_poneys[Specificite],MATCH(RationHivernaleAuPréPoneys&amp;$FN164,Règles_poneys[Ration]&amp;Règles_poneys[Aliment],0))="s1",IF($FN164=Spécificité1Poneys,1)),
AND(INDEX(Règles_poneys[Specificite],MATCH(RationHivernaleAuPréPoneys&amp;$FN164,Règles_poneys[Ration]&amp;Règles_poneys[Aliment],0))="s2",IF($FN164=Spécificité2Poneys,1)),
INDEX(Règles_poneys[Specificite],MATCH(RationHivernaleAuPréPoneys&amp;$FN164,Règles_poneys[Ration]&amp;Règles_poneys[Aliment],0))="c"),
INDEX(Règles_poneys[Valeur 12-24],MATCH(RationHivernaleAuPréPoneys&amp;$FN164,Règles_poneys[Ration]&amp;Règles_poneys[Aliment],0)),0),0)*SUM(TotalPoneys_12_24mois)*21)</f>
        <v>0</v>
      </c>
      <c r="FR164" s="460">
        <f t="array" ref="FR164">IF(OR(ChoixRationHivernaleComplètePoneys=OUI,ChoixRationHivernaleComplètePoneys="",ChoixPoneysPréHiver=NON),0,IFERROR(IF(OR(AND(INDEX(Règles_poneys[Specificite],MATCH(RationHivernaleAuPréPoneys&amp;$FN164,Règles_poneys[Ration]&amp;Règles_poneys[Aliment],0))="s1",IF($FN164=Spécificité1Poneys,1)),
AND(INDEX(Règles_poneys[Specificite],MATCH(RationHivernaleAuPréPoneys&amp;$FN164,Règles_poneys[Ration]&amp;Règles_poneys[Aliment],0))="s2",IF($FN164=Spécificité2Poneys,1)),
INDEX(Règles_poneys[Specificite],MATCH(RationHivernaleAuPréPoneys&amp;$FN164,Règles_poneys[Ration]&amp;Règles_poneys[Aliment],0))="c"),
INDEX(Règles_poneys[Valeur 0-12],MATCH(RationHivernaleAuPréPoneys&amp;$FN164,Règles_poneys[Ration]&amp;Règles_poneys[Aliment],0)),0),0)*SUM(TotalPoulainsPoneys)*21)</f>
        <v>0</v>
      </c>
      <c r="FS164" s="460">
        <f t="shared" si="46"/>
        <v>0</v>
      </c>
      <c r="FW164" s="457" t="str">
        <f t="shared" si="44"/>
        <v>Sorgho ensilé</v>
      </c>
      <c r="FX164" s="458">
        <f t="array" ref="FX164">SUM((IF(QualitéAlimentsGavageOison_0_1_mois=BONNE,VLOOKUP("Sorho ensilé",AlimentsGavageOie,5,FALSE),0)+(IF(QualitéAlimentsGavageCaneton_0_1_mois=BONNE,VLOOKUP("Sorho ensilé",AlimentsGavageCanard,5,FALSE),0)+(IF(QualitéAlimentsGavageOison_1_2_mois=BONNE,VLOOKUP("Sorho ensilé",AlimentsGavageOie,4,FALSE),0)+(IF(QualitéAlimentsGavageCaneton_1_2_mois=BONNE,VLOOKUP("Sorho ensilé",AlimentsGavageCanard,4,FALSE),0)+(IF(QualitéAlimentsGavageOison_2_3_mois=BONNE,VLOOKUP("Sorho ensilé",AlimentsGavageOie,3,FALSE),0)+(IF(QualitéAlimentsGavageCaneton_2_3_mois=BONNE,VLOOKUP("Sorho ensilé",AlimentsGavageCanard,3,FALSE),0)+(IF(QualitéAlimentsGavageJeunesOies=BONNE,VLOOKUP("Sorho ensilé",AlimentsGavageOie,2,FALSE),0)+(IF(QualitéAlimentsGavageJeuneCanard=BONNE,VLOOKUP("Sorho ensilé",AlimentsGavageCanard,2,FALSE),0))))))))))</f>
        <v>0</v>
      </c>
      <c r="FY164" s="458">
        <f t="array" ref="FY164">SUM((IF(QualitéAlimentsGavageOison_0_1_mois=MOYENNE,VLOOKUP("Sorho ensilé",AlimentsGavageOie,5,FALSE),0)+(IF(QualitéAlimentsGavageCaneton_0_1_mois=MOYENNE,VLOOKUP("Sorho ensilé",AlimentsGavageCanard,5,FALSE),0)+(IF(QualitéAlimentsGavageOison_1_2_mois=MOYENNE,VLOOKUP("Sorho ensilé",AlimentsGavageOie,4,FALSE),0)+(IF(QualitéAlimentsGavageCaneton_1_2_mois=MOYENNE,VLOOKUP("Sorho ensilé",AlimentsGavageCanard,4,FALSE),0)+(IF(QualitéAlimentsGavageOison_2_3_mois=MOYENNE,VLOOKUP("Sorho ensilé",AlimentsGavageOie,3,FALSE),0)+(IF(QualitéAlimentsGavageCaneton_2_3_mois=MOYENNE,VLOOKUP("Sorho ensilé",AlimentsGavageCanard,3,FALSE),0)+(IF(QualitéAlimentsGavageJeunesOies=MOYENNE,VLOOKUP("Sorho ensilé",AlimentsGavageOie,2,FALSE),0)+(IF(QualitéAlimentsGavageJeuneCanard=MOYENNE,VLOOKUP("Sorho ensilé",AlimentsGavageCanard,2,FALSE),0))))))))))</f>
        <v>0</v>
      </c>
      <c r="FZ164" s="458">
        <f t="array" ref="FZ164">SUM((IF(QualitéAlimentsGavageOison_0_1_mois=MAUVAISE,VLOOKUP("Sorho ensilé",AlimentsGavageOie,5,FALSE),0)+(IF(QualitéAlimentsGavageCaneton_0_1_mois=MAUVAISE,VLOOKUP("Sorho ensilé",AlimentsGavageCanard,5,FALSE),0)+(IF(QualitéAlimentsGavageOison_1_2_mois=MAUVAISE,VLOOKUP("Sorho ensilé",AlimentsGavageOie,4,FALSE),0)+(IF(QualitéAlimentsGavageCaneton_1_2_mois=MAUVAISE,VLOOKUP("Sorho ensilé",AlimentsGavageCanard,4,FALSE),0)+(IF(QualitéAlimentsGavageOison_2_3_mois=MAUVAISE,VLOOKUP("Sorho ensilé",AlimentsGavageOie,3,FALSE),0)+(IF(QualitéAlimentsGavageCaneton_2_3_mois=MAUVAISE,VLOOKUP("Sorho ensilé",AlimentsGavageCanard,3,FALSE),0)+(IF(QualitéAlimentsGavageJeunesOies=MAUVAISE,VLOOKUP("Sorho ensilé",AlimentsGavageOie,2,FALSE),0)+(IF(QualitéAlimentsGavageJeuneCanard=MAUVAISE,VLOOKUP("Sorho ensilé",AlimentsGavageCanard,2,FALSE),0))))))))))</f>
        <v>0</v>
      </c>
      <c r="GB164" s="281"/>
      <c r="GG164" s="276" t="s">
        <v>955</v>
      </c>
      <c r="GH164" s="276" t="s">
        <v>955</v>
      </c>
      <c r="GI164" s="276" t="s">
        <v>955</v>
      </c>
      <c r="GJ164" s="276" t="s">
        <v>955</v>
      </c>
      <c r="GK164" s="276" t="s">
        <v>955</v>
      </c>
      <c r="GL164" s="276" t="s">
        <v>955</v>
      </c>
      <c r="GM164" s="276" t="s">
        <v>955</v>
      </c>
      <c r="GN164" s="276" t="s">
        <v>955</v>
      </c>
      <c r="GO164" s="276" t="s">
        <v>955</v>
      </c>
      <c r="GP164" s="276" t="s">
        <v>955</v>
      </c>
      <c r="GQ164" s="276" t="s">
        <v>955</v>
      </c>
      <c r="GR164" s="276" t="s">
        <v>955</v>
      </c>
      <c r="GS164" s="276" t="s">
        <v>955</v>
      </c>
      <c r="GT164" s="276" t="s">
        <v>955</v>
      </c>
      <c r="GU164" s="276" t="s">
        <v>955</v>
      </c>
      <c r="GV164" s="276" t="s">
        <v>955</v>
      </c>
    </row>
    <row r="165" spans="1:204" ht="12.75" customHeight="1" x14ac:dyDescent="0.2">
      <c r="A165" s="373"/>
      <c r="B165" s="382"/>
      <c r="BB165" s="387" t="s">
        <v>949</v>
      </c>
      <c r="BC165" s="362" t="s">
        <v>220</v>
      </c>
      <c r="BD165" s="362" t="s">
        <v>887</v>
      </c>
      <c r="BE165" s="388">
        <v>7.2</v>
      </c>
      <c r="BF165" s="388">
        <v>6</v>
      </c>
      <c r="BG165" s="388">
        <v>4</v>
      </c>
      <c r="BH165" s="388">
        <v>2</v>
      </c>
      <c r="BI165" s="388">
        <v>1.2</v>
      </c>
      <c r="BJ165" s="388">
        <v>0.6</v>
      </c>
      <c r="BK165" s="389">
        <v>0</v>
      </c>
      <c r="BL165" s="312"/>
      <c r="BX165" s="350" t="str">
        <f t="shared" si="51"/>
        <v>Paille</v>
      </c>
      <c r="BY165" s="350">
        <f t="array" ref="BY165">IF(ChoixRationComplèteCaprins=OUI,0,IFERROR(IF(OR(AND(INDEX(Règles_caprins[Specificite],MATCH(ChoixRationCaprins&amp;$BX165,Règles_caprins[Ration]&amp;Règles_caprins[Aliment],0))="s1",IF($BX165=Spécificité1Caprins,1)),
INDEX(Règles_caprins[Specificite],MATCH(ChoixRationCaprins&amp;$BX165,Règles_caprins[Ration]&amp;Règles_caprins[Aliment],0))="c"),
INDEX(Règles_caprins[Valeur 12 et plus],MATCH(ChoixRationCaprins&amp;$BX165,Règles_caprins[Ration]&amp;Règles_caprins[Aliment],0)),0),0)*TotalChèvres*NbreJoursNourrirCaprins)</f>
        <v>0</v>
      </c>
      <c r="BZ165" s="350">
        <f t="array" ref="BZ165">IF(ChoixRationComplèteCaprins=OUI,0,IFERROR(IF(OR(AND(INDEX(Règles_caprins[Specificite],MATCH(ChoixRationCaprins&amp;$BX165,Règles_caprins[Ration]&amp;Règles_caprins[Aliment],0))="s1",IF($BX165=Spécificité1Caprins,1)),
INDEX(Règles_caprins[Specificite],MATCH(ChoixRationCaprins&amp;$BX165,Règles_caprins[Ration]&amp;Règles_caprins[Aliment],0))="c"),
INDEX(Règles_caprins[Valeur 6-12],MATCH(ChoixRationCaprins&amp;$BX165,Règles_caprins[Ration]&amp;Règles_caprins[Aliment],0)),0),0)*jeune_chèvre_6_12_mois*NbreJoursNourrirCaprins)</f>
        <v>0</v>
      </c>
      <c r="CA165" s="350">
        <f t="array" ref="CA165">IF(ChoixRationComplèteCaprins=OUI,0,IFERROR(IF(OR(AND(INDEX(Règles_caprins[Specificite],MATCH(ChoixRationCaprins&amp;$BX165,Règles_caprins[Ration]&amp;Règles_caprins[Aliment],0))="s1",IF($BX165=Spécificité1Caprins,1)),
INDEX(Règles_caprins[Specificite],MATCH(ChoixRationCaprins&amp;$BX165,Règles_caprins[Ration]&amp;Règles_caprins[Aliment],0))="c"),
INDEX(Règles_caprins[Valeur 3-6],MATCH(ChoixRationCaprins&amp;$BX165,Règles_caprins[Ration]&amp;Règles_caprins[Aliment],0)),0),0)*chevrette_3_6_mois*NbreJoursNourrirCaprins)</f>
        <v>0</v>
      </c>
      <c r="CB165" s="350">
        <f t="array" ref="CB165">IF(ChoixRationComplèteCaprins=OUI,0,IFERROR(IF(OR(AND(INDEX(Règles_caprins[Specificite],MATCH(ChoixRationCaprins&amp;$BX165,Règles_caprins[Ration]&amp;Règles_caprins[Aliment],0))="s1",IF($BX165=Spécificité1Caprins,1)),
INDEX(Règles_caprins[Specificite],MATCH(ChoixRationCaprins&amp;$BX165,Règles_caprins[Ration]&amp;Règles_caprins[Aliment],0))="c"),
INDEX(Règles_caprins[Valeur 0-3],MATCH(ChoixRationCaprins&amp;$BX165,Règles_caprins[Ration]&amp;Règles_caprins[Aliment],0)),0),0)*chevrette_0_3_mois*NbreJoursNourrirCaprins)</f>
        <v>0</v>
      </c>
      <c r="CC165" s="350">
        <f t="shared" si="50"/>
        <v>0</v>
      </c>
      <c r="CH165" s="298"/>
      <c r="CI165" s="277"/>
      <c r="CJ165" s="350" t="str">
        <f t="shared" si="45"/>
        <v>Seigle</v>
      </c>
      <c r="CK165" s="351">
        <f t="array" ref="CK165">SUM((IF(QualitéAlimentsPorceletMâle_0_1_mois=BONNE,VLOOKUP("Seigle",AlimentsRationPorcinsMâles[],6,FALSE),0)+(IF(QualitéAlimentsPorceletFemelle_0_1_mois=BONNE,VLOOKUP("Seigle",AlimentsRationPorcinsFemelles[],6,FALSE),0)+(IF(QualitéAlimentsPorceletMâle_1_3_mois=BONNE,VLOOKUP("Seigle",AlimentsRationPorcinsMâles[],5,FALSE),0)+(IF(QualitéAlimentsPorceletFemelle_1_3_mois=BONNE,VLOOKUP("Seigle",AlimentsRationPorcinsFemelles[],5,FALSE),0)+(IF(QualitéAlimentsJeuneVerrat_3_6_mois=BONNE,VLOOKUP("Seigle",AlimentsRationPorcinsMâles[],4,FALSE),0)+(IF(QualitéAlimentsJeuneTruie_3_6_mois=BONNE,VLOOKUP("Seigle",AlimentsRationPorcinsFemelles[],4,FALSE),0)+(IF(QualitéAlimentsJeuneVerrat_6_12_mois=BONNE,VLOOKUP("Seigle",AlimentsRationPorcinsMâles[],3,FALSE),0)+(IF(QualitéAlimentsJeuneTruie_6_12_mois=BONNE,VLOOKUP("Seigle",AlimentsRationPorcinsFemelles[],3,FALSE),0)+(IF(QualitéAlimentsVerrat=BONNE,VLOOKUP("Avoine",AlimentsRationPorcinsMâles[],2,FALSE),0)+(IF(QualitéAlimentsTruie=BONNE,VLOOKUP("Avoine",AlimentsRationPorcinsFemelles[],2,FALSE),0))))))))))))</f>
        <v>0</v>
      </c>
      <c r="CL165" s="351">
        <f t="array" ref="CL165">SUM((IF(QualitéAlimentsPorceletMâle_0_1_mois=MOYENNE,VLOOKUP("Seigle",AlimentsRationPorcinsMâles[],6,FALSE),0)+(IF(QualitéAlimentsPorceletFemelle_0_1_mois=MOYENNE,VLOOKUP("Seigle",AlimentsRationPorcinsFemelles[],6,FALSE),0)+(IF(QualitéAlimentsPorceletMâle_1_3_mois=MOYENNE,VLOOKUP("Seigle",AlimentsRationPorcinsMâles[],5,FALSE),0)+(IF(QualitéAlimentsPorceletFemelle_1_3_mois=MOYENNE,VLOOKUP("Seigle",AlimentsRationPorcinsFemelles[],5,FALSE),0)+(IF(QualitéAlimentsJeuneVerrat_3_6_mois=MOYENNE,VLOOKUP("Seigle",AlimentsRationPorcinsMâles[],4,FALSE),0)+(IF(QualitéAlimentsJeuneTruie_3_6_mois=MOYENNE,VLOOKUP("Seigle",AlimentsRationPorcinsFemelles[],4,FALSE),0)+(IF(QualitéAlimentsJeuneVerrat_6_12_mois=MOYENNE,VLOOKUP("Seigle",AlimentsRationPorcinsMâles[],3,FALSE),0)+(IF(QualitéAlimentsJeuneTruie_6_12_mois=MOYENNE,VLOOKUP("Seigle",AlimentsRationPorcinsFemelles[],3,FALSE),0)+(IF(QualitéAlimentsVerrat=BONNE,VLOOKUP("Avoine",AlimentsRationPorcinsMâles[],2,FALSE),0)+(IF(QualitéAlimentsTruie=BONNE,VLOOKUP("Avoine",AlimentsRationPorcinsFemelles[],2,FALSE),0))))))))))))</f>
        <v>0</v>
      </c>
      <c r="CM165" s="351">
        <f t="array" ref="CM165">SUM((IF(QualitéAlimentsPorceletMâle_0_1_mois=MAUVAISE,VLOOKUP("Seigle",AlimentsRationPorcinsMâles[],6,FALSE),0)+(IF(QualitéAlimentsPorceletFemelle_0_1_mois=MAUVAISE,VLOOKUP("Seigle",AlimentsRationPorcinsFemelles[],6,FALSE),0)+(IF(QualitéAlimentsPorceletMâle_1_3_mois=MAUVAISE,VLOOKUP("Seigle",AlimentsRationPorcinsMâles[],5,FALSE),0)+(IF(QualitéAlimentsPorceletFemelle_1_3_mois=MAUVAISE,VLOOKUP("Seigle",AlimentsRationPorcinsFemelles[],5,FALSE),0)+(IF(QualitéAlimentsJeuneVerrat_3_6_mois=MAUVAISE,VLOOKUP("Seigle",AlimentsRationPorcinsMâles[],4,FALSE),0)+(IF(QualitéAlimentsJeuneTruie_3_6_mois=MAUVAISE,VLOOKUP("Seigle",AlimentsRationPorcinsFemelles[],4,FALSE),0)+(IF(QualitéAlimentsJeuneVerrat_6_12_mois=MAUVAISE,VLOOKUP("Seigle",AlimentsRationPorcinsMâles[],3,FALSE),0)+(IF(QualitéAlimentsJeuneTruie_6_12_mois=MAUVAISE,VLOOKUP("Seigle",AlimentsRationPorcinsFemelles[],3,FALSE),0)+(IF(QualitéAlimentsVerrat=BONNE,VLOOKUP("Avoine",AlimentsRationPorcinsMâles[],2,FALSE),0)+(IF(QualitéAlimentsTruie=BONNE,VLOOKUP("Avoine",AlimentsRationPorcinsFemelles[],2,FALSE),0))))))))))))</f>
        <v>0</v>
      </c>
      <c r="CN165" s="279"/>
      <c r="CO165" s="277"/>
      <c r="CP165" s="277"/>
      <c r="CS165" s="350" t="str">
        <f t="shared" si="59"/>
        <v>Ensilage d'herbe</v>
      </c>
      <c r="CT165" s="351">
        <f t="array" ref="CT165">SUM((IF(QualitéAlimentsLapereauMâle_0_1_mois=BONNE,VLOOKUP("Ensilage d'herbe",AlimentsRationLapinsMâles[],4,FALSE),0)+(IF(QualitéAlimentsLapereauFemelle_0_1_mois=BONNE,VLOOKUP("Ensilage d'herbe",AlimentsRationLapinsFemelles[],4,FALSE),0)+(IF(QualitéAlimentsJeuneLapin=BONNE,VLOOKUP("Ensilage d'herbe",AlimentsRationLapinsMâles[],3,FALSE),0)+(IF(QualitéAlimentsJeuneLapine=BONNE,VLOOKUP("Ensilage d'herbe",AlimentsRationLapinsFemelles[],3,FALSE),0)+(IF(QualitéAlimentsLapin=BONNE,VLOOKUP("Ensilage d'herbe",AlimentsRationLapinsMâles[],2,FALSE),0)+(IF(QualitéAlimentsLapine=BONNE,VLOOKUP("Ensilage d'herbe",AlimentsRationLapinsFemelles[],2,FALSE),0))))))))</f>
        <v>0</v>
      </c>
      <c r="CU165" s="351">
        <f t="array" ref="CU165">SUM((IF(QualitéAlimentsLapereauMâle_0_1_mois=MOYENNE,VLOOKUP("Ensilage d'herbe",AlimentsRationLapinsMâles[],4,FALSE),0)+(IF(QualitéAlimentsLapereauFemelle_0_1_mois=MOYENNE,VLOOKUP("Ensilage d'herbe",AlimentsRationLapinsFemelles[],4,FALSE),0)+(IF(QualitéAlimentsJeuneLapin=MOYENNE,VLOOKUP("Ensilage d'herbe",AlimentsRationLapinsMâles[],3,FALSE),0)+(IF(QualitéAlimentsJeuneLapine=MOYENNE,VLOOKUP("Ensilage d'herbe",AlimentsRationLapinsFemelles[],3,FALSE),0)+(IF(QualitéAlimentsLapin=MOYENNE,VLOOKUP("Ensilage d'herbe",AlimentsRationLapinsMâles[],2,FALSE),0)+(IF(QualitéAlimentsLapine=MOYENNE,VLOOKUP("Ensilage d'herbe",AlimentsRationLapinsFemelles[],2,FALSE),0))))))))</f>
        <v>0</v>
      </c>
      <c r="CV165" s="351">
        <f t="array" ref="CV165">SUM((IF(QualitéAlimentsLapereauMâle_0_1_mois=MAUVAISE,VLOOKUP("Ensilage d'herbe",AlimentsRationLapinsMâles[],4,FALSE),0)+(IF(QualitéAlimentsLapereauFemelle_0_1_mois=MAUVAISE,VLOOKUP("Ensilage d'herbe",AlimentsRationLapinsFemelles[],4,FALSE),0)+(IF(QualitéAlimentsJeuneLapin=MAUVAISE,VLOOKUP("Ensilage d'herbe",AlimentsRationLapinsMâles[],3,FALSE),0)+(IF(QualitéAlimentsJeuneLapine=MAUVAISE,VLOOKUP("Ensilage d'herbe",AlimentsRationLapinsFemelles[],3,FALSE),0)+(IF(QualitéAlimentsLapin=MAUVAISE,VLOOKUP("Ensilage d'herbe",AlimentsRationLapinsMâles[],2,FALSE),0)+(IF(QualitéAlimentsLapine=MAUVAISE,VLOOKUP("Ensilage d'herbe",AlimentsRationLapinsFemelles[],2,FALSE),0))))))))</f>
        <v>0</v>
      </c>
      <c r="CZ165" s="350" t="str">
        <f t="shared" si="58"/>
        <v>Eau</v>
      </c>
      <c r="DA165" s="351">
        <f t="array" ref="DA165">SUM((IF(QualitéAlimentsPoussinMâle_0_1_mois=BONNE,VLOOKUP("Eau",AlimentsRationVolaillesMâles[],4,FALSE),0)+(IF(QualitéAlimentsPoussinFemelle_0_1_mois=BONNE,VLOOKUP("Eau",AlimentsRationVolaillesFemelles[],4,FALSE),0)+(IF(QualitéAlimentsJeuneCoq=BONNE,VLOOKUP("Eau",AlimentsRationVolaillesMâles[],3,FALSE),0)+(IF(QualitéAlimentsJeunePoule=BONNE,VLOOKUP("Eau",AlimentsRationVolaillesFemelles[],3,FALSE),0)+(IF(QualitéAlimentsCoq=BONNE,VLOOKUP("Eau",AlimentsRationVolaillesMâles[],2,FALSE),0)+(IF(QualitéAlimentsPoule=BONNE,VLOOKUP("Eau",AlimentsRationVolaillesFemelles[],2,FALSE),0))))))))</f>
        <v>0</v>
      </c>
      <c r="DB165" s="351">
        <f t="array" ref="DB165">SUM((IF(QualitéAlimentsPoussinMâle_0_1_mois=MOYENNE,VLOOKUP("Eau",AlimentsRationVolaillesMâles[],4,FALSE),0)+(IF(QualitéAlimentsPoussinFemelle_0_1_mois=MOYENNE,VLOOKUP("Eau",AlimentsRationVolaillesFemelles[],4,FALSE),0)+(IF(QualitéAlimentsJeuneCoq=MOYENNE,VLOOKUP("Eau",AlimentsRationVolaillesMâles[],3,FALSE),0)+(IF(QualitéAlimentsJeunePoule=MOYENNE,VLOOKUP("Eau",AlimentsRationVolaillesFemelles[],3,FALSE),0)+(IF(QualitéAlimentsCoq=MOYENNE,VLOOKUP("Eau",AlimentsRationVolaillesMâles[],2,FALSE),0)+(IF(QualitéAlimentsPoule=MOYENNE,VLOOKUP("Eau",AlimentsRationVolaillesFemelles[],2,FALSE),0))))))))</f>
        <v>0</v>
      </c>
      <c r="DC165" s="351">
        <f t="array" ref="DC165">SUM((IF(QualitéAlimentsPoussinMâle_0_1_mois=MAUVAISE,VLOOKUP("Eau",AlimentsRationVolaillesMâles[],4,FALSE),0)+(IF(QualitéAlimentsPoussinFemelle_0_1_mois=MAUVAISE,VLOOKUP("Eau",AlimentsRationVolaillesFemelles[],4,FALSE),0)+(IF(QualitéAlimentsJeuneCoq=MAUVAISE,VLOOKUP("Eau",AlimentsRationVolaillesMâles[],3,FALSE),0)+(IF(QualitéAlimentsJeunePoule=MAUVAISE,VLOOKUP("Eau",AlimentsRationVolaillesFemelles[],3,FALSE),0)+(IF(QualitéAlimentsCoq=MAUVAISE,VLOOKUP("Eau",AlimentsRationVolaillesMâles[],2,FALSE),0)+(IF(QualitéAlimentsPoule=MAUVAISE,VLOOKUP("Eau",AlimentsRationVolaillesFemelles[],2,FALSE),0))))))))</f>
        <v>0</v>
      </c>
      <c r="DD165" s="279"/>
      <c r="DG165" s="350" t="str">
        <f t="shared" si="52"/>
        <v>Paille</v>
      </c>
      <c r="DH165" s="351">
        <f t="array" ref="DH165">SUM((IF(QualitéAlimentsPintadeauMâle_0_1_mois=BONNE,VLOOKUP("Paille",AlimentsRationPintadesMâles[],4,FALSE),0)+(IF(QualitéAlimentsPintadeauFemelle_0_1_mois=BONNE,VLOOKUP("Paille",AlimentsRationPintadesFemelles[],4,FALSE),0)+(IF(QualitéAlimentsJeunePintadeMâle=BONNE,VLOOKUP("Paille",AlimentsRationPintadesMâles[],3,FALSE),0)+(IF(QualitéAlimentsJeunePintadeFemelle=BONNE,VLOOKUP("Paille",AlimentsRationPintadesFemelles[],3,FALSE),0)+(IF(QualitéAlimentsPintadeMâle=BONNE,VLOOKUP("Paille",AlimentsRationPintadesMâles[],2,FALSE),0)+(IF(QualitéAlimentsPintadeFemelle=BONNE,VLOOKUP("Paille",AlimentsRationPintadesFemelles[],2,FALSE),0))))))))</f>
        <v>0</v>
      </c>
      <c r="DI165" s="351">
        <f t="array" ref="DI165">SUM((IF(QualitéAlimentsPintadeauMâle_0_1_mois=MOYENNE,VLOOKUP("Paille",AlimentsRationPintadesMâles[],4,FALSE),0)+(IF(QualitéAlimentsPintadeauFemelle_0_1_mois=MOYENNE,VLOOKUP("Paille",AlimentsRationPintadesFemelles[],4,FALSE),0)+(IF(QualitéAlimentsJeunePintadeMâle=MOYENNE,VLOOKUP("Paille",AlimentsRationPintadesMâles[],3,FALSE),0)+(IF(QualitéAlimentsJeunePintadeFemelle=MOYENNE,VLOOKUP("Paille",AlimentsRationPintadesFemelles[],3,FALSE),0)+(IF(QualitéAlimentsPintadeMâle=MOYENNE,VLOOKUP("Paille",AlimentsRationPintadesMâles[],2,FALSE),0)+(IF(QualitéAlimentsPintadeFemelle=MOYENNE,VLOOKUP("Paille",AlimentsRationPintadesFemelles[],2,FALSE),0))))))))</f>
        <v>0</v>
      </c>
      <c r="DJ165" s="351">
        <f t="array" ref="DJ165">SUM((IF(QualitéAlimentsPintadeauMâle_0_1_mois=MAUVAISE,VLOOKUP("Paille",AlimentsRationPintadesMâles[],4,FALSE),0)+(IF(QualitéAlimentsPintadeauFemelle_0_1_mois=MAUVAISE,VLOOKUP("Paille",AlimentsRationPintadesFemelles[],4,FALSE),0)+(IF(QualitéAlimentsJeunePintadeMâle=MAUVAISE,VLOOKUP("Paille",AlimentsRationPintadesMâles[],3,FALSE),0)+(IF(QualitéAlimentsJeunePintadeFemelle=MAUVAISE,VLOOKUP("Paille",AlimentsRationPintadesFemelles[],3,FALSE),0)+(IF(QualitéAlimentsPintadeMâle=MAUVAISE,VLOOKUP("Paille",AlimentsRationPintadesMâles[],2,FALSE),0)+(IF(QualitéAlimentsPintadeFemelle=MAUVAISE,VLOOKUP("Paille",AlimentsRationPintadesFemelles[],2,FALSE),0)+LitièrePintades[[#Totals],[litière]])))))))</f>
        <v>0</v>
      </c>
      <c r="DN165" s="350" t="s">
        <v>266</v>
      </c>
      <c r="DO165" s="351">
        <f t="array" ref="DO165">IF(ChoixRationComplèteOvins=OUI,0,IFERROR(IF(OR(AND(INDEX(Règles_ovins[Specificite],MATCH(ChoixRationOvins&amp;$DN165,Règles_ovins[Ration]&amp;Règles_ovins[Aliment],0))="s1",IF($DN165=Spécificité1Ovins,1)),
AND(INDEX(Règles_ovins[Specificite],MATCH(ChoixRationOvins&amp;$DN165,Règles_ovins[Ration]&amp;Règles_ovins[Aliment],0))="s2",IF($DN165=Spécificité2Ovins,1)),
INDEX(Règles_ovins[Specificite],MATCH(ChoixRationOvins&amp;$DN165,Règles_ovins[Ration]&amp;Règles_ovins[Aliment],0))="c"),
INDEX(Règles_ovins[Valeur 12 et plus],MATCH(ChoixRationOvins&amp;$DN165,Règles_ovins[Ration]&amp;Règles_ovins[Aliment],0)),0),0)*IF(ChoixOvinsPréHiver=OUI,SUM(TotalOvinsAdultesRacesLaitières)*NbreJoursNourrirOvins,TotalBéliers*NbreJoursNourrirOvins))</f>
        <v>0</v>
      </c>
      <c r="DP165" s="351">
        <f t="array" ref="DP165">IF(ChoixRationComplèteOvins=OUI,0,IFERROR(IF(OR(AND(INDEX(Règles_ovins[Specificite],MATCH(ChoixRationOvins&amp;$DN165,Règles_ovins[Ration]&amp;Règles_ovins[Aliment],0))="s1",IF($DN165=Spécificité1Ovins,1)),
AND(INDEX(Règles_ovins[Specificite],MATCH(ChoixRationOvins&amp;$DN165,Règles_ovins[Ration]&amp;Règles_ovins[Aliment],0))="s2",IF($DN165=Spécificité2Ovins,1)),
INDEX(Règles_ovins[Specificite],MATCH(ChoixRationOvins&amp;$DN165,Règles_ovins[Ration]&amp;Règles_ovins[Aliment],0))="c"),
INDEX(Règles_ovins[Valeur 6-12],MATCH(ChoixRationOvins&amp;$DN165,Règles_ovins[Ration]&amp;Règles_ovins[Aliment],0)),0),0)*IF(ChoixOvinsPréHiver=OUI,SUM(TotalJeunesOvinsRacesLaitières)*NbreJoursNourrirOvins,TotalJeune_bélier_6_12_mois*NbreJoursNourrirOvins))</f>
        <v>0</v>
      </c>
      <c r="DQ165" s="351">
        <f t="array" ref="DQ165">IF(ChoixRationComplèteOvins=OUI,0,IFERROR(IF(OR(AND(INDEX(Règles_ovins[Specificite],MATCH(ChoixRationOvins&amp;$DN165,Règles_ovins[Ration]&amp;Règles_ovins[Aliment],0))="s1",IF($DN165=Spécificité1Ovins,1)),
AND(INDEX(Règles_ovins[Specificite],MATCH(ChoixRationOvins&amp;$DN165,Règles_ovins[Ration]&amp;Règles_ovins[Aliment],0))="s2",IF($DN165=Spécificité2Ovins,1)),
INDEX(Règles_ovins[Specificite],MATCH(ChoixRationOvins&amp;$DN165,Règles_ovins[Ration]&amp;Règles_ovins[Aliment],0))="c"),
INDEX(Règles_ovins[Valeur 3-6],MATCH(ChoixRationOvins&amp;$DN165,Règles_ovins[Ration]&amp;Règles_ovins[Aliment],0)),0),0)*IF(ChoixOvinsPréHiver=OUI,SUM(TotalOvins_3_6moisRacesLaitières)*NbreJoursNourrirOvins,TotalAgneau_3_6_mois*NbreJoursNourrirOvins))</f>
        <v>0</v>
      </c>
      <c r="DR165" s="351">
        <f t="array" ref="DR165">IF(ChoixRationComplèteOvins=OUI,0,IFERROR(IF(OR(AND(INDEX(Règles_ovins[Specificite],MATCH(ChoixRationOvins&amp;$DN165,Règles_ovins[Ration]&amp;Règles_ovins[Aliment],0))="s1",IF($DN165=Spécificité1Ovins,1)),
AND(INDEX(Règles_ovins[Specificite],MATCH(ChoixRationOvins&amp;$DN165,Règles_ovins[Ration]&amp;Règles_ovins[Aliment],0))="s2",IF($DN165=Spécificité2Ovins,1)),
INDEX(Règles_ovins[Specificite],MATCH(ChoixRationOvins&amp;$DN165,Règles_ovins[Ration]&amp;Règles_ovins[Aliment],0))="c"),
INDEX(Règles_ovins[Valeur 0-3],MATCH(ChoixRationOvins&amp;$DN165,Règles_ovins[Ration]&amp;Règles_ovins[Aliment],0)),0),0)*IF(ChoixOvinsPréHiver=OUI,SUM(TotalOvins_3_6moisRacesLaitières)*NbreJoursNourrirOvins,TotalAgneau_0_3_mois*NbreJoursNourrirOvins))</f>
        <v>0</v>
      </c>
      <c r="DS165" s="441">
        <f t="shared" si="55"/>
        <v>0</v>
      </c>
      <c r="EG165" s="350" t="str">
        <f t="shared" si="57"/>
        <v>Haricot vert</v>
      </c>
      <c r="EH165" s="351">
        <f t="array" ref="EH165">SUM((IF(QualitéAlimentsOisonMâle_0_3_mois=BONNE,VLOOKUP("Haricot vert",AlimentsRationOiesMâles[],4,FALSE),0)+(IF(QualitéAlimentsOisonFemelle_0_3_mois=BONNE,VLOOKUP("Haricot vert",AlimentsRationOiesFemelles[],4,FALSE),0)+(IF(QualitéAlimentsJeuneJars=BONNE,VLOOKUP("Haricot vert",AlimentsRationOiesMâles[],3,FALSE),0)+(IF(QualitéAlimentsJeuneOie=BONNE,VLOOKUP("Haricot vert",AlimentsRationOiesFemelles[],3,FALSE),0)+(IF(QualitéAlimentsJars=BONNE,VLOOKUP("Haricot vert",AlimentsRationOiesMâles[],2,FALSE),0)+(IF(QualitéAlimentsOie=BONNE,VLOOKUP("Haricot vert",AlimentsRationOiesFemelles[],2,FALSE),0))))))))</f>
        <v>0</v>
      </c>
      <c r="EI165" s="351">
        <f t="array" ref="EI165">SUM((IF(QualitéAlimentsOisonMâle_0_3_mois=MOYENNE,VLOOKUP("Haricot vert",AlimentsRationOiesMâles[],4,FALSE),0)+(IF(QualitéAlimentsOisonFemelle_0_3_mois=MOYENNE,VLOOKUP("Haricot vert",AlimentsRationOiesFemelles[],4,FALSE),0)+(IF(QualitéAlimentsJeuneJars=MOYENNE,VLOOKUP("Haricot vert",AlimentsRationOiesMâles[],3,FALSE),0)+(IF(QualitéAlimentsJeuneOie=MOYENNE,VLOOKUP("Haricot vert",AlimentsRationOiesFemelles[],3,FALSE),0)+(IF(QualitéAlimentsJars=MOYENNE,VLOOKUP("Haricot vert",AlimentsRationOiesMâles[],2,FALSE),0)+(IF(QualitéAlimentsOie=MOYENNE,VLOOKUP("Haricot vert",AlimentsRationOiesFemelles[],2,FALSE),0))))))))</f>
        <v>0</v>
      </c>
      <c r="EJ165" s="351">
        <f t="array" ref="EJ165">SUM((IF(QualitéAlimentsOisonMâle_0_3_mois=MAUVAISE,VLOOKUP("Haricot vert",AlimentsRationOiesMâles[],4,FALSE),0)+(IF(QualitéAlimentsOisonFemelle_0_3_mois=MAUVAISE,VLOOKUP("Haricot vert",AlimentsRationOiesFemelles[],4,FALSE),0)+(IF(QualitéAlimentsJeuneJars=MAUVAISE,VLOOKUP("Haricot vert",AlimentsRationOiesMâles[],3,FALSE),0)+(IF(QualitéAlimentsJeuneOie=MAUVAISE,VLOOKUP("Haricot vert",AlimentsRationOiesFemelles[],3,FALSE),0)+(IF(QualitéAlimentsJars=MAUVAISE,VLOOKUP("Haricot vert",AlimentsRationOiesMâles[],2,FALSE),0)+(IF(QualitéAlimentsOie=MAUVAISE,VLOOKUP("Haricot vert",AlimentsRationOiesFemelles[],2,FALSE),0))))))))</f>
        <v>0</v>
      </c>
      <c r="EN165" s="457" t="str">
        <f t="shared" si="56"/>
        <v>Lentille</v>
      </c>
      <c r="EO165" s="458">
        <f t="array" ref="EO165">SUM((IF(QualitéAlimentsCanetonMâle=BONNE,VLOOKUP("Lentille",AlimentsRationCanardsMâles,4,FALSE),0)+(IF(QualitéAlimentsCanetonFemelle=BONNE,VLOOKUP("Lentille",AlimentsRationCanardsFemelles,4,FALSE),0)+(IF(QualitéAlimentsJeuneCanard=BONNE,VLOOKUP("Lentille",AlimentsRationCanardsMâles,3,FALSE),0)+(IF(QualitéAlimentsJeuneCane=BONNE,VLOOKUP("Lentille",AlimentsRationCanardsFemelles,3,FALSE),0)+(IF(QualitéAlimentsCanard=BONNE,VLOOKUP("Lentille",AlimentsRationCanardsMâles,2,FALSE),0)+(IF(QualitéAlimentsCane=BONNE,VLOOKUP("Lentille",AlimentsRationCanardsFemelles,2,FALSE),0))))))))</f>
        <v>0</v>
      </c>
      <c r="EP165" s="458">
        <f t="array" ref="EP165">SUM((IF(QualitéAlimentsCanetonMâle=MOYENNE,VLOOKUP("Lentille",AlimentsRationCanardsMâles,4,FALSE),0)+(IF(QualitéAlimentsCanetonFemelle=MOYENNE,VLOOKUP("Lentille",AlimentsRationCanardsFemelles,4,FALSE),0)+(IF(QualitéAlimentsJeuneCanard=MOYENNE,VLOOKUP("Lentille",AlimentsRationCanardsMâles,3,FALSE),0)+(IF(QualitéAlimentsJeuneCane=MOYENNE,VLOOKUP("Lentille",AlimentsRationCanardsFemelles,3,FALSE),0)+(IF(QualitéAlimentsCanard=MOYENNE,VLOOKUP("Lentille",AlimentsRationCanardsMâles,2,FALSE),0)+(IF(QualitéAlimentsCane=MOYENNE,VLOOKUP("Lentille",AlimentsRationCanardsFemelles,2,FALSE),0))))))))</f>
        <v>0</v>
      </c>
      <c r="EQ165" s="458">
        <f t="array" ref="EQ165">SUM((IF(QualitéAlimentsCanetonMâle=MAUVAISE,VLOOKUP("Lentille",AlimentsRationCanardsMâles,4,FALSE),0)+(IF(QualitéAlimentsCanetonFemelle=MAUVAISE,VLOOKUP("Lentille",AlimentsRationCanardsFemelles,4,FALSE),0)+(IF(QualitéAlimentsJeuneCanard=MAUVAISE,VLOOKUP("Lentille",AlimentsRationCanardsMâles,3,FALSE),0)+(IF(QualitéAlimentsJeuneCane=MAUVAISE,VLOOKUP("Lentille",AlimentsRationCanardsFemelles,3,FALSE),0)+(IF(QualitéAlimentsCanard=MAUVAISE,VLOOKUP("Lentille",AlimentsRationCanardsMâles,2,FALSE),0)+(IF(QualitéAlimentsCane=MAUVAISE,VLOOKUP("Lentille",AlimentsRationCanardsFemelles,2,FALSE),0))))))))</f>
        <v>0</v>
      </c>
      <c r="EU165" s="457" t="str">
        <f t="shared" si="54"/>
        <v>Maïs ensilé</v>
      </c>
      <c r="EV165" s="458">
        <f t="array" ref="EV165">IF(OR(ChoixRationHivernaleComplèteChevauxSelle=OUI,ChoixRationHivernaleComplèteChevauxSelle="",ChoixChevauxSellePréHiver=NON),0,IFERROR(IF(OR(AND(INDEX(Règles_chevaux_selle[Specificite],MATCH(RationHivernaleAuPréChevauxSelle&amp;$EU165,Règles_chevaux_selle[Ration]&amp;Règles_chevaux_selle[Aliment],0))="s1",IF($EU165=Spécificité1ChevauxSelle,1)),
AND(INDEX(Règles_chevaux_selle[Specificite],MATCH(RationHivernaleAuPréChevauxSelle&amp;$EU165,Règles_chevaux_selle[Ration]&amp;Règles_chevaux_selle[Aliment],0))="s2",IF($EU165=Spécificité2ChevauxSelle,1)),
INDEX(Règles_chevaux_selle[Specificite],MATCH(RationHivernaleAuPréChevauxSelle&amp;$EU165,Règles_chevaux_selle[Ration]&amp;Règles_chevaux_selle[Aliment],0))="c"),
INDEX(Règles_chevaux_selle[Valeur 36 et plus],MATCH(RationHivernaleAuPréChevauxSelle&amp;$EU165,Règles_chevaux_selle[Ration]&amp;Règles_chevaux_selle[Aliment],0)),0),0)*SUM(TotalChevauxSelleAdultes)*21)</f>
        <v>0</v>
      </c>
      <c r="EW165" s="458">
        <f t="array" ref="EW165">IF(OR(ChoixRationHivernaleComplèteChevauxSelle=OUI,ChoixRationHivernaleComplèteChevauxSelle="",ChoixChevauxSellePréHiver=NON),0,IFERROR(IF(OR(AND(INDEX(Règles_chevaux_selle[Specificite],MATCH(RationHivernaleAuPréChevauxSelle&amp;$EU165,Règles_chevaux_selle[Ration]&amp;Règles_chevaux_selle[Aliment],0))="s1",IF($EU165=Spécificité1ChevauxSelle,1)),
AND(INDEX(Règles_chevaux_selle[Specificite],MATCH(RationHivernaleAuPréChevauxSelle&amp;$EU165,Règles_chevaux_selle[Ration]&amp;Règles_chevaux_selle[Aliment],0))="s2",IF($EU165=Spécificité2ChevauxSelle,1)),
INDEX(Règles_chevaux_selle[Specificite],MATCH(RationHivernaleAuPréChevauxSelle&amp;$EU165,Règles_chevaux_selle[Ration]&amp;Règles_chevaux_selle[Aliment],0))="c"),
INDEX(Règles_chevaux_selle[Valeur 24-36],MATCH(RationHivernaleAuPréChevauxSelle&amp;$EU165,Règles_chevaux_selle[Ration]&amp;Règles_chevaux_selle[Aliment],0)),0),0)*SUM(TotalChevauxSelle_24_36mois)*21)</f>
        <v>0</v>
      </c>
      <c r="EX165" s="458">
        <f t="array" ref="EX165">IF(OR(ChoixRationHivernaleComplèteChevauxSelle=OUI,ChoixRationHivernaleComplèteChevauxSelle="",ChoixChevauxSellePréHiver=NON),0,IFERROR(IF(OR(AND(INDEX(Règles_chevaux_selle[Specificite],MATCH(RationHivernaleAuPréChevauxSelle&amp;$EU165,Règles_chevaux_selle[Ration]&amp;Règles_chevaux_selle[Aliment],0))="s1",IF($EU165=Spécificité1ChevauxSelle,1)),
AND(INDEX(Règles_chevaux_selle[Specificite],MATCH(RationHivernaleAuPréChevauxSelle&amp;$EU165,Règles_chevaux_selle[Ration]&amp;Règles_chevaux_selle[Aliment],0))="s2",IF($EU165=Spécificité2ChevauxSelle,1)),
INDEX(Règles_chevaux_selle[Specificite],MATCH(RationHivernaleAuPréChevauxSelle&amp;$EU165,Règles_chevaux_selle[Ration]&amp;Règles_chevaux_selle[Aliment],0))="c"),
INDEX(Règles_chevaux_selle[Valeur 12-24],MATCH(RationHivernaleAuPréChevauxSelle&amp;$EU165,Règles_chevaux_selle[Ration]&amp;Règles_chevaux_selle[Aliment],0)),0),0)*SUM(TotalChevauxSelle_12_24mois)*21)</f>
        <v>0</v>
      </c>
      <c r="EY165" s="460">
        <f t="array" ref="EY165">IF(OR(ChoixRationHivernaleComplèteChevauxSelle=OUI,ChoixRationHivernaleComplèteChevauxSelle="",ChoixChevauxSellePréHiver=NON),0,IFERROR(IF(OR(AND(INDEX(Règles_chevaux_selle[Specificite],MATCH(RationHivernaleAuPréChevauxSelle&amp;$EU165,Règles_chevaux_selle[Ration]&amp;Règles_chevaux_selle[Aliment],0))="s1",IF($EU165=Spécificité1ChevauxSelle,1)),
AND(INDEX(Règles_chevaux_selle[Specificite],MATCH(RationHivernaleAuPréChevauxSelle&amp;$EU165,Règles_chevaux_selle[Ration]&amp;Règles_chevaux_selle[Aliment],0))="s2",IF($EU165=Spécificité2ChevauxSelle,1)),
INDEX(Règles_chevaux_selle[Specificite],MATCH(RationHivernaleAuPréChevauxSelle&amp;$EU165,Règles_chevaux_selle[Ration]&amp;Règles_chevaux_selle[Aliment],0))="c"),
INDEX(Règles_chevaux_selle[Valeur 0-12],MATCH(RationHivernaleAuPréChevauxSelle&amp;$EU165,Règles_chevaux_selle[Ration]&amp;Règles_chevaux_selle[Aliment],0)),0),0)*SUM(TotalPoulainsSelle)*21)</f>
        <v>0</v>
      </c>
      <c r="EZ165" s="460">
        <f t="shared" si="53"/>
        <v>0</v>
      </c>
      <c r="FD165" s="457" t="str">
        <f t="shared" si="49"/>
        <v>Pomme de terre</v>
      </c>
      <c r="FE165" s="458">
        <f t="array" ref="FE165">IF(OR(ChoixRationHivernaleComplèteChevauxTrait=OUI,ChoixRationHivernaleComplèteChevauxTrait="",ChoixChevauxTraitPréHiver=NON),0,IFERROR(IF(OR(AND(INDEX(Règles_chevaux_trait[Specificite],MATCH(RationHivernaleAuPréChevauxTrait&amp;$FD165,Règles_chevaux_trait[Ration]&amp;Règles_chevaux_trait[Aliment],0))="s1",IF($FD165=Spécificité1ChevauxTrait,1)),
AND(INDEX(Règles_chevaux_trait[Specificite],MATCH(RationHivernaleAuPréChevauxTrait&amp;$FD165,Règles_chevaux_trait[Ration]&amp;Règles_chevaux_trait[Aliment],0))="s2",IF($FD165=Spécificité2ChevauxTrait,1)),
INDEX(Règles_chevaux_trait[Specificite],MATCH(RationHivernaleAuPréChevauxTrait&amp;$FD165,Règles_chevaux_trait[Ration]&amp;Règles_chevaux_trait[Aliment],0))="c"),
INDEX(Règles_chevaux_trait[Valeur 36 et plus],MATCH(RationHivernaleAuPréChevauxTrait&amp;$FD165,Règles_chevaux_trait[Ration]&amp;Règles_chevaux_trait[Aliment],0)),0),0)*SUM(TotalChevauxTraitAdultes)*21)</f>
        <v>0</v>
      </c>
      <c r="FF165" s="458">
        <f t="array" ref="FF165">IF(OR(ChoixRationHivernaleComplèteChevauxTrait=OUI,ChoixRationHivernaleComplèteChevauxTrait="",ChoixChevauxTraitPréHiver=NON),0,IFERROR(IF(OR(AND(INDEX(Règles_chevaux_trait[Specificite],MATCH(RationHivernaleAuPréChevauxTrait&amp;$FD165,Règles_chevaux_trait[Ration]&amp;Règles_chevaux_trait[Aliment],0))="s1",IF($FD165=Spécificité1ChevauxTrait,1)),
AND(INDEX(Règles_chevaux_trait[Specificite],MATCH(RationHivernaleAuPréChevauxTrait&amp;$FD165,Règles_chevaux_trait[Ration]&amp;Règles_chevaux_trait[Aliment],0))="s2",IF($FD165=Spécificité2ChevauxTrait,1)),
INDEX(Règles_chevaux_trait[Specificite],MATCH(RationHivernaleAuPréChevauxTrait&amp;$FD165,Règles_chevaux_trait[Ration]&amp;Règles_chevaux_trait[Aliment],0))="c"),
INDEX(Règles_chevaux_trait[Valeur 24-36],MATCH(RationHivernaleAuPréChevauxTrait&amp;$FD165,Règles_chevaux_trait[Ration]&amp;Règles_chevaux_trait[Aliment],0)),0),0)*SUM(TotalChevauxTrait_24_36mois)*21)</f>
        <v>0</v>
      </c>
      <c r="FG165" s="458">
        <f t="array" ref="FG165">IF(OR(ChoixRationHivernaleComplèteChevauxTrait=OUI,ChoixRationHivernaleComplèteChevauxTrait="",ChoixChevauxTraitPréHiver=NON),0,IFERROR(IF(OR(AND(INDEX(Règles_chevaux_trait[Specificite],MATCH(RationHivernaleAuPréChevauxTrait&amp;$FD165,Règles_chevaux_trait[Ration]&amp;Règles_chevaux_trait[Aliment],0))="s1",IF($FD165=Spécificité1ChevauxTrait,1)),
AND(INDEX(Règles_chevaux_trait[Specificite],MATCH(RationHivernaleAuPréChevauxTrait&amp;$FD165,Règles_chevaux_trait[Ration]&amp;Règles_chevaux_trait[Aliment],0))="s2",IF($FD165=Spécificité2ChevauxTrait,1)),
INDEX(Règles_chevaux_trait[Specificite],MATCH(RationHivernaleAuPréChevauxTrait&amp;$FD165,Règles_chevaux_trait[Ration]&amp;Règles_chevaux_trait[Aliment],0))="c"),
INDEX(Règles_chevaux_trait[Valeur 12-24],MATCH(RationHivernaleAuPréChevauxTrait&amp;$FD165,Règles_chevaux_trait[Ration]&amp;Règles_chevaux_trait[Aliment],0)),0),0)*SUM(TotalChevauxTrait_12_24mois)*21)</f>
        <v>0</v>
      </c>
      <c r="FH165" s="460">
        <f t="array" ref="FH165">IF(OR(ChoixRationHivernaleComplèteChevauxTrait=OUI,ChoixRationHivernaleComplèteChevauxTrait="",ChoixChevauxTraitPréHiver=NON),0,IFERROR(IF(OR(AND(INDEX(Règles_chevaux_trait[Specificite],MATCH(RationHivernaleAuPréChevauxTrait&amp;$FD165,Règles_chevaux_trait[Ration]&amp;Règles_chevaux_trait[Aliment],0))="s1",IF($FD165=Spécificité1ChevauxTrait,1)),
AND(INDEX(Règles_chevaux_trait[Specificite],MATCH(RationHivernaleAuPréChevauxTrait&amp;$FD165,Règles_chevaux_trait[Ration]&amp;Règles_chevaux_trait[Aliment],0))="s2",IF($FD165=Spécificité2ChevauxTrait,1)),
INDEX(Règles_chevaux_trait[Specificite],MATCH(RationHivernaleAuPréChevauxTrait&amp;$FD165,Règles_chevaux_trait[Ration]&amp;Règles_chevaux_trait[Aliment],0))="c"),
INDEX(Règles_chevaux_trait[Valeur 0-12],MATCH(RationHivernaleAuPréChevauxTrait&amp;$FD165,Règles_chevaux_trait[Ration]&amp;Règles_chevaux_trait[Aliment],0)),0),0)*SUM(TotalPoulainsTrait)*21)</f>
        <v>0</v>
      </c>
      <c r="FI165" s="460">
        <f t="shared" si="47"/>
        <v>0</v>
      </c>
      <c r="FN165" s="457" t="str">
        <f t="shared" si="48"/>
        <v>Pulpe déshydratée de betterave</v>
      </c>
      <c r="FO165" s="458">
        <f t="array" ref="FO165">IF(OR(ChoixRationHivernaleComplètePoneys=OUI,ChoixRationHivernaleComplètePoneys="",ChoixPoneysPréHiver=NON),0,IFERROR(IF(OR(AND(INDEX(Règles_poneys[Specificite],MATCH(RationHivernaleAuPréPoneys&amp;$FN165,Règles_poneys[Ration]&amp;Règles_poneys[Aliment],0))="s1",IF($FN165=Spécificité1Poneys,1)),
AND(INDEX(Règles_poneys[Specificite],MATCH(RationHivernaleAuPréPoneys&amp;$FN165,Règles_poneys[Ration]&amp;Règles_poneys[Aliment],0))="s2",IF($FN165=Spécificité2Poneys,1)),
INDEX(Règles_poneys[Specificite],MATCH(RationHivernaleAuPréPoneys&amp;$FN165,Règles_poneys[Ration]&amp;Règles_poneys[Aliment],0))="c"),
INDEX(Règles_poneys[Valeur 36 et plus],MATCH(RationHivernaleAuPréPoneys&amp;$FN165,Règles_poneys[Ration]&amp;Règles_poneys[Aliment],0)),0),0)*SUM(TotalPoneysAdultes)*21)</f>
        <v>0</v>
      </c>
      <c r="FP165" s="458">
        <f t="array" ref="FP165">IF(OR(ChoixRationHivernaleComplètePoneys=OUI,ChoixRationHivernaleComplètePoneys="",ChoixPoneysPréHiver=NON),0,IFERROR(IF(OR(AND(INDEX(Règles_poneys[Specificite],MATCH(RationHivernaleAuPréPoneys&amp;$FN165,Règles_poneys[Ration]&amp;Règles_poneys[Aliment],0))="s1",IF($FN165=Spécificité1Poneys,1)),
AND(INDEX(Règles_poneys[Specificite],MATCH(RationHivernaleAuPréPoneys&amp;$FN165,Règles_poneys[Ration]&amp;Règles_poneys[Aliment],0))="s2",IF($FN165=Spécificité2Poneys,1)),
INDEX(Règles_poneys[Specificite],MATCH(RationHivernaleAuPréPoneys&amp;$FN165,Règles_poneys[Ration]&amp;Règles_poneys[Aliment],0))="c"),
INDEX(Règles_poneys[Valeur 24-36],MATCH(RationHivernaleAuPréPoneys&amp;$FN165,Règles_poneys[Ration]&amp;Règles_poneys[Aliment],0)),0),0)*SUM(TotalPoneys_24_36mois)*21)</f>
        <v>0</v>
      </c>
      <c r="FQ165" s="458">
        <f t="array" ref="FQ165">IF(OR(ChoixRationHivernaleComplètePoneys=OUI,ChoixRationHivernaleComplètePoneys="",ChoixPoneysPréHiver=NON),0,IFERROR(IF(OR(AND(INDEX(Règles_poneys[Specificite],MATCH(RationHivernaleAuPréPoneys&amp;$FN165,Règles_poneys[Ration]&amp;Règles_poneys[Aliment],0))="s1",IF($FN165=Spécificité1Poneys,1)),
AND(INDEX(Règles_poneys[Specificite],MATCH(RationHivernaleAuPréPoneys&amp;$FN165,Règles_poneys[Ration]&amp;Règles_poneys[Aliment],0))="s2",IF($FN165=Spécificité2Poneys,1)),
INDEX(Règles_poneys[Specificite],MATCH(RationHivernaleAuPréPoneys&amp;$FN165,Règles_poneys[Ration]&amp;Règles_poneys[Aliment],0))="c"),
INDEX(Règles_poneys[Valeur 12-24],MATCH(RationHivernaleAuPréPoneys&amp;$FN165,Règles_poneys[Ration]&amp;Règles_poneys[Aliment],0)),0),0)*SUM(TotalPoneys_12_24mois)*21)</f>
        <v>0</v>
      </c>
      <c r="FR165" s="460">
        <f t="array" ref="FR165">IF(OR(ChoixRationHivernaleComplètePoneys=OUI,ChoixRationHivernaleComplètePoneys="",ChoixPoneysPréHiver=NON),0,IFERROR(IF(OR(AND(INDEX(Règles_poneys[Specificite],MATCH(RationHivernaleAuPréPoneys&amp;$FN165,Règles_poneys[Ration]&amp;Règles_poneys[Aliment],0))="s1",IF($FN165=Spécificité1Poneys,1)),
AND(INDEX(Règles_poneys[Specificite],MATCH(RationHivernaleAuPréPoneys&amp;$FN165,Règles_poneys[Ration]&amp;Règles_poneys[Aliment],0))="s2",IF($FN165=Spécificité2Poneys,1)),
INDEX(Règles_poneys[Specificite],MATCH(RationHivernaleAuPréPoneys&amp;$FN165,Règles_poneys[Ration]&amp;Règles_poneys[Aliment],0))="c"),
INDEX(Règles_poneys[Valeur 0-12],MATCH(RationHivernaleAuPréPoneys&amp;$FN165,Règles_poneys[Ration]&amp;Règles_poneys[Aliment],0)),0),0)*SUM(TotalPoulainsPoneys)*21)</f>
        <v>0</v>
      </c>
      <c r="FS165" s="460">
        <f t="shared" si="46"/>
        <v>0</v>
      </c>
      <c r="FW165" s="457" t="str">
        <f t="shared" si="44"/>
        <v>Tournesol</v>
      </c>
      <c r="FX165" s="458">
        <f t="array" ref="FX165">SUM((IF(QualitéAlimentsGavageOison_0_1_mois=BONNE,VLOOKUP("Tournesol",AlimentsGavageOie,5,FALSE),0)+(IF(QualitéAlimentsGavageCaneton_0_1_mois=BONNE,VLOOKUP("Tournesol",AlimentsGavageCanard,5,FALSE),0)+(IF(QualitéAlimentsGavageOison_1_2_mois=BONNE,VLOOKUP("Tournesol",AlimentsGavageOie,4,FALSE),0)+(IF(QualitéAlimentsGavageCaneton_1_2_mois=BONNE,VLOOKUP("Tournesol",AlimentsGavageCanard,4,FALSE),0)+(IF(QualitéAlimentsGavageOison_2_3_mois=BONNE,VLOOKUP("Tournesol",AlimentsGavageOie,3,FALSE),0)+(IF(QualitéAlimentsGavageCaneton_2_3_mois=BONNE,VLOOKUP("Tournesol",AlimentsGavageCanard,3,FALSE),0)+(IF(QualitéAlimentsGavageJeunesOies=BONNE,VLOOKUP("Tournesol",AlimentsGavageOie,2,FALSE),0)+(IF(QualitéAlimentsGavageJeuneCanard=BONNE,VLOOKUP("Tournesol",AlimentsGavageCanard,2,FALSE),0))))))))))</f>
        <v>0</v>
      </c>
      <c r="FY165" s="458">
        <f t="array" ref="FY165">SUM((IF(QualitéAlimentsGavageOison_0_1_mois=MOYENNE,VLOOKUP("Tournesol",AlimentsGavageOie,5,FALSE),0)+(IF(QualitéAlimentsGavageCaneton_0_1_mois=MOYENNE,VLOOKUP("Tournesol",AlimentsGavageCanard,5,FALSE),0)+(IF(QualitéAlimentsGavageOison_1_2_mois=MOYENNE,VLOOKUP("Tournesol",AlimentsGavageOie,4,FALSE),0)+(IF(QualitéAlimentsGavageCaneton_1_2_mois=MOYENNE,VLOOKUP("Tournesol",AlimentsGavageCanard,4,FALSE),0)+(IF(QualitéAlimentsGavageOison_2_3_mois=MOYENNE,VLOOKUP("Tournesol",AlimentsGavageOie,3,FALSE),0)+(IF(QualitéAlimentsGavageCaneton_2_3_mois=MOYENNE,VLOOKUP("Tournesol",AlimentsGavageCanard,3,FALSE),0)+(IF(QualitéAlimentsGavageJeunesOies=MOYENNE,VLOOKUP("Tournesol",AlimentsGavageOie,2,FALSE),0)+(IF(QualitéAlimentsGavageJeuneCanard=MOYENNE,VLOOKUP("Tournesol",AlimentsGavageCanard,2,FALSE),0))))))))))</f>
        <v>0</v>
      </c>
      <c r="FZ165" s="458">
        <f t="array" ref="FZ165">SUM((IF(QualitéAlimentsGavageOison_0_1_mois=MAUVAISE,VLOOKUP("Tournesol",AlimentsGavageOie,5,FALSE),0)+(IF(QualitéAlimentsGavageCaneton_0_1_mois=MAUVAISE,VLOOKUP("Tournesol",AlimentsGavageCanard,5,FALSE),0)+(IF(QualitéAlimentsGavageOison_1_2_mois=MAUVAISE,VLOOKUP("Tournesol",AlimentsGavageOie,4,FALSE),0)+(IF(QualitéAlimentsGavageCaneton_1_2_mois=MAUVAISE,VLOOKUP("Tournesol",AlimentsGavageCanard,4,FALSE),0)+(IF(QualitéAlimentsGavageOison_2_3_mois=MAUVAISE,VLOOKUP("Tournesol",AlimentsGavageOie,3,FALSE),0)+(IF(QualitéAlimentsGavageCaneton_2_3_mois=MAUVAISE,VLOOKUP("Tournesol",AlimentsGavageCanard,3,FALSE),0)+(IF(QualitéAlimentsGavageJeunesOies=MAUVAISE,VLOOKUP("Tournesol",AlimentsGavageOie,2,FALSE),0)+(IF(QualitéAlimentsGavageJeuneCanard=MAUVAISE,VLOOKUP("Tournesol",AlimentsGavageCanard,2,FALSE),0))))))))))</f>
        <v>0</v>
      </c>
      <c r="GB165" s="281"/>
      <c r="GG165" s="276" t="s">
        <v>955</v>
      </c>
      <c r="GH165" s="276" t="s">
        <v>955</v>
      </c>
      <c r="GI165" s="276" t="s">
        <v>955</v>
      </c>
      <c r="GJ165" s="276" t="s">
        <v>955</v>
      </c>
      <c r="GK165" s="276" t="s">
        <v>955</v>
      </c>
      <c r="GL165" s="276" t="s">
        <v>955</v>
      </c>
      <c r="GM165" s="276" t="s">
        <v>955</v>
      </c>
      <c r="GN165" s="276" t="s">
        <v>955</v>
      </c>
      <c r="GO165" s="276" t="s">
        <v>955</v>
      </c>
      <c r="GP165" s="276" t="s">
        <v>955</v>
      </c>
      <c r="GQ165" s="276" t="s">
        <v>955</v>
      </c>
      <c r="GR165" s="276" t="s">
        <v>955</v>
      </c>
      <c r="GS165" s="276" t="s">
        <v>955</v>
      </c>
      <c r="GT165" s="276" t="s">
        <v>955</v>
      </c>
      <c r="GU165" s="276" t="s">
        <v>955</v>
      </c>
      <c r="GV165" s="276" t="s">
        <v>955</v>
      </c>
    </row>
    <row r="166" spans="1:204" ht="12.75" customHeight="1" x14ac:dyDescent="0.2">
      <c r="A166" s="373"/>
      <c r="B166" s="382"/>
      <c r="BB166" s="387" t="s">
        <v>949</v>
      </c>
      <c r="BC166" s="362" t="s">
        <v>70</v>
      </c>
      <c r="BD166" s="362" t="s">
        <v>887</v>
      </c>
      <c r="BE166" s="388">
        <v>7.2</v>
      </c>
      <c r="BF166" s="388">
        <v>6</v>
      </c>
      <c r="BG166" s="388">
        <v>4</v>
      </c>
      <c r="BH166" s="388">
        <v>2</v>
      </c>
      <c r="BI166" s="388">
        <v>1.2</v>
      </c>
      <c r="BJ166" s="388">
        <v>0.6</v>
      </c>
      <c r="BK166" s="389">
        <v>0</v>
      </c>
      <c r="BL166" s="312"/>
      <c r="BX166" s="350" t="str">
        <f t="shared" si="51"/>
        <v>Pois</v>
      </c>
      <c r="BY166" s="350">
        <f t="array" ref="BY166">IF(ChoixRationComplèteCaprins=OUI,0,IFERROR(IF(OR(AND(INDEX(Règles_caprins[Specificite],MATCH(ChoixRationCaprins&amp;$BX166,Règles_caprins[Ration]&amp;Règles_caprins[Aliment],0))="s1",IF($BX166=Spécificité1Caprins,1)),
INDEX(Règles_caprins[Specificite],MATCH(ChoixRationCaprins&amp;$BX166,Règles_caprins[Ration]&amp;Règles_caprins[Aliment],0))="c"),
INDEX(Règles_caprins[Valeur 12 et plus],MATCH(ChoixRationCaprins&amp;$BX166,Règles_caprins[Ration]&amp;Règles_caprins[Aliment],0)),0),0)*TotalChèvres*NbreJoursNourrirCaprins)</f>
        <v>0</v>
      </c>
      <c r="BZ166" s="350">
        <f t="array" ref="BZ166">IF(ChoixRationComplèteCaprins=OUI,0,IFERROR(IF(OR(AND(INDEX(Règles_caprins[Specificite],MATCH(ChoixRationCaprins&amp;$BX166,Règles_caprins[Ration]&amp;Règles_caprins[Aliment],0))="s1",IF($BX166=Spécificité1Caprins,1)),
INDEX(Règles_caprins[Specificite],MATCH(ChoixRationCaprins&amp;$BX166,Règles_caprins[Ration]&amp;Règles_caprins[Aliment],0))="c"),
INDEX(Règles_caprins[Valeur 6-12],MATCH(ChoixRationCaprins&amp;$BX166,Règles_caprins[Ration]&amp;Règles_caprins[Aliment],0)),0),0)*jeune_chèvre_6_12_mois*NbreJoursNourrirCaprins)</f>
        <v>0</v>
      </c>
      <c r="CA166" s="350">
        <f t="array" ref="CA166">IF(ChoixRationComplèteCaprins=OUI,0,IFERROR(IF(OR(AND(INDEX(Règles_caprins[Specificite],MATCH(ChoixRationCaprins&amp;$BX166,Règles_caprins[Ration]&amp;Règles_caprins[Aliment],0))="s1",IF($BX166=Spécificité1Caprins,1)),
INDEX(Règles_caprins[Specificite],MATCH(ChoixRationCaprins&amp;$BX166,Règles_caprins[Ration]&amp;Règles_caprins[Aliment],0))="c"),
INDEX(Règles_caprins[Valeur 3-6],MATCH(ChoixRationCaprins&amp;$BX166,Règles_caprins[Ration]&amp;Règles_caprins[Aliment],0)),0),0)*chevrette_3_6_mois*NbreJoursNourrirCaprins)</f>
        <v>0</v>
      </c>
      <c r="CB166" s="350">
        <f t="array" ref="CB166">IF(ChoixRationComplèteCaprins=OUI,0,IFERROR(IF(OR(AND(INDEX(Règles_caprins[Specificite],MATCH(ChoixRationCaprins&amp;$BX166,Règles_caprins[Ration]&amp;Règles_caprins[Aliment],0))="s1",IF($BX166=Spécificité1Caprins,1)),
INDEX(Règles_caprins[Specificite],MATCH(ChoixRationCaprins&amp;$BX166,Règles_caprins[Ration]&amp;Règles_caprins[Aliment],0))="c"),
INDEX(Règles_caprins[Valeur 0-3],MATCH(ChoixRationCaprins&amp;$BX166,Règles_caprins[Ration]&amp;Règles_caprins[Aliment],0)),0),0)*chevrette_0_3_mois*NbreJoursNourrirCaprins)</f>
        <v>0</v>
      </c>
      <c r="CC166" s="350">
        <f t="shared" si="50"/>
        <v>0</v>
      </c>
      <c r="CH166" s="298"/>
      <c r="CI166" s="277"/>
      <c r="CJ166" s="350" t="str">
        <f t="shared" si="45"/>
        <v>Soja</v>
      </c>
      <c r="CK166" s="351">
        <f t="array" ref="CK166">SUM((IF(QualitéAlimentsPorceletMâle_0_1_mois=BONNE,VLOOKUP("Soja",AlimentsRationPorcinsMâles[],6,FALSE),0)+(IF(QualitéAlimentsPorceletFemelle_0_1_mois=BONNE,VLOOKUP("Soja",AlimentsRationPorcinsFemelles[],6,FALSE),0)+(IF(QualitéAlimentsPorceletMâle_1_3_mois=BONNE,VLOOKUP("Soja",AlimentsRationPorcinsMâles[],5,FALSE),0)+(IF(QualitéAlimentsPorceletFemelle_1_3_mois=BONNE,VLOOKUP("Soja",AlimentsRationPorcinsFemelles[],5,FALSE),0)+(IF(QualitéAlimentsJeuneVerrat_3_6_mois=BONNE,VLOOKUP("Soja",AlimentsRationPorcinsMâles[],4,FALSE),0)+(IF(QualitéAlimentsJeuneTruie_3_6_mois=BONNE,VLOOKUP("Soja",AlimentsRationPorcinsFemelles[],4,FALSE),0)+(IF(QualitéAlimentsJeuneVerrat_6_12_mois=BONNE,VLOOKUP("Soja",AlimentsRationPorcinsMâles[],3,FALSE),0)+(IF(QualitéAlimentsJeuneTruie_6_12_mois=BONNE,VLOOKUP("Soja",AlimentsRationPorcinsFemelles[],3,FALSE),0)+(IF(QualitéAlimentsVerrat=BONNE,VLOOKUP("Avoine",AlimentsRationPorcinsMâles[],2,FALSE),0)+(IF(QualitéAlimentsTruie=BONNE,VLOOKUP("Avoine",AlimentsRationPorcinsFemelles[],2,FALSE),0))))))))))))</f>
        <v>0</v>
      </c>
      <c r="CL166" s="351">
        <f t="array" ref="CL166">SUM((IF(QualitéAlimentsPorceletMâle_0_1_mois=MOYENNE,VLOOKUP("Soja",AlimentsRationPorcinsMâles[],6,FALSE),0)+(IF(QualitéAlimentsPorceletFemelle_0_1_mois=MOYENNE,VLOOKUP("Soja",AlimentsRationPorcinsFemelles[],6,FALSE),0)+(IF(QualitéAlimentsPorceletMâle_1_3_mois=MOYENNE,VLOOKUP("Soja",AlimentsRationPorcinsMâles[],5,FALSE),0)+(IF(QualitéAlimentsPorceletFemelle_1_3_mois=MOYENNE,VLOOKUP("Soja",AlimentsRationPorcinsFemelles[],5,FALSE),0)+(IF(QualitéAlimentsJeuneVerrat_3_6_mois=MOYENNE,VLOOKUP("Soja",AlimentsRationPorcinsMâles[],4,FALSE),0)+(IF(QualitéAlimentsJeuneTruie_3_6_mois=MOYENNE,VLOOKUP("Soja",AlimentsRationPorcinsFemelles[],4,FALSE),0)+(IF(QualitéAlimentsJeuneVerrat_6_12_mois=MOYENNE,VLOOKUP("Soja",AlimentsRationPorcinsMâles[],3,FALSE),0)+(IF(QualitéAlimentsJeuneTruie_6_12_mois=MOYENNE,VLOOKUP("Soja",AlimentsRationPorcinsFemelles[],3,FALSE),0)+(IF(QualitéAlimentsVerrat=BONNE,VLOOKUP("Avoine",AlimentsRationPorcinsMâles[],2,FALSE),0)+(IF(QualitéAlimentsTruie=BONNE,VLOOKUP("Avoine",AlimentsRationPorcinsFemelles[],2,FALSE),0))))))))))))</f>
        <v>0</v>
      </c>
      <c r="CM166" s="351">
        <f t="array" ref="CM166">SUM((IF(QualitéAlimentsPorceletMâle_0_1_mois=MAUVAISE,VLOOKUP("Soja",AlimentsRationPorcinsMâles[],6,FALSE),0)+(IF(QualitéAlimentsPorceletFemelle_0_1_mois=MAUVAISE,VLOOKUP("Soja",AlimentsRationPorcinsFemelles[],6,FALSE),0)+(IF(QualitéAlimentsPorceletMâle_1_3_mois=MAUVAISE,VLOOKUP("Soja",AlimentsRationPorcinsMâles[],5,FALSE),0)+(IF(QualitéAlimentsPorceletFemelle_1_3_mois=MAUVAISE,VLOOKUP("Soja",AlimentsRationPorcinsFemelles[],5,FALSE),0)+(IF(QualitéAlimentsJeuneVerrat_3_6_mois=MAUVAISE,VLOOKUP("Soja",AlimentsRationPorcinsMâles[],4,FALSE),0)+(IF(QualitéAlimentsJeuneTruie_3_6_mois=MAUVAISE,VLOOKUP("Soja",AlimentsRationPorcinsFemelles[],4,FALSE),0)+(IF(QualitéAlimentsJeuneVerrat_6_12_mois=MAUVAISE,VLOOKUP("Soja",AlimentsRationPorcinsMâles[],3,FALSE),0)+(IF(QualitéAlimentsJeuneTruie_6_12_mois=MAUVAISE,VLOOKUP("Soja",AlimentsRationPorcinsFemelles[],3,FALSE),0)+(IF(QualitéAlimentsVerrat=BONNE,VLOOKUP("Avoine",AlimentsRationPorcinsMâles[],2,FALSE),0)+(IF(QualitéAlimentsTruie=BONNE,VLOOKUP("Avoine",AlimentsRationPorcinsFemelles[],2,FALSE),0))))))))))))</f>
        <v>0</v>
      </c>
      <c r="CN166" s="279"/>
      <c r="CO166" s="277"/>
      <c r="CP166" s="277"/>
      <c r="CS166" s="350" t="str">
        <f t="shared" si="59"/>
        <v>Eau</v>
      </c>
      <c r="CT166" s="351">
        <f t="array" ref="CT166">SUM((IF(QualitéAlimentsLapereauMâle_0_1_mois=BONNE,VLOOKUP("Eau",AlimentsRationLapinsMâles[],4,FALSE),0)+(IF(QualitéAlimentsLapereauFemelle_0_1_mois=BONNE,VLOOKUP("Eau",AlimentsRationLapinsFemelles[],4,FALSE),0)+(IF(QualitéAlimentsJeuneLapin=BONNE,VLOOKUP("Eau",AlimentsRationLapinsMâles[],3,FALSE),0)+(IF(QualitéAlimentsJeuneLapine=BONNE,VLOOKUP("Eau",AlimentsRationLapinsFemelles[],3,FALSE),0)+(IF(QualitéAlimentsLapin=BONNE,VLOOKUP("Eau",AlimentsRationLapinsMâles[],2,FALSE),0)+(IF(QualitéAlimentsLapine=BONNE,VLOOKUP("Eau",AlimentsRationLapinsFemelles[],2,FALSE),0))))))))</f>
        <v>0</v>
      </c>
      <c r="CU166" s="351">
        <f t="array" ref="CU166">SUM((IF(QualitéAlimentsLapereauMâle_0_1_mois=MOYENNE,VLOOKUP("Eau",AlimentsRationLapinsMâles[],4,FALSE),0)+(IF(QualitéAlimentsLapereauFemelle_0_1_mois=MOYENNE,VLOOKUP("Eau",AlimentsRationLapinsFemelles[],4,FALSE),0)+(IF(QualitéAlimentsJeuneLapin=MOYENNE,VLOOKUP("Eau",AlimentsRationLapinsMâles[],3,FALSE),0)+(IF(QualitéAlimentsJeuneLapine=MOYENNE,VLOOKUP("Eau",AlimentsRationLapinsFemelles[],3,FALSE),0)+(IF(QualitéAlimentsLapin=MOYENNE,VLOOKUP("Eau",AlimentsRationLapinsMâles[],2,FALSE),0)+(IF(QualitéAlimentsLapine=MOYENNE,VLOOKUP("Eau",AlimentsRationLapinsFemelles[],2,FALSE),0))))))))</f>
        <v>0</v>
      </c>
      <c r="CV166" s="351">
        <f t="array" ref="CV166">SUM((IF(QualitéAlimentsLapereauMâle_0_1_mois=MAUVAISE,VLOOKUP("Eau",AlimentsRationLapinsMâles[],4,FALSE),0)+(IF(QualitéAlimentsLapereauFemelle_0_1_mois=MAUVAISE,VLOOKUP("Eau",AlimentsRationLapinsFemelles[],4,FALSE),0)+(IF(QualitéAlimentsJeuneLapin=MAUVAISE,VLOOKUP("Eau",AlimentsRationLapinsMâles[],3,FALSE),0)+(IF(QualitéAlimentsJeuneLapine=MAUVAISE,VLOOKUP("Eau",AlimentsRationLapinsFemelles[],3,FALSE),0)+(IF(QualitéAlimentsLapin=MAUVAISE,VLOOKUP("Eau",AlimentsRationLapinsMâles[],2,FALSE),0)+(IF(QualitéAlimentsLapine=MAUVAISE,VLOOKUP("Eau",AlimentsRationLapinsFemelles[],2,FALSE),0))))))))</f>
        <v>0</v>
      </c>
      <c r="CZ166" s="350" t="str">
        <f t="shared" si="58"/>
        <v>Epinard</v>
      </c>
      <c r="DA166" s="351">
        <f t="array" ref="DA166">SUM((IF(QualitéAlimentsPoussinMâle_0_1_mois=BONNE,VLOOKUP("Epinard",AlimentsRationVolaillesMâles[],4,FALSE),0)+(IF(QualitéAlimentsPoussinFemelle_0_1_mois=BONNE,VLOOKUP("Epinard",AlimentsRationVolaillesFemelles[],4,FALSE),0)+(IF(QualitéAlimentsJeuneCoq=BONNE,VLOOKUP("Epinard",AlimentsRationVolaillesMâles[],3,FALSE),0)+(IF(QualitéAlimentsJeunePoule=BONNE,VLOOKUP("Epinard",AlimentsRationVolaillesFemelles[],3,FALSE),0)+(IF(QualitéAlimentsCoq=BONNE,VLOOKUP("Epinard",AlimentsRationVolaillesMâles[],2,FALSE),0)+(IF(QualitéAlimentsPoule=BONNE,VLOOKUP("Epinard",AlimentsRationVolaillesFemelles[],2,FALSE),0))))))))</f>
        <v>0</v>
      </c>
      <c r="DB166" s="351">
        <f t="array" ref="DB166">SUM((IF(QualitéAlimentsPoussinMâle_0_1_mois=MOYENNE,VLOOKUP("Epinard",AlimentsRationVolaillesMâles[],4,FALSE),0)+(IF(QualitéAlimentsPoussinFemelle_0_1_mois=MOYENNE,VLOOKUP("Epinard",AlimentsRationVolaillesFemelles[],4,FALSE),0)+(IF(QualitéAlimentsJeuneCoq=MOYENNE,VLOOKUP("Epinard",AlimentsRationVolaillesMâles[],3,FALSE),0)+(IF(QualitéAlimentsJeunePoule=MOYENNE,VLOOKUP("Epinard",AlimentsRationVolaillesFemelles[],3,FALSE),0)+(IF(QualitéAlimentsCoq=MOYENNE,VLOOKUP("Epinard",AlimentsRationVolaillesMâles[],2,FALSE),0)+(IF(QualitéAlimentsPoule=MOYENNE,VLOOKUP("Epinard",AlimentsRationVolaillesFemelles[],2,FALSE),0))))))))</f>
        <v>0</v>
      </c>
      <c r="DC166" s="351">
        <f t="array" ref="DC166">SUM((IF(QualitéAlimentsPoussinMâle_0_1_mois=MAUVAISE,VLOOKUP("Epinard",AlimentsRationVolaillesMâles[],4,FALSE),0)+(IF(QualitéAlimentsPoussinFemelle_0_1_mois=MAUVAISE,VLOOKUP("Epinard",AlimentsRationVolaillesFemelles[],4,FALSE),0)+(IF(QualitéAlimentsJeuneCoq=MAUVAISE,VLOOKUP("Epinard",AlimentsRationVolaillesMâles[],3,FALSE),0)+(IF(QualitéAlimentsJeunePoule=MAUVAISE,VLOOKUP("Epinard",AlimentsRationVolaillesFemelles[],3,FALSE),0)+(IF(QualitéAlimentsCoq=MAUVAISE,VLOOKUP("Epinard",AlimentsRationVolaillesMâles[],2,FALSE),0)+(IF(QualitéAlimentsPoule=MAUVAISE,VLOOKUP("Epinard",AlimentsRationVolaillesFemelles[],2,FALSE),0))))))))</f>
        <v>0</v>
      </c>
      <c r="DD166" s="279"/>
      <c r="DG166" s="350" t="str">
        <f t="shared" si="52"/>
        <v>Pois</v>
      </c>
      <c r="DH166" s="351">
        <f t="array" ref="DH166">SUM((IF(QualitéAlimentsPintadeauMâle_0_1_mois=BONNE,VLOOKUP("Pois",AlimentsRationPintadesMâles[],4,FALSE),0)+(IF(QualitéAlimentsPintadeauFemelle_0_1_mois=BONNE,VLOOKUP("Pois",AlimentsRationPintadesFemelles[],4,FALSE),0)+(IF(QualitéAlimentsJeunePintadeMâle=BONNE,VLOOKUP("Pois",AlimentsRationPintadesMâles[],3,FALSE),0)+(IF(QualitéAlimentsJeunePintadeFemelle=BONNE,VLOOKUP("Pois",AlimentsRationPintadesFemelles[],3,FALSE),0)+(IF(QualitéAlimentsPintadeMâle=BONNE,VLOOKUP("Pois",AlimentsRationPintadesMâles[],2,FALSE),0)+(IF(QualitéAlimentsPintadeFemelle=BONNE,VLOOKUP("Pois",AlimentsRationPintadesFemelles[],2,FALSE),0))))))))</f>
        <v>0</v>
      </c>
      <c r="DI166" s="351">
        <f t="array" ref="DI166">SUM((IF(QualitéAlimentsPintadeauMâle_0_1_mois=MOYENNE,VLOOKUP("Pois",AlimentsRationPintadesMâles[],4,FALSE),0)+(IF(QualitéAlimentsPintadeauFemelle_0_1_mois=MOYENNE,VLOOKUP("Pois",AlimentsRationPintadesFemelles[],4,FALSE),0)+(IF(QualitéAlimentsJeunePintadeMâle=MOYENNE,VLOOKUP("Pois",AlimentsRationPintadesMâles[],3,FALSE),0)+(IF(QualitéAlimentsJeunePintadeFemelle=MOYENNE,VLOOKUP("Pois",AlimentsRationPintadesFemelles[],3,FALSE),0)+(IF(QualitéAlimentsPintadeMâle=MOYENNE,VLOOKUP("Pois",AlimentsRationPintadesMâles[],2,FALSE),0)+(IF(QualitéAlimentsPintadeFemelle=MOYENNE,VLOOKUP("Pois",AlimentsRationPintadesFemelles[],2,FALSE),0))))))))</f>
        <v>0</v>
      </c>
      <c r="DJ166" s="351">
        <f t="array" ref="DJ166">SUM((IF(QualitéAlimentsPintadeauMâle_0_1_mois=MAUVAISE,VLOOKUP("Pois",AlimentsRationPintadesMâles[],4,FALSE),0)+(IF(QualitéAlimentsPintadeauFemelle_0_1_mois=MAUVAISE,VLOOKUP("Pois",AlimentsRationPintadesFemelles[],4,FALSE),0)+(IF(QualitéAlimentsJeunePintadeMâle=MAUVAISE,VLOOKUP("Pois",AlimentsRationPintadesMâles[],3,FALSE),0)+(IF(QualitéAlimentsJeunePintadeFemelle=MAUVAISE,VLOOKUP("Pois",AlimentsRationPintadesFemelles[],3,FALSE),0)+(IF(QualitéAlimentsPintadeMâle=MAUVAISE,VLOOKUP("Pois",AlimentsRationPintadesMâles[],2,FALSE),0)+(IF(QualitéAlimentsPintadeFemelle=MAUVAISE,VLOOKUP("Pois",AlimentsRationPintadesFemelles[],2,FALSE),0))))))))</f>
        <v>0</v>
      </c>
      <c r="DN166" s="350" t="s">
        <v>267</v>
      </c>
      <c r="DO166" s="351">
        <f t="array" ref="DO166">IF(ChoixRationComplèteOvins=OUI,0,IFERROR(IF(OR(AND(INDEX(Règles_ovins[Specificite],MATCH(ChoixRationOvins&amp;$DN166,Règles_ovins[Ration]&amp;Règles_ovins[Aliment],0))="s1",IF($DN166=Spécificité1Ovins,1)),
AND(INDEX(Règles_ovins[Specificite],MATCH(ChoixRationOvins&amp;$DN166,Règles_ovins[Ration]&amp;Règles_ovins[Aliment],0))="s2",IF($DN166=Spécificité2Ovins,1)),
INDEX(Règles_ovins[Specificite],MATCH(ChoixRationOvins&amp;$DN166,Règles_ovins[Ration]&amp;Règles_ovins[Aliment],0))="c"),
INDEX(Règles_ovins[Valeur 12 et plus],MATCH(ChoixRationOvins&amp;$DN166,Règles_ovins[Ration]&amp;Règles_ovins[Aliment],0)),0),0)*IF(ChoixOvinsPréHiver=OUI,SUM(TotalOvinsAdultesRacesLaitières)*NbreJoursNourrirOvins,TotalBéliers*NbreJoursNourrirOvins))</f>
        <v>0</v>
      </c>
      <c r="DP166" s="351">
        <f t="array" ref="DP166">IF(ChoixRationComplèteOvins=OUI,0,IFERROR(IF(OR(AND(INDEX(Règles_ovins[Specificite],MATCH(ChoixRationOvins&amp;$DN166,Règles_ovins[Ration]&amp;Règles_ovins[Aliment],0))="s1",IF($DN166=Spécificité1Ovins,1)),
AND(INDEX(Règles_ovins[Specificite],MATCH(ChoixRationOvins&amp;$DN166,Règles_ovins[Ration]&amp;Règles_ovins[Aliment],0))="s2",IF($DN166=Spécificité2Ovins,1)),
INDEX(Règles_ovins[Specificite],MATCH(ChoixRationOvins&amp;$DN166,Règles_ovins[Ration]&amp;Règles_ovins[Aliment],0))="c"),
INDEX(Règles_ovins[Valeur 6-12],MATCH(ChoixRationOvins&amp;$DN166,Règles_ovins[Ration]&amp;Règles_ovins[Aliment],0)),0),0)*IF(ChoixOvinsPréHiver=OUI,SUM(TotalJeunesOvinsRacesLaitières)*NbreJoursNourrirOvins,TotalJeune_bélier_6_12_mois*NbreJoursNourrirOvins))</f>
        <v>0</v>
      </c>
      <c r="DQ166" s="351">
        <f t="array" ref="DQ166">IF(ChoixRationComplèteOvins=OUI,0,IFERROR(IF(OR(AND(INDEX(Règles_ovins[Specificite],MATCH(ChoixRationOvins&amp;$DN166,Règles_ovins[Ration]&amp;Règles_ovins[Aliment],0))="s1",IF($DN166=Spécificité1Ovins,1)),
AND(INDEX(Règles_ovins[Specificite],MATCH(ChoixRationOvins&amp;$DN166,Règles_ovins[Ration]&amp;Règles_ovins[Aliment],0))="s2",IF($DN166=Spécificité2Ovins,1)),
INDEX(Règles_ovins[Specificite],MATCH(ChoixRationOvins&amp;$DN166,Règles_ovins[Ration]&amp;Règles_ovins[Aliment],0))="c"),
INDEX(Règles_ovins[Valeur 3-6],MATCH(ChoixRationOvins&amp;$DN166,Règles_ovins[Ration]&amp;Règles_ovins[Aliment],0)),0),0)*IF(ChoixOvinsPréHiver=OUI,SUM(TotalOvins_3_6moisRacesLaitières)*NbreJoursNourrirOvins,TotalAgneau_3_6_mois*NbreJoursNourrirOvins))</f>
        <v>0</v>
      </c>
      <c r="DR166" s="351">
        <f t="array" ref="DR166">IF(ChoixRationComplèteOvins=OUI,0,IFERROR(IF(OR(AND(INDEX(Règles_ovins[Specificite],MATCH(ChoixRationOvins&amp;$DN166,Règles_ovins[Ration]&amp;Règles_ovins[Aliment],0))="s1",IF($DN166=Spécificité1Ovins,1)),
AND(INDEX(Règles_ovins[Specificite],MATCH(ChoixRationOvins&amp;$DN166,Règles_ovins[Ration]&amp;Règles_ovins[Aliment],0))="s2",IF($DN166=Spécificité2Ovins,1)),
INDEX(Règles_ovins[Specificite],MATCH(ChoixRationOvins&amp;$DN166,Règles_ovins[Ration]&amp;Règles_ovins[Aliment],0))="c"),
INDEX(Règles_ovins[Valeur 0-3],MATCH(ChoixRationOvins&amp;$DN166,Règles_ovins[Ration]&amp;Règles_ovins[Aliment],0)),0),0)*IF(ChoixOvinsPréHiver=OUI,SUM(TotalOvins_3_6moisRacesLaitières)*NbreJoursNourrirOvins,TotalAgneau_0_3_mois*NbreJoursNourrirOvins))</f>
        <v>0</v>
      </c>
      <c r="DS166" s="441">
        <f t="shared" si="55"/>
        <v>0</v>
      </c>
      <c r="EG166" s="350" t="str">
        <f t="shared" si="57"/>
        <v>Lentille</v>
      </c>
      <c r="EH166" s="351">
        <f t="array" ref="EH166">SUM((IF(QualitéAlimentsOisonMâle_0_3_mois=BONNE,VLOOKUP("Lentille",AlimentsRationOiesMâles[],4,FALSE),0)+(IF(QualitéAlimentsOisonFemelle_0_3_mois=BONNE,VLOOKUP("Lentille",AlimentsRationOiesFemelles[],4,FALSE),0)+(IF(QualitéAlimentsJeuneJars=BONNE,VLOOKUP("Lentille",AlimentsRationOiesMâles[],3,FALSE),0)+(IF(QualitéAlimentsJeuneOie=BONNE,VLOOKUP("Lentille",AlimentsRationOiesFemelles[],3,FALSE),0)+(IF(QualitéAlimentsJars=BONNE,VLOOKUP("Lentille",AlimentsRationOiesMâles[],2,FALSE),0)+(IF(QualitéAlimentsOie=BONNE,VLOOKUP("Lentille",AlimentsRationOiesFemelles[],2,FALSE),0))))))))</f>
        <v>0</v>
      </c>
      <c r="EI166" s="351">
        <f t="array" ref="EI166">SUM((IF(QualitéAlimentsOisonMâle_0_3_mois=MOYENNE,VLOOKUP("Lentille",AlimentsRationOiesMâles[],4,FALSE),0)+(IF(QualitéAlimentsOisonFemelle_0_3_mois=MOYENNE,VLOOKUP("Lentille",AlimentsRationOiesFemelles[],4,FALSE),0)+(IF(QualitéAlimentsJeuneJars=MOYENNE,VLOOKUP("Lentille",AlimentsRationOiesMâles[],3,FALSE),0)+(IF(QualitéAlimentsJeuneOie=MOYENNE,VLOOKUP("Lentille",AlimentsRationOiesFemelles[],3,FALSE),0)+(IF(QualitéAlimentsJars=MOYENNE,VLOOKUP("Lentille",AlimentsRationOiesMâles[],2,FALSE),0)+(IF(QualitéAlimentsOie=MOYENNE,VLOOKUP("Lentille",AlimentsRationOiesFemelles[],2,FALSE),0))))))))</f>
        <v>0</v>
      </c>
      <c r="EJ166" s="351">
        <f t="array" ref="EJ166">SUM((IF(QualitéAlimentsOisonMâle_0_3_mois=MAUVAISE,VLOOKUP("Lentille",AlimentsRationOiesMâles[],4,FALSE),0)+(IF(QualitéAlimentsOisonFemelle_0_3_mois=MAUVAISE,VLOOKUP("Lentille",AlimentsRationOiesFemelles[],4,FALSE),0)+(IF(QualitéAlimentsJeuneJars=MAUVAISE,VLOOKUP("Lentille",AlimentsRationOiesMâles[],3,FALSE),0)+(IF(QualitéAlimentsJeuneOie=MAUVAISE,VLOOKUP("Lentille",AlimentsRationOiesFemelles[],3,FALSE),0)+(IF(QualitéAlimentsJars=MAUVAISE,VLOOKUP("Lentille",AlimentsRationOiesMâles[],2,FALSE),0)+(IF(QualitéAlimentsOie=MAUVAISE,VLOOKUP("Lentille",AlimentsRationOiesFemelles[],2,FALSE),0))))))))</f>
        <v>0</v>
      </c>
      <c r="EN166" s="457" t="str">
        <f t="shared" si="56"/>
        <v>Maïs ensilé</v>
      </c>
      <c r="EO166" s="458">
        <f t="array" ref="EO166">SUM((IF(QualitéAlimentsCanetonMâle=BONNE,VLOOKUP("Maïs ensilé",AlimentsRationCanardsMâles,4,FALSE),0)+(IF(QualitéAlimentsCanetonFemelle=BONNE,VLOOKUP("Maïs ensilé",AlimentsRationCanardsFemelles,4,FALSE),0)+(IF(QualitéAlimentsJeuneCanard=BONNE,VLOOKUP("Maïs ensilé",AlimentsRationCanardsMâles,3,FALSE),0)+(IF(QualitéAlimentsJeuneCane=BONNE,VLOOKUP("Maïs ensilé",AlimentsRationCanardsFemelles,3,FALSE),0)+(IF(QualitéAlimentsCanard=BONNE,VLOOKUP("Maïs ensilé",AlimentsRationCanardsMâles,2,FALSE),0)+(IF(QualitéAlimentsCane=BONNE,VLOOKUP("Maïs ensilé",AlimentsRationCanardsFemelles,2,FALSE),0))))))))</f>
        <v>0</v>
      </c>
      <c r="EP166" s="458">
        <f t="array" ref="EP166">SUM((IF(QualitéAlimentsCanetonMâle=MOYENNE,VLOOKUP("Maïs ensilé",AlimentsRationCanardsMâles,4,FALSE),0)+(IF(QualitéAlimentsCanetonFemelle=MOYENNE,VLOOKUP("Maïs ensilé",AlimentsRationCanardsFemelles,4,FALSE),0)+(IF(QualitéAlimentsJeuneCanard=MOYENNE,VLOOKUP("Maïs ensilé",AlimentsRationCanardsMâles,3,FALSE),0)+(IF(QualitéAlimentsJeuneCane=MOYENNE,VLOOKUP("Maïs ensilé",AlimentsRationCanardsFemelles,3,FALSE),0)+(IF(QualitéAlimentsCanard=MOYENNE,VLOOKUP("Maïs ensilé",AlimentsRationCanardsMâles,2,FALSE),0)+(IF(QualitéAlimentsCane=MOYENNE,VLOOKUP("Maïs ensilé",AlimentsRationCanardsFemelles,2,FALSE),0))))))))</f>
        <v>0</v>
      </c>
      <c r="EQ166" s="458">
        <f t="array" ref="EQ166">SUM((IF(QualitéAlimentsCanetonMâle=MAUVAISE,VLOOKUP("Maïs ensilé",AlimentsRationCanardsMâles,4,FALSE),0)+(IF(QualitéAlimentsCanetonFemelle=MAUVAISE,VLOOKUP("Maïs ensilé",AlimentsRationCanardsFemelles,4,FALSE),0)+(IF(QualitéAlimentsJeuneCanard=MAUVAISE,VLOOKUP("Maïs ensilé",AlimentsRationCanardsMâles,3,FALSE),0)+(IF(QualitéAlimentsJeuneCane=MAUVAISE,VLOOKUP("Maïs ensilé",AlimentsRationCanardsFemelles,3,FALSE),0)+(IF(QualitéAlimentsCanard=MAUVAISE,VLOOKUP("Maïs ensilé",AlimentsRationCanardsMâles,2,FALSE),0)+(IF(QualitéAlimentsCane=MAUVAISE,VLOOKUP("Maïs ensilé",AlimentsRationCanardsFemelles,2,FALSE),0))))))))</f>
        <v>0</v>
      </c>
      <c r="EU166" s="457" t="str">
        <f t="shared" si="54"/>
        <v>Maïs grain</v>
      </c>
      <c r="EV166" s="458">
        <f t="array" ref="EV166">IF(OR(ChoixRationHivernaleComplèteChevauxSelle=OUI,ChoixRationHivernaleComplèteChevauxSelle="",ChoixChevauxSellePréHiver=NON),0,IFERROR(IF(OR(AND(INDEX(Règles_chevaux_selle[Specificite],MATCH(RationHivernaleAuPréChevauxSelle&amp;$EU166,Règles_chevaux_selle[Ration]&amp;Règles_chevaux_selle[Aliment],0))="s1",IF($EU166=Spécificité1ChevauxSelle,1)),
AND(INDEX(Règles_chevaux_selle[Specificite],MATCH(RationHivernaleAuPréChevauxSelle&amp;$EU166,Règles_chevaux_selle[Ration]&amp;Règles_chevaux_selle[Aliment],0))="s2",IF($EU166=Spécificité2ChevauxSelle,1)),
INDEX(Règles_chevaux_selle[Specificite],MATCH(RationHivernaleAuPréChevauxSelle&amp;$EU166,Règles_chevaux_selle[Ration]&amp;Règles_chevaux_selle[Aliment],0))="c"),
INDEX(Règles_chevaux_selle[Valeur 36 et plus],MATCH(RationHivernaleAuPréChevauxSelle&amp;$EU166,Règles_chevaux_selle[Ration]&amp;Règles_chevaux_selle[Aliment],0)),0),0)*SUM(TotalChevauxSelleAdultes)*21)</f>
        <v>0</v>
      </c>
      <c r="EW166" s="458">
        <f t="array" ref="EW166">IF(OR(ChoixRationHivernaleComplèteChevauxSelle=OUI,ChoixRationHivernaleComplèteChevauxSelle="",ChoixChevauxSellePréHiver=NON),0,IFERROR(IF(OR(AND(INDEX(Règles_chevaux_selle[Specificite],MATCH(RationHivernaleAuPréChevauxSelle&amp;$EU166,Règles_chevaux_selle[Ration]&amp;Règles_chevaux_selle[Aliment],0))="s1",IF($EU166=Spécificité1ChevauxSelle,1)),
AND(INDEX(Règles_chevaux_selle[Specificite],MATCH(RationHivernaleAuPréChevauxSelle&amp;$EU166,Règles_chevaux_selle[Ration]&amp;Règles_chevaux_selle[Aliment],0))="s2",IF($EU166=Spécificité2ChevauxSelle,1)),
INDEX(Règles_chevaux_selle[Specificite],MATCH(RationHivernaleAuPréChevauxSelle&amp;$EU166,Règles_chevaux_selle[Ration]&amp;Règles_chevaux_selle[Aliment],0))="c"),
INDEX(Règles_chevaux_selle[Valeur 24-36],MATCH(RationHivernaleAuPréChevauxSelle&amp;$EU166,Règles_chevaux_selle[Ration]&amp;Règles_chevaux_selle[Aliment],0)),0),0)*SUM(TotalChevauxSelle_24_36mois)*21)</f>
        <v>0</v>
      </c>
      <c r="EX166" s="458">
        <f t="array" ref="EX166">IF(OR(ChoixRationHivernaleComplèteChevauxSelle=OUI,ChoixRationHivernaleComplèteChevauxSelle="",ChoixChevauxSellePréHiver=NON),0,IFERROR(IF(OR(AND(INDEX(Règles_chevaux_selle[Specificite],MATCH(RationHivernaleAuPréChevauxSelle&amp;$EU166,Règles_chevaux_selle[Ration]&amp;Règles_chevaux_selle[Aliment],0))="s1",IF($EU166=Spécificité1ChevauxSelle,1)),
AND(INDEX(Règles_chevaux_selle[Specificite],MATCH(RationHivernaleAuPréChevauxSelle&amp;$EU166,Règles_chevaux_selle[Ration]&amp;Règles_chevaux_selle[Aliment],0))="s2",IF($EU166=Spécificité2ChevauxSelle,1)),
INDEX(Règles_chevaux_selle[Specificite],MATCH(RationHivernaleAuPréChevauxSelle&amp;$EU166,Règles_chevaux_selle[Ration]&amp;Règles_chevaux_selle[Aliment],0))="c"),
INDEX(Règles_chevaux_selle[Valeur 12-24],MATCH(RationHivernaleAuPréChevauxSelle&amp;$EU166,Règles_chevaux_selle[Ration]&amp;Règles_chevaux_selle[Aliment],0)),0),0)*SUM(TotalChevauxSelle_12_24mois)*21)</f>
        <v>0</v>
      </c>
      <c r="EY166" s="460">
        <f t="array" ref="EY166">IF(OR(ChoixRationHivernaleComplèteChevauxSelle=OUI,ChoixRationHivernaleComplèteChevauxSelle="",ChoixChevauxSellePréHiver=NON),0,IFERROR(IF(OR(AND(INDEX(Règles_chevaux_selle[Specificite],MATCH(RationHivernaleAuPréChevauxSelle&amp;$EU166,Règles_chevaux_selle[Ration]&amp;Règles_chevaux_selle[Aliment],0))="s1",IF($EU166=Spécificité1ChevauxSelle,1)),
AND(INDEX(Règles_chevaux_selle[Specificite],MATCH(RationHivernaleAuPréChevauxSelle&amp;$EU166,Règles_chevaux_selle[Ration]&amp;Règles_chevaux_selle[Aliment],0))="s2",IF($EU166=Spécificité2ChevauxSelle,1)),
INDEX(Règles_chevaux_selle[Specificite],MATCH(RationHivernaleAuPréChevauxSelle&amp;$EU166,Règles_chevaux_selle[Ration]&amp;Règles_chevaux_selle[Aliment],0))="c"),
INDEX(Règles_chevaux_selle[Valeur 0-12],MATCH(RationHivernaleAuPréChevauxSelle&amp;$EU166,Règles_chevaux_selle[Ration]&amp;Règles_chevaux_selle[Aliment],0)),0),0)*SUM(TotalPoulainsSelle)*21)</f>
        <v>0</v>
      </c>
      <c r="EZ166" s="460">
        <f t="shared" si="53"/>
        <v>0</v>
      </c>
      <c r="FD166" s="457" t="str">
        <f t="shared" si="49"/>
        <v>Pulpe déshydratée de betterave</v>
      </c>
      <c r="FE166" s="458">
        <f t="array" ref="FE166">IF(OR(ChoixRationHivernaleComplèteChevauxTrait=OUI,ChoixRationHivernaleComplèteChevauxTrait="",ChoixChevauxTraitPréHiver=NON),0,IFERROR(IF(OR(AND(INDEX(Règles_chevaux_trait[Specificite],MATCH(RationHivernaleAuPréChevauxTrait&amp;$FD166,Règles_chevaux_trait[Ration]&amp;Règles_chevaux_trait[Aliment],0))="s1",IF($FD166=Spécificité1ChevauxTrait,1)),
AND(INDEX(Règles_chevaux_trait[Specificite],MATCH(RationHivernaleAuPréChevauxTrait&amp;$FD166,Règles_chevaux_trait[Ration]&amp;Règles_chevaux_trait[Aliment],0))="s2",IF($FD166=Spécificité2ChevauxTrait,1)),
INDEX(Règles_chevaux_trait[Specificite],MATCH(RationHivernaleAuPréChevauxTrait&amp;$FD166,Règles_chevaux_trait[Ration]&amp;Règles_chevaux_trait[Aliment],0))="c"),
INDEX(Règles_chevaux_trait[Valeur 36 et plus],MATCH(RationHivernaleAuPréChevauxTrait&amp;$FD166,Règles_chevaux_trait[Ration]&amp;Règles_chevaux_trait[Aliment],0)),0),0)*SUM(TotalChevauxTraitAdultes)*21)</f>
        <v>0</v>
      </c>
      <c r="FF166" s="458">
        <f t="array" ref="FF166">IF(OR(ChoixRationHivernaleComplèteChevauxTrait=OUI,ChoixRationHivernaleComplèteChevauxTrait="",ChoixChevauxTraitPréHiver=NON),0,IFERROR(IF(OR(AND(INDEX(Règles_chevaux_trait[Specificite],MATCH(RationHivernaleAuPréChevauxTrait&amp;$FD166,Règles_chevaux_trait[Ration]&amp;Règles_chevaux_trait[Aliment],0))="s1",IF($FD166=Spécificité1ChevauxTrait,1)),
AND(INDEX(Règles_chevaux_trait[Specificite],MATCH(RationHivernaleAuPréChevauxTrait&amp;$FD166,Règles_chevaux_trait[Ration]&amp;Règles_chevaux_trait[Aliment],0))="s2",IF($FD166=Spécificité2ChevauxTrait,1)),
INDEX(Règles_chevaux_trait[Specificite],MATCH(RationHivernaleAuPréChevauxTrait&amp;$FD166,Règles_chevaux_trait[Ration]&amp;Règles_chevaux_trait[Aliment],0))="c"),
INDEX(Règles_chevaux_trait[Valeur 24-36],MATCH(RationHivernaleAuPréChevauxTrait&amp;$FD166,Règles_chevaux_trait[Ration]&amp;Règles_chevaux_trait[Aliment],0)),0),0)*SUM(TotalChevauxTrait_24_36mois)*21)</f>
        <v>0</v>
      </c>
      <c r="FG166" s="458">
        <f t="array" ref="FG166">IF(OR(ChoixRationHivernaleComplèteChevauxTrait=OUI,ChoixRationHivernaleComplèteChevauxTrait="",ChoixChevauxTraitPréHiver=NON),0,IFERROR(IF(OR(AND(INDEX(Règles_chevaux_trait[Specificite],MATCH(RationHivernaleAuPréChevauxTrait&amp;$FD166,Règles_chevaux_trait[Ration]&amp;Règles_chevaux_trait[Aliment],0))="s1",IF($FD166=Spécificité1ChevauxTrait,1)),
AND(INDEX(Règles_chevaux_trait[Specificite],MATCH(RationHivernaleAuPréChevauxTrait&amp;$FD166,Règles_chevaux_trait[Ration]&amp;Règles_chevaux_trait[Aliment],0))="s2",IF($FD166=Spécificité2ChevauxTrait,1)),
INDEX(Règles_chevaux_trait[Specificite],MATCH(RationHivernaleAuPréChevauxTrait&amp;$FD166,Règles_chevaux_trait[Ration]&amp;Règles_chevaux_trait[Aliment],0))="c"),
INDEX(Règles_chevaux_trait[Valeur 12-24],MATCH(RationHivernaleAuPréChevauxTrait&amp;$FD166,Règles_chevaux_trait[Ration]&amp;Règles_chevaux_trait[Aliment],0)),0),0)*SUM(TotalChevauxTrait_12_24mois)*21)</f>
        <v>0</v>
      </c>
      <c r="FH166" s="460">
        <f t="array" ref="FH166">IF(OR(ChoixRationHivernaleComplèteChevauxTrait=OUI,ChoixRationHivernaleComplèteChevauxTrait="",ChoixChevauxTraitPréHiver=NON),0,IFERROR(IF(OR(AND(INDEX(Règles_chevaux_trait[Specificite],MATCH(RationHivernaleAuPréChevauxTrait&amp;$FD166,Règles_chevaux_trait[Ration]&amp;Règles_chevaux_trait[Aliment],0))="s1",IF($FD166=Spécificité1ChevauxTrait,1)),
AND(INDEX(Règles_chevaux_trait[Specificite],MATCH(RationHivernaleAuPréChevauxTrait&amp;$FD166,Règles_chevaux_trait[Ration]&amp;Règles_chevaux_trait[Aliment],0))="s2",IF($FD166=Spécificité2ChevauxTrait,1)),
INDEX(Règles_chevaux_trait[Specificite],MATCH(RationHivernaleAuPréChevauxTrait&amp;$FD166,Règles_chevaux_trait[Ration]&amp;Règles_chevaux_trait[Aliment],0))="c"),
INDEX(Règles_chevaux_trait[Valeur 0-12],MATCH(RationHivernaleAuPréChevauxTrait&amp;$FD166,Règles_chevaux_trait[Ration]&amp;Règles_chevaux_trait[Aliment],0)),0),0)*SUM(TotalPoulainsTrait)*21)</f>
        <v>0</v>
      </c>
      <c r="FI166" s="460">
        <f t="shared" si="47"/>
        <v>0</v>
      </c>
      <c r="FN166" s="457" t="str">
        <f t="shared" si="48"/>
        <v>Ration complète</v>
      </c>
      <c r="FO166" s="458">
        <f t="array" ref="FO166">IF(OR(ChoixRationHivernaleComplètePoneys=OUI,ChoixRationHivernaleComplètePoneys="",ChoixPoneysPréHiver=NON),0,IFERROR(IF(OR(AND(INDEX(Règles_poneys[Specificite],MATCH(RationHivernaleAuPréPoneys&amp;$FN166,Règles_poneys[Ration]&amp;Règles_poneys[Aliment],0))="s1",IF($FN166=Spécificité1Poneys,1)),
AND(INDEX(Règles_poneys[Specificite],MATCH(RationHivernaleAuPréPoneys&amp;$FN166,Règles_poneys[Ration]&amp;Règles_poneys[Aliment],0))="s2",IF($FN166=Spécificité2Poneys,1)),
INDEX(Règles_poneys[Specificite],MATCH(RationHivernaleAuPréPoneys&amp;$FN166,Règles_poneys[Ration]&amp;Règles_poneys[Aliment],0))="c"),
INDEX(Règles_poneys[Valeur 36 et plus],MATCH(RationHivernaleAuPréPoneys&amp;$FN166,Règles_poneys[Ration]&amp;Règles_poneys[Aliment],0)),0),0)*SUM(TotalPoneysAdultes)*21)</f>
        <v>0</v>
      </c>
      <c r="FP166" s="458">
        <f t="array" ref="FP166">IF(OR(ChoixRationHivernaleComplètePoneys=OUI,ChoixRationHivernaleComplètePoneys="",ChoixPoneysPréHiver=NON),0,IFERROR(IF(OR(AND(INDEX(Règles_poneys[Specificite],MATCH(RationHivernaleAuPréPoneys&amp;$FN166,Règles_poneys[Ration]&amp;Règles_poneys[Aliment],0))="s1",IF($FN166=Spécificité1Poneys,1)),
AND(INDEX(Règles_poneys[Specificite],MATCH(RationHivernaleAuPréPoneys&amp;$FN166,Règles_poneys[Ration]&amp;Règles_poneys[Aliment],0))="s2",IF($FN166=Spécificité2Poneys,1)),
INDEX(Règles_poneys[Specificite],MATCH(RationHivernaleAuPréPoneys&amp;$FN166,Règles_poneys[Ration]&amp;Règles_poneys[Aliment],0))="c"),
INDEX(Règles_poneys[Valeur 24-36],MATCH(RationHivernaleAuPréPoneys&amp;$FN166,Règles_poneys[Ration]&amp;Règles_poneys[Aliment],0)),0),0)*SUM(TotalPoneys_24_36mois)*21)</f>
        <v>0</v>
      </c>
      <c r="FQ166" s="458">
        <f t="array" ref="FQ166">IF(OR(ChoixRationHivernaleComplètePoneys=OUI,ChoixRationHivernaleComplètePoneys="",ChoixPoneysPréHiver=NON),0,IFERROR(IF(OR(AND(INDEX(Règles_poneys[Specificite],MATCH(RationHivernaleAuPréPoneys&amp;$FN166,Règles_poneys[Ration]&amp;Règles_poneys[Aliment],0))="s1",IF($FN166=Spécificité1Poneys,1)),
AND(INDEX(Règles_poneys[Specificite],MATCH(RationHivernaleAuPréPoneys&amp;$FN166,Règles_poneys[Ration]&amp;Règles_poneys[Aliment],0))="s2",IF($FN166=Spécificité2Poneys,1)),
INDEX(Règles_poneys[Specificite],MATCH(RationHivernaleAuPréPoneys&amp;$FN166,Règles_poneys[Ration]&amp;Règles_poneys[Aliment],0))="c"),
INDEX(Règles_poneys[Valeur 12-24],MATCH(RationHivernaleAuPréPoneys&amp;$FN166,Règles_poneys[Ration]&amp;Règles_poneys[Aliment],0)),0),0)*SUM(TotalPoneys_12_24mois)*21)</f>
        <v>0</v>
      </c>
      <c r="FR166" s="460">
        <f t="array" ref="FR166">IF(OR(ChoixRationHivernaleComplètePoneys=OUI,ChoixRationHivernaleComplètePoneys="",ChoixPoneysPréHiver=NON),0,IFERROR(IF(OR(AND(INDEX(Règles_poneys[Specificite],MATCH(RationHivernaleAuPréPoneys&amp;$FN166,Règles_poneys[Ration]&amp;Règles_poneys[Aliment],0))="s1",IF($FN166=Spécificité1Poneys,1)),
AND(INDEX(Règles_poneys[Specificite],MATCH(RationHivernaleAuPréPoneys&amp;$FN166,Règles_poneys[Ration]&amp;Règles_poneys[Aliment],0))="s2",IF($FN166=Spécificité2Poneys,1)),
INDEX(Règles_poneys[Specificite],MATCH(RationHivernaleAuPréPoneys&amp;$FN166,Règles_poneys[Ration]&amp;Règles_poneys[Aliment],0))="c"),
INDEX(Règles_poneys[Valeur 0-12],MATCH(RationHivernaleAuPréPoneys&amp;$FN166,Règles_poneys[Ration]&amp;Règles_poneys[Aliment],0)),0),0)*SUM(TotalPoulainsPoneys)*21)</f>
        <v>0</v>
      </c>
      <c r="FS166" s="460">
        <f t="shared" si="46"/>
        <v>0</v>
      </c>
      <c r="FW166" s="457" t="str">
        <f t="shared" si="44"/>
        <v>Tourteau de colza</v>
      </c>
      <c r="FX166" s="458">
        <f t="array" ref="FX166">SUM((IF(QualitéAlimentsGavageOison_0_1_mois=BONNE,VLOOKUP("Tournesol de colza",AlimentsGavageOie,5,FALSE),0)+(IF(QualitéAlimentsGavageCaneton_0_1_mois=BONNE,VLOOKUP("Tournesol de colza",AlimentsGavageCanard,5,FALSE),0)+(IF(QualitéAlimentsGavageOison_1_2_mois=BONNE,VLOOKUP("Tournesol de colza",AlimentsGavageOie,4,FALSE),0)+(IF(QualitéAlimentsGavageCaneton_1_2_mois=BONNE,VLOOKUP("Tournesol de colza",AlimentsGavageCanard,4,FALSE),0)+(IF(QualitéAlimentsGavageOison_2_3_mois=BONNE,VLOOKUP("Tournesol de colza",AlimentsGavageOie,3,FALSE),0)+(IF(QualitéAlimentsGavageCaneton_2_3_mois=BONNE,VLOOKUP("Tournesol de colza",AlimentsGavageCanard,3,FALSE),0)+(IF(QualitéAlimentsGavageJeunesOies=BONNE,VLOOKUP("Tournesol de colza",AlimentsGavageOie,2,FALSE),0)+(IF(QualitéAlimentsGavageJeuneCanard=BONNE,VLOOKUP("Tournesol de colza",AlimentsGavageCanard,2,FALSE),0))))))))))</f>
        <v>0</v>
      </c>
      <c r="FY166" s="458">
        <f t="array" ref="FY166">SUM((IF(QualitéAlimentsGavageOison_0_1_mois=MOYENNE,VLOOKUP("Tournesol de colza",AlimentsGavageOie,5,FALSE),0)+(IF(QualitéAlimentsGavageCaneton_0_1_mois=MOYENNE,VLOOKUP("Tournesol de colza",AlimentsGavageCanard,5,FALSE),0)+(IF(QualitéAlimentsGavageOison_1_2_mois=MOYENNE,VLOOKUP("Tournesol de colza",AlimentsGavageOie,4,FALSE),0)+(IF(QualitéAlimentsGavageCaneton_1_2_mois=MOYENNE,VLOOKUP("Tournesol de colza",AlimentsGavageCanard,4,FALSE),0)+(IF(QualitéAlimentsGavageOison_2_3_mois=MOYENNE,VLOOKUP("Tournesol de colza",AlimentsGavageOie,3,FALSE),0)+(IF(QualitéAlimentsGavageCaneton_2_3_mois=MOYENNE,VLOOKUP("Tournesol de colza",AlimentsGavageCanard,3,FALSE),0)+(IF(QualitéAlimentsGavageJeunesOies=MOYENNE,VLOOKUP("Tournesol de colza",AlimentsGavageOie,2,FALSE),0)+(IF(QualitéAlimentsGavageJeuneCanard=MOYENNE,VLOOKUP("Tournesol de colza",AlimentsGavageCanard,2,FALSE),0))))))))))</f>
        <v>0</v>
      </c>
      <c r="FZ166" s="458">
        <f t="array" ref="FZ166">SUM((IF(QualitéAlimentsGavageOison_0_1_mois=MAUVAISE,VLOOKUP("Tournesol de colza",AlimentsGavageOie,5,FALSE),0)+(IF(QualitéAlimentsGavageCaneton_0_1_mois=MAUVAISE,VLOOKUP("Tournesol de colza",AlimentsGavageCanard,5,FALSE),0)+(IF(QualitéAlimentsGavageOison_1_2_mois=MAUVAISE,VLOOKUP("Tournesol de colza",AlimentsGavageOie,4,FALSE),0)+(IF(QualitéAlimentsGavageCaneton_1_2_mois=MAUVAISE,VLOOKUP("Tournesol de colza",AlimentsGavageCanard,4,FALSE),0)+(IF(QualitéAlimentsGavageOison_2_3_mois=MAUVAISE,VLOOKUP("Tournesol de colza",AlimentsGavageOie,3,FALSE),0)+(IF(QualitéAlimentsGavageCaneton_2_3_mois=MAUVAISE,VLOOKUP("Tournesol de colza",AlimentsGavageCanard,3,FALSE),0)+(IF(QualitéAlimentsGavageJeunesOies=MAUVAISE,VLOOKUP("Tournesol de colza",AlimentsGavageOie,2,FALSE),0)+(IF(QualitéAlimentsGavageJeuneCanard=MAUVAISE,VLOOKUP("Tournesol de colza",AlimentsGavageCanard,2,FALSE),0))))))))))</f>
        <v>0</v>
      </c>
      <c r="GB166" s="281"/>
      <c r="GG166" s="276" t="s">
        <v>955</v>
      </c>
      <c r="GH166" s="276" t="s">
        <v>955</v>
      </c>
      <c r="GI166" s="276" t="s">
        <v>955</v>
      </c>
      <c r="GJ166" s="276" t="s">
        <v>955</v>
      </c>
      <c r="GK166" s="276" t="s">
        <v>955</v>
      </c>
      <c r="GL166" s="276" t="s">
        <v>955</v>
      </c>
      <c r="GM166" s="276" t="s">
        <v>955</v>
      </c>
      <c r="GN166" s="276" t="s">
        <v>955</v>
      </c>
      <c r="GO166" s="276" t="s">
        <v>955</v>
      </c>
      <c r="GP166" s="276" t="s">
        <v>955</v>
      </c>
      <c r="GQ166" s="276" t="s">
        <v>955</v>
      </c>
      <c r="GR166" s="276" t="s">
        <v>955</v>
      </c>
      <c r="GS166" s="276" t="s">
        <v>955</v>
      </c>
      <c r="GT166" s="276" t="s">
        <v>955</v>
      </c>
      <c r="GU166" s="276" t="s">
        <v>955</v>
      </c>
      <c r="GV166" s="276" t="s">
        <v>955</v>
      </c>
    </row>
    <row r="167" spans="1:204" ht="12.75" customHeight="1" x14ac:dyDescent="0.2">
      <c r="A167" s="373"/>
      <c r="B167" s="382"/>
      <c r="BB167" s="387" t="s">
        <v>949</v>
      </c>
      <c r="BC167" s="362" t="s">
        <v>907</v>
      </c>
      <c r="BD167" s="362" t="s">
        <v>888</v>
      </c>
      <c r="BE167" s="388">
        <v>4.8</v>
      </c>
      <c r="BF167" s="388">
        <v>4</v>
      </c>
      <c r="BG167" s="388">
        <v>4</v>
      </c>
      <c r="BH167" s="388">
        <v>4</v>
      </c>
      <c r="BI167" s="388">
        <v>2</v>
      </c>
      <c r="BJ167" s="388">
        <v>1.2</v>
      </c>
      <c r="BK167" s="389">
        <v>0</v>
      </c>
      <c r="BL167" s="312"/>
      <c r="BX167" s="350" t="str">
        <f t="shared" si="51"/>
        <v>Pomme de terre</v>
      </c>
      <c r="BY167" s="350">
        <f t="array" ref="BY167">IF(ChoixRationComplèteCaprins=OUI,0,IFERROR(IF(OR(AND(INDEX(Règles_caprins[Specificite],MATCH(ChoixRationCaprins&amp;$BX167,Règles_caprins[Ration]&amp;Règles_caprins[Aliment],0))="s1",IF($BX167=Spécificité1Caprins,1)),
INDEX(Règles_caprins[Specificite],MATCH(ChoixRationCaprins&amp;$BX167,Règles_caprins[Ration]&amp;Règles_caprins[Aliment],0))="c"),
INDEX(Règles_caprins[Valeur 12 et plus],MATCH(ChoixRationCaprins&amp;$BX167,Règles_caprins[Ration]&amp;Règles_caprins[Aliment],0)),0),0)*TotalChèvres*NbreJoursNourrirCaprins)</f>
        <v>0</v>
      </c>
      <c r="BZ167" s="350">
        <f t="array" ref="BZ167">IF(ChoixRationComplèteCaprins=OUI,0,IFERROR(IF(OR(AND(INDEX(Règles_caprins[Specificite],MATCH(ChoixRationCaprins&amp;$BX167,Règles_caprins[Ration]&amp;Règles_caprins[Aliment],0))="s1",IF($BX167=Spécificité1Caprins,1)),
INDEX(Règles_caprins[Specificite],MATCH(ChoixRationCaprins&amp;$BX167,Règles_caprins[Ration]&amp;Règles_caprins[Aliment],0))="c"),
INDEX(Règles_caprins[Valeur 6-12],MATCH(ChoixRationCaprins&amp;$BX167,Règles_caprins[Ration]&amp;Règles_caprins[Aliment],0)),0),0)*jeune_chèvre_6_12_mois*NbreJoursNourrirCaprins)</f>
        <v>0</v>
      </c>
      <c r="CA167" s="350">
        <f t="array" ref="CA167">IF(ChoixRationComplèteCaprins=OUI,0,IFERROR(IF(OR(AND(INDEX(Règles_caprins[Specificite],MATCH(ChoixRationCaprins&amp;$BX167,Règles_caprins[Ration]&amp;Règles_caprins[Aliment],0))="s1",IF($BX167=Spécificité1Caprins,1)),
INDEX(Règles_caprins[Specificite],MATCH(ChoixRationCaprins&amp;$BX167,Règles_caprins[Ration]&amp;Règles_caprins[Aliment],0))="c"),
INDEX(Règles_caprins[Valeur 3-6],MATCH(ChoixRationCaprins&amp;$BX167,Règles_caprins[Ration]&amp;Règles_caprins[Aliment],0)),0),0)*chevrette_3_6_mois*NbreJoursNourrirCaprins)</f>
        <v>0</v>
      </c>
      <c r="CB167" s="350">
        <f t="array" ref="CB167">IF(ChoixRationComplèteCaprins=OUI,0,IFERROR(IF(OR(AND(INDEX(Règles_caprins[Specificite],MATCH(ChoixRationCaprins&amp;$BX167,Règles_caprins[Ration]&amp;Règles_caprins[Aliment],0))="s1",IF($BX167=Spécificité1Caprins,1)),
INDEX(Règles_caprins[Specificite],MATCH(ChoixRationCaprins&amp;$BX167,Règles_caprins[Ration]&amp;Règles_caprins[Aliment],0))="c"),
INDEX(Règles_caprins[Valeur 0-3],MATCH(ChoixRationCaprins&amp;$BX167,Règles_caprins[Ration]&amp;Règles_caprins[Aliment],0)),0),0)*chevrette_0_3_mois*NbreJoursNourrirCaprins)</f>
        <v>0</v>
      </c>
      <c r="CC167" s="350">
        <f t="shared" si="50"/>
        <v>0</v>
      </c>
      <c r="CH167" s="298"/>
      <c r="CI167" s="277"/>
      <c r="CJ167" s="350" t="str">
        <f t="shared" si="45"/>
        <v>Sorgho ensilé</v>
      </c>
      <c r="CK167" s="351">
        <f t="array" ref="CK167">SUM((IF(QualitéAlimentsPorceletMâle_0_1_mois=BONNE,VLOOKUP("Sorho ensilé",AlimentsRationPorcinsMâles[],6,FALSE),0)+(IF(QualitéAlimentsPorceletFemelle_0_1_mois=BONNE,VLOOKUP("Sorho ensilé",AlimentsRationPorcinsFemelles[],6,FALSE),0)+(IF(QualitéAlimentsPorceletMâle_1_3_mois=BONNE,VLOOKUP("Sorho ensilé",AlimentsRationPorcinsMâles[],5,FALSE),0)+(IF(QualitéAlimentsPorceletFemelle_1_3_mois=BONNE,VLOOKUP("Sorho ensilé",AlimentsRationPorcinsFemelles[],5,FALSE),0)+(IF(QualitéAlimentsJeuneVerrat_3_6_mois=BONNE,VLOOKUP("Sorho ensilé",AlimentsRationPorcinsMâles[],4,FALSE),0)+(IF(QualitéAlimentsJeuneTruie_3_6_mois=BONNE,VLOOKUP("Sorho ensilé",AlimentsRationPorcinsFemelles[],4,FALSE),0)+(IF(QualitéAlimentsJeuneVerrat_6_12_mois=BONNE,VLOOKUP("Sorho ensilé",AlimentsRationPorcinsMâles[],3,FALSE),0)+(IF(QualitéAlimentsJeuneTruie_6_12_mois=BONNE,VLOOKUP("Sorho ensilé",AlimentsRationPorcinsFemelles[],3,FALSE),0)+(IF(QualitéAlimentsVerrat=BONNE,VLOOKUP("Avoine",AlimentsRationPorcinsMâles[],2,FALSE),0)+(IF(QualitéAlimentsTruie=BONNE,VLOOKUP("Avoine",AlimentsRationPorcinsFemelles[],2,FALSE),0))))))))))))</f>
        <v>0</v>
      </c>
      <c r="CL167" s="351">
        <f t="array" ref="CL167">SUM((IF(QualitéAlimentsPorceletMâle_0_1_mois=MOYENNE,VLOOKUP("Sorho ensilé",AlimentsRationPorcinsMâles[],6,FALSE),0)+(IF(QualitéAlimentsPorceletFemelle_0_1_mois=MOYENNE,VLOOKUP("Sorho ensilé",AlimentsRationPorcinsFemelles[],6,FALSE),0)+(IF(QualitéAlimentsPorceletMâle_1_3_mois=MOYENNE,VLOOKUP("Sorho ensilé",AlimentsRationPorcinsMâles[],5,FALSE),0)+(IF(QualitéAlimentsPorceletFemelle_1_3_mois=MOYENNE,VLOOKUP("Sorho ensilé",AlimentsRationPorcinsFemelles[],5,FALSE),0)+(IF(QualitéAlimentsJeuneVerrat_3_6_mois=MOYENNE,VLOOKUP("Sorho ensilé",AlimentsRationPorcinsMâles[],4,FALSE),0)+(IF(QualitéAlimentsJeuneTruie_3_6_mois=MOYENNE,VLOOKUP("Sorho ensilé",AlimentsRationPorcinsFemelles[],4,FALSE),0)+(IF(QualitéAlimentsJeuneVerrat_6_12_mois=MOYENNE,VLOOKUP("Sorho ensilé",AlimentsRationPorcinsMâles[],3,FALSE),0)+(IF(QualitéAlimentsJeuneTruie_6_12_mois=MOYENNE,VLOOKUP("Sorho ensilé",AlimentsRationPorcinsFemelles[],3,FALSE),0)+(IF(QualitéAlimentsVerrat=BONNE,VLOOKUP("Avoine",AlimentsRationPorcinsMâles[],2,FALSE),0)+(IF(QualitéAlimentsTruie=BONNE,VLOOKUP("Avoine",AlimentsRationPorcinsFemelles[],2,FALSE),0))))))))))))</f>
        <v>0</v>
      </c>
      <c r="CM167" s="351">
        <f t="array" ref="CM167">SUM((IF(QualitéAlimentsPorceletMâle_0_1_mois=MAUVAISE,VLOOKUP("Sorho ensilé",AlimentsRationPorcinsMâles[],6,FALSE),0)+(IF(QualitéAlimentsPorceletFemelle_0_1_mois=MAUVAISE,VLOOKUP("Sorho ensilé",AlimentsRationPorcinsFemelles[],6,FALSE),0)+(IF(QualitéAlimentsPorceletMâle_1_3_mois=MAUVAISE,VLOOKUP("Sorho ensilé",AlimentsRationPorcinsMâles[],5,FALSE),0)+(IF(QualitéAlimentsPorceletFemelle_1_3_mois=MAUVAISE,VLOOKUP("Sorho ensilé",AlimentsRationPorcinsFemelles[],5,FALSE),0)+(IF(QualitéAlimentsJeuneVerrat_3_6_mois=MAUVAISE,VLOOKUP("Sorho ensilé",AlimentsRationPorcinsMâles[],4,FALSE),0)+(IF(QualitéAlimentsJeuneTruie_3_6_mois=MAUVAISE,VLOOKUP("Sorho ensilé",AlimentsRationPorcinsFemelles[],4,FALSE),0)+(IF(QualitéAlimentsJeuneVerrat_6_12_mois=MAUVAISE,VLOOKUP("Sorho ensilé",AlimentsRationPorcinsMâles[],3,FALSE),0)+(IF(QualitéAlimentsJeuneTruie_6_12_mois=MAUVAISE,VLOOKUP("Sorho ensilé",AlimentsRationPorcinsFemelles[],3,FALSE),0)+(IF(QualitéAlimentsVerrat=BONNE,VLOOKUP("Avoine",AlimentsRationPorcinsMâles[],2,FALSE),0)+(IF(QualitéAlimentsTruie=BONNE,VLOOKUP("Avoine",AlimentsRationPorcinsFemelles[],2,FALSE),0))))))))))))</f>
        <v>0</v>
      </c>
      <c r="CN167" s="279"/>
      <c r="CO167" s="277"/>
      <c r="CP167" s="277"/>
      <c r="CS167" s="350" t="str">
        <f t="shared" si="59"/>
        <v>Epinard</v>
      </c>
      <c r="CT167" s="351">
        <f t="array" ref="CT167">SUM((IF(QualitéAlimentsLapereauMâle_0_1_mois=BONNE,VLOOKUP("Epinard",AlimentsRationLapinsMâles[],4,FALSE),0)+(IF(QualitéAlimentsLapereauFemelle_0_1_mois=BONNE,VLOOKUP("Epinard",AlimentsRationLapinsFemelles[],4,FALSE),0)+(IF(QualitéAlimentsJeuneLapin=BONNE,VLOOKUP("Epinard",AlimentsRationLapinsMâles[],3,FALSE),0)+(IF(QualitéAlimentsJeuneLapine=BONNE,VLOOKUP("Epinard",AlimentsRationLapinsFemelles[],3,FALSE),0)+(IF(QualitéAlimentsLapin=BONNE,VLOOKUP("Epinard",AlimentsRationLapinsMâles[],2,FALSE),0)+(IF(QualitéAlimentsLapine=BONNE,VLOOKUP("Epinard",AlimentsRationLapinsFemelles[],2,FALSE),0))))))))</f>
        <v>0</v>
      </c>
      <c r="CU167" s="351">
        <f t="array" ref="CU167">SUM((IF(QualitéAlimentsLapereauMâle_0_1_mois=MOYENNE,VLOOKUP("Epinard",AlimentsRationLapinsMâles[],4,FALSE),0)+(IF(QualitéAlimentsLapereauFemelle_0_1_mois=MOYENNE,VLOOKUP("Epinard",AlimentsRationLapinsFemelles[],4,FALSE),0)+(IF(QualitéAlimentsJeuneLapin=MOYENNE,VLOOKUP("Epinard",AlimentsRationLapinsMâles[],3,FALSE),0)+(IF(QualitéAlimentsJeuneLapine=MOYENNE,VLOOKUP("Epinard",AlimentsRationLapinsFemelles[],3,FALSE),0)+(IF(QualitéAlimentsLapin=MOYENNE,VLOOKUP("Epinard",AlimentsRationLapinsMâles[],2,FALSE),0)+(IF(QualitéAlimentsLapine=MOYENNE,VLOOKUP("Epinard",AlimentsRationLapinsFemelles[],2,FALSE),0))))))))</f>
        <v>0</v>
      </c>
      <c r="CV167" s="351">
        <f t="array" ref="CV167">SUM((IF(QualitéAlimentsLapereauMâle_0_1_mois=MAUVAISE,VLOOKUP("Epinard",AlimentsRationLapinsMâles[],4,FALSE),0)+(IF(QualitéAlimentsLapereauFemelle_0_1_mois=MAUVAISE,VLOOKUP("Epinard",AlimentsRationLapinsFemelles[],4,FALSE),0)+(IF(QualitéAlimentsJeuneLapin=MAUVAISE,VLOOKUP("Epinard",AlimentsRationLapinsMâles[],3,FALSE),0)+(IF(QualitéAlimentsJeuneLapine=MAUVAISE,VLOOKUP("Epinard",AlimentsRationLapinsFemelles[],3,FALSE),0)+(IF(QualitéAlimentsLapin=MAUVAISE,VLOOKUP("Epinard",AlimentsRationLapinsMâles[],2,FALSE),0)+(IF(QualitéAlimentsLapine=MAUVAISE,VLOOKUP("Epinard",AlimentsRationLapinsFemelles[],2,FALSE),0))))))))</f>
        <v>0</v>
      </c>
      <c r="CZ167" s="350" t="str">
        <f t="shared" si="58"/>
        <v>Féverole</v>
      </c>
      <c r="DA167" s="351">
        <f t="array" ref="DA167">SUM((IF(QualitéAlimentsPoussinMâle_0_1_mois=BONNE,VLOOKUP("Féverole",AlimentsRationVolaillesMâles[],4,FALSE),0)+(IF(QualitéAlimentsPoussinFemelle_0_1_mois=BONNE,VLOOKUP("Féverole",AlimentsRationVolaillesFemelles[],4,FALSE),0)+(IF(QualitéAlimentsJeuneCoq=BONNE,VLOOKUP("Féverole",AlimentsRationVolaillesMâles[],3,FALSE),0)+(IF(QualitéAlimentsJeunePoule=BONNE,VLOOKUP("Féverole",AlimentsRationVolaillesFemelles[],3,FALSE),0)+(IF(QualitéAlimentsCoq=BONNE,VLOOKUP("Féverole",AlimentsRationVolaillesMâles[],2,FALSE),0)+(IF(QualitéAlimentsPoule=BONNE,VLOOKUP("Féverole",AlimentsRationVolaillesFemelles[],2,FALSE),0))))))))</f>
        <v>0</v>
      </c>
      <c r="DB167" s="351">
        <f t="array" ref="DB167">SUM((IF(QualitéAlimentsPoussinMâle_0_1_mois=MOYENNE,VLOOKUP("Féverole",AlimentsRationVolaillesMâles[],4,FALSE),0)+(IF(QualitéAlimentsPoussinFemelle_0_1_mois=MOYENNE,VLOOKUP("Féverole",AlimentsRationVolaillesFemelles[],4,FALSE),0)+(IF(QualitéAlimentsJeuneCoq=MOYENNE,VLOOKUP("Féverole",AlimentsRationVolaillesMâles[],3,FALSE),0)+(IF(QualitéAlimentsJeunePoule=MOYENNE,VLOOKUP("Féverole",AlimentsRationVolaillesFemelles[],3,FALSE),0)+(IF(QualitéAlimentsCoq=MOYENNE,VLOOKUP("Féverole",AlimentsRationVolaillesMâles[],2,FALSE),0)+(IF(QualitéAlimentsPoule=MOYENNE,VLOOKUP("Féverole",AlimentsRationVolaillesFemelles[],2,FALSE),0))))))))</f>
        <v>0</v>
      </c>
      <c r="DC167" s="351">
        <f t="array" ref="DC167">SUM((IF(QualitéAlimentsPoussinMâle_0_1_mois=MAUVAISE,VLOOKUP("Féverole",AlimentsRationVolaillesMâles[],4,FALSE),0)+(IF(QualitéAlimentsPoussinFemelle_0_1_mois=MAUVAISE,VLOOKUP("Féverole",AlimentsRationVolaillesFemelles[],4,FALSE),0)+(IF(QualitéAlimentsJeuneCoq=MAUVAISE,VLOOKUP("Féverole",AlimentsRationVolaillesMâles[],3,FALSE),0)+(IF(QualitéAlimentsJeunePoule=MAUVAISE,VLOOKUP("Féverole",AlimentsRationVolaillesFemelles[],3,FALSE),0)+(IF(QualitéAlimentsCoq=MAUVAISE,VLOOKUP("Féverole",AlimentsRationVolaillesMâles[],2,FALSE),0)+(IF(QualitéAlimentsPoule=MAUVAISE,VLOOKUP("Féverole",AlimentsRationVolaillesFemelles[],2,FALSE),0))))))))</f>
        <v>0</v>
      </c>
      <c r="DD167" s="279"/>
      <c r="DG167" s="350" t="str">
        <f t="shared" si="52"/>
        <v>Pomme de terre</v>
      </c>
      <c r="DH167" s="351">
        <f t="array" ref="DH167">SUM((IF(QualitéAlimentsPintadeauMâle_0_1_mois=BONNE,VLOOKUP("Pomme de terre",AlimentsRationPintadesMâles[],4,FALSE),0)+(IF(QualitéAlimentsPintadeauFemelle_0_1_mois=BONNE,VLOOKUP("Pomme de terre",AlimentsRationPintadesFemelles[],4,FALSE),0)+(IF(QualitéAlimentsJeunePintadeMâle=BONNE,VLOOKUP("Pomme de terre",AlimentsRationPintadesMâles[],3,FALSE),0)+(IF(QualitéAlimentsJeunePintadeFemelle=BONNE,VLOOKUP("Pomme de terre",AlimentsRationPintadesFemelles[],3,FALSE),0)+(IF(QualitéAlimentsPintadeMâle=BONNE,VLOOKUP("Pomme de terre",AlimentsRationPintadesMâles[],2,FALSE),0)+(IF(QualitéAlimentsPintadeFemelle=BONNE,VLOOKUP("Pomme de terre",AlimentsRationPintadesFemelles[],2,FALSE),0))))))))</f>
        <v>0</v>
      </c>
      <c r="DI167" s="351">
        <f t="array" ref="DI167">SUM((IF(QualitéAlimentsPintadeauMâle_0_1_mois=MOYENNE,VLOOKUP("Pomme de terre",AlimentsRationPintadesMâles[],4,FALSE),0)+(IF(QualitéAlimentsPintadeauFemelle_0_1_mois=MOYENNE,VLOOKUP("Pomme de terre",AlimentsRationPintadesFemelles[],4,FALSE),0)+(IF(QualitéAlimentsJeunePintadeMâle=MOYENNE,VLOOKUP("Pomme de terre",AlimentsRationPintadesMâles[],3,FALSE),0)+(IF(QualitéAlimentsJeunePintadeFemelle=MOYENNE,VLOOKUP("Pomme de terre",AlimentsRationPintadesFemelles[],3,FALSE),0)+(IF(QualitéAlimentsPintadeMâle=MOYENNE,VLOOKUP("Pomme de terre",AlimentsRationPintadesMâles[],2,FALSE),0)+(IF(QualitéAlimentsPintadeFemelle=MOYENNE,VLOOKUP("Pomme de terre",AlimentsRationPintadesFemelles[],2,FALSE),0))))))))</f>
        <v>0</v>
      </c>
      <c r="DJ167" s="351">
        <f t="array" ref="DJ167">SUM((IF(QualitéAlimentsPintadeauMâle_0_1_mois=MAUVAISE,VLOOKUP("Pomme de terre",AlimentsRationPintadesMâles[],4,FALSE),0)+(IF(QualitéAlimentsPintadeauFemelle_0_1_mois=MAUVAISE,VLOOKUP("Pomme de terre",AlimentsRationPintadesFemelles[],4,FALSE),0)+(IF(QualitéAlimentsJeunePintadeMâle=MAUVAISE,VLOOKUP("Pomme de terre",AlimentsRationPintadesMâles[],3,FALSE),0)+(IF(QualitéAlimentsJeunePintadeFemelle=MAUVAISE,VLOOKUP("Pomme de terre",AlimentsRationPintadesFemelles[],3,FALSE),0)+(IF(QualitéAlimentsPintadeMâle=MAUVAISE,VLOOKUP("Pomme de terre",AlimentsRationPintadesMâles[],2,FALSE),0)+(IF(QualitéAlimentsPintadeFemelle=MAUVAISE,VLOOKUP("Pomme de terre",AlimentsRationPintadesFemelles[],2,FALSE),0))))))))</f>
        <v>0</v>
      </c>
      <c r="DN167" s="350" t="s">
        <v>269</v>
      </c>
      <c r="DO167" s="351">
        <f t="array" ref="DO167">IF(ChoixRationComplèteOvins=OUI,0,IFERROR(IF(OR(AND(INDEX(Règles_ovins[Specificite],MATCH(ChoixRationOvins&amp;$DN167,Règles_ovins[Ration]&amp;Règles_ovins[Aliment],0))="s1",IF($DN167=Spécificité1Ovins,1)),
AND(INDEX(Règles_ovins[Specificite],MATCH(ChoixRationOvins&amp;$DN167,Règles_ovins[Ration]&amp;Règles_ovins[Aliment],0))="s2",IF($DN167=Spécificité2Ovins,1)),
INDEX(Règles_ovins[Specificite],MATCH(ChoixRationOvins&amp;$DN167,Règles_ovins[Ration]&amp;Règles_ovins[Aliment],0))="c"),
INDEX(Règles_ovins[Valeur 12 et plus],MATCH(ChoixRationOvins&amp;$DN167,Règles_ovins[Ration]&amp;Règles_ovins[Aliment],0)),0),0)*IF(ChoixOvinsPréHiver=OUI,SUM(TotalOvinsAdultesRacesLaitières)*NbreJoursNourrirOvins,TotalBéliers*NbreJoursNourrirOvins))</f>
        <v>0</v>
      </c>
      <c r="DP167" s="351">
        <f t="array" ref="DP167">IF(ChoixRationComplèteOvins=OUI,0,IFERROR(IF(OR(AND(INDEX(Règles_ovins[Specificite],MATCH(ChoixRationOvins&amp;$DN167,Règles_ovins[Ration]&amp;Règles_ovins[Aliment],0))="s1",IF($DN167=Spécificité1Ovins,1)),
AND(INDEX(Règles_ovins[Specificite],MATCH(ChoixRationOvins&amp;$DN167,Règles_ovins[Ration]&amp;Règles_ovins[Aliment],0))="s2",IF($DN167=Spécificité2Ovins,1)),
INDEX(Règles_ovins[Specificite],MATCH(ChoixRationOvins&amp;$DN167,Règles_ovins[Ration]&amp;Règles_ovins[Aliment],0))="c"),
INDEX(Règles_ovins[Valeur 6-12],MATCH(ChoixRationOvins&amp;$DN167,Règles_ovins[Ration]&amp;Règles_ovins[Aliment],0)),0),0)*IF(ChoixOvinsPréHiver=OUI,SUM(TotalJeunesOvinsRacesLaitières)*NbreJoursNourrirOvins,TotalJeune_bélier_6_12_mois*NbreJoursNourrirOvins))</f>
        <v>0</v>
      </c>
      <c r="DQ167" s="351">
        <f t="array" ref="DQ167">IF(ChoixRationComplèteOvins=OUI,0,IFERROR(IF(OR(AND(INDEX(Règles_ovins[Specificite],MATCH(ChoixRationOvins&amp;$DN167,Règles_ovins[Ration]&amp;Règles_ovins[Aliment],0))="s1",IF($DN167=Spécificité1Ovins,1)),
AND(INDEX(Règles_ovins[Specificite],MATCH(ChoixRationOvins&amp;$DN167,Règles_ovins[Ration]&amp;Règles_ovins[Aliment],0))="s2",IF($DN167=Spécificité2Ovins,1)),
INDEX(Règles_ovins[Specificite],MATCH(ChoixRationOvins&amp;$DN167,Règles_ovins[Ration]&amp;Règles_ovins[Aliment],0))="c"),
INDEX(Règles_ovins[Valeur 3-6],MATCH(ChoixRationOvins&amp;$DN167,Règles_ovins[Ration]&amp;Règles_ovins[Aliment],0)),0),0)*IF(ChoixOvinsPréHiver=OUI,SUM(TotalOvins_3_6moisRacesLaitières)*NbreJoursNourrirOvins,TotalAgneau_3_6_mois*NbreJoursNourrirOvins))</f>
        <v>0</v>
      </c>
      <c r="DR167" s="351">
        <f t="array" ref="DR167">IF(ChoixRationComplèteOvins=OUI,0,IFERROR(IF(OR(AND(INDEX(Règles_ovins[Specificite],MATCH(ChoixRationOvins&amp;$DN167,Règles_ovins[Ration]&amp;Règles_ovins[Aliment],0))="s1",IF($DN167=Spécificité1Ovins,1)),
AND(INDEX(Règles_ovins[Specificite],MATCH(ChoixRationOvins&amp;$DN167,Règles_ovins[Ration]&amp;Règles_ovins[Aliment],0))="s2",IF($DN167=Spécificité2Ovins,1)),
INDEX(Règles_ovins[Specificite],MATCH(ChoixRationOvins&amp;$DN167,Règles_ovins[Ration]&amp;Règles_ovins[Aliment],0))="c"),
INDEX(Règles_ovins[Valeur 0-3],MATCH(ChoixRationOvins&amp;$DN167,Règles_ovins[Ration]&amp;Règles_ovins[Aliment],0)),0),0)*IF(ChoixOvinsPréHiver=OUI,SUM(TotalOvins_3_6moisRacesLaitières)*NbreJoursNourrirOvins,TotalAgneau_0_3_mois*NbreJoursNourrirOvins))</f>
        <v>0</v>
      </c>
      <c r="DS167" s="441">
        <f t="shared" si="55"/>
        <v>0</v>
      </c>
      <c r="EG167" s="350" t="str">
        <f t="shared" si="57"/>
        <v>Maïs ensilé</v>
      </c>
      <c r="EH167" s="351">
        <f t="array" ref="EH167">SUM((IF(QualitéAlimentsOisonMâle_0_3_mois=BONNE,VLOOKUP("Maïs ensilé",AlimentsRationOiesMâles[],4,FALSE),0)+(IF(QualitéAlimentsOisonFemelle_0_3_mois=BONNE,VLOOKUP("Maïs ensilé",AlimentsRationOiesFemelles[],4,FALSE),0)+(IF(QualitéAlimentsJeuneJars=BONNE,VLOOKUP("Maïs ensilé",AlimentsRationOiesMâles[],3,FALSE),0)+(IF(QualitéAlimentsJeuneOie=BONNE,VLOOKUP("Maïs ensilé",AlimentsRationOiesFemelles[],3,FALSE),0)+(IF(QualitéAlimentsJars=BONNE,VLOOKUP("Maïs ensilé",AlimentsRationOiesMâles[],2,FALSE),0)+(IF(QualitéAlimentsOie=BONNE,VLOOKUP("Maïs ensilé",AlimentsRationOiesFemelles[],2,FALSE),0))))))))</f>
        <v>0</v>
      </c>
      <c r="EI167" s="351">
        <f t="array" ref="EI167">SUM((IF(QualitéAlimentsOisonMâle_0_3_mois=MOYENNE,VLOOKUP("Maïs ensilé",AlimentsRationOiesMâles[],4,FALSE),0)+(IF(QualitéAlimentsOisonFemelle_0_3_mois=MOYENNE,VLOOKUP("Maïs ensilé",AlimentsRationOiesFemelles[],4,FALSE),0)+(IF(QualitéAlimentsJeuneJars=MOYENNE,VLOOKUP("Maïs ensilé",AlimentsRationOiesMâles[],3,FALSE),0)+(IF(QualitéAlimentsJeuneOie=MOYENNE,VLOOKUP("Maïs ensilé",AlimentsRationOiesFemelles[],3,FALSE),0)+(IF(QualitéAlimentsJars=MOYENNE,VLOOKUP("Maïs ensilé",AlimentsRationOiesMâles[],2,FALSE),0)+(IF(QualitéAlimentsOie=MOYENNE,VLOOKUP("Maïs ensilé",AlimentsRationOiesFemelles[],2,FALSE),0))))))))</f>
        <v>0</v>
      </c>
      <c r="EJ167" s="351">
        <f t="array" ref="EJ167">SUM((IF(QualitéAlimentsOisonMâle_0_3_mois=MAUVAISE,VLOOKUP("Maïs ensilé",AlimentsRationOiesMâles[],4,FALSE),0)+(IF(QualitéAlimentsOisonFemelle_0_3_mois=MAUVAISE,VLOOKUP("Maïs ensilé",AlimentsRationOiesFemelles[],4,FALSE),0)+(IF(QualitéAlimentsJeuneJars=MAUVAISE,VLOOKUP("Maïs ensilé",AlimentsRationOiesMâles[],3,FALSE),0)+(IF(QualitéAlimentsJeuneOie=MAUVAISE,VLOOKUP("Maïs ensilé",AlimentsRationOiesFemelles[],3,FALSE),0)+(IF(QualitéAlimentsJars=MAUVAISE,VLOOKUP("Maïs ensilé",AlimentsRationOiesMâles[],2,FALSE),0)+(IF(QualitéAlimentsOie=MAUVAISE,VLOOKUP("Maïs ensilé",AlimentsRationOiesFemelles[],2,FALSE),0))))))))</f>
        <v>0</v>
      </c>
      <c r="EN167" s="457" t="str">
        <f t="shared" si="56"/>
        <v>Maïs grain</v>
      </c>
      <c r="EO167" s="458">
        <f t="array" ref="EO167">SUM((IF(QualitéAlimentsCanetonMâle=BONNE,VLOOKUP("Maïs grain",AlimentsRationCanardsMâles,4,FALSE),0)+(IF(QualitéAlimentsCanetonFemelle=BONNE,VLOOKUP("Maïs grain",AlimentsRationCanardsFemelles,4,FALSE),0)+(IF(QualitéAlimentsJeuneCanard=BONNE,VLOOKUP("Maïs grain",AlimentsRationCanardsMâles,3,FALSE),0)+(IF(QualitéAlimentsJeuneCane=BONNE,VLOOKUP("Maïs grain",AlimentsRationCanardsFemelles,3,FALSE),0)+(IF(QualitéAlimentsCanard=BONNE,VLOOKUP("Maïs grain",AlimentsRationCanardsMâles,2,FALSE),0)+(IF(QualitéAlimentsCane=BONNE,VLOOKUP("Maïs grain",AlimentsRationCanardsFemelles,2,FALSE),0))))))))</f>
        <v>0</v>
      </c>
      <c r="EP167" s="458">
        <f t="array" ref="EP167">SUM((IF(QualitéAlimentsCanetonMâle=MOYENNE,VLOOKUP("Maïs grain",AlimentsRationCanardsMâles,4,FALSE),0)+(IF(QualitéAlimentsCanetonFemelle=MOYENNE,VLOOKUP("Maïs grain",AlimentsRationCanardsFemelles,4,FALSE),0)+(IF(QualitéAlimentsJeuneCanard=MOYENNE,VLOOKUP("Maïs grain",AlimentsRationCanardsMâles,3,FALSE),0)+(IF(QualitéAlimentsJeuneCane=MOYENNE,VLOOKUP("Maïs grain",AlimentsRationCanardsFemelles,3,FALSE),0)+(IF(QualitéAlimentsCanard=MOYENNE,VLOOKUP("Maïs grain",AlimentsRationCanardsMâles,2,FALSE),0)+(IF(QualitéAlimentsCane=MOYENNE,VLOOKUP("Maïs grain",AlimentsRationCanardsFemelles,2,FALSE),0))))))))</f>
        <v>0</v>
      </c>
      <c r="EQ167" s="458">
        <f t="array" ref="EQ167">SUM((IF(QualitéAlimentsCanetonMâle=MAUVAISE,VLOOKUP("Maïs grain",AlimentsRationCanardsMâles,4,FALSE),0)+(IF(QualitéAlimentsCanetonFemelle=MAUVAISE,VLOOKUP("Maïs grain",AlimentsRationCanardsFemelles,4,FALSE),0)+(IF(QualitéAlimentsJeuneCanard=MAUVAISE,VLOOKUP("Maïs grain",AlimentsRationCanardsMâles,3,FALSE),0)+(IF(QualitéAlimentsJeuneCane=MAUVAISE,VLOOKUP("Maïs grain",AlimentsRationCanardsFemelles,3,FALSE),0)+(IF(QualitéAlimentsCanard=MAUVAISE,VLOOKUP("Maïs grain",AlimentsRationCanardsMâles,2,FALSE),0)+(IF(QualitéAlimentsCane=MAUVAISE,VLOOKUP("Maïs grain",AlimentsRationCanardsFemelles,2,FALSE),0))))))))</f>
        <v>0</v>
      </c>
      <c r="EU167" s="457" t="str">
        <f t="shared" si="54"/>
        <v>Minéraux + vitamines</v>
      </c>
      <c r="EV167" s="458">
        <f t="array" ref="EV167">IF(OR(ChoixRationHivernaleComplèteChevauxSelle=OUI,ChoixRationHivernaleComplèteChevauxSelle="",ChoixChevauxSellePréHiver=NON),0,IFERROR(IF(OR(AND(INDEX(Règles_chevaux_selle[Specificite],MATCH(RationHivernaleAuPréChevauxSelle&amp;$EU167,Règles_chevaux_selle[Ration]&amp;Règles_chevaux_selle[Aliment],0))="s1",IF($EU167=Spécificité1ChevauxSelle,1)),
AND(INDEX(Règles_chevaux_selle[Specificite],MATCH(RationHivernaleAuPréChevauxSelle&amp;$EU167,Règles_chevaux_selle[Ration]&amp;Règles_chevaux_selle[Aliment],0))="s2",IF($EU167=Spécificité2ChevauxSelle,1)),
INDEX(Règles_chevaux_selle[Specificite],MATCH(RationHivernaleAuPréChevauxSelle&amp;$EU167,Règles_chevaux_selle[Ration]&amp;Règles_chevaux_selle[Aliment],0))="c"),
INDEX(Règles_chevaux_selle[Valeur 36 et plus],MATCH(RationHivernaleAuPréChevauxSelle&amp;$EU167,Règles_chevaux_selle[Ration]&amp;Règles_chevaux_selle[Aliment],0)),0),0)*SUM(TotalChevauxSelleAdultes)*21)</f>
        <v>0</v>
      </c>
      <c r="EW167" s="458">
        <f t="array" ref="EW167">IF(OR(ChoixRationHivernaleComplèteChevauxSelle=OUI,ChoixRationHivernaleComplèteChevauxSelle="",ChoixChevauxSellePréHiver=NON),0,IFERROR(IF(OR(AND(INDEX(Règles_chevaux_selle[Specificite],MATCH(RationHivernaleAuPréChevauxSelle&amp;$EU167,Règles_chevaux_selle[Ration]&amp;Règles_chevaux_selle[Aliment],0))="s1",IF($EU167=Spécificité1ChevauxSelle,1)),
AND(INDEX(Règles_chevaux_selle[Specificite],MATCH(RationHivernaleAuPréChevauxSelle&amp;$EU167,Règles_chevaux_selle[Ration]&amp;Règles_chevaux_selle[Aliment],0))="s2",IF($EU167=Spécificité2ChevauxSelle,1)),
INDEX(Règles_chevaux_selle[Specificite],MATCH(RationHivernaleAuPréChevauxSelle&amp;$EU167,Règles_chevaux_selle[Ration]&amp;Règles_chevaux_selle[Aliment],0))="c"),
INDEX(Règles_chevaux_selle[Valeur 24-36],MATCH(RationHivernaleAuPréChevauxSelle&amp;$EU167,Règles_chevaux_selle[Ration]&amp;Règles_chevaux_selle[Aliment],0)),0),0)*SUM(TotalChevauxSelle_24_36mois)*21)</f>
        <v>0</v>
      </c>
      <c r="EX167" s="458">
        <f t="array" ref="EX167">IF(OR(ChoixRationHivernaleComplèteChevauxSelle=OUI,ChoixRationHivernaleComplèteChevauxSelle="",ChoixChevauxSellePréHiver=NON),0,IFERROR(IF(OR(AND(INDEX(Règles_chevaux_selle[Specificite],MATCH(RationHivernaleAuPréChevauxSelle&amp;$EU167,Règles_chevaux_selle[Ration]&amp;Règles_chevaux_selle[Aliment],0))="s1",IF($EU167=Spécificité1ChevauxSelle,1)),
AND(INDEX(Règles_chevaux_selle[Specificite],MATCH(RationHivernaleAuPréChevauxSelle&amp;$EU167,Règles_chevaux_selle[Ration]&amp;Règles_chevaux_selle[Aliment],0))="s2",IF($EU167=Spécificité2ChevauxSelle,1)),
INDEX(Règles_chevaux_selle[Specificite],MATCH(RationHivernaleAuPréChevauxSelle&amp;$EU167,Règles_chevaux_selle[Ration]&amp;Règles_chevaux_selle[Aliment],0))="c"),
INDEX(Règles_chevaux_selle[Valeur 12-24],MATCH(RationHivernaleAuPréChevauxSelle&amp;$EU167,Règles_chevaux_selle[Ration]&amp;Règles_chevaux_selle[Aliment],0)),0),0)*SUM(TotalChevauxSelle_12_24mois)*21)</f>
        <v>0</v>
      </c>
      <c r="EY167" s="460">
        <f t="array" ref="EY167">IF(OR(ChoixRationHivernaleComplèteChevauxSelle=OUI,ChoixRationHivernaleComplèteChevauxSelle="",ChoixChevauxSellePréHiver=NON),0,IFERROR(IF(OR(AND(INDEX(Règles_chevaux_selle[Specificite],MATCH(RationHivernaleAuPréChevauxSelle&amp;$EU167,Règles_chevaux_selle[Ration]&amp;Règles_chevaux_selle[Aliment],0))="s1",IF($EU167=Spécificité1ChevauxSelle,1)),
AND(INDEX(Règles_chevaux_selle[Specificite],MATCH(RationHivernaleAuPréChevauxSelle&amp;$EU167,Règles_chevaux_selle[Ration]&amp;Règles_chevaux_selle[Aliment],0))="s2",IF($EU167=Spécificité2ChevauxSelle,1)),
INDEX(Règles_chevaux_selle[Specificite],MATCH(RationHivernaleAuPréChevauxSelle&amp;$EU167,Règles_chevaux_selle[Ration]&amp;Règles_chevaux_selle[Aliment],0))="c"),
INDEX(Règles_chevaux_selle[Valeur 0-12],MATCH(RationHivernaleAuPréChevauxSelle&amp;$EU167,Règles_chevaux_selle[Ration]&amp;Règles_chevaux_selle[Aliment],0)),0),0)*SUM(TotalPoulainsSelle)*21)</f>
        <v>0</v>
      </c>
      <c r="EZ167" s="460">
        <f t="shared" si="53"/>
        <v>0</v>
      </c>
      <c r="FD167" s="457" t="str">
        <f t="shared" si="49"/>
        <v>Ration complète</v>
      </c>
      <c r="FE167" s="458">
        <f t="array" ref="FE167">IF(OR(ChoixRationHivernaleComplèteChevauxTrait=OUI,ChoixRationHivernaleComplèteChevauxTrait="",ChoixChevauxTraitPréHiver=NON),0,IFERROR(IF(OR(AND(INDEX(Règles_chevaux_trait[Specificite],MATCH(RationHivernaleAuPréChevauxTrait&amp;$FD167,Règles_chevaux_trait[Ration]&amp;Règles_chevaux_trait[Aliment],0))="s1",IF($FD167=Spécificité1ChevauxTrait,1)),
AND(INDEX(Règles_chevaux_trait[Specificite],MATCH(RationHivernaleAuPréChevauxTrait&amp;$FD167,Règles_chevaux_trait[Ration]&amp;Règles_chevaux_trait[Aliment],0))="s2",IF($FD167=Spécificité2ChevauxTrait,1)),
INDEX(Règles_chevaux_trait[Specificite],MATCH(RationHivernaleAuPréChevauxTrait&amp;$FD167,Règles_chevaux_trait[Ration]&amp;Règles_chevaux_trait[Aliment],0))="c"),
INDEX(Règles_chevaux_trait[Valeur 36 et plus],MATCH(RationHivernaleAuPréChevauxTrait&amp;$FD167,Règles_chevaux_trait[Ration]&amp;Règles_chevaux_trait[Aliment],0)),0),0)*SUM(TotalChevauxTraitAdultes)*21)</f>
        <v>0</v>
      </c>
      <c r="FF167" s="458">
        <f t="array" ref="FF167">IF(OR(ChoixRationHivernaleComplèteChevauxTrait=OUI,ChoixRationHivernaleComplèteChevauxTrait="",ChoixChevauxTraitPréHiver=NON),0,IFERROR(IF(OR(AND(INDEX(Règles_chevaux_trait[Specificite],MATCH(RationHivernaleAuPréChevauxTrait&amp;$FD167,Règles_chevaux_trait[Ration]&amp;Règles_chevaux_trait[Aliment],0))="s1",IF($FD167=Spécificité1ChevauxTrait,1)),
AND(INDEX(Règles_chevaux_trait[Specificite],MATCH(RationHivernaleAuPréChevauxTrait&amp;$FD167,Règles_chevaux_trait[Ration]&amp;Règles_chevaux_trait[Aliment],0))="s2",IF($FD167=Spécificité2ChevauxTrait,1)),
INDEX(Règles_chevaux_trait[Specificite],MATCH(RationHivernaleAuPréChevauxTrait&amp;$FD167,Règles_chevaux_trait[Ration]&amp;Règles_chevaux_trait[Aliment],0))="c"),
INDEX(Règles_chevaux_trait[Valeur 24-36],MATCH(RationHivernaleAuPréChevauxTrait&amp;$FD167,Règles_chevaux_trait[Ration]&amp;Règles_chevaux_trait[Aliment],0)),0),0)*SUM(TotalChevauxTrait_24_36mois)*21)</f>
        <v>0</v>
      </c>
      <c r="FG167" s="458">
        <f t="array" ref="FG167">IF(OR(ChoixRationHivernaleComplèteChevauxTrait=OUI,ChoixRationHivernaleComplèteChevauxTrait="",ChoixChevauxTraitPréHiver=NON),0,IFERROR(IF(OR(AND(INDEX(Règles_chevaux_trait[Specificite],MATCH(RationHivernaleAuPréChevauxTrait&amp;$FD167,Règles_chevaux_trait[Ration]&amp;Règles_chevaux_trait[Aliment],0))="s1",IF($FD167=Spécificité1ChevauxTrait,1)),
AND(INDEX(Règles_chevaux_trait[Specificite],MATCH(RationHivernaleAuPréChevauxTrait&amp;$FD167,Règles_chevaux_trait[Ration]&amp;Règles_chevaux_trait[Aliment],0))="s2",IF($FD167=Spécificité2ChevauxTrait,1)),
INDEX(Règles_chevaux_trait[Specificite],MATCH(RationHivernaleAuPréChevauxTrait&amp;$FD167,Règles_chevaux_trait[Ration]&amp;Règles_chevaux_trait[Aliment],0))="c"),
INDEX(Règles_chevaux_trait[Valeur 12-24],MATCH(RationHivernaleAuPréChevauxTrait&amp;$FD167,Règles_chevaux_trait[Ration]&amp;Règles_chevaux_trait[Aliment],0)),0),0)*SUM(TotalChevauxTrait_12_24mois)*21)</f>
        <v>0</v>
      </c>
      <c r="FH167" s="460">
        <f t="array" ref="FH167">IF(OR(ChoixRationHivernaleComplèteChevauxTrait=OUI,ChoixRationHivernaleComplèteChevauxTrait="",ChoixChevauxTraitPréHiver=NON),0,IFERROR(IF(OR(AND(INDEX(Règles_chevaux_trait[Specificite],MATCH(RationHivernaleAuPréChevauxTrait&amp;$FD167,Règles_chevaux_trait[Ration]&amp;Règles_chevaux_trait[Aliment],0))="s1",IF($FD167=Spécificité1ChevauxTrait,1)),
AND(INDEX(Règles_chevaux_trait[Specificite],MATCH(RationHivernaleAuPréChevauxTrait&amp;$FD167,Règles_chevaux_trait[Ration]&amp;Règles_chevaux_trait[Aliment],0))="s2",IF($FD167=Spécificité2ChevauxTrait,1)),
INDEX(Règles_chevaux_trait[Specificite],MATCH(RationHivernaleAuPréChevauxTrait&amp;$FD167,Règles_chevaux_trait[Ration]&amp;Règles_chevaux_trait[Aliment],0))="c"),
INDEX(Règles_chevaux_trait[Valeur 0-12],MATCH(RationHivernaleAuPréChevauxTrait&amp;$FD167,Règles_chevaux_trait[Ration]&amp;Règles_chevaux_trait[Aliment],0)),0),0)*SUM(TotalPoulainsTrait)*21)</f>
        <v>0</v>
      </c>
      <c r="FI167" s="460">
        <f t="shared" si="47"/>
        <v>0</v>
      </c>
      <c r="FN167" s="457" t="str">
        <f t="shared" si="48"/>
        <v>Seigle</v>
      </c>
      <c r="FO167" s="458">
        <f t="array" ref="FO167">IF(OR(ChoixRationHivernaleComplètePoneys=OUI,ChoixRationHivernaleComplètePoneys="",ChoixPoneysPréHiver=NON),0,IFERROR(IF(OR(AND(INDEX(Règles_poneys[Specificite],MATCH(RationHivernaleAuPréPoneys&amp;$FN167,Règles_poneys[Ration]&amp;Règles_poneys[Aliment],0))="s1",IF($FN167=Spécificité1Poneys,1)),
AND(INDEX(Règles_poneys[Specificite],MATCH(RationHivernaleAuPréPoneys&amp;$FN167,Règles_poneys[Ration]&amp;Règles_poneys[Aliment],0))="s2",IF($FN167=Spécificité2Poneys,1)),
INDEX(Règles_poneys[Specificite],MATCH(RationHivernaleAuPréPoneys&amp;$FN167,Règles_poneys[Ration]&amp;Règles_poneys[Aliment],0))="c"),
INDEX(Règles_poneys[Valeur 36 et plus],MATCH(RationHivernaleAuPréPoneys&amp;$FN167,Règles_poneys[Ration]&amp;Règles_poneys[Aliment],0)),0),0)*SUM(TotalPoneysAdultes)*21)</f>
        <v>0</v>
      </c>
      <c r="FP167" s="458">
        <f t="array" ref="FP167">IF(OR(ChoixRationHivernaleComplètePoneys=OUI,ChoixRationHivernaleComplètePoneys="",ChoixPoneysPréHiver=NON),0,IFERROR(IF(OR(AND(INDEX(Règles_poneys[Specificite],MATCH(RationHivernaleAuPréPoneys&amp;$FN167,Règles_poneys[Ration]&amp;Règles_poneys[Aliment],0))="s1",IF($FN167=Spécificité1Poneys,1)),
AND(INDEX(Règles_poneys[Specificite],MATCH(RationHivernaleAuPréPoneys&amp;$FN167,Règles_poneys[Ration]&amp;Règles_poneys[Aliment],0))="s2",IF($FN167=Spécificité2Poneys,1)),
INDEX(Règles_poneys[Specificite],MATCH(RationHivernaleAuPréPoneys&amp;$FN167,Règles_poneys[Ration]&amp;Règles_poneys[Aliment],0))="c"),
INDEX(Règles_poneys[Valeur 24-36],MATCH(RationHivernaleAuPréPoneys&amp;$FN167,Règles_poneys[Ration]&amp;Règles_poneys[Aliment],0)),0),0)*SUM(TotalPoneys_24_36mois)*21)</f>
        <v>0</v>
      </c>
      <c r="FQ167" s="458">
        <f t="array" ref="FQ167">IF(OR(ChoixRationHivernaleComplètePoneys=OUI,ChoixRationHivernaleComplètePoneys="",ChoixPoneysPréHiver=NON),0,IFERROR(IF(OR(AND(INDEX(Règles_poneys[Specificite],MATCH(RationHivernaleAuPréPoneys&amp;$FN167,Règles_poneys[Ration]&amp;Règles_poneys[Aliment],0))="s1",IF($FN167=Spécificité1Poneys,1)),
AND(INDEX(Règles_poneys[Specificite],MATCH(RationHivernaleAuPréPoneys&amp;$FN167,Règles_poneys[Ration]&amp;Règles_poneys[Aliment],0))="s2",IF($FN167=Spécificité2Poneys,1)),
INDEX(Règles_poneys[Specificite],MATCH(RationHivernaleAuPréPoneys&amp;$FN167,Règles_poneys[Ration]&amp;Règles_poneys[Aliment],0))="c"),
INDEX(Règles_poneys[Valeur 12-24],MATCH(RationHivernaleAuPréPoneys&amp;$FN167,Règles_poneys[Ration]&amp;Règles_poneys[Aliment],0)),0),0)*SUM(TotalPoneys_12_24mois)*21)</f>
        <v>0</v>
      </c>
      <c r="FR167" s="460">
        <f t="array" ref="FR167">IF(OR(ChoixRationHivernaleComplètePoneys=OUI,ChoixRationHivernaleComplètePoneys="",ChoixPoneysPréHiver=NON),0,IFERROR(IF(OR(AND(INDEX(Règles_poneys[Specificite],MATCH(RationHivernaleAuPréPoneys&amp;$FN167,Règles_poneys[Ration]&amp;Règles_poneys[Aliment],0))="s1",IF($FN167=Spécificité1Poneys,1)),
AND(INDEX(Règles_poneys[Specificite],MATCH(RationHivernaleAuPréPoneys&amp;$FN167,Règles_poneys[Ration]&amp;Règles_poneys[Aliment],0))="s2",IF($FN167=Spécificité2Poneys,1)),
INDEX(Règles_poneys[Specificite],MATCH(RationHivernaleAuPréPoneys&amp;$FN167,Règles_poneys[Ration]&amp;Règles_poneys[Aliment],0))="c"),
INDEX(Règles_poneys[Valeur 0-12],MATCH(RationHivernaleAuPréPoneys&amp;$FN167,Règles_poneys[Ration]&amp;Règles_poneys[Aliment],0)),0),0)*SUM(TotalPoulainsPoneys)*21)</f>
        <v>0</v>
      </c>
      <c r="FS167" s="460">
        <f t="shared" si="46"/>
        <v>0</v>
      </c>
      <c r="FW167" s="457" t="str">
        <f t="shared" si="44"/>
        <v>Tourteau de tournesol</v>
      </c>
      <c r="FX167" s="458">
        <f t="array" ref="FX167">SUM((IF(QualitéAlimentsGavageOison_0_1_mois=BONNE,VLOOKUP("Tournesol de tournesol",AlimentsGavageOie,5,FALSE),0)+(IF(QualitéAlimentsGavageCaneton_0_1_mois=BONNE,VLOOKUP("Tournesol de tournesol",AlimentsGavageCanard,5,FALSE),0)+(IF(QualitéAlimentsGavageOison_1_2_mois=BONNE,VLOOKUP("Tournesol de tournesol",AlimentsGavageOie,4,FALSE),0)+(IF(QualitéAlimentsGavageCaneton_1_2_mois=BONNE,VLOOKUP("Tournesol de tournesol",AlimentsGavageCanard,4,FALSE),0)+(IF(QualitéAlimentsGavageOison_2_3_mois=BONNE,VLOOKUP("Tournesol de tournesol",AlimentsGavageOie,3,FALSE),0)+(IF(QualitéAlimentsGavageCaneton_2_3_mois=BONNE,VLOOKUP("Tournesol de tournesol",AlimentsGavageCanard,3,FALSE),0)+(IF(QualitéAlimentsGavageJeunesOies=BONNE,VLOOKUP("Tournesol de tournesol",AlimentsGavageOie,2,FALSE),0)+(IF(QualitéAlimentsGavageJeuneCanard=BONNE,VLOOKUP("Tournesol de tournesol",AlimentsGavageCanard,2,FALSE),0))))))))))</f>
        <v>0</v>
      </c>
      <c r="FY167" s="458">
        <f t="array" ref="FY167">SUM((IF(QualitéAlimentsGavageOison_0_1_mois=MOYENNE,VLOOKUP("Tournesol de tournesol",AlimentsGavageOie,5,FALSE),0)+(IF(QualitéAlimentsGavageCaneton_0_1_mois=MOYENNE,VLOOKUP("Tournesol de tournesol",AlimentsGavageCanard,5,FALSE),0)+(IF(QualitéAlimentsGavageOison_1_2_mois=MOYENNE,VLOOKUP("Tournesol de tournesol",AlimentsGavageOie,4,FALSE),0)+(IF(QualitéAlimentsGavageCaneton_1_2_mois=MOYENNE,VLOOKUP("Tournesol de tournesol",AlimentsGavageCanard,4,FALSE),0)+(IF(QualitéAlimentsGavageOison_2_3_mois=MOYENNE,VLOOKUP("Tournesol de tournesol",AlimentsGavageOie,3,FALSE),0)+(IF(QualitéAlimentsGavageCaneton_2_3_mois=MOYENNE,VLOOKUP("Tournesol de tournesol",AlimentsGavageCanard,3,FALSE),0)+(IF(QualitéAlimentsGavageJeunesOies=MOYENNE,VLOOKUP("Tournesol de tournesol",AlimentsGavageOie,2,FALSE),0)+(IF(QualitéAlimentsGavageJeuneCanard=MOYENNE,VLOOKUP("Tournesol de tournesol",AlimentsGavageCanard,2,FALSE),0))))))))))</f>
        <v>0</v>
      </c>
      <c r="FZ167" s="458">
        <f t="array" ref="FZ167">SUM((IF(QualitéAlimentsGavageOison_0_1_mois=MAUVAISE,VLOOKUP("Tournesol de tournesol",AlimentsGavageOie,5,FALSE),0)+(IF(QualitéAlimentsGavageCaneton_0_1_mois=MAUVAISE,VLOOKUP("Tournesol de tournesol",AlimentsGavageCanard,5,FALSE),0)+(IF(QualitéAlimentsGavageOison_1_2_mois=MAUVAISE,VLOOKUP("Tournesol de tournesol",AlimentsGavageOie,4,FALSE),0)+(IF(QualitéAlimentsGavageCaneton_1_2_mois=MAUVAISE,VLOOKUP("Tournesol de tournesol",AlimentsGavageCanard,4,FALSE),0)+(IF(QualitéAlimentsGavageOison_2_3_mois=MAUVAISE,VLOOKUP("Tournesol de tournesol",AlimentsGavageOie,3,FALSE),0)+(IF(QualitéAlimentsGavageCaneton_2_3_mois=MAUVAISE,VLOOKUP("Tournesol de tournesol",AlimentsGavageCanard,3,FALSE),0)+(IF(QualitéAlimentsGavageJeunesOies=MAUVAISE,VLOOKUP("Tournesol de tournesol",AlimentsGavageOie,2,FALSE),0)+(IF(QualitéAlimentsGavageJeuneCanard=MAUVAISE,VLOOKUP("Tournesol de tournesol",AlimentsGavageCanard,2,FALSE),0))))))))))</f>
        <v>0</v>
      </c>
      <c r="GB167" s="281"/>
      <c r="GG167" s="276" t="s">
        <v>955</v>
      </c>
      <c r="GH167" s="276" t="s">
        <v>955</v>
      </c>
      <c r="GI167" s="276" t="s">
        <v>955</v>
      </c>
      <c r="GJ167" s="276" t="s">
        <v>955</v>
      </c>
      <c r="GK167" s="276" t="s">
        <v>955</v>
      </c>
      <c r="GL167" s="276" t="s">
        <v>955</v>
      </c>
      <c r="GM167" s="276" t="s">
        <v>955</v>
      </c>
      <c r="GN167" s="276" t="s">
        <v>955</v>
      </c>
      <c r="GO167" s="276" t="s">
        <v>955</v>
      </c>
      <c r="GP167" s="276" t="s">
        <v>955</v>
      </c>
      <c r="GQ167" s="276" t="s">
        <v>955</v>
      </c>
      <c r="GR167" s="276" t="s">
        <v>955</v>
      </c>
      <c r="GS167" s="276" t="s">
        <v>955</v>
      </c>
      <c r="GT167" s="276" t="s">
        <v>955</v>
      </c>
      <c r="GU167" s="276" t="s">
        <v>955</v>
      </c>
      <c r="GV167" s="276" t="s">
        <v>955</v>
      </c>
    </row>
    <row r="168" spans="1:204" ht="12.75" customHeight="1" x14ac:dyDescent="0.2">
      <c r="A168" s="373"/>
      <c r="B168" s="382"/>
      <c r="BB168" s="387" t="s">
        <v>949</v>
      </c>
      <c r="BC168" s="362" t="s">
        <v>500</v>
      </c>
      <c r="BD168" s="362" t="s">
        <v>888</v>
      </c>
      <c r="BE168" s="388">
        <v>4.8</v>
      </c>
      <c r="BF168" s="388">
        <v>4</v>
      </c>
      <c r="BG168" s="388">
        <v>4</v>
      </c>
      <c r="BH168" s="388">
        <v>4</v>
      </c>
      <c r="BI168" s="388">
        <v>2</v>
      </c>
      <c r="BJ168" s="388">
        <v>1.2</v>
      </c>
      <c r="BK168" s="389">
        <v>0</v>
      </c>
      <c r="BL168" s="312"/>
      <c r="BX168" s="350" t="str">
        <f t="shared" si="51"/>
        <v>Pulpe déshydratée de betterave</v>
      </c>
      <c r="BY168" s="350">
        <f t="array" ref="BY168">IF(ChoixRationComplèteCaprins=OUI,0,IFERROR(IF(OR(AND(INDEX(Règles_caprins[Specificite],MATCH(ChoixRationCaprins&amp;$BX168,Règles_caprins[Ration]&amp;Règles_caprins[Aliment],0))="s1",IF($BX168=Spécificité1Caprins,1)),
INDEX(Règles_caprins[Specificite],MATCH(ChoixRationCaprins&amp;$BX168,Règles_caprins[Ration]&amp;Règles_caprins[Aliment],0))="c"),
INDEX(Règles_caprins[Valeur 12 et plus],MATCH(ChoixRationCaprins&amp;$BX168,Règles_caprins[Ration]&amp;Règles_caprins[Aliment],0)),0),0)*TotalChèvres*NbreJoursNourrirCaprins)</f>
        <v>0</v>
      </c>
      <c r="BZ168" s="350">
        <f t="array" ref="BZ168">IF(ChoixRationComplèteCaprins=OUI,0,IFERROR(IF(OR(AND(INDEX(Règles_caprins[Specificite],MATCH(ChoixRationCaprins&amp;$BX168,Règles_caprins[Ration]&amp;Règles_caprins[Aliment],0))="s1",IF($BX168=Spécificité1Caprins,1)),
INDEX(Règles_caprins[Specificite],MATCH(ChoixRationCaprins&amp;$BX168,Règles_caprins[Ration]&amp;Règles_caprins[Aliment],0))="c"),
INDEX(Règles_caprins[Valeur 6-12],MATCH(ChoixRationCaprins&amp;$BX168,Règles_caprins[Ration]&amp;Règles_caprins[Aliment],0)),0),0)*jeune_chèvre_6_12_mois*NbreJoursNourrirCaprins)</f>
        <v>0</v>
      </c>
      <c r="CA168" s="350">
        <f t="array" ref="CA168">IF(ChoixRationComplèteCaprins=OUI,0,IFERROR(IF(OR(AND(INDEX(Règles_caprins[Specificite],MATCH(ChoixRationCaprins&amp;$BX168,Règles_caprins[Ration]&amp;Règles_caprins[Aliment],0))="s1",IF($BX168=Spécificité1Caprins,1)),
INDEX(Règles_caprins[Specificite],MATCH(ChoixRationCaprins&amp;$BX168,Règles_caprins[Ration]&amp;Règles_caprins[Aliment],0))="c"),
INDEX(Règles_caprins[Valeur 3-6],MATCH(ChoixRationCaprins&amp;$BX168,Règles_caprins[Ration]&amp;Règles_caprins[Aliment],0)),0),0)*chevrette_3_6_mois*NbreJoursNourrirCaprins)</f>
        <v>0</v>
      </c>
      <c r="CB168" s="350">
        <f t="array" ref="CB168">IF(ChoixRationComplèteCaprins=OUI,0,IFERROR(IF(OR(AND(INDEX(Règles_caprins[Specificite],MATCH(ChoixRationCaprins&amp;$BX168,Règles_caprins[Ration]&amp;Règles_caprins[Aliment],0))="s1",IF($BX168=Spécificité1Caprins,1)),
INDEX(Règles_caprins[Specificite],MATCH(ChoixRationCaprins&amp;$BX168,Règles_caprins[Ration]&amp;Règles_caprins[Aliment],0))="c"),
INDEX(Règles_caprins[Valeur 0-3],MATCH(ChoixRationCaprins&amp;$BX168,Règles_caprins[Ration]&amp;Règles_caprins[Aliment],0)),0),0)*chevrette_0_3_mois*NbreJoursNourrirCaprins)</f>
        <v>0</v>
      </c>
      <c r="CC168" s="350">
        <f t="shared" si="50"/>
        <v>0</v>
      </c>
      <c r="CH168" s="298"/>
      <c r="CI168" s="277"/>
      <c r="CJ168" s="350" t="str">
        <f t="shared" si="45"/>
        <v>Tournesol</v>
      </c>
      <c r="CK168" s="351">
        <f t="array" ref="CK168">SUM((IF(QualitéAlimentsPorceletMâle_0_1_mois=BONNE,VLOOKUP("Tournesol",AlimentsRationPorcinsMâles[],6,FALSE),0)+(IF(QualitéAlimentsPorceletFemelle_0_1_mois=BONNE,VLOOKUP("Tournesol",AlimentsRationPorcinsFemelles[],6,FALSE),0)+(IF(QualitéAlimentsPorceletMâle_1_3_mois=BONNE,VLOOKUP("Tournesol",AlimentsRationPorcinsMâles[],5,FALSE),0)+(IF(QualitéAlimentsPorceletFemelle_1_3_mois=BONNE,VLOOKUP("Tournesol",AlimentsRationPorcinsFemelles[],5,FALSE),0)+(IF(QualitéAlimentsJeuneVerrat_3_6_mois=BONNE,VLOOKUP("Tournesol",AlimentsRationPorcinsMâles[],4,FALSE),0)+(IF(QualitéAlimentsJeuneTruie_3_6_mois=BONNE,VLOOKUP("Tournesol",AlimentsRationPorcinsFemelles[],4,FALSE),0)+(IF(QualitéAlimentsJeuneVerrat_6_12_mois=BONNE,VLOOKUP("Tournesol",AlimentsRationPorcinsMâles[],3,FALSE),0)+(IF(QualitéAlimentsJeuneTruie_6_12_mois=BONNE,VLOOKUP("Tournesol",AlimentsRationPorcinsFemelles[],3,FALSE),0)+(IF(QualitéAlimentsVerrat=BONNE,VLOOKUP("Avoine",AlimentsRationPorcinsMâles[],2,FALSE),0)+(IF(QualitéAlimentsTruie=BONNE,VLOOKUP("Avoine",AlimentsRationPorcinsFemelles[],2,FALSE),0))))))))))))</f>
        <v>0</v>
      </c>
      <c r="CL168" s="351">
        <f t="array" ref="CL168">SUM((IF(QualitéAlimentsPorceletMâle_0_1_mois=MOYENNE,VLOOKUP("Tournesol",AlimentsRationPorcinsMâles[],6,FALSE),0)+(IF(QualitéAlimentsPorceletFemelle_0_1_mois=MOYENNE,VLOOKUP("Tournesol",AlimentsRationPorcinsFemelles[],6,FALSE),0)+(IF(QualitéAlimentsPorceletMâle_1_3_mois=MOYENNE,VLOOKUP("Tournesol",AlimentsRationPorcinsMâles[],5,FALSE),0)+(IF(QualitéAlimentsPorceletFemelle_1_3_mois=MOYENNE,VLOOKUP("Tournesol",AlimentsRationPorcinsFemelles[],5,FALSE),0)+(IF(QualitéAlimentsJeuneVerrat_3_6_mois=MOYENNE,VLOOKUP("Tournesol",AlimentsRationPorcinsMâles[],4,FALSE),0)+(IF(QualitéAlimentsJeuneTruie_3_6_mois=MOYENNE,VLOOKUP("Tournesol",AlimentsRationPorcinsFemelles[],4,FALSE),0)+(IF(QualitéAlimentsJeuneVerrat_6_12_mois=MOYENNE,VLOOKUP("Tournesol",AlimentsRationPorcinsMâles[],3,FALSE),0)+(IF(QualitéAlimentsJeuneTruie_6_12_mois=MOYENNE,VLOOKUP("Tournesol",AlimentsRationPorcinsFemelles[],3,FALSE),0)+(IF(QualitéAlimentsVerrat=BONNE,VLOOKUP("Avoine",AlimentsRationPorcinsMâles[],2,FALSE),0)+(IF(QualitéAlimentsTruie=BONNE,VLOOKUP("Avoine",AlimentsRationPorcinsFemelles[],2,FALSE),0))))))))))))</f>
        <v>0</v>
      </c>
      <c r="CM168" s="351">
        <f t="array" ref="CM168">SUM((IF(QualitéAlimentsPorceletMâle_0_1_mois=MAUVAISE,VLOOKUP("Tournesol",AlimentsRationPorcinsMâles[],6,FALSE),0)+(IF(QualitéAlimentsPorceletFemelle_0_1_mois=MAUVAISE,VLOOKUP("Tournesol",AlimentsRationPorcinsFemelles[],6,FALSE),0)+(IF(QualitéAlimentsPorceletMâle_1_3_mois=MAUVAISE,VLOOKUP("Tournesol",AlimentsRationPorcinsMâles[],5,FALSE),0)+(IF(QualitéAlimentsPorceletFemelle_1_3_mois=MAUVAISE,VLOOKUP("Tournesol",AlimentsRationPorcinsFemelles[],5,FALSE),0)+(IF(QualitéAlimentsJeuneVerrat_3_6_mois=MAUVAISE,VLOOKUP("Tournesol",AlimentsRationPorcinsMâles[],4,FALSE),0)+(IF(QualitéAlimentsJeuneTruie_3_6_mois=MAUVAISE,VLOOKUP("Tournesol",AlimentsRationPorcinsFemelles[],4,FALSE),0)+(IF(QualitéAlimentsJeuneVerrat_6_12_mois=MAUVAISE,VLOOKUP("Tournesol",AlimentsRationPorcinsMâles[],3,FALSE),0)+(IF(QualitéAlimentsJeuneTruie_6_12_mois=MAUVAISE,VLOOKUP("Tournesol",AlimentsRationPorcinsFemelles[],3,FALSE),0)+(IF(QualitéAlimentsVerrat=BONNE,VLOOKUP("Avoine",AlimentsRationPorcinsMâles[],2,FALSE),0)+(IF(QualitéAlimentsTruie=BONNE,VLOOKUP("Avoine",AlimentsRationPorcinsFemelles[],2,FALSE),0))))))))))))</f>
        <v>0</v>
      </c>
      <c r="CN168" s="279"/>
      <c r="CO168" s="277"/>
      <c r="CP168" s="277"/>
      <c r="CS168" s="350" t="str">
        <f t="shared" si="59"/>
        <v>Féverole</v>
      </c>
      <c r="CT168" s="351">
        <f t="array" ref="CT168">SUM((IF(QualitéAlimentsLapereauMâle_0_1_mois=BONNE,VLOOKUP("Féverole",AlimentsRationLapinsMâles[],4,FALSE),0)+(IF(QualitéAlimentsLapereauFemelle_0_1_mois=BONNE,VLOOKUP("Féverole",AlimentsRationLapinsFemelles[],4,FALSE),0)+(IF(QualitéAlimentsJeuneLapin=BONNE,VLOOKUP("Féverole",AlimentsRationLapinsMâles[],3,FALSE),0)+(IF(QualitéAlimentsJeuneLapine=BONNE,VLOOKUP("Féverole",AlimentsRationLapinsFemelles[],3,FALSE),0)+(IF(QualitéAlimentsLapin=BONNE,VLOOKUP("Féverole",AlimentsRationLapinsMâles[],2,FALSE),0)+(IF(QualitéAlimentsLapine=BONNE,VLOOKUP("Féverole",AlimentsRationLapinsFemelles[],2,FALSE),0))))))))</f>
        <v>0</v>
      </c>
      <c r="CU168" s="351">
        <f t="array" ref="CU168">SUM((IF(QualitéAlimentsLapereauMâle_0_1_mois=MOYENNE,VLOOKUP("Féverole",AlimentsRationLapinsMâles[],4,FALSE),0)+(IF(QualitéAlimentsLapereauFemelle_0_1_mois=MOYENNE,VLOOKUP("Féverole",AlimentsRationLapinsFemelles[],4,FALSE),0)+(IF(QualitéAlimentsJeuneLapin=MOYENNE,VLOOKUP("Féverole",AlimentsRationLapinsMâles[],3,FALSE),0)+(IF(QualitéAlimentsJeuneLapine=MOYENNE,VLOOKUP("Féverole",AlimentsRationLapinsFemelles[],3,FALSE),0)+(IF(QualitéAlimentsLapin=MOYENNE,VLOOKUP("Féverole",AlimentsRationLapinsMâles[],2,FALSE),0)+(IF(QualitéAlimentsLapine=MOYENNE,VLOOKUP("Féverole",AlimentsRationLapinsFemelles[],2,FALSE),0))))))))</f>
        <v>0</v>
      </c>
      <c r="CV168" s="351">
        <f t="array" ref="CV168">SUM((IF(QualitéAlimentsLapereauMâle_0_1_mois=MAUVAISE,VLOOKUP("Féverole",AlimentsRationLapinsMâles[],4,FALSE),0)+(IF(QualitéAlimentsLapereauFemelle_0_1_mois=MAUVAISE,VLOOKUP("Féverole",AlimentsRationLapinsFemelles[],4,FALSE),0)+(IF(QualitéAlimentsJeuneLapin=MAUVAISE,VLOOKUP("Féverole",AlimentsRationLapinsMâles[],3,FALSE),0)+(IF(QualitéAlimentsJeuneLapine=MAUVAISE,VLOOKUP("Féverole",AlimentsRationLapinsFemelles[],3,FALSE),0)+(IF(QualitéAlimentsLapin=MAUVAISE,VLOOKUP("Féverole",AlimentsRationLapinsMâles[],2,FALSE),0)+(IF(QualitéAlimentsLapine=MAUVAISE,VLOOKUP("Féverole",AlimentsRationLapinsFemelles[],2,FALSE),0))))))))</f>
        <v>0</v>
      </c>
      <c r="CZ168" s="350" t="str">
        <f t="shared" si="58"/>
        <v>Foin</v>
      </c>
      <c r="DA168" s="351">
        <f t="array" ref="DA168">SUM((IF(QualitéAlimentsPoussinMâle_0_1_mois=BONNE,VLOOKUP("Foin",AlimentsRationVolaillesMâles[],4,FALSE),0)+(IF(QualitéAlimentsPoussinFemelle_0_1_mois=BONNE,VLOOKUP("Foin",AlimentsRationVolaillesFemelles[],4,FALSE),0)+(IF(QualitéAlimentsJeuneCoq=BONNE,VLOOKUP("Foin",AlimentsRationVolaillesMâles[],3,FALSE),0)+(IF(QualitéAlimentsJeunePoule=BONNE,VLOOKUP("Foin",AlimentsRationVolaillesFemelles[],3,FALSE),0)+(IF(QualitéAlimentsCoq=BONNE,VLOOKUP("Foin",AlimentsRationVolaillesMâles[],2,FALSE),0)+(IF(QualitéAlimentsPoule=BONNE,VLOOKUP("Foin",AlimentsRationVolaillesFemelles[],2,FALSE),0))))))))</f>
        <v>0</v>
      </c>
      <c r="DB168" s="351">
        <f t="array" ref="DB168">SUM((IF(QualitéAlimentsPoussinMâle_0_1_mois=MOYENNE,VLOOKUP("Foin",AlimentsRationVolaillesMâles[],4,FALSE),0)+(IF(QualitéAlimentsPoussinFemelle_0_1_mois=MOYENNE,VLOOKUP("Foin",AlimentsRationVolaillesFemelles[],4,FALSE),0)+(IF(QualitéAlimentsJeuneCoq=MOYENNE,VLOOKUP("Foin",AlimentsRationVolaillesMâles[],3,FALSE),0)+(IF(QualitéAlimentsJeunePoule=MOYENNE,VLOOKUP("Foin",AlimentsRationVolaillesFemelles[],3,FALSE),0)+(IF(QualitéAlimentsCoq=MOYENNE,VLOOKUP("Foin",AlimentsRationVolaillesMâles[],2,FALSE),0)+(IF(QualitéAlimentsPoule=MOYENNE,VLOOKUP("Foin",AlimentsRationVolaillesFemelles[],2,FALSE),0))))))))</f>
        <v>0</v>
      </c>
      <c r="DC168" s="351">
        <f t="array" ref="DC168">SUM((IF(QualitéAlimentsPoussinMâle_0_1_mois=MAUVAISE,VLOOKUP("Foin",AlimentsRationVolaillesMâles[],4,FALSE),0)+(IF(QualitéAlimentsPoussinFemelle_0_1_mois=MAUVAISE,VLOOKUP("Foin",AlimentsRationVolaillesFemelles[],4,FALSE),0)+(IF(QualitéAlimentsJeuneCoq=MAUVAISE,VLOOKUP("Foin",AlimentsRationVolaillesMâles[],3,FALSE),0)+(IF(QualitéAlimentsJeunePoule=MAUVAISE,VLOOKUP("Foin",AlimentsRationVolaillesFemelles[],3,FALSE),0)+(IF(QualitéAlimentsCoq=MAUVAISE,VLOOKUP("Foin",AlimentsRationVolaillesMâles[],2,FALSE),0)+(IF(QualitéAlimentsPoule=MAUVAISE,VLOOKUP("Foin",AlimentsRationVolaillesFemelles[],2,FALSE),0))))))))</f>
        <v>0</v>
      </c>
      <c r="DD168" s="279"/>
      <c r="DG168" s="350" t="str">
        <f t="shared" si="52"/>
        <v>Pulpe déshydratée de betterave</v>
      </c>
      <c r="DH168" s="351">
        <f t="array" ref="DH168">SUM((IF(QualitéAlimentsPintadeauMâle_0_1_mois=BONNE,VLOOKUP("Pulpe déshydratée de betterave",AlimentsRationPintadesMâles[],4,FALSE),0)+(IF(QualitéAlimentsPintadeauFemelle_0_1_mois=BONNE,VLOOKUP("Pulpe déshydratée de betterave",AlimentsRationPintadesFemelles[],4,FALSE),0)+(IF(QualitéAlimentsJeunePintadeMâle=BONNE,VLOOKUP("Pulpe déshydratée de betterave",AlimentsRationPintadesMâles[],3,FALSE),0)+(IF(QualitéAlimentsJeunePintadeFemelle=BONNE,VLOOKUP("Pulpe déshydratée de betterave",AlimentsRationPintadesFemelles[],3,FALSE),0)+(IF(QualitéAlimentsPintadeMâle=BONNE,VLOOKUP("Pulpe déshydratée de betterave",AlimentsRationPintadesMâles[],2,FALSE),0)+(IF(QualitéAlimentsPintadeFemelle=BONNE,VLOOKUP("Pulpe déshydratée de betterave",AlimentsRationPintadesFemelles[],2,FALSE),0))))))))</f>
        <v>0</v>
      </c>
      <c r="DI168" s="351">
        <f t="array" ref="DI168">SUM((IF(QualitéAlimentsPintadeauMâle_0_1_mois=MOYENNE,VLOOKUP("Pulpe déshydratée de betterave",AlimentsRationPintadesMâles[],4,FALSE),0)+(IF(QualitéAlimentsPintadeauFemelle_0_1_mois=MOYENNE,VLOOKUP("Pulpe déshydratée de betterave",AlimentsRationPintadesFemelles[],4,FALSE),0)+(IF(QualitéAlimentsJeunePintadeMâle=MOYENNE,VLOOKUP("Pulpe déshydratée de betterave",AlimentsRationPintadesMâles[],3,FALSE),0)+(IF(QualitéAlimentsJeunePintadeFemelle=MOYENNE,VLOOKUP("Pulpe déshydratée de betterave",AlimentsRationPintadesFemelles[],3,FALSE),0)+(IF(QualitéAlimentsPintadeMâle=MOYENNE,VLOOKUP("Pulpe déshydratée de betterave",AlimentsRationPintadesMâles[],2,FALSE),0)+(IF(QualitéAlimentsPintadeFemelle=MOYENNE,VLOOKUP("Pulpe déshydratée de betterave",AlimentsRationPintadesFemelles[],2,FALSE),0))))))))</f>
        <v>0</v>
      </c>
      <c r="DJ168" s="351">
        <f t="array" ref="DJ168">SUM((IF(QualitéAlimentsPintadeauMâle_0_1_mois=MAUVAISE,VLOOKUP("Pulpe déshydratée de betterave",AlimentsRationPintadesMâles[],4,FALSE),0)+(IF(QualitéAlimentsPintadeauFemelle_0_1_mois=MAUVAISE,VLOOKUP("Pulpe déshydratée de betterave",AlimentsRationPintadesFemelles[],4,FALSE),0)+(IF(QualitéAlimentsJeunePintadeMâle=MAUVAISE,VLOOKUP("Pulpe déshydratée de betterave",AlimentsRationPintadesMâles[],3,FALSE),0)+(IF(QualitéAlimentsJeunePintadeFemelle=MAUVAISE,VLOOKUP("Pulpe déshydratée de betterave",AlimentsRationPintadesFemelles[],3,FALSE),0)+(IF(QualitéAlimentsPintadeMâle=MAUVAISE,VLOOKUP("Pulpe déshydratée de betterave",AlimentsRationPintadesMâles[],2,FALSE),0)+(IF(QualitéAlimentsPintadeFemelle=MAUVAISE,VLOOKUP("Pulpe déshydratée de betterave",AlimentsRationPintadesFemelles[],2,FALSE),0))))))))</f>
        <v>0</v>
      </c>
      <c r="DN168" s="350" t="s">
        <v>268</v>
      </c>
      <c r="DO168" s="351">
        <f t="array" ref="DO168">IF(ChoixRationComplèteOvins=OUI,0,IFERROR(IF(OR(AND(INDEX(Règles_ovins[Specificite],MATCH(ChoixRationOvins&amp;$DN168,Règles_ovins[Ration]&amp;Règles_ovins[Aliment],0))="s1",IF($DN168=Spécificité1Ovins,1)),
AND(INDEX(Règles_ovins[Specificite],MATCH(ChoixRationOvins&amp;$DN168,Règles_ovins[Ration]&amp;Règles_ovins[Aliment],0))="s2",IF($DN168=Spécificité2Ovins,1)),
INDEX(Règles_ovins[Specificite],MATCH(ChoixRationOvins&amp;$DN168,Règles_ovins[Ration]&amp;Règles_ovins[Aliment],0))="c"),
INDEX(Règles_ovins[Valeur 12 et plus],MATCH(ChoixRationOvins&amp;$DN168,Règles_ovins[Ration]&amp;Règles_ovins[Aliment],0)),0),0)*IF(ChoixOvinsPréHiver=OUI,SUM(TotalOvinsAdultesRacesLaitières)*NbreJoursNourrirOvins,TotalBéliers*NbreJoursNourrirOvins))</f>
        <v>0</v>
      </c>
      <c r="DP168" s="351">
        <f t="array" ref="DP168">IF(ChoixRationComplèteOvins=OUI,0,IFERROR(IF(OR(AND(INDEX(Règles_ovins[Specificite],MATCH(ChoixRationOvins&amp;$DN168,Règles_ovins[Ration]&amp;Règles_ovins[Aliment],0))="s1",IF($DN168=Spécificité1Ovins,1)),
AND(INDEX(Règles_ovins[Specificite],MATCH(ChoixRationOvins&amp;$DN168,Règles_ovins[Ration]&amp;Règles_ovins[Aliment],0))="s2",IF($DN168=Spécificité2Ovins,1)),
INDEX(Règles_ovins[Specificite],MATCH(ChoixRationOvins&amp;$DN168,Règles_ovins[Ration]&amp;Règles_ovins[Aliment],0))="c"),
INDEX(Règles_ovins[Valeur 6-12],MATCH(ChoixRationOvins&amp;$DN168,Règles_ovins[Ration]&amp;Règles_ovins[Aliment],0)),0),0)*IF(ChoixOvinsPréHiver=OUI,SUM(TotalJeunesOvinsRacesLaitières)*NbreJoursNourrirOvins,TotalJeune_bélier_6_12_mois*NbreJoursNourrirOvins))</f>
        <v>0</v>
      </c>
      <c r="DQ168" s="351">
        <f t="array" ref="DQ168">IF(ChoixRationComplèteOvins=OUI,0,IFERROR(IF(OR(AND(INDEX(Règles_ovins[Specificite],MATCH(ChoixRationOvins&amp;$DN168,Règles_ovins[Ration]&amp;Règles_ovins[Aliment],0))="s1",IF($DN168=Spécificité1Ovins,1)),
AND(INDEX(Règles_ovins[Specificite],MATCH(ChoixRationOvins&amp;$DN168,Règles_ovins[Ration]&amp;Règles_ovins[Aliment],0))="s2",IF($DN168=Spécificité2Ovins,1)),
INDEX(Règles_ovins[Specificite],MATCH(ChoixRationOvins&amp;$DN168,Règles_ovins[Ration]&amp;Règles_ovins[Aliment],0))="c"),
INDEX(Règles_ovins[Valeur 3-6],MATCH(ChoixRationOvins&amp;$DN168,Règles_ovins[Ration]&amp;Règles_ovins[Aliment],0)),0),0)*IF(ChoixOvinsPréHiver=OUI,SUM(TotalOvins_3_6moisRacesLaitières)*NbreJoursNourrirOvins,TotalAgneau_3_6_mois*NbreJoursNourrirOvins))</f>
        <v>0</v>
      </c>
      <c r="DR168" s="351">
        <f t="array" ref="DR168">IF(ChoixRationComplèteOvins=OUI,0,IFERROR(IF(OR(AND(INDEX(Règles_ovins[Specificite],MATCH(ChoixRationOvins&amp;$DN168,Règles_ovins[Ration]&amp;Règles_ovins[Aliment],0))="s1",IF($DN168=Spécificité1Ovins,1)),
AND(INDEX(Règles_ovins[Specificite],MATCH(ChoixRationOvins&amp;$DN168,Règles_ovins[Ration]&amp;Règles_ovins[Aliment],0))="s2",IF($DN168=Spécificité2Ovins,1)),
INDEX(Règles_ovins[Specificite],MATCH(ChoixRationOvins&amp;$DN168,Règles_ovins[Ration]&amp;Règles_ovins[Aliment],0))="c"),
INDEX(Règles_ovins[Valeur 0-3],MATCH(ChoixRationOvins&amp;$DN168,Règles_ovins[Ration]&amp;Règles_ovins[Aliment],0)),0),0)*IF(ChoixOvinsPréHiver=OUI,SUM(TotalOvins_3_6moisRacesLaitières)*NbreJoursNourrirOvins,TotalAgneau_0_3_mois*NbreJoursNourrirOvins))</f>
        <v>0</v>
      </c>
      <c r="DS168" s="441">
        <f t="shared" si="55"/>
        <v>0</v>
      </c>
      <c r="EG168" s="350" t="str">
        <f t="shared" si="57"/>
        <v>Maïs grain</v>
      </c>
      <c r="EH168" s="351">
        <f t="array" ref="EH168">SUM((IF(QualitéAlimentsOisonMâle_0_3_mois=BONNE,VLOOKUP("Maïs grain",AlimentsRationOiesMâles[],4,FALSE),0)+(IF(QualitéAlimentsOisonFemelle_0_3_mois=BONNE,VLOOKUP("Maïs grain",AlimentsRationOiesFemelles[],4,FALSE),0)+(IF(QualitéAlimentsJeuneJars=BONNE,VLOOKUP("Maïs grain",AlimentsRationOiesMâles[],3,FALSE),0)+(IF(QualitéAlimentsJeuneOie=BONNE,VLOOKUP("Maïs grain",AlimentsRationOiesFemelles[],3,FALSE),0)+(IF(QualitéAlimentsJars=BONNE,VLOOKUP("Maïs grain",AlimentsRationOiesMâles[],2,FALSE),0)+(IF(QualitéAlimentsOie=BONNE,VLOOKUP("Maïs grain",AlimentsRationOiesFemelles[],2,FALSE),0))))))))</f>
        <v>0</v>
      </c>
      <c r="EI168" s="351">
        <f t="array" ref="EI168">SUM((IF(QualitéAlimentsOisonMâle_0_3_mois=MOYENNE,VLOOKUP("Maïs grain",AlimentsRationOiesMâles[],4,FALSE),0)+(IF(QualitéAlimentsOisonFemelle_0_3_mois=MOYENNE,VLOOKUP("Maïs grain",AlimentsRationOiesFemelles[],4,FALSE),0)+(IF(QualitéAlimentsJeuneJars=MOYENNE,VLOOKUP("Maïs grain",AlimentsRationOiesMâles[],3,FALSE),0)+(IF(QualitéAlimentsJeuneOie=MOYENNE,VLOOKUP("Maïs grain",AlimentsRationOiesFemelles[],3,FALSE),0)+(IF(QualitéAlimentsJars=MOYENNE,VLOOKUP("Maïs grain",AlimentsRationOiesMâles[],2,FALSE),0)+(IF(QualitéAlimentsOie=MOYENNE,VLOOKUP("Maïs grain",AlimentsRationOiesFemelles[],2,FALSE),0))))))))</f>
        <v>0</v>
      </c>
      <c r="EJ168" s="351">
        <f t="array" ref="EJ168">SUM((IF(QualitéAlimentsOisonMâle_0_3_mois=MAUVAISE,VLOOKUP("Maïs grain",AlimentsRationOiesMâles[],4,FALSE),0)+(IF(QualitéAlimentsOisonFemelle_0_3_mois=MAUVAISE,VLOOKUP("Maïs grain",AlimentsRationOiesFemelles[],4,FALSE),0)+(IF(QualitéAlimentsJeuneJars=MAUVAISE,VLOOKUP("Maïs grain",AlimentsRationOiesMâles[],3,FALSE),0)+(IF(QualitéAlimentsJeuneOie=MAUVAISE,VLOOKUP("Maïs grain",AlimentsRationOiesFemelles[],3,FALSE),0)+(IF(QualitéAlimentsJars=MAUVAISE,VLOOKUP("Maïs grain",AlimentsRationOiesMâles[],2,FALSE),0)+(IF(QualitéAlimentsOie=MAUVAISE,VLOOKUP("Maïs grain",AlimentsRationOiesFemelles[],2,FALSE),0))))))))</f>
        <v>0</v>
      </c>
      <c r="EN168" s="457" t="str">
        <f t="shared" si="56"/>
        <v>Minéraux + vitamines</v>
      </c>
      <c r="EO168" s="458">
        <f t="array" ref="EO168">SUM((IF(QualitéAlimentsCanetonMâle=BONNE,VLOOKUP("Minéraux + vitamines",AlimentsRationCanardsMâles,4,FALSE),0)+(IF(QualitéAlimentsCanetonFemelle=BONNE,VLOOKUP("Minéraux + vitamines",AlimentsRationCanardsFemelles,4,FALSE),0)+(IF(QualitéAlimentsJeuneCanard=BONNE,VLOOKUP("Minéraux + vitamines",AlimentsRationCanardsMâles,3,FALSE),0)+(IF(QualitéAlimentsJeuneCane=BONNE,VLOOKUP("Minéraux + vitamines",AlimentsRationCanardsFemelles,3,FALSE),0)+(IF(QualitéAlimentsCanard=BONNE,VLOOKUP("Minéraux + vitamines",AlimentsRationCanardsMâles,2,FALSE),0)+(IF(QualitéAlimentsCane=BONNE,VLOOKUP("Minéraux + vitamines",AlimentsRationCanardsFemelles,2,FALSE),0))))))))</f>
        <v>0</v>
      </c>
      <c r="EP168" s="458">
        <f t="array" ref="EP168">SUM((IF(QualitéAlimentsCanetonMâle=MOYENNE,VLOOKUP("Minéraux + vitamines",AlimentsRationCanardsMâles,4,FALSE),0)+(IF(QualitéAlimentsCanetonFemelle=MOYENNE,VLOOKUP("Minéraux + vitamines",AlimentsRationCanardsFemelles,4,FALSE),0)+(IF(QualitéAlimentsJeuneCanard=MOYENNE,VLOOKUP("Minéraux + vitamines",AlimentsRationCanardsMâles,3,FALSE),0)+(IF(QualitéAlimentsJeuneCane=MOYENNE,VLOOKUP("Minéraux + vitamines",AlimentsRationCanardsFemelles,3,FALSE),0)+(IF(QualitéAlimentsCanard=MOYENNE,VLOOKUP("Minéraux + vitamines",AlimentsRationCanardsMâles,2,FALSE),0)+(IF(QualitéAlimentsCane=MOYENNE,VLOOKUP("Minéraux + vitamines",AlimentsRationCanardsFemelles,2,FALSE),0))))))))</f>
        <v>0</v>
      </c>
      <c r="EQ168" s="458">
        <f t="array" ref="EQ168">SUM((IF(QualitéAlimentsCanetonMâle=MAUVAISE,VLOOKUP("Minéraux + vitamines",AlimentsRationCanardsMâles,4,FALSE),0)+(IF(QualitéAlimentsCanetonFemelle=MAUVAISE,VLOOKUP("Minéraux + vitamines",AlimentsRationCanardsFemelles,4,FALSE),0)+(IF(QualitéAlimentsJeuneCanard=MAUVAISE,VLOOKUP("Minéraux + vitamines",AlimentsRationCanardsMâles,3,FALSE),0)+(IF(QualitéAlimentsJeuneCane=MAUVAISE,VLOOKUP("Minéraux + vitamines",AlimentsRationCanardsFemelles,3,FALSE),0)+(IF(QualitéAlimentsCanard=MAUVAISE,VLOOKUP("Minéraux + vitamines",AlimentsRationCanardsMâles,2,FALSE),0)+(IF(QualitéAlimentsCane=MAUVAISE,VLOOKUP("Minéraux + vitamines",AlimentsRationCanardsFemelles,2,FALSE),0))))))))</f>
        <v>0</v>
      </c>
      <c r="EU168" s="457" t="str">
        <f t="shared" si="54"/>
        <v>Orge</v>
      </c>
      <c r="EV168" s="458">
        <f t="array" ref="EV168">IF(OR(ChoixRationHivernaleComplèteChevauxSelle=OUI,ChoixRationHivernaleComplèteChevauxSelle="",ChoixChevauxSellePréHiver=NON),0,IFERROR(IF(OR(AND(INDEX(Règles_chevaux_selle[Specificite],MATCH(RationHivernaleAuPréChevauxSelle&amp;$EU168,Règles_chevaux_selle[Ration]&amp;Règles_chevaux_selle[Aliment],0))="s1",IF($EU168=Spécificité1ChevauxSelle,1)),
AND(INDEX(Règles_chevaux_selle[Specificite],MATCH(RationHivernaleAuPréChevauxSelle&amp;$EU168,Règles_chevaux_selle[Ration]&amp;Règles_chevaux_selle[Aliment],0))="s2",IF($EU168=Spécificité2ChevauxSelle,1)),
INDEX(Règles_chevaux_selle[Specificite],MATCH(RationHivernaleAuPréChevauxSelle&amp;$EU168,Règles_chevaux_selle[Ration]&amp;Règles_chevaux_selle[Aliment],0))="c"),
INDEX(Règles_chevaux_selle[Valeur 36 et plus],MATCH(RationHivernaleAuPréChevauxSelle&amp;$EU168,Règles_chevaux_selle[Ration]&amp;Règles_chevaux_selle[Aliment],0)),0),0)*SUM(TotalChevauxSelleAdultes)*21)</f>
        <v>0</v>
      </c>
      <c r="EW168" s="458">
        <f t="array" ref="EW168">IF(OR(ChoixRationHivernaleComplèteChevauxSelle=OUI,ChoixRationHivernaleComplèteChevauxSelle="",ChoixChevauxSellePréHiver=NON),0,IFERROR(IF(OR(AND(INDEX(Règles_chevaux_selle[Specificite],MATCH(RationHivernaleAuPréChevauxSelle&amp;$EU168,Règles_chevaux_selle[Ration]&amp;Règles_chevaux_selle[Aliment],0))="s1",IF($EU168=Spécificité1ChevauxSelle,1)),
AND(INDEX(Règles_chevaux_selle[Specificite],MATCH(RationHivernaleAuPréChevauxSelle&amp;$EU168,Règles_chevaux_selle[Ration]&amp;Règles_chevaux_selle[Aliment],0))="s2",IF($EU168=Spécificité2ChevauxSelle,1)),
INDEX(Règles_chevaux_selle[Specificite],MATCH(RationHivernaleAuPréChevauxSelle&amp;$EU168,Règles_chevaux_selle[Ration]&amp;Règles_chevaux_selle[Aliment],0))="c"),
INDEX(Règles_chevaux_selle[Valeur 24-36],MATCH(RationHivernaleAuPréChevauxSelle&amp;$EU168,Règles_chevaux_selle[Ration]&amp;Règles_chevaux_selle[Aliment],0)),0),0)*SUM(TotalChevauxSelle_24_36mois)*21)</f>
        <v>0</v>
      </c>
      <c r="EX168" s="458">
        <f t="array" ref="EX168">IF(OR(ChoixRationHivernaleComplèteChevauxSelle=OUI,ChoixRationHivernaleComplèteChevauxSelle="",ChoixChevauxSellePréHiver=NON),0,IFERROR(IF(OR(AND(INDEX(Règles_chevaux_selle[Specificite],MATCH(RationHivernaleAuPréChevauxSelle&amp;$EU168,Règles_chevaux_selle[Ration]&amp;Règles_chevaux_selle[Aliment],0))="s1",IF($EU168=Spécificité1ChevauxSelle,1)),
AND(INDEX(Règles_chevaux_selle[Specificite],MATCH(RationHivernaleAuPréChevauxSelle&amp;$EU168,Règles_chevaux_selle[Ration]&amp;Règles_chevaux_selle[Aliment],0))="s2",IF($EU168=Spécificité2ChevauxSelle,1)),
INDEX(Règles_chevaux_selle[Specificite],MATCH(RationHivernaleAuPréChevauxSelle&amp;$EU168,Règles_chevaux_selle[Ration]&amp;Règles_chevaux_selle[Aliment],0))="c"),
INDEX(Règles_chevaux_selle[Valeur 12-24],MATCH(RationHivernaleAuPréChevauxSelle&amp;$EU168,Règles_chevaux_selle[Ration]&amp;Règles_chevaux_selle[Aliment],0)),0),0)*SUM(TotalChevauxSelle_12_24mois)*21)</f>
        <v>0</v>
      </c>
      <c r="EY168" s="460">
        <f t="array" ref="EY168">IF(OR(ChoixRationHivernaleComplèteChevauxSelle=OUI,ChoixRationHivernaleComplèteChevauxSelle="",ChoixChevauxSellePréHiver=NON),0,IFERROR(IF(OR(AND(INDEX(Règles_chevaux_selle[Specificite],MATCH(RationHivernaleAuPréChevauxSelle&amp;$EU168,Règles_chevaux_selle[Ration]&amp;Règles_chevaux_selle[Aliment],0))="s1",IF($EU168=Spécificité1ChevauxSelle,1)),
AND(INDEX(Règles_chevaux_selle[Specificite],MATCH(RationHivernaleAuPréChevauxSelle&amp;$EU168,Règles_chevaux_selle[Ration]&amp;Règles_chevaux_selle[Aliment],0))="s2",IF($EU168=Spécificité2ChevauxSelle,1)),
INDEX(Règles_chevaux_selle[Specificite],MATCH(RationHivernaleAuPréChevauxSelle&amp;$EU168,Règles_chevaux_selle[Ration]&amp;Règles_chevaux_selle[Aliment],0))="c"),
INDEX(Règles_chevaux_selle[Valeur 0-12],MATCH(RationHivernaleAuPréChevauxSelle&amp;$EU168,Règles_chevaux_selle[Ration]&amp;Règles_chevaux_selle[Aliment],0)),0),0)*SUM(TotalPoulainsSelle)*21)</f>
        <v>0</v>
      </c>
      <c r="EZ168" s="460">
        <f t="shared" si="53"/>
        <v>0</v>
      </c>
      <c r="FD168" s="457" t="str">
        <f t="shared" si="49"/>
        <v>Seigle</v>
      </c>
      <c r="FE168" s="458">
        <f t="array" ref="FE168">IF(OR(ChoixRationHivernaleComplèteChevauxTrait=OUI,ChoixRationHivernaleComplèteChevauxTrait="",ChoixChevauxTraitPréHiver=NON),0,IFERROR(IF(OR(AND(INDEX(Règles_chevaux_trait[Specificite],MATCH(RationHivernaleAuPréChevauxTrait&amp;$FD168,Règles_chevaux_trait[Ration]&amp;Règles_chevaux_trait[Aliment],0))="s1",IF($FD168=Spécificité1ChevauxTrait,1)),
AND(INDEX(Règles_chevaux_trait[Specificite],MATCH(RationHivernaleAuPréChevauxTrait&amp;$FD168,Règles_chevaux_trait[Ration]&amp;Règles_chevaux_trait[Aliment],0))="s2",IF($FD168=Spécificité2ChevauxTrait,1)),
INDEX(Règles_chevaux_trait[Specificite],MATCH(RationHivernaleAuPréChevauxTrait&amp;$FD168,Règles_chevaux_trait[Ration]&amp;Règles_chevaux_trait[Aliment],0))="c"),
INDEX(Règles_chevaux_trait[Valeur 36 et plus],MATCH(RationHivernaleAuPréChevauxTrait&amp;$FD168,Règles_chevaux_trait[Ration]&amp;Règles_chevaux_trait[Aliment],0)),0),0)*SUM(TotalChevauxTraitAdultes)*21)</f>
        <v>0</v>
      </c>
      <c r="FF168" s="458">
        <f t="array" ref="FF168">IF(OR(ChoixRationHivernaleComplèteChevauxTrait=OUI,ChoixRationHivernaleComplèteChevauxTrait="",ChoixChevauxTraitPréHiver=NON),0,IFERROR(IF(OR(AND(INDEX(Règles_chevaux_trait[Specificite],MATCH(RationHivernaleAuPréChevauxTrait&amp;$FD168,Règles_chevaux_trait[Ration]&amp;Règles_chevaux_trait[Aliment],0))="s1",IF($FD168=Spécificité1ChevauxTrait,1)),
AND(INDEX(Règles_chevaux_trait[Specificite],MATCH(RationHivernaleAuPréChevauxTrait&amp;$FD168,Règles_chevaux_trait[Ration]&amp;Règles_chevaux_trait[Aliment],0))="s2",IF($FD168=Spécificité2ChevauxTrait,1)),
INDEX(Règles_chevaux_trait[Specificite],MATCH(RationHivernaleAuPréChevauxTrait&amp;$FD168,Règles_chevaux_trait[Ration]&amp;Règles_chevaux_trait[Aliment],0))="c"),
INDEX(Règles_chevaux_trait[Valeur 24-36],MATCH(RationHivernaleAuPréChevauxTrait&amp;$FD168,Règles_chevaux_trait[Ration]&amp;Règles_chevaux_trait[Aliment],0)),0),0)*SUM(TotalChevauxTrait_24_36mois)*21)</f>
        <v>0</v>
      </c>
      <c r="FG168" s="458">
        <f t="array" ref="FG168">IF(OR(ChoixRationHivernaleComplèteChevauxTrait=OUI,ChoixRationHivernaleComplèteChevauxTrait="",ChoixChevauxTraitPréHiver=NON),0,IFERROR(IF(OR(AND(INDEX(Règles_chevaux_trait[Specificite],MATCH(RationHivernaleAuPréChevauxTrait&amp;$FD168,Règles_chevaux_trait[Ration]&amp;Règles_chevaux_trait[Aliment],0))="s1",IF($FD168=Spécificité1ChevauxTrait,1)),
AND(INDEX(Règles_chevaux_trait[Specificite],MATCH(RationHivernaleAuPréChevauxTrait&amp;$FD168,Règles_chevaux_trait[Ration]&amp;Règles_chevaux_trait[Aliment],0))="s2",IF($FD168=Spécificité2ChevauxTrait,1)),
INDEX(Règles_chevaux_trait[Specificite],MATCH(RationHivernaleAuPréChevauxTrait&amp;$FD168,Règles_chevaux_trait[Ration]&amp;Règles_chevaux_trait[Aliment],0))="c"),
INDEX(Règles_chevaux_trait[Valeur 12-24],MATCH(RationHivernaleAuPréChevauxTrait&amp;$FD168,Règles_chevaux_trait[Ration]&amp;Règles_chevaux_trait[Aliment],0)),0),0)*SUM(TotalChevauxTrait_12_24mois)*21)</f>
        <v>0</v>
      </c>
      <c r="FH168" s="460">
        <f t="array" ref="FH168">IF(OR(ChoixRationHivernaleComplèteChevauxTrait=OUI,ChoixRationHivernaleComplèteChevauxTrait="",ChoixChevauxTraitPréHiver=NON),0,IFERROR(IF(OR(AND(INDEX(Règles_chevaux_trait[Specificite],MATCH(RationHivernaleAuPréChevauxTrait&amp;$FD168,Règles_chevaux_trait[Ration]&amp;Règles_chevaux_trait[Aliment],0))="s1",IF($FD168=Spécificité1ChevauxTrait,1)),
AND(INDEX(Règles_chevaux_trait[Specificite],MATCH(RationHivernaleAuPréChevauxTrait&amp;$FD168,Règles_chevaux_trait[Ration]&amp;Règles_chevaux_trait[Aliment],0))="s2",IF($FD168=Spécificité2ChevauxTrait,1)),
INDEX(Règles_chevaux_trait[Specificite],MATCH(RationHivernaleAuPréChevauxTrait&amp;$FD168,Règles_chevaux_trait[Ration]&amp;Règles_chevaux_trait[Aliment],0))="c"),
INDEX(Règles_chevaux_trait[Valeur 0-12],MATCH(RationHivernaleAuPréChevauxTrait&amp;$FD168,Règles_chevaux_trait[Ration]&amp;Règles_chevaux_trait[Aliment],0)),0),0)*SUM(TotalPoulainsTrait)*21)</f>
        <v>0</v>
      </c>
      <c r="FI168" s="460">
        <f t="shared" si="47"/>
        <v>0</v>
      </c>
      <c r="FN168" s="457" t="str">
        <f t="shared" si="48"/>
        <v>Soja</v>
      </c>
      <c r="FO168" s="458">
        <f t="array" ref="FO168">IF(OR(ChoixRationHivernaleComplètePoneys=OUI,ChoixRationHivernaleComplètePoneys="",ChoixPoneysPréHiver=NON),0,IFERROR(IF(OR(AND(INDEX(Règles_poneys[Specificite],MATCH(RationHivernaleAuPréPoneys&amp;$FN168,Règles_poneys[Ration]&amp;Règles_poneys[Aliment],0))="s1",IF($FN168=Spécificité1Poneys,1)),
AND(INDEX(Règles_poneys[Specificite],MATCH(RationHivernaleAuPréPoneys&amp;$FN168,Règles_poneys[Ration]&amp;Règles_poneys[Aliment],0))="s2",IF($FN168=Spécificité2Poneys,1)),
INDEX(Règles_poneys[Specificite],MATCH(RationHivernaleAuPréPoneys&amp;$FN168,Règles_poneys[Ration]&amp;Règles_poneys[Aliment],0))="c"),
INDEX(Règles_poneys[Valeur 36 et plus],MATCH(RationHivernaleAuPréPoneys&amp;$FN168,Règles_poneys[Ration]&amp;Règles_poneys[Aliment],0)),0),0)*SUM(TotalPoneysAdultes)*21)</f>
        <v>0</v>
      </c>
      <c r="FP168" s="458">
        <f t="array" ref="FP168">IF(OR(ChoixRationHivernaleComplètePoneys=OUI,ChoixRationHivernaleComplètePoneys="",ChoixPoneysPréHiver=NON),0,IFERROR(IF(OR(AND(INDEX(Règles_poneys[Specificite],MATCH(RationHivernaleAuPréPoneys&amp;$FN168,Règles_poneys[Ration]&amp;Règles_poneys[Aliment],0))="s1",IF($FN168=Spécificité1Poneys,1)),
AND(INDEX(Règles_poneys[Specificite],MATCH(RationHivernaleAuPréPoneys&amp;$FN168,Règles_poneys[Ration]&amp;Règles_poneys[Aliment],0))="s2",IF($FN168=Spécificité2Poneys,1)),
INDEX(Règles_poneys[Specificite],MATCH(RationHivernaleAuPréPoneys&amp;$FN168,Règles_poneys[Ration]&amp;Règles_poneys[Aliment],0))="c"),
INDEX(Règles_poneys[Valeur 24-36],MATCH(RationHivernaleAuPréPoneys&amp;$FN168,Règles_poneys[Ration]&amp;Règles_poneys[Aliment],0)),0),0)*SUM(TotalPoneys_24_36mois)*21)</f>
        <v>0</v>
      </c>
      <c r="FQ168" s="458">
        <f t="array" ref="FQ168">IF(OR(ChoixRationHivernaleComplètePoneys=OUI,ChoixRationHivernaleComplètePoneys="",ChoixPoneysPréHiver=NON),0,IFERROR(IF(OR(AND(INDEX(Règles_poneys[Specificite],MATCH(RationHivernaleAuPréPoneys&amp;$FN168,Règles_poneys[Ration]&amp;Règles_poneys[Aliment],0))="s1",IF($FN168=Spécificité1Poneys,1)),
AND(INDEX(Règles_poneys[Specificite],MATCH(RationHivernaleAuPréPoneys&amp;$FN168,Règles_poneys[Ration]&amp;Règles_poneys[Aliment],0))="s2",IF($FN168=Spécificité2Poneys,1)),
INDEX(Règles_poneys[Specificite],MATCH(RationHivernaleAuPréPoneys&amp;$FN168,Règles_poneys[Ration]&amp;Règles_poneys[Aliment],0))="c"),
INDEX(Règles_poneys[Valeur 12-24],MATCH(RationHivernaleAuPréPoneys&amp;$FN168,Règles_poneys[Ration]&amp;Règles_poneys[Aliment],0)),0),0)*SUM(TotalPoneys_12_24mois)*21)</f>
        <v>0</v>
      </c>
      <c r="FR168" s="460">
        <f t="array" ref="FR168">IF(OR(ChoixRationHivernaleComplètePoneys=OUI,ChoixRationHivernaleComplètePoneys="",ChoixPoneysPréHiver=NON),0,IFERROR(IF(OR(AND(INDEX(Règles_poneys[Specificite],MATCH(RationHivernaleAuPréPoneys&amp;$FN168,Règles_poneys[Ration]&amp;Règles_poneys[Aliment],0))="s1",IF($FN168=Spécificité1Poneys,1)),
AND(INDEX(Règles_poneys[Specificite],MATCH(RationHivernaleAuPréPoneys&amp;$FN168,Règles_poneys[Ration]&amp;Règles_poneys[Aliment],0))="s2",IF($FN168=Spécificité2Poneys,1)),
INDEX(Règles_poneys[Specificite],MATCH(RationHivernaleAuPréPoneys&amp;$FN168,Règles_poneys[Ration]&amp;Règles_poneys[Aliment],0))="c"),
INDEX(Règles_poneys[Valeur 0-12],MATCH(RationHivernaleAuPréPoneys&amp;$FN168,Règles_poneys[Ration]&amp;Règles_poneys[Aliment],0)),0),0)*SUM(TotalPoulainsPoneys)*21)</f>
        <v>0</v>
      </c>
      <c r="FS168" s="460">
        <f t="shared" si="46"/>
        <v>0</v>
      </c>
      <c r="FW168" s="457" t="str">
        <f t="shared" si="44"/>
        <v>Triticale</v>
      </c>
      <c r="FX168" s="458">
        <f t="array" ref="FX168">SUM((IF(QualitéAlimentsGavageOison_0_1_mois=BONNE,VLOOKUP("Triticale",AlimentsGavageOie,5,FALSE),0)+(IF(QualitéAlimentsGavageCaneton_0_1_mois=BONNE,VLOOKUP("Triticale",AlimentsGavageCanard,5,FALSE),0)+(IF(QualitéAlimentsGavageOison_1_2_mois=BONNE,VLOOKUP("Triticale",AlimentsGavageOie,4,FALSE),0)+(IF(QualitéAlimentsGavageCaneton_1_2_mois=BONNE,VLOOKUP("Triticale",AlimentsGavageCanard,4,FALSE),0)+(IF(QualitéAlimentsGavageOison_2_3_mois=BONNE,VLOOKUP("Triticale",AlimentsGavageOie,3,FALSE),0)+(IF(QualitéAlimentsGavageCaneton_2_3_mois=BONNE,VLOOKUP("Triticale",AlimentsGavageCanard,3,FALSE),0)+(IF(QualitéAlimentsGavageJeunesOies=BONNE,VLOOKUP("Triticale",AlimentsGavageOie,2,FALSE),0)+(IF(QualitéAlimentsGavageJeuneCanard=BONNE,VLOOKUP("Triticale",AlimentsGavageCanard,2,FALSE),0))))))))))</f>
        <v>0</v>
      </c>
      <c r="FY168" s="458">
        <f t="array" ref="FY168">SUM((IF(QualitéAlimentsGavageOison_0_1_mois=MOYENNE,VLOOKUP("Triticale",AlimentsGavageOie,5,FALSE),0)+(IF(QualitéAlimentsGavageCaneton_0_1_mois=MOYENNE,VLOOKUP("Triticale",AlimentsGavageCanard,5,FALSE),0)+(IF(QualitéAlimentsGavageOison_1_2_mois=MOYENNE,VLOOKUP("Triticale",AlimentsGavageOie,4,FALSE),0)+(IF(QualitéAlimentsGavageCaneton_1_2_mois=MOYENNE,VLOOKUP("Triticale",AlimentsGavageCanard,4,FALSE),0)+(IF(QualitéAlimentsGavageOison_2_3_mois=MOYENNE,VLOOKUP("Triticale",AlimentsGavageOie,3,FALSE),0)+(IF(QualitéAlimentsGavageCaneton_2_3_mois=MOYENNE,VLOOKUP("Triticale",AlimentsGavageCanard,3,FALSE),0)+(IF(QualitéAlimentsGavageJeunesOies=MOYENNE,VLOOKUP("Triticale",AlimentsGavageOie,2,FALSE),0)+(IF(QualitéAlimentsGavageJeuneCanard=MOYENNE,VLOOKUP("Triticale",AlimentsGavageCanard,2,FALSE),0))))))))))</f>
        <v>0</v>
      </c>
      <c r="FZ168" s="458">
        <f t="array" ref="FZ168">SUM((IF(QualitéAlimentsGavageOison_0_1_mois=MAUVAISE,VLOOKUP("Triticale",AlimentsGavageOie,5,FALSE),0)+(IF(QualitéAlimentsGavageCaneton_0_1_mois=MAUVAISE,VLOOKUP("Triticale",AlimentsGavageCanard,5,FALSE),0)+(IF(QualitéAlimentsGavageOison_1_2_mois=MAUVAISE,VLOOKUP("Triticale",AlimentsGavageOie,4,FALSE),0)+(IF(QualitéAlimentsGavageCaneton_1_2_mois=MAUVAISE,VLOOKUP("Triticale",AlimentsGavageCanard,4,FALSE),0)+(IF(QualitéAlimentsGavageOison_2_3_mois=MAUVAISE,VLOOKUP("Triticale",AlimentsGavageOie,3,FALSE),0)+(IF(QualitéAlimentsGavageCaneton_2_3_mois=MAUVAISE,VLOOKUP("Triticale",AlimentsGavageCanard,3,FALSE),0)+(IF(QualitéAlimentsGavageJeunesOies=MAUVAISE,VLOOKUP("Triticale",AlimentsGavageOie,2,FALSE),0)+(IF(QualitéAlimentsGavageJeuneCanard=MAUVAISE,VLOOKUP("Triticale",AlimentsGavageCanard,2,FALSE),0))))))))))</f>
        <v>0</v>
      </c>
      <c r="GB168" s="281"/>
      <c r="GG168" s="276" t="s">
        <v>955</v>
      </c>
      <c r="GH168" s="276" t="s">
        <v>955</v>
      </c>
      <c r="GI168" s="276" t="s">
        <v>955</v>
      </c>
      <c r="GJ168" s="276" t="s">
        <v>955</v>
      </c>
      <c r="GK168" s="276" t="s">
        <v>955</v>
      </c>
      <c r="GL168" s="276" t="s">
        <v>955</v>
      </c>
      <c r="GM168" s="276" t="s">
        <v>955</v>
      </c>
      <c r="GN168" s="276" t="s">
        <v>955</v>
      </c>
      <c r="GO168" s="276" t="s">
        <v>955</v>
      </c>
      <c r="GP168" s="276" t="s">
        <v>955</v>
      </c>
      <c r="GQ168" s="276" t="s">
        <v>955</v>
      </c>
      <c r="GR168" s="276" t="s">
        <v>955</v>
      </c>
      <c r="GS168" s="276" t="s">
        <v>955</v>
      </c>
      <c r="GT168" s="276" t="s">
        <v>955</v>
      </c>
      <c r="GU168" s="276" t="s">
        <v>955</v>
      </c>
      <c r="GV168" s="276" t="s">
        <v>955</v>
      </c>
    </row>
    <row r="169" spans="1:204" ht="12.75" customHeight="1" x14ac:dyDescent="0.2">
      <c r="A169" s="373"/>
      <c r="B169" s="382"/>
      <c r="BB169" s="387" t="s">
        <v>949</v>
      </c>
      <c r="BC169" s="362" t="s">
        <v>57</v>
      </c>
      <c r="BD169" s="362" t="s">
        <v>888</v>
      </c>
      <c r="BE169" s="388">
        <v>4.8</v>
      </c>
      <c r="BF169" s="388">
        <v>4</v>
      </c>
      <c r="BG169" s="388">
        <v>4</v>
      </c>
      <c r="BH169" s="388">
        <v>4</v>
      </c>
      <c r="BI169" s="388">
        <v>2</v>
      </c>
      <c r="BJ169" s="388">
        <v>1.2</v>
      </c>
      <c r="BK169" s="389">
        <v>0</v>
      </c>
      <c r="BL169" s="312"/>
      <c r="BX169" s="350" t="str">
        <f t="shared" si="51"/>
        <v>Ration complète</v>
      </c>
      <c r="BY169" s="350">
        <f t="array" ref="BY169">IF(ChoixRationComplèteCaprins=OUI,0,IFERROR(IF(OR(AND(INDEX(Règles_caprins[Specificite],MATCH(ChoixRationCaprins&amp;$BX169,Règles_caprins[Ration]&amp;Règles_caprins[Aliment],0))="s1",IF($BX169=Spécificité1Caprins,1)),
INDEX(Règles_caprins[Specificite],MATCH(ChoixRationCaprins&amp;$BX169,Règles_caprins[Ration]&amp;Règles_caprins[Aliment],0))="c"),
INDEX(Règles_caprins[Valeur 12 et plus],MATCH(ChoixRationCaprins&amp;$BX169,Règles_caprins[Ration]&amp;Règles_caprins[Aliment],0)),0),0)*TotalChèvres*NbreJoursNourrirCaprins)</f>
        <v>0</v>
      </c>
      <c r="BZ169" s="350">
        <f t="array" ref="BZ169">IF(ChoixRationComplèteCaprins=OUI,0,IFERROR(IF(OR(AND(INDEX(Règles_caprins[Specificite],MATCH(ChoixRationCaprins&amp;$BX169,Règles_caprins[Ration]&amp;Règles_caprins[Aliment],0))="s1",IF($BX169=Spécificité1Caprins,1)),
INDEX(Règles_caprins[Specificite],MATCH(ChoixRationCaprins&amp;$BX169,Règles_caprins[Ration]&amp;Règles_caprins[Aliment],0))="c"),
INDEX(Règles_caprins[Valeur 6-12],MATCH(ChoixRationCaprins&amp;$BX169,Règles_caprins[Ration]&amp;Règles_caprins[Aliment],0)),0),0)*jeune_chèvre_6_12_mois*NbreJoursNourrirCaprins)</f>
        <v>0</v>
      </c>
      <c r="CA169" s="350">
        <f t="array" ref="CA169">IF(ChoixRationComplèteCaprins=OUI,0,IFERROR(IF(OR(AND(INDEX(Règles_caprins[Specificite],MATCH(ChoixRationCaprins&amp;$BX169,Règles_caprins[Ration]&amp;Règles_caprins[Aliment],0))="s1",IF($BX169=Spécificité1Caprins,1)),
INDEX(Règles_caprins[Specificite],MATCH(ChoixRationCaprins&amp;$BX169,Règles_caprins[Ration]&amp;Règles_caprins[Aliment],0))="c"),
INDEX(Règles_caprins[Valeur 3-6],MATCH(ChoixRationCaprins&amp;$BX169,Règles_caprins[Ration]&amp;Règles_caprins[Aliment],0)),0),0)*chevrette_3_6_mois*NbreJoursNourrirCaprins)</f>
        <v>0</v>
      </c>
      <c r="CB169" s="350">
        <f t="array" ref="CB169">IF(ChoixRationComplèteCaprins=OUI,0,IFERROR(IF(OR(AND(INDEX(Règles_caprins[Specificite],MATCH(ChoixRationCaprins&amp;$BX169,Règles_caprins[Ration]&amp;Règles_caprins[Aliment],0))="s1",IF($BX169=Spécificité1Caprins,1)),
INDEX(Règles_caprins[Specificite],MATCH(ChoixRationCaprins&amp;$BX169,Règles_caprins[Ration]&amp;Règles_caprins[Aliment],0))="c"),
INDEX(Règles_caprins[Valeur 0-3],MATCH(ChoixRationCaprins&amp;$BX169,Règles_caprins[Ration]&amp;Règles_caprins[Aliment],0)),0),0)*chevrette_0_3_mois*NbreJoursNourrirCaprins)</f>
        <v>0</v>
      </c>
      <c r="CC169" s="350">
        <f t="shared" si="50"/>
        <v>0</v>
      </c>
      <c r="CH169" s="298"/>
      <c r="CI169" s="277"/>
      <c r="CJ169" s="350" t="str">
        <f t="shared" si="45"/>
        <v>Tourteau de colza</v>
      </c>
      <c r="CK169" s="351">
        <f t="array" ref="CK169">SUM((IF(QualitéAlimentsPorceletMâle_0_1_mois=BONNE,VLOOKUP("Tournesol de colza",AlimentsRationPorcinsMâles[],6,FALSE),0)+(IF(QualitéAlimentsPorceletFemelle_0_1_mois=BONNE,VLOOKUP("Tournesol de colza",AlimentsRationPorcinsFemelles[],6,FALSE),0)+(IF(QualitéAlimentsPorceletMâle_1_3_mois=BONNE,VLOOKUP("Tournesol de colza",AlimentsRationPorcinsMâles[],5,FALSE),0)+(IF(QualitéAlimentsPorceletFemelle_1_3_mois=BONNE,VLOOKUP("Tournesol de colza",AlimentsRationPorcinsFemelles[],5,FALSE),0)+(IF(QualitéAlimentsJeuneVerrat_3_6_mois=BONNE,VLOOKUP("Tournesol de colza",AlimentsRationPorcinsMâles[],4,FALSE),0)+(IF(QualitéAlimentsJeuneTruie_3_6_mois=BONNE,VLOOKUP("Tournesol de colza",AlimentsRationPorcinsFemelles[],4,FALSE),0)+(IF(QualitéAlimentsJeuneVerrat_6_12_mois=BONNE,VLOOKUP("Tournesol de colza",AlimentsRationPorcinsMâles[],3,FALSE),0)+(IF(QualitéAlimentsJeuneTruie_6_12_mois=BONNE,VLOOKUP("Tournesol de colza",AlimentsRationPorcinsFemelles[],3,FALSE),0)+(IF(QualitéAlimentsVerrat=BONNE,VLOOKUP("Avoine",AlimentsRationPorcinsMâles[],2,FALSE),0)+(IF(QualitéAlimentsTruie=BONNE,VLOOKUP("Avoine",AlimentsRationPorcinsFemelles[],2,FALSE),0))))))))))))</f>
        <v>0</v>
      </c>
      <c r="CL169" s="351">
        <f t="array" ref="CL169">SUM((IF(QualitéAlimentsPorceletMâle_0_1_mois=MOYENNE,VLOOKUP("Tournesol de colza",AlimentsRationPorcinsMâles[],6,FALSE),0)+(IF(QualitéAlimentsPorceletFemelle_0_1_mois=MOYENNE,VLOOKUP("Tournesol de colza",AlimentsRationPorcinsFemelles[],6,FALSE),0)+(IF(QualitéAlimentsPorceletMâle_1_3_mois=MOYENNE,VLOOKUP("Tournesol de colza",AlimentsRationPorcinsMâles[],5,FALSE),0)+(IF(QualitéAlimentsPorceletFemelle_1_3_mois=MOYENNE,VLOOKUP("Tournesol de colza",AlimentsRationPorcinsFemelles[],5,FALSE),0)+(IF(QualitéAlimentsJeuneVerrat_3_6_mois=MOYENNE,VLOOKUP("Tournesol de colza",AlimentsRationPorcinsMâles[],4,FALSE),0)+(IF(QualitéAlimentsJeuneTruie_3_6_mois=MOYENNE,VLOOKUP("Tournesol de colza",AlimentsRationPorcinsFemelles[],4,FALSE),0)+(IF(QualitéAlimentsJeuneVerrat_6_12_mois=MOYENNE,VLOOKUP("Tournesol de colza",AlimentsRationPorcinsMâles[],3,FALSE),0)+(IF(QualitéAlimentsJeuneTruie_6_12_mois=MOYENNE,VLOOKUP("Tournesol de colza",AlimentsRationPorcinsFemelles[],3,FALSE),0)+(IF(QualitéAlimentsVerrat=BONNE,VLOOKUP("Avoine",AlimentsRationPorcinsMâles[],2,FALSE),0)+(IF(QualitéAlimentsTruie=BONNE,VLOOKUP("Avoine",AlimentsRationPorcinsFemelles[],2,FALSE),0))))))))))))</f>
        <v>0</v>
      </c>
      <c r="CM169" s="351">
        <f t="array" ref="CM169">SUM((IF(QualitéAlimentsPorceletMâle_0_1_mois=MAUVAISE,VLOOKUP("Tournesol de colza",AlimentsRationPorcinsMâles[],6,FALSE),0)+(IF(QualitéAlimentsPorceletFemelle_0_1_mois=MAUVAISE,VLOOKUP("Tournesol de colza",AlimentsRationPorcinsFemelles[],6,FALSE),0)+(IF(QualitéAlimentsPorceletMâle_1_3_mois=MAUVAISE,VLOOKUP("Tournesol de colza",AlimentsRationPorcinsMâles[],5,FALSE),0)+(IF(QualitéAlimentsPorceletFemelle_1_3_mois=MAUVAISE,VLOOKUP("Tournesol de colza",AlimentsRationPorcinsFemelles[],5,FALSE),0)+(IF(QualitéAlimentsJeuneVerrat_3_6_mois=MAUVAISE,VLOOKUP("Tournesol de colza",AlimentsRationPorcinsMâles[],4,FALSE),0)+(IF(QualitéAlimentsJeuneTruie_3_6_mois=MAUVAISE,VLOOKUP("Tournesol de colza",AlimentsRationPorcinsFemelles[],4,FALSE),0)+(IF(QualitéAlimentsJeuneVerrat_6_12_mois=MAUVAISE,VLOOKUP("Tournesol de colza",AlimentsRationPorcinsMâles[],3,FALSE),0)+(IF(QualitéAlimentsJeuneTruie_6_12_mois=MAUVAISE,VLOOKUP("Tournesol de colza",AlimentsRationPorcinsFemelles[],3,FALSE),0)+(IF(QualitéAlimentsVerrat=BONNE,VLOOKUP("Avoine",AlimentsRationPorcinsMâles[],2,FALSE),0)+(IF(QualitéAlimentsTruie=BONNE,VLOOKUP("Avoine",AlimentsRationPorcinsFemelles[],2,FALSE),0))))))))))))</f>
        <v>0</v>
      </c>
      <c r="CN169" s="279"/>
      <c r="CO169" s="277"/>
      <c r="CP169" s="277"/>
      <c r="CS169" s="350" t="str">
        <f t="shared" si="59"/>
        <v>Foin</v>
      </c>
      <c r="CT169" s="351">
        <f t="array" ref="CT169">SUM((IF(QualitéAlimentsLapereauMâle_0_1_mois=BONNE,VLOOKUP("Foin",AlimentsRationLapinsMâles[],4,FALSE),0)+(IF(QualitéAlimentsLapereauFemelle_0_1_mois=BONNE,VLOOKUP("Foin",AlimentsRationLapinsFemelles[],4,FALSE),0)+(IF(QualitéAlimentsJeuneLapin=BONNE,VLOOKUP("Foin",AlimentsRationLapinsMâles[],3,FALSE),0)+(IF(QualitéAlimentsJeuneLapine=BONNE,VLOOKUP("Foin",AlimentsRationLapinsFemelles[],3,FALSE),0)+(IF(QualitéAlimentsLapin=BONNE,VLOOKUP("Foin",AlimentsRationLapinsMâles[],2,FALSE),0)+(IF(QualitéAlimentsLapine=BONNE,VLOOKUP("Foin",AlimentsRationLapinsFemelles[],2,FALSE),0))))))))</f>
        <v>0</v>
      </c>
      <c r="CU169" s="351">
        <f t="array" ref="CU169">SUM((IF(QualitéAlimentsLapereauMâle_0_1_mois=MOYENNE,VLOOKUP("Foin",AlimentsRationLapinsMâles[],4,FALSE),0)+(IF(QualitéAlimentsLapereauFemelle_0_1_mois=MOYENNE,VLOOKUP("Foin",AlimentsRationLapinsFemelles[],4,FALSE),0)+(IF(QualitéAlimentsJeuneLapin=MOYENNE,VLOOKUP("Foin",AlimentsRationLapinsMâles[],3,FALSE),0)+(IF(QualitéAlimentsJeuneLapine=MOYENNE,VLOOKUP("Foin",AlimentsRationLapinsFemelles[],3,FALSE),0)+(IF(QualitéAlimentsLapin=MOYENNE,VLOOKUP("Foin",AlimentsRationLapinsMâles[],2,FALSE),0)+(IF(QualitéAlimentsLapine=MOYENNE,VLOOKUP("Foin",AlimentsRationLapinsFemelles[],2,FALSE),0))))))))</f>
        <v>0</v>
      </c>
      <c r="CV169" s="351">
        <f t="array" ref="CV169">SUM((IF(QualitéAlimentsLapereauMâle_0_1_mois=MAUVAISE,VLOOKUP("Foin",AlimentsRationLapinsMâles[],4,FALSE),0)+(IF(QualitéAlimentsLapereauFemelle_0_1_mois=MAUVAISE,VLOOKUP("Foin",AlimentsRationLapinsFemelles[],4,FALSE),0)+(IF(QualitéAlimentsJeuneLapin=MAUVAISE,VLOOKUP("Foin",AlimentsRationLapinsMâles[],3,FALSE),0)+(IF(QualitéAlimentsJeuneLapine=MAUVAISE,VLOOKUP("Foin",AlimentsRationLapinsFemelles[],3,FALSE),0)+(IF(QualitéAlimentsLapin=MAUVAISE,VLOOKUP("Foin",AlimentsRationLapinsMâles[],2,FALSE),0)+(IF(QualitéAlimentsLapine=MAUVAISE,VLOOKUP("Foin",AlimentsRationLapinsFemelles[],2,FALSE),0))))))))</f>
        <v>0</v>
      </c>
      <c r="CZ169" s="350" t="str">
        <f t="shared" si="58"/>
        <v>Haricot vert</v>
      </c>
      <c r="DA169" s="351">
        <f t="array" ref="DA169">SUM((IF(QualitéAlimentsPoussinMâle_0_1_mois=BONNE,VLOOKUP("Haricot vert",AlimentsRationVolaillesMâles[],4,FALSE),0)+(IF(QualitéAlimentsPoussinFemelle_0_1_mois=BONNE,VLOOKUP("Haricot vert",AlimentsRationVolaillesFemelles[],4,FALSE),0)+(IF(QualitéAlimentsJeuneCoq=BONNE,VLOOKUP("Haricot vert",AlimentsRationVolaillesMâles[],3,FALSE),0)+(IF(QualitéAlimentsJeunePoule=BONNE,VLOOKUP("Haricot vert",AlimentsRationVolaillesFemelles[],3,FALSE),0)+(IF(QualitéAlimentsCoq=BONNE,VLOOKUP("Haricot vert",AlimentsRationVolaillesMâles[],2,FALSE),0)+(IF(QualitéAlimentsPoule=BONNE,VLOOKUP("Haricot vert",AlimentsRationVolaillesFemelles[],2,FALSE),0))))))))</f>
        <v>0</v>
      </c>
      <c r="DB169" s="351">
        <f t="array" ref="DB169">SUM((IF(QualitéAlimentsPoussinMâle_0_1_mois=MOYENNE,VLOOKUP("Haricot vert",AlimentsRationVolaillesMâles[],4,FALSE),0)+(IF(QualitéAlimentsPoussinFemelle_0_1_mois=MOYENNE,VLOOKUP("Haricot vert",AlimentsRationVolaillesFemelles[],4,FALSE),0)+(IF(QualitéAlimentsJeuneCoq=MOYENNE,VLOOKUP("Haricot vert",AlimentsRationVolaillesMâles[],3,FALSE),0)+(IF(QualitéAlimentsJeunePoule=MOYENNE,VLOOKUP("Haricot vert",AlimentsRationVolaillesFemelles[],3,FALSE),0)+(IF(QualitéAlimentsCoq=MOYENNE,VLOOKUP("Haricot vert",AlimentsRationVolaillesMâles[],2,FALSE),0)+(IF(QualitéAlimentsPoule=MOYENNE,VLOOKUP("Haricot vert",AlimentsRationVolaillesFemelles[],2,FALSE),0))))))))</f>
        <v>0</v>
      </c>
      <c r="DC169" s="351">
        <f t="array" ref="DC169">SUM((IF(QualitéAlimentsPoussinMâle_0_1_mois=MAUVAISE,VLOOKUP("Haricot vert",AlimentsRationVolaillesMâles[],4,FALSE),0)+(IF(QualitéAlimentsPoussinFemelle_0_1_mois=MAUVAISE,VLOOKUP("Haricot vert",AlimentsRationVolaillesFemelles[],4,FALSE),0)+(IF(QualitéAlimentsJeuneCoq=MAUVAISE,VLOOKUP("Haricot vert",AlimentsRationVolaillesMâles[],3,FALSE),0)+(IF(QualitéAlimentsJeunePoule=MAUVAISE,VLOOKUP("Haricot vert",AlimentsRationVolaillesFemelles[],3,FALSE),0)+(IF(QualitéAlimentsCoq=MAUVAISE,VLOOKUP("Haricot vert",AlimentsRationVolaillesMâles[],2,FALSE),0)+(IF(QualitéAlimentsPoule=MAUVAISE,VLOOKUP("Haricot vert",AlimentsRationVolaillesFemelles[],2,FALSE),0))))))))</f>
        <v>0</v>
      </c>
      <c r="DD169" s="279"/>
      <c r="DG169" s="350" t="str">
        <f t="shared" si="52"/>
        <v>Ration complète</v>
      </c>
      <c r="DH169" s="351">
        <f t="array" ref="DH169">SUM((IF(QualitéAlimentsPintadeauMâle_0_1_mois=BONNE,VLOOKUP("Ration complète",AlimentsRationPintadesMâles[],4,FALSE),0)+(IF(QualitéAlimentsPintadeauFemelle_0_1_mois=BONNE,VLOOKUP("Ration complète",AlimentsRationPintadesFemelles[],4,FALSE),0)+(IF(QualitéAlimentsJeunePintadeMâle=BONNE,VLOOKUP("Ration complète",AlimentsRationPintadesMâles[],3,FALSE),0)+(IF(QualitéAlimentsJeunePintadeFemelle=BONNE,VLOOKUP("Ration complète",AlimentsRationPintadesFemelles[],3,FALSE),0)+(IF(QualitéAlimentsPintadeMâle=BONNE,VLOOKUP("Ration complète",AlimentsRationPintadesMâles[],2,FALSE),0)+(IF(QualitéAlimentsPintadeFemelle=BONNE,VLOOKUP("Ration complète",AlimentsRationPintadesFemelles[],2,FALSE),0))))))))</f>
        <v>0</v>
      </c>
      <c r="DI169" s="351">
        <f t="array" ref="DI169">SUM((IF(QualitéAlimentsPintadeauMâle_0_1_mois=MOYENNE,VLOOKUP("Ration complète",AlimentsRationPintadesMâles[],4,FALSE),0)+(IF(QualitéAlimentsPintadeauFemelle_0_1_mois=MOYENNE,VLOOKUP("Ration complète",AlimentsRationPintadesFemelles[],4,FALSE),0)+(IF(QualitéAlimentsJeunePintadeMâle=MOYENNE,VLOOKUP("Ration complète",AlimentsRationPintadesMâles[],3,FALSE),0)+(IF(QualitéAlimentsJeunePintadeFemelle=MOYENNE,VLOOKUP("Ration complète",AlimentsRationPintadesFemelles[],3,FALSE),0)+(IF(QualitéAlimentsPintadeMâle=MOYENNE,VLOOKUP("Ration complète",AlimentsRationPintadesMâles[],2,FALSE),0)+(IF(QualitéAlimentsPintadeFemelle=MOYENNE,VLOOKUP("Ration complète",AlimentsRationPintadesFemelles[],2,FALSE),0))))))))</f>
        <v>0</v>
      </c>
      <c r="DJ169" s="351">
        <f t="array" ref="DJ169">SUM((IF(QualitéAlimentsPintadeauMâle_0_1_mois=MAUVAISE,VLOOKUP("Ration complète",AlimentsRationPintadesMâles[],4,FALSE),0)+(IF(QualitéAlimentsPintadeauFemelle_0_1_mois=MAUVAISE,VLOOKUP("Ration complète",AlimentsRationPintadesFemelles[],4,FALSE),0)+(IF(QualitéAlimentsJeunePintadeMâle=MAUVAISE,VLOOKUP("Ration complète",AlimentsRationPintadesMâles[],3,FALSE),0)+(IF(QualitéAlimentsJeunePintadeFemelle=MAUVAISE,VLOOKUP("Ration complète",AlimentsRationPintadesFemelles[],3,FALSE),0)+(IF(QualitéAlimentsPintadeMâle=MAUVAISE,VLOOKUP("Ration complète",AlimentsRationPintadesMâles[],2,FALSE),0)+(IF(QualitéAlimentsPintadeFemelle=MAUVAISE,VLOOKUP("Ration complète",AlimentsRationPintadesFemelles[],2,FALSE),0))))))))</f>
        <v>0</v>
      </c>
      <c r="DN169" s="350" t="s">
        <v>905</v>
      </c>
      <c r="DO169" s="351">
        <f t="array" ref="DO169">IF(ChoixRationComplèteOvins=OUI,0,IFERROR(IF(OR(AND(INDEX(Règles_ovins[Specificite],MATCH(ChoixRationOvins&amp;$DN169,Règles_ovins[Ration]&amp;Règles_ovins[Aliment],0))="s1",IF($DN169=Spécificité1Ovins,1)),
AND(INDEX(Règles_ovins[Specificite],MATCH(ChoixRationOvins&amp;$DN169,Règles_ovins[Ration]&amp;Règles_ovins[Aliment],0))="s2",IF($DN169=Spécificité2Ovins,1)),
INDEX(Règles_ovins[Specificite],MATCH(ChoixRationOvins&amp;$DN169,Règles_ovins[Ration]&amp;Règles_ovins[Aliment],0))="c"),
INDEX(Règles_ovins[Valeur 12 et plus],MATCH(ChoixRationOvins&amp;$DN169,Règles_ovins[Ration]&amp;Règles_ovins[Aliment],0)),0),0)*IF(ChoixOvinsPréHiver=OUI,SUM(TotalOvinsAdultesRacesLaitières)*NbreJoursNourrirOvins,TotalBéliers*NbreJoursNourrirOvins))</f>
        <v>0</v>
      </c>
      <c r="DP169" s="351">
        <f t="array" ref="DP169">IF(ChoixRationComplèteOvins=OUI,0,IFERROR(IF(OR(AND(INDEX(Règles_ovins[Specificite],MATCH(ChoixRationOvins&amp;$DN169,Règles_ovins[Ration]&amp;Règles_ovins[Aliment],0))="s1",IF($DN169=Spécificité1Ovins,1)),
AND(INDEX(Règles_ovins[Specificite],MATCH(ChoixRationOvins&amp;$DN169,Règles_ovins[Ration]&amp;Règles_ovins[Aliment],0))="s2",IF($DN169=Spécificité2Ovins,1)),
INDEX(Règles_ovins[Specificite],MATCH(ChoixRationOvins&amp;$DN169,Règles_ovins[Ration]&amp;Règles_ovins[Aliment],0))="c"),
INDEX(Règles_ovins[Valeur 6-12],MATCH(ChoixRationOvins&amp;$DN169,Règles_ovins[Ration]&amp;Règles_ovins[Aliment],0)),0),0)*IF(ChoixOvinsPréHiver=OUI,SUM(TotalJeunesOvinsRacesLaitières)*NbreJoursNourrirOvins,TotalJeune_bélier_6_12_mois*NbreJoursNourrirOvins))</f>
        <v>0</v>
      </c>
      <c r="DQ169" s="351">
        <f t="array" ref="DQ169">IF(ChoixRationComplèteOvins=OUI,0,IFERROR(IF(OR(AND(INDEX(Règles_ovins[Specificite],MATCH(ChoixRationOvins&amp;$DN169,Règles_ovins[Ration]&amp;Règles_ovins[Aliment],0))="s1",IF($DN169=Spécificité1Ovins,1)),
AND(INDEX(Règles_ovins[Specificite],MATCH(ChoixRationOvins&amp;$DN169,Règles_ovins[Ration]&amp;Règles_ovins[Aliment],0))="s2",IF($DN169=Spécificité2Ovins,1)),
INDEX(Règles_ovins[Specificite],MATCH(ChoixRationOvins&amp;$DN169,Règles_ovins[Ration]&amp;Règles_ovins[Aliment],0))="c"),
INDEX(Règles_ovins[Valeur 3-6],MATCH(ChoixRationOvins&amp;$DN169,Règles_ovins[Ration]&amp;Règles_ovins[Aliment],0)),0),0)*IF(ChoixOvinsPréHiver=OUI,SUM(TotalOvins_3_6moisRacesLaitières)*NbreJoursNourrirOvins,TotalAgneau_3_6_mois*NbreJoursNourrirOvins))</f>
        <v>0</v>
      </c>
      <c r="DR169" s="351">
        <f t="array" ref="DR169">IF(ChoixRationComplèteOvins=OUI,0,IFERROR(IF(OR(AND(INDEX(Règles_ovins[Specificite],MATCH(ChoixRationOvins&amp;$DN169,Règles_ovins[Ration]&amp;Règles_ovins[Aliment],0))="s1",IF($DN169=Spécificité1Ovins,1)),
AND(INDEX(Règles_ovins[Specificite],MATCH(ChoixRationOvins&amp;$DN169,Règles_ovins[Ration]&amp;Règles_ovins[Aliment],0))="s2",IF($DN169=Spécificité2Ovins,1)),
INDEX(Règles_ovins[Specificite],MATCH(ChoixRationOvins&amp;$DN169,Règles_ovins[Ration]&amp;Règles_ovins[Aliment],0))="c"),
INDEX(Règles_ovins[Valeur 0-3],MATCH(ChoixRationOvins&amp;$DN169,Règles_ovins[Ration]&amp;Règles_ovins[Aliment],0)),0),0)*IF(ChoixOvinsPréHiver=OUI,SUM(TotalOvins_3_6moisRacesLaitières)*NbreJoursNourrirOvins,TotalAgneau_0_3_mois*NbreJoursNourrirOvins))</f>
        <v>0</v>
      </c>
      <c r="DS169" s="441">
        <f t="shared" si="55"/>
        <v>0</v>
      </c>
      <c r="EG169" s="350" t="str">
        <f t="shared" si="57"/>
        <v>Minéraux + vitamines</v>
      </c>
      <c r="EH169" s="351">
        <f t="array" ref="EH169">SUM((IF(QualitéAlimentsOisonMâle_0_3_mois=BONNE,VLOOKUP("Minéraux + vitamines",AlimentsRationOiesMâles[],4,FALSE),0)+(IF(QualitéAlimentsOisonFemelle_0_3_mois=BONNE,VLOOKUP("Minéraux + vitamines",AlimentsRationOiesFemelles[],4,FALSE),0)+(IF(QualitéAlimentsJeuneJars=BONNE,VLOOKUP("Minéraux + vitamines",AlimentsRationOiesMâles[],3,FALSE),0)+(IF(QualitéAlimentsJeuneOie=BONNE,VLOOKUP("Minéraux + vitamines",AlimentsRationOiesFemelles[],3,FALSE),0)+(IF(QualitéAlimentsJars=BONNE,VLOOKUP("Minéraux + vitamines",AlimentsRationOiesMâles[],2,FALSE),0)+(IF(QualitéAlimentsOie=BONNE,VLOOKUP("Minéraux + vitamines",AlimentsRationOiesFemelles[],2,FALSE),0))))))))</f>
        <v>0</v>
      </c>
      <c r="EI169" s="351">
        <f t="array" ref="EI169">SUM((IF(QualitéAlimentsOisonMâle_0_3_mois=MOYENNE,VLOOKUP("Minéraux + vitamines",AlimentsRationOiesMâles[],4,FALSE),0)+(IF(QualitéAlimentsOisonFemelle_0_3_mois=MOYENNE,VLOOKUP("Minéraux + vitamines",AlimentsRationOiesFemelles[],4,FALSE),0)+(IF(QualitéAlimentsJeuneJars=MOYENNE,VLOOKUP("Minéraux + vitamines",AlimentsRationOiesMâles[],3,FALSE),0)+(IF(QualitéAlimentsJeuneOie=MOYENNE,VLOOKUP("Minéraux + vitamines",AlimentsRationOiesFemelles[],3,FALSE),0)+(IF(QualitéAlimentsJars=MOYENNE,VLOOKUP("Minéraux + vitamines",AlimentsRationOiesMâles[],2,FALSE),0)+(IF(QualitéAlimentsOie=MOYENNE,VLOOKUP("Minéraux + vitamines",AlimentsRationOiesFemelles[],2,FALSE),0))))))))</f>
        <v>0</v>
      </c>
      <c r="EJ169" s="351">
        <f t="array" ref="EJ169">SUM((IF(QualitéAlimentsOisonMâle_0_3_mois=MAUVAISE,VLOOKUP("Minéraux + vitamines",AlimentsRationOiesMâles[],4,FALSE),0)+(IF(QualitéAlimentsOisonFemelle_0_3_mois=MAUVAISE,VLOOKUP("Minéraux + vitamines",AlimentsRationOiesFemelles[],4,FALSE),0)+(IF(QualitéAlimentsJeuneJars=MAUVAISE,VLOOKUP("Minéraux + vitamines",AlimentsRationOiesMâles[],3,FALSE),0)+(IF(QualitéAlimentsJeuneOie=MAUVAISE,VLOOKUP("Minéraux + vitamines",AlimentsRationOiesFemelles[],3,FALSE),0)+(IF(QualitéAlimentsJars=MAUVAISE,VLOOKUP("Minéraux + vitamines",AlimentsRationOiesMâles[],2,FALSE),0)+(IF(QualitéAlimentsOie=MAUVAISE,VLOOKUP("Minéraux + vitamines",AlimentsRationOiesFemelles[],2,FALSE),0))))))))</f>
        <v>0</v>
      </c>
      <c r="EN169" s="457" t="str">
        <f t="shared" si="56"/>
        <v>Orge</v>
      </c>
      <c r="EO169" s="458">
        <f t="array" ref="EO169">SUM((IF(QualitéAlimentsCanetonMâle=BONNE,VLOOKUP("Orge",AlimentsRationCanardsMâles,4,FALSE),0)+(IF(QualitéAlimentsCanetonFemelle=BONNE,VLOOKUP("Orge",AlimentsRationCanardsFemelles,4,FALSE),0)+(IF(QualitéAlimentsJeuneCanard=BONNE,VLOOKUP("Orge",AlimentsRationCanardsMâles,3,FALSE),0)+(IF(QualitéAlimentsJeuneCane=BONNE,VLOOKUP("Orge",AlimentsRationCanardsFemelles,3,FALSE),0)+(IF(QualitéAlimentsCanard=BONNE,VLOOKUP("Orge",AlimentsRationCanardsMâles,2,FALSE),0)+(IF(QualitéAlimentsCane=BONNE,VLOOKUP("Orge",AlimentsRationCanardsFemelles,2,FALSE),0))))))))</f>
        <v>0</v>
      </c>
      <c r="EP169" s="458">
        <f t="array" ref="EP169">SUM((IF(QualitéAlimentsCanetonMâle=MOYENNE,VLOOKUP("Orge",AlimentsRationCanardsMâles,4,FALSE),0)+(IF(QualitéAlimentsCanetonFemelle=MOYENNE,VLOOKUP("Orge",AlimentsRationCanardsFemelles,4,FALSE),0)+(IF(QualitéAlimentsJeuneCanard=MOYENNE,VLOOKUP("Orge",AlimentsRationCanardsMâles,3,FALSE),0)+(IF(QualitéAlimentsJeuneCane=MOYENNE,VLOOKUP("Orge",AlimentsRationCanardsFemelles,3,FALSE),0)+(IF(QualitéAlimentsCanard=MOYENNE,VLOOKUP("Orge",AlimentsRationCanardsMâles,2,FALSE),0)+(IF(QualitéAlimentsCane=MOYENNE,VLOOKUP("Orge",AlimentsRationCanardsFemelles,2,FALSE),0))))))))</f>
        <v>0</v>
      </c>
      <c r="EQ169" s="458">
        <f t="array" ref="EQ169">SUM((IF(QualitéAlimentsCanetonMâle=MAUVAISE,VLOOKUP("Orge",AlimentsRationCanardsMâles,4,FALSE),0)+(IF(QualitéAlimentsCanetonFemelle=MAUVAISE,VLOOKUP("Orge",AlimentsRationCanardsFemelles,4,FALSE),0)+(IF(QualitéAlimentsJeuneCanard=MAUVAISE,VLOOKUP("Orge",AlimentsRationCanardsMâles,3,FALSE),0)+(IF(QualitéAlimentsJeuneCane=MAUVAISE,VLOOKUP("Orge",AlimentsRationCanardsFemelles,3,FALSE),0)+(IF(QualitéAlimentsCanard=MAUVAISE,VLOOKUP("Orge",AlimentsRationCanardsMâles,2,FALSE),0)+(IF(QualitéAlimentsCane=MAUVAISE,VLOOKUP("Orge",AlimentsRationCanardsFemelles,2,FALSE),0))))))))</f>
        <v>0</v>
      </c>
      <c r="EU169" s="457" t="str">
        <f t="shared" si="54"/>
        <v>Paille</v>
      </c>
      <c r="EV169" s="458">
        <f t="array" ref="EV169">IF(OR(ChoixRationHivernaleComplèteChevauxSelle=OUI,ChoixRationHivernaleComplèteChevauxSelle="",ChoixChevauxSellePréHiver=NON),0,IFERROR(IF(OR(AND(INDEX(Règles_chevaux_selle[Specificite],MATCH(RationHivernaleAuPréChevauxSelle&amp;$EU169,Règles_chevaux_selle[Ration]&amp;Règles_chevaux_selle[Aliment],0))="s1",IF($EU169=Spécificité1ChevauxSelle,1)),
AND(INDEX(Règles_chevaux_selle[Specificite],MATCH(RationHivernaleAuPréChevauxSelle&amp;$EU169,Règles_chevaux_selle[Ration]&amp;Règles_chevaux_selle[Aliment],0))="s2",IF($EU169=Spécificité2ChevauxSelle,1)),
INDEX(Règles_chevaux_selle[Specificite],MATCH(RationHivernaleAuPréChevauxSelle&amp;$EU169,Règles_chevaux_selle[Ration]&amp;Règles_chevaux_selle[Aliment],0))="c"),
INDEX(Règles_chevaux_selle[Valeur 36 et plus],MATCH(RationHivernaleAuPréChevauxSelle&amp;$EU169,Règles_chevaux_selle[Ration]&amp;Règles_chevaux_selle[Aliment],0)),0),0)*SUM(TotalChevauxSelleAdultes)*21)</f>
        <v>0</v>
      </c>
      <c r="EW169" s="458">
        <f t="array" ref="EW169">IF(OR(ChoixRationHivernaleComplèteChevauxSelle=OUI,ChoixRationHivernaleComplèteChevauxSelle="",ChoixChevauxSellePréHiver=NON),0,IFERROR(IF(OR(AND(INDEX(Règles_chevaux_selle[Specificite],MATCH(RationHivernaleAuPréChevauxSelle&amp;$EU169,Règles_chevaux_selle[Ration]&amp;Règles_chevaux_selle[Aliment],0))="s1",IF($EU169=Spécificité1ChevauxSelle,1)),
AND(INDEX(Règles_chevaux_selle[Specificite],MATCH(RationHivernaleAuPréChevauxSelle&amp;$EU169,Règles_chevaux_selle[Ration]&amp;Règles_chevaux_selle[Aliment],0))="s2",IF($EU169=Spécificité2ChevauxSelle,1)),
INDEX(Règles_chevaux_selle[Specificite],MATCH(RationHivernaleAuPréChevauxSelle&amp;$EU169,Règles_chevaux_selle[Ration]&amp;Règles_chevaux_selle[Aliment],0))="c"),
INDEX(Règles_chevaux_selle[Valeur 24-36],MATCH(RationHivernaleAuPréChevauxSelle&amp;$EU169,Règles_chevaux_selle[Ration]&amp;Règles_chevaux_selle[Aliment],0)),0),0)*SUM(TotalChevauxSelle_24_36mois)*21)</f>
        <v>0</v>
      </c>
      <c r="EX169" s="458">
        <f t="array" ref="EX169">IF(OR(ChoixRationHivernaleComplèteChevauxSelle=OUI,ChoixRationHivernaleComplèteChevauxSelle="",ChoixChevauxSellePréHiver=NON),0,IFERROR(IF(OR(AND(INDEX(Règles_chevaux_selle[Specificite],MATCH(RationHivernaleAuPréChevauxSelle&amp;$EU169,Règles_chevaux_selle[Ration]&amp;Règles_chevaux_selle[Aliment],0))="s1",IF($EU169=Spécificité1ChevauxSelle,1)),
AND(INDEX(Règles_chevaux_selle[Specificite],MATCH(RationHivernaleAuPréChevauxSelle&amp;$EU169,Règles_chevaux_selle[Ration]&amp;Règles_chevaux_selle[Aliment],0))="s2",IF($EU169=Spécificité2ChevauxSelle,1)),
INDEX(Règles_chevaux_selle[Specificite],MATCH(RationHivernaleAuPréChevauxSelle&amp;$EU169,Règles_chevaux_selle[Ration]&amp;Règles_chevaux_selle[Aliment],0))="c"),
INDEX(Règles_chevaux_selle[Valeur 12-24],MATCH(RationHivernaleAuPréChevauxSelle&amp;$EU169,Règles_chevaux_selle[Ration]&amp;Règles_chevaux_selle[Aliment],0)),0),0)*SUM(TotalChevauxSelle_12_24mois)*21)</f>
        <v>0</v>
      </c>
      <c r="EY169" s="460">
        <f t="array" ref="EY169">IF(OR(ChoixRationHivernaleComplèteChevauxSelle=OUI,ChoixRationHivernaleComplèteChevauxSelle="",ChoixChevauxSellePréHiver=NON),0,IFERROR(IF(OR(AND(INDEX(Règles_chevaux_selle[Specificite],MATCH(RationHivernaleAuPréChevauxSelle&amp;$EU169,Règles_chevaux_selle[Ration]&amp;Règles_chevaux_selle[Aliment],0))="s1",IF($EU169=Spécificité1ChevauxSelle,1)),
AND(INDEX(Règles_chevaux_selle[Specificite],MATCH(RationHivernaleAuPréChevauxSelle&amp;$EU169,Règles_chevaux_selle[Ration]&amp;Règles_chevaux_selle[Aliment],0))="s2",IF($EU169=Spécificité2ChevauxSelle,1)),
INDEX(Règles_chevaux_selle[Specificite],MATCH(RationHivernaleAuPréChevauxSelle&amp;$EU169,Règles_chevaux_selle[Ration]&amp;Règles_chevaux_selle[Aliment],0))="c"),
INDEX(Règles_chevaux_selle[Valeur 0-12],MATCH(RationHivernaleAuPréChevauxSelle&amp;$EU169,Règles_chevaux_selle[Ration]&amp;Règles_chevaux_selle[Aliment],0)),0),0)*SUM(TotalPoulainsSelle)*21)</f>
        <v>0</v>
      </c>
      <c r="EZ169" s="460">
        <f t="shared" si="53"/>
        <v>0</v>
      </c>
      <c r="FD169" s="457" t="str">
        <f t="shared" si="49"/>
        <v>Soja</v>
      </c>
      <c r="FE169" s="458">
        <f t="array" ref="FE169">IF(OR(ChoixRationHivernaleComplèteChevauxTrait=OUI,ChoixRationHivernaleComplèteChevauxTrait="",ChoixChevauxTraitPréHiver=NON),0,IFERROR(IF(OR(AND(INDEX(Règles_chevaux_trait[Specificite],MATCH(RationHivernaleAuPréChevauxTrait&amp;$FD169,Règles_chevaux_trait[Ration]&amp;Règles_chevaux_trait[Aliment],0))="s1",IF($FD169=Spécificité1ChevauxTrait,1)),
AND(INDEX(Règles_chevaux_trait[Specificite],MATCH(RationHivernaleAuPréChevauxTrait&amp;$FD169,Règles_chevaux_trait[Ration]&amp;Règles_chevaux_trait[Aliment],0))="s2",IF($FD169=Spécificité2ChevauxTrait,1)),
INDEX(Règles_chevaux_trait[Specificite],MATCH(RationHivernaleAuPréChevauxTrait&amp;$FD169,Règles_chevaux_trait[Ration]&amp;Règles_chevaux_trait[Aliment],0))="c"),
INDEX(Règles_chevaux_trait[Valeur 36 et plus],MATCH(RationHivernaleAuPréChevauxTrait&amp;$FD169,Règles_chevaux_trait[Ration]&amp;Règles_chevaux_trait[Aliment],0)),0),0)*SUM(TotalChevauxTraitAdultes)*21)</f>
        <v>0</v>
      </c>
      <c r="FF169" s="458">
        <f t="array" ref="FF169">IF(OR(ChoixRationHivernaleComplèteChevauxTrait=OUI,ChoixRationHivernaleComplèteChevauxTrait="",ChoixChevauxTraitPréHiver=NON),0,IFERROR(IF(OR(AND(INDEX(Règles_chevaux_trait[Specificite],MATCH(RationHivernaleAuPréChevauxTrait&amp;$FD169,Règles_chevaux_trait[Ration]&amp;Règles_chevaux_trait[Aliment],0))="s1",IF($FD169=Spécificité1ChevauxTrait,1)),
AND(INDEX(Règles_chevaux_trait[Specificite],MATCH(RationHivernaleAuPréChevauxTrait&amp;$FD169,Règles_chevaux_trait[Ration]&amp;Règles_chevaux_trait[Aliment],0))="s2",IF($FD169=Spécificité2ChevauxTrait,1)),
INDEX(Règles_chevaux_trait[Specificite],MATCH(RationHivernaleAuPréChevauxTrait&amp;$FD169,Règles_chevaux_trait[Ration]&amp;Règles_chevaux_trait[Aliment],0))="c"),
INDEX(Règles_chevaux_trait[Valeur 24-36],MATCH(RationHivernaleAuPréChevauxTrait&amp;$FD169,Règles_chevaux_trait[Ration]&amp;Règles_chevaux_trait[Aliment],0)),0),0)*SUM(TotalChevauxTrait_24_36mois)*21)</f>
        <v>0</v>
      </c>
      <c r="FG169" s="458">
        <f t="array" ref="FG169">IF(OR(ChoixRationHivernaleComplèteChevauxTrait=OUI,ChoixRationHivernaleComplèteChevauxTrait="",ChoixChevauxTraitPréHiver=NON),0,IFERROR(IF(OR(AND(INDEX(Règles_chevaux_trait[Specificite],MATCH(RationHivernaleAuPréChevauxTrait&amp;$FD169,Règles_chevaux_trait[Ration]&amp;Règles_chevaux_trait[Aliment],0))="s1",IF($FD169=Spécificité1ChevauxTrait,1)),
AND(INDEX(Règles_chevaux_trait[Specificite],MATCH(RationHivernaleAuPréChevauxTrait&amp;$FD169,Règles_chevaux_trait[Ration]&amp;Règles_chevaux_trait[Aliment],0))="s2",IF($FD169=Spécificité2ChevauxTrait,1)),
INDEX(Règles_chevaux_trait[Specificite],MATCH(RationHivernaleAuPréChevauxTrait&amp;$FD169,Règles_chevaux_trait[Ration]&amp;Règles_chevaux_trait[Aliment],0))="c"),
INDEX(Règles_chevaux_trait[Valeur 12-24],MATCH(RationHivernaleAuPréChevauxTrait&amp;$FD169,Règles_chevaux_trait[Ration]&amp;Règles_chevaux_trait[Aliment],0)),0),0)*SUM(TotalChevauxTrait_12_24mois)*21)</f>
        <v>0</v>
      </c>
      <c r="FH169" s="460">
        <f t="array" ref="FH169">IF(OR(ChoixRationHivernaleComplèteChevauxTrait=OUI,ChoixRationHivernaleComplèteChevauxTrait="",ChoixChevauxTraitPréHiver=NON),0,IFERROR(IF(OR(AND(INDEX(Règles_chevaux_trait[Specificite],MATCH(RationHivernaleAuPréChevauxTrait&amp;$FD169,Règles_chevaux_trait[Ration]&amp;Règles_chevaux_trait[Aliment],0))="s1",IF($FD169=Spécificité1ChevauxTrait,1)),
AND(INDEX(Règles_chevaux_trait[Specificite],MATCH(RationHivernaleAuPréChevauxTrait&amp;$FD169,Règles_chevaux_trait[Ration]&amp;Règles_chevaux_trait[Aliment],0))="s2",IF($FD169=Spécificité2ChevauxTrait,1)),
INDEX(Règles_chevaux_trait[Specificite],MATCH(RationHivernaleAuPréChevauxTrait&amp;$FD169,Règles_chevaux_trait[Ration]&amp;Règles_chevaux_trait[Aliment],0))="c"),
INDEX(Règles_chevaux_trait[Valeur 0-12],MATCH(RationHivernaleAuPréChevauxTrait&amp;$FD169,Règles_chevaux_trait[Ration]&amp;Règles_chevaux_trait[Aliment],0)),0),0)*SUM(TotalPoulainsTrait)*21)</f>
        <v>0</v>
      </c>
      <c r="FI169" s="460">
        <f t="shared" si="47"/>
        <v>0</v>
      </c>
      <c r="FN169" s="457" t="str">
        <f t="shared" si="48"/>
        <v>Sorgho ensilé</v>
      </c>
      <c r="FO169" s="458">
        <f t="array" ref="FO169">IF(OR(ChoixRationHivernaleComplètePoneys=OUI,ChoixRationHivernaleComplètePoneys="",ChoixPoneysPréHiver=NON),0,IFERROR(IF(OR(AND(INDEX(Règles_poneys[Specificite],MATCH(RationHivernaleAuPréPoneys&amp;$FN169,Règles_poneys[Ration]&amp;Règles_poneys[Aliment],0))="s1",IF($FN169=Spécificité1Poneys,1)),
AND(INDEX(Règles_poneys[Specificite],MATCH(RationHivernaleAuPréPoneys&amp;$FN169,Règles_poneys[Ration]&amp;Règles_poneys[Aliment],0))="s2",IF($FN169=Spécificité2Poneys,1)),
INDEX(Règles_poneys[Specificite],MATCH(RationHivernaleAuPréPoneys&amp;$FN169,Règles_poneys[Ration]&amp;Règles_poneys[Aliment],0))="c"),
INDEX(Règles_poneys[Valeur 36 et plus],MATCH(RationHivernaleAuPréPoneys&amp;$FN169,Règles_poneys[Ration]&amp;Règles_poneys[Aliment],0)),0),0)*SUM(TotalPoneysAdultes)*21)</f>
        <v>0</v>
      </c>
      <c r="FP169" s="458">
        <f t="array" ref="FP169">IF(OR(ChoixRationHivernaleComplètePoneys=OUI,ChoixRationHivernaleComplètePoneys="",ChoixPoneysPréHiver=NON),0,IFERROR(IF(OR(AND(INDEX(Règles_poneys[Specificite],MATCH(RationHivernaleAuPréPoneys&amp;$FN169,Règles_poneys[Ration]&amp;Règles_poneys[Aliment],0))="s1",IF($FN169=Spécificité1Poneys,1)),
AND(INDEX(Règles_poneys[Specificite],MATCH(RationHivernaleAuPréPoneys&amp;$FN169,Règles_poneys[Ration]&amp;Règles_poneys[Aliment],0))="s2",IF($FN169=Spécificité2Poneys,1)),
INDEX(Règles_poneys[Specificite],MATCH(RationHivernaleAuPréPoneys&amp;$FN169,Règles_poneys[Ration]&amp;Règles_poneys[Aliment],0))="c"),
INDEX(Règles_poneys[Valeur 24-36],MATCH(RationHivernaleAuPréPoneys&amp;$FN169,Règles_poneys[Ration]&amp;Règles_poneys[Aliment],0)),0),0)*SUM(TotalPoneys_24_36mois)*21)</f>
        <v>0</v>
      </c>
      <c r="FQ169" s="458">
        <f t="array" ref="FQ169">IF(OR(ChoixRationHivernaleComplètePoneys=OUI,ChoixRationHivernaleComplètePoneys="",ChoixPoneysPréHiver=NON),0,IFERROR(IF(OR(AND(INDEX(Règles_poneys[Specificite],MATCH(RationHivernaleAuPréPoneys&amp;$FN169,Règles_poneys[Ration]&amp;Règles_poneys[Aliment],0))="s1",IF($FN169=Spécificité1Poneys,1)),
AND(INDEX(Règles_poneys[Specificite],MATCH(RationHivernaleAuPréPoneys&amp;$FN169,Règles_poneys[Ration]&amp;Règles_poneys[Aliment],0))="s2",IF($FN169=Spécificité2Poneys,1)),
INDEX(Règles_poneys[Specificite],MATCH(RationHivernaleAuPréPoneys&amp;$FN169,Règles_poneys[Ration]&amp;Règles_poneys[Aliment],0))="c"),
INDEX(Règles_poneys[Valeur 12-24],MATCH(RationHivernaleAuPréPoneys&amp;$FN169,Règles_poneys[Ration]&amp;Règles_poneys[Aliment],0)),0),0)*SUM(TotalPoneys_12_24mois)*21)</f>
        <v>0</v>
      </c>
      <c r="FR169" s="460">
        <f t="array" ref="FR169">IF(OR(ChoixRationHivernaleComplètePoneys=OUI,ChoixRationHivernaleComplètePoneys="",ChoixPoneysPréHiver=NON),0,IFERROR(IF(OR(AND(INDEX(Règles_poneys[Specificite],MATCH(RationHivernaleAuPréPoneys&amp;$FN169,Règles_poneys[Ration]&amp;Règles_poneys[Aliment],0))="s1",IF($FN169=Spécificité1Poneys,1)),
AND(INDEX(Règles_poneys[Specificite],MATCH(RationHivernaleAuPréPoneys&amp;$FN169,Règles_poneys[Ration]&amp;Règles_poneys[Aliment],0))="s2",IF($FN169=Spécificité2Poneys,1)),
INDEX(Règles_poneys[Specificite],MATCH(RationHivernaleAuPréPoneys&amp;$FN169,Règles_poneys[Ration]&amp;Règles_poneys[Aliment],0))="c"),
INDEX(Règles_poneys[Valeur 0-12],MATCH(RationHivernaleAuPréPoneys&amp;$FN169,Règles_poneys[Ration]&amp;Règles_poneys[Aliment],0)),0),0)*SUM(TotalPoulainsPoneys)*21)</f>
        <v>0</v>
      </c>
      <c r="FS169" s="460">
        <f t="shared" si="46"/>
        <v>0</v>
      </c>
      <c r="FW169" s="457">
        <f t="shared" si="44"/>
        <v>0</v>
      </c>
      <c r="FX169" s="458"/>
      <c r="FY169" s="458"/>
      <c r="FZ169" s="458"/>
      <c r="GB169" s="281"/>
      <c r="GG169" s="276" t="s">
        <v>955</v>
      </c>
      <c r="GH169" s="276" t="s">
        <v>955</v>
      </c>
      <c r="GI169" s="276" t="s">
        <v>955</v>
      </c>
      <c r="GJ169" s="276" t="s">
        <v>955</v>
      </c>
      <c r="GK169" s="276" t="s">
        <v>955</v>
      </c>
      <c r="GL169" s="276" t="s">
        <v>955</v>
      </c>
      <c r="GM169" s="276" t="s">
        <v>955</v>
      </c>
      <c r="GN169" s="276" t="s">
        <v>955</v>
      </c>
      <c r="GO169" s="276" t="s">
        <v>955</v>
      </c>
      <c r="GP169" s="276" t="s">
        <v>955</v>
      </c>
      <c r="GQ169" s="276" t="s">
        <v>955</v>
      </c>
      <c r="GR169" s="276" t="s">
        <v>955</v>
      </c>
      <c r="GS169" s="276" t="s">
        <v>955</v>
      </c>
      <c r="GT169" s="276" t="s">
        <v>955</v>
      </c>
      <c r="GU169" s="276" t="s">
        <v>955</v>
      </c>
      <c r="GV169" s="276" t="s">
        <v>955</v>
      </c>
    </row>
    <row r="170" spans="1:204" ht="12.75" customHeight="1" x14ac:dyDescent="0.2">
      <c r="A170" s="373"/>
      <c r="B170" s="382"/>
      <c r="BB170" s="387" t="s">
        <v>949</v>
      </c>
      <c r="BC170" s="362" t="s">
        <v>905</v>
      </c>
      <c r="BD170" s="362" t="s">
        <v>886</v>
      </c>
      <c r="BE170" s="388">
        <v>1</v>
      </c>
      <c r="BF170" s="388">
        <v>0.8</v>
      </c>
      <c r="BG170" s="388">
        <v>0.6</v>
      </c>
      <c r="BH170" s="388">
        <v>0.4</v>
      </c>
      <c r="BI170" s="388">
        <v>0.4</v>
      </c>
      <c r="BJ170" s="388">
        <v>0.4</v>
      </c>
      <c r="BK170" s="389">
        <v>0</v>
      </c>
      <c r="BL170" s="312"/>
      <c r="BX170" s="350" t="str">
        <f t="shared" si="51"/>
        <v>Seigle</v>
      </c>
      <c r="BY170" s="350">
        <f t="array" ref="BY170">IF(ChoixRationComplèteCaprins=OUI,0,IFERROR(IF(OR(AND(INDEX(Règles_caprins[Specificite],MATCH(ChoixRationCaprins&amp;$BX170,Règles_caprins[Ration]&amp;Règles_caprins[Aliment],0))="s1",IF($BX170=Spécificité1Caprins,1)),
INDEX(Règles_caprins[Specificite],MATCH(ChoixRationCaprins&amp;$BX170,Règles_caprins[Ration]&amp;Règles_caprins[Aliment],0))="c"),
INDEX(Règles_caprins[Valeur 12 et plus],MATCH(ChoixRationCaprins&amp;$BX170,Règles_caprins[Ration]&amp;Règles_caprins[Aliment],0)),0),0)*TotalChèvres*NbreJoursNourrirCaprins)</f>
        <v>0</v>
      </c>
      <c r="BZ170" s="350">
        <f t="array" ref="BZ170">IF(ChoixRationComplèteCaprins=OUI,0,IFERROR(IF(OR(AND(INDEX(Règles_caprins[Specificite],MATCH(ChoixRationCaprins&amp;$BX170,Règles_caprins[Ration]&amp;Règles_caprins[Aliment],0))="s1",IF($BX170=Spécificité1Caprins,1)),
INDEX(Règles_caprins[Specificite],MATCH(ChoixRationCaprins&amp;$BX170,Règles_caprins[Ration]&amp;Règles_caprins[Aliment],0))="c"),
INDEX(Règles_caprins[Valeur 6-12],MATCH(ChoixRationCaprins&amp;$BX170,Règles_caprins[Ration]&amp;Règles_caprins[Aliment],0)),0),0)*jeune_chèvre_6_12_mois*NbreJoursNourrirCaprins)</f>
        <v>0</v>
      </c>
      <c r="CA170" s="350">
        <f t="array" ref="CA170">IF(ChoixRationComplèteCaprins=OUI,0,IFERROR(IF(OR(AND(INDEX(Règles_caprins[Specificite],MATCH(ChoixRationCaprins&amp;$BX170,Règles_caprins[Ration]&amp;Règles_caprins[Aliment],0))="s1",IF($BX170=Spécificité1Caprins,1)),
INDEX(Règles_caprins[Specificite],MATCH(ChoixRationCaprins&amp;$BX170,Règles_caprins[Ration]&amp;Règles_caprins[Aliment],0))="c"),
INDEX(Règles_caprins[Valeur 3-6],MATCH(ChoixRationCaprins&amp;$BX170,Règles_caprins[Ration]&amp;Règles_caprins[Aliment],0)),0),0)*chevrette_3_6_mois*NbreJoursNourrirCaprins)</f>
        <v>0</v>
      </c>
      <c r="CB170" s="350">
        <f t="array" ref="CB170">IF(ChoixRationComplèteCaprins=OUI,0,IFERROR(IF(OR(AND(INDEX(Règles_caprins[Specificite],MATCH(ChoixRationCaprins&amp;$BX170,Règles_caprins[Ration]&amp;Règles_caprins[Aliment],0))="s1",IF($BX170=Spécificité1Caprins,1)),
INDEX(Règles_caprins[Specificite],MATCH(ChoixRationCaprins&amp;$BX170,Règles_caprins[Ration]&amp;Règles_caprins[Aliment],0))="c"),
INDEX(Règles_caprins[Valeur 0-3],MATCH(ChoixRationCaprins&amp;$BX170,Règles_caprins[Ration]&amp;Règles_caprins[Aliment],0)),0),0)*chevrette_0_3_mois*NbreJoursNourrirCaprins)</f>
        <v>0</v>
      </c>
      <c r="CC170" s="350">
        <f t="shared" si="50"/>
        <v>0</v>
      </c>
      <c r="CH170" s="298"/>
      <c r="CI170" s="277"/>
      <c r="CJ170" s="350" t="str">
        <f t="shared" si="45"/>
        <v>Tourteau de tournesol</v>
      </c>
      <c r="CK170" s="351">
        <f t="array" ref="CK170">SUM((IF(QualitéAlimentsPorceletMâle_0_1_mois=BONNE,VLOOKUP("Tournesol de tournesol",AlimentsRationPorcinsMâles[],6,FALSE),0)+(IF(QualitéAlimentsPorceletFemelle_0_1_mois=BONNE,VLOOKUP("Tournesol de tournesol",AlimentsRationPorcinsFemelles[],6,FALSE),0)+(IF(QualitéAlimentsPorceletMâle_1_3_mois=BONNE,VLOOKUP("Tournesol de tournesol",AlimentsRationPorcinsMâles[],5,FALSE),0)+(IF(QualitéAlimentsPorceletFemelle_1_3_mois=BONNE,VLOOKUP("Tournesol de tournesol",AlimentsRationPorcinsFemelles[],5,FALSE),0)+(IF(QualitéAlimentsJeuneVerrat_3_6_mois=BONNE,VLOOKUP("Tournesol de tournesol",AlimentsRationPorcinsMâles[],4,FALSE),0)+(IF(QualitéAlimentsJeuneTruie_3_6_mois=BONNE,VLOOKUP("Tournesol de tournesol",AlimentsRationPorcinsFemelles[],4,FALSE),0)+(IF(QualitéAlimentsJeuneVerrat_6_12_mois=BONNE,VLOOKUP("Tournesol de tournesol",AlimentsRationPorcinsMâles[],3,FALSE),0)+(IF(QualitéAlimentsJeuneTruie_6_12_mois=BONNE,VLOOKUP("Tournesol de tournesol",AlimentsRationPorcinsFemelles[],3,FALSE),0)+(IF(QualitéAlimentsVerrat=BONNE,VLOOKUP("Avoine",AlimentsRationPorcinsMâles[],2,FALSE),0)+(IF(QualitéAlimentsTruie=BONNE,VLOOKUP("Avoine",AlimentsRationPorcinsFemelles[],2,FALSE),0))))))))))))</f>
        <v>0</v>
      </c>
      <c r="CL170" s="351">
        <f t="array" ref="CL170">SUM((IF(QualitéAlimentsPorceletMâle_0_1_mois=MOYENNE,VLOOKUP("Tournesol de tournesol",AlimentsRationPorcinsMâles[],6,FALSE),0)+(IF(QualitéAlimentsPorceletFemelle_0_1_mois=MOYENNE,VLOOKUP("Tournesol de tournesol",AlimentsRationPorcinsFemelles[],6,FALSE),0)+(IF(QualitéAlimentsPorceletMâle_1_3_mois=MOYENNE,VLOOKUP("Tournesol de tournesol",AlimentsRationPorcinsMâles[],5,FALSE),0)+(IF(QualitéAlimentsPorceletFemelle_1_3_mois=MOYENNE,VLOOKUP("Tournesol de tournesol",AlimentsRationPorcinsFemelles[],5,FALSE),0)+(IF(QualitéAlimentsJeuneVerrat_3_6_mois=MOYENNE,VLOOKUP("Tournesol de tournesol",AlimentsRationPorcinsMâles[],4,FALSE),0)+(IF(QualitéAlimentsJeuneTruie_3_6_mois=MOYENNE,VLOOKUP("Tournesol de tournesol",AlimentsRationPorcinsFemelles[],4,FALSE),0)+(IF(QualitéAlimentsJeuneVerrat_6_12_mois=MOYENNE,VLOOKUP("Tournesol de tournesol",AlimentsRationPorcinsMâles[],3,FALSE),0)+(IF(QualitéAlimentsJeuneTruie_6_12_mois=MOYENNE,VLOOKUP("Tournesol de tournesol",AlimentsRationPorcinsFemelles[],3,FALSE),0)+(IF(QualitéAlimentsVerrat=BONNE,VLOOKUP("Avoine",AlimentsRationPorcinsMâles[],2,FALSE),0)+(IF(QualitéAlimentsTruie=BONNE,VLOOKUP("Avoine",AlimentsRationPorcinsFemelles[],2,FALSE),0))))))))))))</f>
        <v>0</v>
      </c>
      <c r="CM170" s="351">
        <f t="array" ref="CM170">SUM((IF(QualitéAlimentsPorceletMâle_0_1_mois=MAUVAISE,VLOOKUP("Tournesol de tournesol",AlimentsRationPorcinsMâles[],6,FALSE),0)+(IF(QualitéAlimentsPorceletFemelle_0_1_mois=MAUVAISE,VLOOKUP("Tournesol de tournesol",AlimentsRationPorcinsFemelles[],6,FALSE),0)+(IF(QualitéAlimentsPorceletMâle_1_3_mois=MAUVAISE,VLOOKUP("Tournesol de tournesol",AlimentsRationPorcinsMâles[],5,FALSE),0)+(IF(QualitéAlimentsPorceletFemelle_1_3_mois=MAUVAISE,VLOOKUP("Tournesol de tournesol",AlimentsRationPorcinsFemelles[],5,FALSE),0)+(IF(QualitéAlimentsJeuneVerrat_3_6_mois=MAUVAISE,VLOOKUP("Tournesol de tournesol",AlimentsRationPorcinsMâles[],4,FALSE),0)+(IF(QualitéAlimentsJeuneTruie_3_6_mois=MAUVAISE,VLOOKUP("Tournesol de tournesol",AlimentsRationPorcinsFemelles[],4,FALSE),0)+(IF(QualitéAlimentsJeuneVerrat_6_12_mois=MAUVAISE,VLOOKUP("Tournesol de tournesol",AlimentsRationPorcinsMâles[],3,FALSE),0)+(IF(QualitéAlimentsJeuneTruie_6_12_mois=MAUVAISE,VLOOKUP("Tournesol de tournesol",AlimentsRationPorcinsFemelles[],3,FALSE),0)+(IF(QualitéAlimentsVerrat=BONNE,VLOOKUP("Avoine",AlimentsRationPorcinsMâles[],2,FALSE),0)+(IF(QualitéAlimentsTruie=BONNE,VLOOKUP("Avoine",AlimentsRationPorcinsFemelles[],2,FALSE),0))))))))))))</f>
        <v>0</v>
      </c>
      <c r="CN170" s="279"/>
      <c r="CO170" s="277"/>
      <c r="CP170" s="277"/>
      <c r="CS170" s="350" t="str">
        <f t="shared" si="59"/>
        <v>Haricot vert</v>
      </c>
      <c r="CT170" s="351">
        <f t="array" ref="CT170">SUM((IF(QualitéAlimentsLapereauMâle_0_1_mois=BONNE,VLOOKUP("Haricot vert",AlimentsRationLapinsMâles[],4,FALSE),0)+(IF(QualitéAlimentsLapereauFemelle_0_1_mois=BONNE,VLOOKUP("Haricot vert",AlimentsRationLapinsFemelles[],4,FALSE),0)+(IF(QualitéAlimentsJeuneLapin=BONNE,VLOOKUP("Haricot vert",AlimentsRationLapinsMâles[],3,FALSE),0)+(IF(QualitéAlimentsJeuneLapine=BONNE,VLOOKUP("Haricot vert",AlimentsRationLapinsFemelles[],3,FALSE),0)+(IF(QualitéAlimentsLapin=BONNE,VLOOKUP("Haricot vert",AlimentsRationLapinsMâles[],2,FALSE),0)+(IF(QualitéAlimentsLapine=BONNE,VLOOKUP("Haricot vert",AlimentsRationLapinsFemelles[],2,FALSE),0))))))))</f>
        <v>0</v>
      </c>
      <c r="CU170" s="351">
        <f t="array" ref="CU170">SUM((IF(QualitéAlimentsLapereauMâle_0_1_mois=MOYENNE,VLOOKUP("Haricot vert",AlimentsRationLapinsMâles[],4,FALSE),0)+(IF(QualitéAlimentsLapereauFemelle_0_1_mois=MOYENNE,VLOOKUP("Haricot vert",AlimentsRationLapinsFemelles[],4,FALSE),0)+(IF(QualitéAlimentsJeuneLapin=MOYENNE,VLOOKUP("Haricot vert",AlimentsRationLapinsMâles[],3,FALSE),0)+(IF(QualitéAlimentsJeuneLapine=MOYENNE,VLOOKUP("Haricot vert",AlimentsRationLapinsFemelles[],3,FALSE),0)+(IF(QualitéAlimentsLapin=MOYENNE,VLOOKUP("Haricot vert",AlimentsRationLapinsMâles[],2,FALSE),0)+(IF(QualitéAlimentsLapine=MOYENNE,VLOOKUP("Haricot vert",AlimentsRationLapinsFemelles[],2,FALSE),0))))))))</f>
        <v>0</v>
      </c>
      <c r="CV170" s="351">
        <f t="array" ref="CV170">SUM((IF(QualitéAlimentsLapereauMâle_0_1_mois=MAUVAISE,VLOOKUP("Haricot vert",AlimentsRationLapinsMâles[],4,FALSE),0)+(IF(QualitéAlimentsLapereauFemelle_0_1_mois=MAUVAISE,VLOOKUP("Haricot vert",AlimentsRationLapinsFemelles[],4,FALSE),0)+(IF(QualitéAlimentsJeuneLapin=MAUVAISE,VLOOKUP("Haricot vert",AlimentsRationLapinsMâles[],3,FALSE),0)+(IF(QualitéAlimentsJeuneLapine=MAUVAISE,VLOOKUP("Haricot vert",AlimentsRationLapinsFemelles[],3,FALSE),0)+(IF(QualitéAlimentsLapin=MAUVAISE,VLOOKUP("Haricot vert",AlimentsRationLapinsMâles[],2,FALSE),0)+(IF(QualitéAlimentsLapine=MAUVAISE,VLOOKUP("Haricot vert",AlimentsRationLapinsFemelles[],2,FALSE),0))))))))</f>
        <v>0</v>
      </c>
      <c r="CZ170" s="350" t="str">
        <f t="shared" si="58"/>
        <v>Lentille</v>
      </c>
      <c r="DA170" s="351">
        <f t="array" ref="DA170">SUM((IF(QualitéAlimentsPoussinMâle_0_1_mois=BONNE,VLOOKUP("Lentille",AlimentsRationVolaillesMâles[],4,FALSE),0)+(IF(QualitéAlimentsPoussinFemelle_0_1_mois=BONNE,VLOOKUP("Lentille",AlimentsRationVolaillesFemelles[],4,FALSE),0)+(IF(QualitéAlimentsJeuneCoq=BONNE,VLOOKUP("Lentille",AlimentsRationVolaillesMâles[],3,FALSE),0)+(IF(QualitéAlimentsJeunePoule=BONNE,VLOOKUP("Lentille",AlimentsRationVolaillesFemelles[],3,FALSE),0)+(IF(QualitéAlimentsCoq=BONNE,VLOOKUP("Lentille",AlimentsRationVolaillesMâles[],2,FALSE),0)+(IF(QualitéAlimentsPoule=BONNE,VLOOKUP("Lentille",AlimentsRationVolaillesFemelles[],2,FALSE),0))))))))</f>
        <v>0</v>
      </c>
      <c r="DB170" s="351">
        <f t="array" ref="DB170">SUM((IF(QualitéAlimentsPoussinMâle_0_1_mois=MOYENNE,VLOOKUP("Lentille",AlimentsRationVolaillesMâles[],4,FALSE),0)+(IF(QualitéAlimentsPoussinFemelle_0_1_mois=MOYENNE,VLOOKUP("Lentille",AlimentsRationVolaillesFemelles[],4,FALSE),0)+(IF(QualitéAlimentsJeuneCoq=MOYENNE,VLOOKUP("Lentille",AlimentsRationVolaillesMâles[],3,FALSE),0)+(IF(QualitéAlimentsJeunePoule=MOYENNE,VLOOKUP("Lentille",AlimentsRationVolaillesFemelles[],3,FALSE),0)+(IF(QualitéAlimentsCoq=MOYENNE,VLOOKUP("Lentille",AlimentsRationVolaillesMâles[],2,FALSE),0)+(IF(QualitéAlimentsPoule=MOYENNE,VLOOKUP("Lentille",AlimentsRationVolaillesFemelles[],2,FALSE),0))))))))</f>
        <v>0</v>
      </c>
      <c r="DC170" s="351">
        <f t="array" ref="DC170">SUM((IF(QualitéAlimentsPoussinMâle_0_1_mois=MAUVAISE,VLOOKUP("Lentille",AlimentsRationVolaillesMâles[],4,FALSE),0)+(IF(QualitéAlimentsPoussinFemelle_0_1_mois=MAUVAISE,VLOOKUP("Lentille",AlimentsRationVolaillesFemelles[],4,FALSE),0)+(IF(QualitéAlimentsJeuneCoq=MAUVAISE,VLOOKUP("Lentille",AlimentsRationVolaillesMâles[],3,FALSE),0)+(IF(QualitéAlimentsJeunePoule=MAUVAISE,VLOOKUP("Lentille",AlimentsRationVolaillesFemelles[],3,FALSE),0)+(IF(QualitéAlimentsCoq=MAUVAISE,VLOOKUP("Lentille",AlimentsRationVolaillesMâles[],2,FALSE),0)+(IF(QualitéAlimentsPoule=MAUVAISE,VLOOKUP("Lentille",AlimentsRationVolaillesFemelles[],2,FALSE),0))))))))</f>
        <v>0</v>
      </c>
      <c r="DD170" s="277"/>
      <c r="DG170" s="350" t="str">
        <f t="shared" si="52"/>
        <v>Seigle</v>
      </c>
      <c r="DH170" s="351">
        <f t="array" ref="DH170">SUM((IF(QualitéAlimentsPintadeauMâle_0_1_mois=BONNE,VLOOKUP("Seigle",AlimentsRationPintadesMâles[],4,FALSE),0)+(IF(QualitéAlimentsPintadeauFemelle_0_1_mois=BONNE,VLOOKUP("Seigle",AlimentsRationPintadesFemelles[],4,FALSE),0)+(IF(QualitéAlimentsJeunePintadeMâle=BONNE,VLOOKUP("Seigle",AlimentsRationPintadesMâles[],3,FALSE),0)+(IF(QualitéAlimentsJeunePintadeFemelle=BONNE,VLOOKUP("Seigle",AlimentsRationPintadesFemelles[],3,FALSE),0)+(IF(QualitéAlimentsPintadeMâle=BONNE,VLOOKUP("Seigle",AlimentsRationPintadesMâles[],2,FALSE),0)+(IF(QualitéAlimentsPintadeFemelle=BONNE,VLOOKUP("Seigle",AlimentsRationPintadesFemelles[],2,FALSE),0))))))))</f>
        <v>0</v>
      </c>
      <c r="DI170" s="351">
        <f t="array" ref="DI170">SUM((IF(QualitéAlimentsPintadeauMâle_0_1_mois=MOYENNE,VLOOKUP("Seigle",AlimentsRationPintadesMâles[],4,FALSE),0)+(IF(QualitéAlimentsPintadeauFemelle_0_1_mois=MOYENNE,VLOOKUP("Seigle",AlimentsRationPintadesFemelles[],4,FALSE),0)+(IF(QualitéAlimentsJeunePintadeMâle=MOYENNE,VLOOKUP("Seigle",AlimentsRationPintadesMâles[],3,FALSE),0)+(IF(QualitéAlimentsJeunePintadeFemelle=MOYENNE,VLOOKUP("Seigle",AlimentsRationPintadesFemelles[],3,FALSE),0)+(IF(QualitéAlimentsPintadeMâle=MOYENNE,VLOOKUP("Seigle",AlimentsRationPintadesMâles[],2,FALSE),0)+(IF(QualitéAlimentsPintadeFemelle=MOYENNE,VLOOKUP("Seigle",AlimentsRationPintadesFemelles[],2,FALSE),0))))))))</f>
        <v>0</v>
      </c>
      <c r="DJ170" s="351">
        <f t="array" ref="DJ170">SUM((IF(QualitéAlimentsPintadeauMâle_0_1_mois=MAUVAISE,VLOOKUP("Seigle",AlimentsRationPintadesMâles[],4,FALSE),0)+(IF(QualitéAlimentsPintadeauFemelle_0_1_mois=MAUVAISE,VLOOKUP("Seigle",AlimentsRationPintadesFemelles[],4,FALSE),0)+(IF(QualitéAlimentsJeunePintadeMâle=MAUVAISE,VLOOKUP("Seigle",AlimentsRationPintadesMâles[],3,FALSE),0)+(IF(QualitéAlimentsJeunePintadeFemelle=MAUVAISE,VLOOKUP("Seigle",AlimentsRationPintadesFemelles[],3,FALSE),0)+(IF(QualitéAlimentsPintadeMâle=MAUVAISE,VLOOKUP("Seigle",AlimentsRationPintadesMâles[],2,FALSE),0)+(IF(QualitéAlimentsPintadeFemelle=MAUVAISE,VLOOKUP("Seigle",AlimentsRationPintadesFemelles[],2,FALSE),0))))))))</f>
        <v>0</v>
      </c>
      <c r="DN170" s="350" t="s">
        <v>489</v>
      </c>
      <c r="DO170" s="351">
        <f t="array" ref="DO170">IF(ChoixRationComplèteOvins=OUI,0,IFERROR(IF(OR(AND(INDEX(Règles_ovins[Specificite],MATCH(ChoixRationOvins&amp;$DN170,Règles_ovins[Ration]&amp;Règles_ovins[Aliment],0))="s1",IF($DN170=Spécificité1Ovins,1)),
AND(INDEX(Règles_ovins[Specificite],MATCH(ChoixRationOvins&amp;$DN170,Règles_ovins[Ration]&amp;Règles_ovins[Aliment],0))="s2",IF($DN170=Spécificité2Ovins,1)),
INDEX(Règles_ovins[Specificite],MATCH(ChoixRationOvins&amp;$DN170,Règles_ovins[Ration]&amp;Règles_ovins[Aliment],0))="c"),
INDEX(Règles_ovins[Valeur 12 et plus],MATCH(ChoixRationOvins&amp;$DN170,Règles_ovins[Ration]&amp;Règles_ovins[Aliment],0)),0),0)*IF(ChoixOvinsPréHiver=OUI,SUM(TotalOvinsAdultesRacesLaitières)*NbreJoursNourrirOvins,TotalBéliers*NbreJoursNourrirOvins))</f>
        <v>0</v>
      </c>
      <c r="DP170" s="351">
        <f t="array" ref="DP170">IF(ChoixRationComplèteOvins=OUI,0,IFERROR(IF(OR(AND(INDEX(Règles_ovins[Specificite],MATCH(ChoixRationOvins&amp;$DN170,Règles_ovins[Ration]&amp;Règles_ovins[Aliment],0))="s1",IF($DN170=Spécificité1Ovins,1)),
AND(INDEX(Règles_ovins[Specificite],MATCH(ChoixRationOvins&amp;$DN170,Règles_ovins[Ration]&amp;Règles_ovins[Aliment],0))="s2",IF($DN170=Spécificité2Ovins,1)),
INDEX(Règles_ovins[Specificite],MATCH(ChoixRationOvins&amp;$DN170,Règles_ovins[Ration]&amp;Règles_ovins[Aliment],0))="c"),
INDEX(Règles_ovins[Valeur 6-12],MATCH(ChoixRationOvins&amp;$DN170,Règles_ovins[Ration]&amp;Règles_ovins[Aliment],0)),0),0)*IF(ChoixOvinsPréHiver=OUI,SUM(TotalJeunesOvinsRacesLaitières)*NbreJoursNourrirOvins,TotalJeune_bélier_6_12_mois*NbreJoursNourrirOvins))</f>
        <v>0</v>
      </c>
      <c r="DQ170" s="351">
        <f t="array" ref="DQ170">IF(ChoixRationComplèteOvins=OUI,0,IFERROR(IF(OR(AND(INDEX(Règles_ovins[Specificite],MATCH(ChoixRationOvins&amp;$DN170,Règles_ovins[Ration]&amp;Règles_ovins[Aliment],0))="s1",IF($DN170=Spécificité1Ovins,1)),
AND(INDEX(Règles_ovins[Specificite],MATCH(ChoixRationOvins&amp;$DN170,Règles_ovins[Ration]&amp;Règles_ovins[Aliment],0))="s2",IF($DN170=Spécificité2Ovins,1)),
INDEX(Règles_ovins[Specificite],MATCH(ChoixRationOvins&amp;$DN170,Règles_ovins[Ration]&amp;Règles_ovins[Aliment],0))="c"),
INDEX(Règles_ovins[Valeur 3-6],MATCH(ChoixRationOvins&amp;$DN170,Règles_ovins[Ration]&amp;Règles_ovins[Aliment],0)),0),0)*IF(ChoixOvinsPréHiver=OUI,SUM(TotalOvins_3_6moisRacesLaitières)*NbreJoursNourrirOvins,TotalAgneau_3_6_mois*NbreJoursNourrirOvins))</f>
        <v>0</v>
      </c>
      <c r="DR170" s="351">
        <f t="array" ref="DR170">IF(ChoixRationComplèteOvins=OUI,0,IFERROR(IF(OR(AND(INDEX(Règles_ovins[Specificite],MATCH(ChoixRationOvins&amp;$DN170,Règles_ovins[Ration]&amp;Règles_ovins[Aliment],0))="s1",IF($DN170=Spécificité1Ovins,1)),
AND(INDEX(Règles_ovins[Specificite],MATCH(ChoixRationOvins&amp;$DN170,Règles_ovins[Ration]&amp;Règles_ovins[Aliment],0))="s2",IF($DN170=Spécificité2Ovins,1)),
INDEX(Règles_ovins[Specificite],MATCH(ChoixRationOvins&amp;$DN170,Règles_ovins[Ration]&amp;Règles_ovins[Aliment],0))="c"),
INDEX(Règles_ovins[Valeur 0-3],MATCH(ChoixRationOvins&amp;$DN170,Règles_ovins[Ration]&amp;Règles_ovins[Aliment],0)),0),0)*IF(ChoixOvinsPréHiver=OUI,SUM(TotalOvins_3_6moisRacesLaitières)*NbreJoursNourrirOvins,TotalAgneau_0_3_mois*NbreJoursNourrirOvins))</f>
        <v>0</v>
      </c>
      <c r="DS170" s="441">
        <f t="shared" si="55"/>
        <v>0</v>
      </c>
      <c r="EG170" s="350" t="str">
        <f t="shared" si="57"/>
        <v>Orge</v>
      </c>
      <c r="EH170" s="351">
        <f t="array" ref="EH170">SUM((IF(QualitéAlimentsOisonMâle_0_3_mois=BONNE,VLOOKUP("Orge",AlimentsRationOiesMâles[],4,FALSE),0)+(IF(QualitéAlimentsOisonFemelle_0_3_mois=BONNE,VLOOKUP("Orge",AlimentsRationOiesFemelles[],4,FALSE),0)+(IF(QualitéAlimentsJeuneJars=BONNE,VLOOKUP("Orge",AlimentsRationOiesMâles[],3,FALSE),0)+(IF(QualitéAlimentsJeuneOie=BONNE,VLOOKUP("Orge",AlimentsRationOiesFemelles[],3,FALSE),0)+(IF(QualitéAlimentsJars=BONNE,VLOOKUP("Orge",AlimentsRationOiesMâles[],2,FALSE),0)+(IF(QualitéAlimentsOie=BONNE,VLOOKUP("Orge",AlimentsRationOiesFemelles[],2,FALSE),0))))))))</f>
        <v>0</v>
      </c>
      <c r="EI170" s="351">
        <f t="array" ref="EI170">SUM((IF(QualitéAlimentsOisonMâle_0_3_mois=MOYENNE,VLOOKUP("Orge",AlimentsRationOiesMâles[],4,FALSE),0)+(IF(QualitéAlimentsOisonFemelle_0_3_mois=MOYENNE,VLOOKUP("Orge",AlimentsRationOiesFemelles[],4,FALSE),0)+(IF(QualitéAlimentsJeuneJars=MOYENNE,VLOOKUP("Orge",AlimentsRationOiesMâles[],3,FALSE),0)+(IF(QualitéAlimentsJeuneOie=MOYENNE,VLOOKUP("Orge",AlimentsRationOiesFemelles[],3,FALSE),0)+(IF(QualitéAlimentsJars=MOYENNE,VLOOKUP("Orge",AlimentsRationOiesMâles[],2,FALSE),0)+(IF(QualitéAlimentsOie=MOYENNE,VLOOKUP("Orge",AlimentsRationOiesFemelles[],2,FALSE),0))))))))</f>
        <v>0</v>
      </c>
      <c r="EJ170" s="351">
        <f t="array" ref="EJ170">SUM((IF(QualitéAlimentsOisonMâle_0_3_mois=MAUVAISE,VLOOKUP("Orge",AlimentsRationOiesMâles[],4,FALSE),0)+(IF(QualitéAlimentsOisonFemelle_0_3_mois=MAUVAISE,VLOOKUP("Orge",AlimentsRationOiesFemelles[],4,FALSE),0)+(IF(QualitéAlimentsJeuneJars=MAUVAISE,VLOOKUP("Orge",AlimentsRationOiesMâles[],3,FALSE),0)+(IF(QualitéAlimentsJeuneOie=MAUVAISE,VLOOKUP("Orge",AlimentsRationOiesFemelles[],3,FALSE),0)+(IF(QualitéAlimentsJars=MAUVAISE,VLOOKUP("Orge",AlimentsRationOiesMâles[],2,FALSE),0)+(IF(QualitéAlimentsOie=MAUVAISE,VLOOKUP("Orge",AlimentsRationOiesFemelles[],2,FALSE),0))))))))</f>
        <v>0</v>
      </c>
      <c r="EN170" s="457" t="str">
        <f t="shared" si="56"/>
        <v>Paille</v>
      </c>
      <c r="EO170" s="458">
        <f t="array" ref="EO170">SUM((IF(QualitéAlimentsCanetonMâle=BONNE,VLOOKUP("Paille",AlimentsRationCanardsMâles,4,FALSE),0)+(IF(QualitéAlimentsCanetonFemelle=BONNE,VLOOKUP("Paille",AlimentsRationCanardsFemelles,4,FALSE),0)+(IF(QualitéAlimentsJeuneCanard=BONNE,VLOOKUP("Paille",AlimentsRationCanardsMâles,3,FALSE),0)+(IF(QualitéAlimentsJeuneCane=BONNE,VLOOKUP("Paille",AlimentsRationCanardsFemelles,3,FALSE),0)+(IF(QualitéAlimentsCanard=BONNE,VLOOKUP("Paille",AlimentsRationCanardsMâles,2,FALSE),0)+(IF(QualitéAlimentsCane=BONNE,VLOOKUP("Paille",AlimentsRationCanardsFemelles,2,FALSE),0))))))))</f>
        <v>0</v>
      </c>
      <c r="EP170" s="458">
        <f t="array" ref="EP170">SUM((IF(QualitéAlimentsCanetonMâle=MOYENNE,VLOOKUP("Paille",AlimentsRationCanardsMâles,4,FALSE),0)+(IF(QualitéAlimentsCanetonFemelle=MOYENNE,VLOOKUP("Paille",AlimentsRationCanardsFemelles,4,FALSE),0)+(IF(QualitéAlimentsJeuneCanard=MOYENNE,VLOOKUP("Paille",AlimentsRationCanardsMâles,3,FALSE),0)+(IF(QualitéAlimentsJeuneCane=MOYENNE,VLOOKUP("Paille",AlimentsRationCanardsFemelles,3,FALSE),0)+(IF(QualitéAlimentsCanard=MOYENNE,VLOOKUP("Paille",AlimentsRationCanardsMâles,2,FALSE),0)+(IF(QualitéAlimentsCane=MOYENNE,VLOOKUP("Paille",AlimentsRationCanardsFemelles,2,FALSE),0))))))))</f>
        <v>0</v>
      </c>
      <c r="EQ170" s="458">
        <f t="array" ref="EQ170">SUM((IF(QualitéAlimentsCanetonMâle=MAUVAISE,VLOOKUP("Paille",AlimentsRationCanardsMâles,4,FALSE),0)+(IF(QualitéAlimentsCanetonFemelle=MAUVAISE,VLOOKUP("Paille",AlimentsRationCanardsFemelles,4,FALSE),0)+(IF(QualitéAlimentsJeuneCanard=MAUVAISE,VLOOKUP("Paille",AlimentsRationCanardsMâles,3,FALSE),0)+(IF(QualitéAlimentsJeuneCane=MAUVAISE,VLOOKUP("Paille",AlimentsRationCanardsFemelles,3,FALSE),0)+(IF(QualitéAlimentsCanard=MAUVAISE,VLOOKUP("Paille",AlimentsRationCanardsMâles,2,FALSE),0)+(IF(QualitéAlimentsCane=MAUVAISE,VLOOKUP("Paille",AlimentsRationCanardsFemelles,2,FALSE),0)+LitièreCanards[[#Totals],[litière]])))))))</f>
        <v>0</v>
      </c>
      <c r="EU170" s="457" t="str">
        <f t="shared" si="54"/>
        <v>Pois</v>
      </c>
      <c r="EV170" s="458">
        <f t="array" ref="EV170">IF(OR(ChoixRationHivernaleComplèteChevauxSelle=OUI,ChoixRationHivernaleComplèteChevauxSelle="",ChoixChevauxSellePréHiver=NON),0,IFERROR(IF(OR(AND(INDEX(Règles_chevaux_selle[Specificite],MATCH(RationHivernaleAuPréChevauxSelle&amp;$EU170,Règles_chevaux_selle[Ration]&amp;Règles_chevaux_selle[Aliment],0))="s1",IF($EU170=Spécificité1ChevauxSelle,1)),
AND(INDEX(Règles_chevaux_selle[Specificite],MATCH(RationHivernaleAuPréChevauxSelle&amp;$EU170,Règles_chevaux_selle[Ration]&amp;Règles_chevaux_selle[Aliment],0))="s2",IF($EU170=Spécificité2ChevauxSelle,1)),
INDEX(Règles_chevaux_selle[Specificite],MATCH(RationHivernaleAuPréChevauxSelle&amp;$EU170,Règles_chevaux_selle[Ration]&amp;Règles_chevaux_selle[Aliment],0))="c"),
INDEX(Règles_chevaux_selle[Valeur 36 et plus],MATCH(RationHivernaleAuPréChevauxSelle&amp;$EU170,Règles_chevaux_selle[Ration]&amp;Règles_chevaux_selle[Aliment],0)),0),0)*SUM(TotalChevauxSelleAdultes)*21)</f>
        <v>0</v>
      </c>
      <c r="EW170" s="458">
        <f t="array" ref="EW170">IF(OR(ChoixRationHivernaleComplèteChevauxSelle=OUI,ChoixRationHivernaleComplèteChevauxSelle="",ChoixChevauxSellePréHiver=NON),0,IFERROR(IF(OR(AND(INDEX(Règles_chevaux_selle[Specificite],MATCH(RationHivernaleAuPréChevauxSelle&amp;$EU170,Règles_chevaux_selle[Ration]&amp;Règles_chevaux_selle[Aliment],0))="s1",IF($EU170=Spécificité1ChevauxSelle,1)),
AND(INDEX(Règles_chevaux_selle[Specificite],MATCH(RationHivernaleAuPréChevauxSelle&amp;$EU170,Règles_chevaux_selle[Ration]&amp;Règles_chevaux_selle[Aliment],0))="s2",IF($EU170=Spécificité2ChevauxSelle,1)),
INDEX(Règles_chevaux_selle[Specificite],MATCH(RationHivernaleAuPréChevauxSelle&amp;$EU170,Règles_chevaux_selle[Ration]&amp;Règles_chevaux_selle[Aliment],0))="c"),
INDEX(Règles_chevaux_selle[Valeur 24-36],MATCH(RationHivernaleAuPréChevauxSelle&amp;$EU170,Règles_chevaux_selle[Ration]&amp;Règles_chevaux_selle[Aliment],0)),0),0)*SUM(TotalChevauxSelle_24_36mois)*21)</f>
        <v>0</v>
      </c>
      <c r="EX170" s="458">
        <f t="array" ref="EX170">IF(OR(ChoixRationHivernaleComplèteChevauxSelle=OUI,ChoixRationHivernaleComplèteChevauxSelle="",ChoixChevauxSellePréHiver=NON),0,IFERROR(IF(OR(AND(INDEX(Règles_chevaux_selle[Specificite],MATCH(RationHivernaleAuPréChevauxSelle&amp;$EU170,Règles_chevaux_selle[Ration]&amp;Règles_chevaux_selle[Aliment],0))="s1",IF($EU170=Spécificité1ChevauxSelle,1)),
AND(INDEX(Règles_chevaux_selle[Specificite],MATCH(RationHivernaleAuPréChevauxSelle&amp;$EU170,Règles_chevaux_selle[Ration]&amp;Règles_chevaux_selle[Aliment],0))="s2",IF($EU170=Spécificité2ChevauxSelle,1)),
INDEX(Règles_chevaux_selle[Specificite],MATCH(RationHivernaleAuPréChevauxSelle&amp;$EU170,Règles_chevaux_selle[Ration]&amp;Règles_chevaux_selle[Aliment],0))="c"),
INDEX(Règles_chevaux_selle[Valeur 12-24],MATCH(RationHivernaleAuPréChevauxSelle&amp;$EU170,Règles_chevaux_selle[Ration]&amp;Règles_chevaux_selle[Aliment],0)),0),0)*SUM(TotalChevauxSelle_12_24mois)*21)</f>
        <v>0</v>
      </c>
      <c r="EY170" s="460">
        <f t="array" ref="EY170">IF(OR(ChoixRationHivernaleComplèteChevauxSelle=OUI,ChoixRationHivernaleComplèteChevauxSelle="",ChoixChevauxSellePréHiver=NON),0,IFERROR(IF(OR(AND(INDEX(Règles_chevaux_selle[Specificite],MATCH(RationHivernaleAuPréChevauxSelle&amp;$EU170,Règles_chevaux_selle[Ration]&amp;Règles_chevaux_selle[Aliment],0))="s1",IF($EU170=Spécificité1ChevauxSelle,1)),
AND(INDEX(Règles_chevaux_selle[Specificite],MATCH(RationHivernaleAuPréChevauxSelle&amp;$EU170,Règles_chevaux_selle[Ration]&amp;Règles_chevaux_selle[Aliment],0))="s2",IF($EU170=Spécificité2ChevauxSelle,1)),
INDEX(Règles_chevaux_selle[Specificite],MATCH(RationHivernaleAuPréChevauxSelle&amp;$EU170,Règles_chevaux_selle[Ration]&amp;Règles_chevaux_selle[Aliment],0))="c"),
INDEX(Règles_chevaux_selle[Valeur 0-12],MATCH(RationHivernaleAuPréChevauxSelle&amp;$EU170,Règles_chevaux_selle[Ration]&amp;Règles_chevaux_selle[Aliment],0)),0),0)*SUM(TotalPoulainsSelle)*21)</f>
        <v>0</v>
      </c>
      <c r="EZ170" s="460">
        <f t="shared" si="53"/>
        <v>0</v>
      </c>
      <c r="FD170" s="457" t="str">
        <f t="shared" si="49"/>
        <v>Sorgho ensilé</v>
      </c>
      <c r="FE170" s="458">
        <f t="array" ref="FE170">IF(OR(ChoixRationHivernaleComplèteChevauxTrait=OUI,ChoixRationHivernaleComplèteChevauxTrait="",ChoixChevauxTraitPréHiver=NON),0,IFERROR(IF(OR(AND(INDEX(Règles_chevaux_trait[Specificite],MATCH(RationHivernaleAuPréChevauxTrait&amp;$FD170,Règles_chevaux_trait[Ration]&amp;Règles_chevaux_trait[Aliment],0))="s1",IF($FD170=Spécificité1ChevauxTrait,1)),
AND(INDEX(Règles_chevaux_trait[Specificite],MATCH(RationHivernaleAuPréChevauxTrait&amp;$FD170,Règles_chevaux_trait[Ration]&amp;Règles_chevaux_trait[Aliment],0))="s2",IF($FD170=Spécificité2ChevauxTrait,1)),
INDEX(Règles_chevaux_trait[Specificite],MATCH(RationHivernaleAuPréChevauxTrait&amp;$FD170,Règles_chevaux_trait[Ration]&amp;Règles_chevaux_trait[Aliment],0))="c"),
INDEX(Règles_chevaux_trait[Valeur 36 et plus],MATCH(RationHivernaleAuPréChevauxTrait&amp;$FD170,Règles_chevaux_trait[Ration]&amp;Règles_chevaux_trait[Aliment],0)),0),0)*SUM(TotalChevauxTraitAdultes)*21)</f>
        <v>0</v>
      </c>
      <c r="FF170" s="458">
        <f t="array" ref="FF170">IF(OR(ChoixRationHivernaleComplèteChevauxTrait=OUI,ChoixRationHivernaleComplèteChevauxTrait="",ChoixChevauxTraitPréHiver=NON),0,IFERROR(IF(OR(AND(INDEX(Règles_chevaux_trait[Specificite],MATCH(RationHivernaleAuPréChevauxTrait&amp;$FD170,Règles_chevaux_trait[Ration]&amp;Règles_chevaux_trait[Aliment],0))="s1",IF($FD170=Spécificité1ChevauxTrait,1)),
AND(INDEX(Règles_chevaux_trait[Specificite],MATCH(RationHivernaleAuPréChevauxTrait&amp;$FD170,Règles_chevaux_trait[Ration]&amp;Règles_chevaux_trait[Aliment],0))="s2",IF($FD170=Spécificité2ChevauxTrait,1)),
INDEX(Règles_chevaux_trait[Specificite],MATCH(RationHivernaleAuPréChevauxTrait&amp;$FD170,Règles_chevaux_trait[Ration]&amp;Règles_chevaux_trait[Aliment],0))="c"),
INDEX(Règles_chevaux_trait[Valeur 24-36],MATCH(RationHivernaleAuPréChevauxTrait&amp;$FD170,Règles_chevaux_trait[Ration]&amp;Règles_chevaux_trait[Aliment],0)),0),0)*SUM(TotalChevauxTrait_24_36mois)*21)</f>
        <v>0</v>
      </c>
      <c r="FG170" s="458">
        <f t="array" ref="FG170">IF(OR(ChoixRationHivernaleComplèteChevauxTrait=OUI,ChoixRationHivernaleComplèteChevauxTrait="",ChoixChevauxTraitPréHiver=NON),0,IFERROR(IF(OR(AND(INDEX(Règles_chevaux_trait[Specificite],MATCH(RationHivernaleAuPréChevauxTrait&amp;$FD170,Règles_chevaux_trait[Ration]&amp;Règles_chevaux_trait[Aliment],0))="s1",IF($FD170=Spécificité1ChevauxTrait,1)),
AND(INDEX(Règles_chevaux_trait[Specificite],MATCH(RationHivernaleAuPréChevauxTrait&amp;$FD170,Règles_chevaux_trait[Ration]&amp;Règles_chevaux_trait[Aliment],0))="s2",IF($FD170=Spécificité2ChevauxTrait,1)),
INDEX(Règles_chevaux_trait[Specificite],MATCH(RationHivernaleAuPréChevauxTrait&amp;$FD170,Règles_chevaux_trait[Ration]&amp;Règles_chevaux_trait[Aliment],0))="c"),
INDEX(Règles_chevaux_trait[Valeur 12-24],MATCH(RationHivernaleAuPréChevauxTrait&amp;$FD170,Règles_chevaux_trait[Ration]&amp;Règles_chevaux_trait[Aliment],0)),0),0)*SUM(TotalChevauxTrait_12_24mois)*21)</f>
        <v>0</v>
      </c>
      <c r="FH170" s="460">
        <f t="array" ref="FH170">IF(OR(ChoixRationHivernaleComplèteChevauxTrait=OUI,ChoixRationHivernaleComplèteChevauxTrait="",ChoixChevauxTraitPréHiver=NON),0,IFERROR(IF(OR(AND(INDEX(Règles_chevaux_trait[Specificite],MATCH(RationHivernaleAuPréChevauxTrait&amp;$FD170,Règles_chevaux_trait[Ration]&amp;Règles_chevaux_trait[Aliment],0))="s1",IF($FD170=Spécificité1ChevauxTrait,1)),
AND(INDEX(Règles_chevaux_trait[Specificite],MATCH(RationHivernaleAuPréChevauxTrait&amp;$FD170,Règles_chevaux_trait[Ration]&amp;Règles_chevaux_trait[Aliment],0))="s2",IF($FD170=Spécificité2ChevauxTrait,1)),
INDEX(Règles_chevaux_trait[Specificite],MATCH(RationHivernaleAuPréChevauxTrait&amp;$FD170,Règles_chevaux_trait[Ration]&amp;Règles_chevaux_trait[Aliment],0))="c"),
INDEX(Règles_chevaux_trait[Valeur 0-12],MATCH(RationHivernaleAuPréChevauxTrait&amp;$FD170,Règles_chevaux_trait[Ration]&amp;Règles_chevaux_trait[Aliment],0)),0),0)*SUM(TotalPoulainsTrait)*21)</f>
        <v>0</v>
      </c>
      <c r="FI170" s="460">
        <f t="shared" si="47"/>
        <v>0</v>
      </c>
      <c r="FN170" s="457" t="str">
        <f t="shared" si="48"/>
        <v>Tournesol</v>
      </c>
      <c r="FO170" s="458">
        <f t="array" ref="FO170">IF(OR(ChoixRationHivernaleComplètePoneys=OUI,ChoixRationHivernaleComplètePoneys="",ChoixPoneysPréHiver=NON),0,IFERROR(IF(OR(AND(INDEX(Règles_poneys[Specificite],MATCH(RationHivernaleAuPréPoneys&amp;$FN170,Règles_poneys[Ration]&amp;Règles_poneys[Aliment],0))="s1",IF($FN170=Spécificité1Poneys,1)),
AND(INDEX(Règles_poneys[Specificite],MATCH(RationHivernaleAuPréPoneys&amp;$FN170,Règles_poneys[Ration]&amp;Règles_poneys[Aliment],0))="s2",IF($FN170=Spécificité2Poneys,1)),
INDEX(Règles_poneys[Specificite],MATCH(RationHivernaleAuPréPoneys&amp;$FN170,Règles_poneys[Ration]&amp;Règles_poneys[Aliment],0))="c"),
INDEX(Règles_poneys[Valeur 36 et plus],MATCH(RationHivernaleAuPréPoneys&amp;$FN170,Règles_poneys[Ration]&amp;Règles_poneys[Aliment],0)),0),0)*SUM(TotalPoneysAdultes)*21)</f>
        <v>0</v>
      </c>
      <c r="FP170" s="458">
        <f t="array" ref="FP170">IF(OR(ChoixRationHivernaleComplètePoneys=OUI,ChoixRationHivernaleComplètePoneys="",ChoixPoneysPréHiver=NON),0,IFERROR(IF(OR(AND(INDEX(Règles_poneys[Specificite],MATCH(RationHivernaleAuPréPoneys&amp;$FN170,Règles_poneys[Ration]&amp;Règles_poneys[Aliment],0))="s1",IF($FN170=Spécificité1Poneys,1)),
AND(INDEX(Règles_poneys[Specificite],MATCH(RationHivernaleAuPréPoneys&amp;$FN170,Règles_poneys[Ration]&amp;Règles_poneys[Aliment],0))="s2",IF($FN170=Spécificité2Poneys,1)),
INDEX(Règles_poneys[Specificite],MATCH(RationHivernaleAuPréPoneys&amp;$FN170,Règles_poneys[Ration]&amp;Règles_poneys[Aliment],0))="c"),
INDEX(Règles_poneys[Valeur 24-36],MATCH(RationHivernaleAuPréPoneys&amp;$FN170,Règles_poneys[Ration]&amp;Règles_poneys[Aliment],0)),0),0)*SUM(TotalPoneys_24_36mois)*21)</f>
        <v>0</v>
      </c>
      <c r="FQ170" s="458">
        <f t="array" ref="FQ170">IF(OR(ChoixRationHivernaleComplètePoneys=OUI,ChoixRationHivernaleComplètePoneys="",ChoixPoneysPréHiver=NON),0,IFERROR(IF(OR(AND(INDEX(Règles_poneys[Specificite],MATCH(RationHivernaleAuPréPoneys&amp;$FN170,Règles_poneys[Ration]&amp;Règles_poneys[Aliment],0))="s1",IF($FN170=Spécificité1Poneys,1)),
AND(INDEX(Règles_poneys[Specificite],MATCH(RationHivernaleAuPréPoneys&amp;$FN170,Règles_poneys[Ration]&amp;Règles_poneys[Aliment],0))="s2",IF($FN170=Spécificité2Poneys,1)),
INDEX(Règles_poneys[Specificite],MATCH(RationHivernaleAuPréPoneys&amp;$FN170,Règles_poneys[Ration]&amp;Règles_poneys[Aliment],0))="c"),
INDEX(Règles_poneys[Valeur 12-24],MATCH(RationHivernaleAuPréPoneys&amp;$FN170,Règles_poneys[Ration]&amp;Règles_poneys[Aliment],0)),0),0)*SUM(TotalPoneys_12_24mois)*21)</f>
        <v>0</v>
      </c>
      <c r="FR170" s="460">
        <f t="array" ref="FR170">IF(OR(ChoixRationHivernaleComplètePoneys=OUI,ChoixRationHivernaleComplètePoneys="",ChoixPoneysPréHiver=NON),0,IFERROR(IF(OR(AND(INDEX(Règles_poneys[Specificite],MATCH(RationHivernaleAuPréPoneys&amp;$FN170,Règles_poneys[Ration]&amp;Règles_poneys[Aliment],0))="s1",IF($FN170=Spécificité1Poneys,1)),
AND(INDEX(Règles_poneys[Specificite],MATCH(RationHivernaleAuPréPoneys&amp;$FN170,Règles_poneys[Ration]&amp;Règles_poneys[Aliment],0))="s2",IF($FN170=Spécificité2Poneys,1)),
INDEX(Règles_poneys[Specificite],MATCH(RationHivernaleAuPréPoneys&amp;$FN170,Règles_poneys[Ration]&amp;Règles_poneys[Aliment],0))="c"),
INDEX(Règles_poneys[Valeur 0-12],MATCH(RationHivernaleAuPréPoneys&amp;$FN170,Règles_poneys[Ration]&amp;Règles_poneys[Aliment],0)),0),0)*SUM(TotalPoulainsPoneys)*21)</f>
        <v>0</v>
      </c>
      <c r="FS170" s="460">
        <f t="shared" si="46"/>
        <v>0</v>
      </c>
      <c r="FW170" s="457">
        <f t="shared" si="44"/>
        <v>0</v>
      </c>
      <c r="FX170" s="458"/>
      <c r="FY170" s="458"/>
      <c r="FZ170" s="458"/>
      <c r="GB170" s="281"/>
      <c r="GG170" s="276" t="s">
        <v>955</v>
      </c>
      <c r="GH170" s="276" t="s">
        <v>955</v>
      </c>
      <c r="GI170" s="276" t="s">
        <v>955</v>
      </c>
      <c r="GJ170" s="276" t="s">
        <v>955</v>
      </c>
      <c r="GK170" s="276" t="s">
        <v>955</v>
      </c>
      <c r="GL170" s="276" t="s">
        <v>955</v>
      </c>
      <c r="GM170" s="276" t="s">
        <v>955</v>
      </c>
      <c r="GN170" s="276" t="s">
        <v>955</v>
      </c>
      <c r="GO170" s="276" t="s">
        <v>955</v>
      </c>
      <c r="GP170" s="276" t="s">
        <v>955</v>
      </c>
      <c r="GQ170" s="276" t="s">
        <v>955</v>
      </c>
      <c r="GR170" s="276" t="s">
        <v>955</v>
      </c>
      <c r="GS170" s="276" t="s">
        <v>955</v>
      </c>
      <c r="GT170" s="276" t="s">
        <v>955</v>
      </c>
      <c r="GU170" s="276" t="s">
        <v>955</v>
      </c>
      <c r="GV170" s="276" t="s">
        <v>955</v>
      </c>
    </row>
    <row r="171" spans="1:204" ht="12.75" customHeight="1" x14ac:dyDescent="0.2">
      <c r="A171" s="373"/>
      <c r="B171" s="382"/>
      <c r="BB171" s="387" t="s">
        <v>949</v>
      </c>
      <c r="BC171" s="362" t="s">
        <v>1166</v>
      </c>
      <c r="BD171" s="362" t="s">
        <v>886</v>
      </c>
      <c r="BE171" s="388">
        <v>0</v>
      </c>
      <c r="BF171" s="388">
        <v>0</v>
      </c>
      <c r="BG171" s="388">
        <v>0</v>
      </c>
      <c r="BH171" s="388">
        <v>0</v>
      </c>
      <c r="BI171" s="388">
        <v>0</v>
      </c>
      <c r="BJ171" s="388">
        <v>0</v>
      </c>
      <c r="BK171" s="389">
        <v>8</v>
      </c>
      <c r="BL171" s="276"/>
      <c r="BX171" s="350" t="str">
        <f t="shared" si="51"/>
        <v>Soja</v>
      </c>
      <c r="BY171" s="350">
        <f t="array" ref="BY171">IF(ChoixRationComplèteCaprins=OUI,0,IFERROR(IF(OR(AND(INDEX(Règles_caprins[Specificite],MATCH(ChoixRationCaprins&amp;$BX171,Règles_caprins[Ration]&amp;Règles_caprins[Aliment],0))="s1",IF($BX171=Spécificité1Caprins,1)),
INDEX(Règles_caprins[Specificite],MATCH(ChoixRationCaprins&amp;$BX171,Règles_caprins[Ration]&amp;Règles_caprins[Aliment],0))="c"),
INDEX(Règles_caprins[Valeur 12 et plus],MATCH(ChoixRationCaprins&amp;$BX171,Règles_caprins[Ration]&amp;Règles_caprins[Aliment],0)),0),0)*TotalChèvres*NbreJoursNourrirCaprins)</f>
        <v>0</v>
      </c>
      <c r="BZ171" s="350">
        <f t="array" ref="BZ171">IF(ChoixRationComplèteCaprins=OUI,0,IFERROR(IF(OR(AND(INDEX(Règles_caprins[Specificite],MATCH(ChoixRationCaprins&amp;$BX171,Règles_caprins[Ration]&amp;Règles_caprins[Aliment],0))="s1",IF($BX171=Spécificité1Caprins,1)),
INDEX(Règles_caprins[Specificite],MATCH(ChoixRationCaprins&amp;$BX171,Règles_caprins[Ration]&amp;Règles_caprins[Aliment],0))="c"),
INDEX(Règles_caprins[Valeur 6-12],MATCH(ChoixRationCaprins&amp;$BX171,Règles_caprins[Ration]&amp;Règles_caprins[Aliment],0)),0),0)*jeune_chèvre_6_12_mois*NbreJoursNourrirCaprins)</f>
        <v>0</v>
      </c>
      <c r="CA171" s="350">
        <f t="array" ref="CA171">IF(ChoixRationComplèteCaprins=OUI,0,IFERROR(IF(OR(AND(INDEX(Règles_caprins[Specificite],MATCH(ChoixRationCaprins&amp;$BX171,Règles_caprins[Ration]&amp;Règles_caprins[Aliment],0))="s1",IF($BX171=Spécificité1Caprins,1)),
INDEX(Règles_caprins[Specificite],MATCH(ChoixRationCaprins&amp;$BX171,Règles_caprins[Ration]&amp;Règles_caprins[Aliment],0))="c"),
INDEX(Règles_caprins[Valeur 3-6],MATCH(ChoixRationCaprins&amp;$BX171,Règles_caprins[Ration]&amp;Règles_caprins[Aliment],0)),0),0)*chevrette_3_6_mois*NbreJoursNourrirCaprins)</f>
        <v>0</v>
      </c>
      <c r="CB171" s="350">
        <f t="array" ref="CB171">IF(ChoixRationComplèteCaprins=OUI,0,IFERROR(IF(OR(AND(INDEX(Règles_caprins[Specificite],MATCH(ChoixRationCaprins&amp;$BX171,Règles_caprins[Ration]&amp;Règles_caprins[Aliment],0))="s1",IF($BX171=Spécificité1Caprins,1)),
INDEX(Règles_caprins[Specificite],MATCH(ChoixRationCaprins&amp;$BX171,Règles_caprins[Ration]&amp;Règles_caprins[Aliment],0))="c"),
INDEX(Règles_caprins[Valeur 0-3],MATCH(ChoixRationCaprins&amp;$BX171,Règles_caprins[Ration]&amp;Règles_caprins[Aliment],0)),0),0)*chevrette_0_3_mois*NbreJoursNourrirCaprins)</f>
        <v>0</v>
      </c>
      <c r="CC171" s="350">
        <f t="shared" si="50"/>
        <v>0</v>
      </c>
      <c r="CH171" s="298"/>
      <c r="CI171" s="277"/>
      <c r="CJ171" s="350" t="str">
        <f t="shared" si="45"/>
        <v>Triticale</v>
      </c>
      <c r="CK171" s="351">
        <f t="array" ref="CK171">SUM((IF(QualitéAlimentsPorceletMâle_0_1_mois=BONNE,VLOOKUP("Triticale",AlimentsRationPorcinsMâles[],6,FALSE),0)+(IF(QualitéAlimentsPorceletFemelle_0_1_mois=BONNE,VLOOKUP("Triticale",AlimentsRationPorcinsFemelles[],6,FALSE),0)+(IF(QualitéAlimentsPorceletMâle_1_3_mois=BONNE,VLOOKUP("Triticale",AlimentsRationPorcinsMâles[],5,FALSE),0)+(IF(QualitéAlimentsPorceletFemelle_1_3_mois=BONNE,VLOOKUP("Triticale",AlimentsRationPorcinsFemelles[],5,FALSE),0)+(IF(QualitéAlimentsJeuneVerrat_3_6_mois=BONNE,VLOOKUP("Triticale",AlimentsRationPorcinsMâles[],4,FALSE),0)+(IF(QualitéAlimentsJeuneTruie_3_6_mois=BONNE,VLOOKUP("Triticale",AlimentsRationPorcinsFemelles[],4,FALSE),0)+(IF(QualitéAlimentsJeuneVerrat_6_12_mois=BONNE,VLOOKUP("Triticale",AlimentsRationPorcinsMâles[],3,FALSE),0)+(IF(QualitéAlimentsJeuneTruie_6_12_mois=BONNE,VLOOKUP("Triticale",AlimentsRationPorcinsFemelles[],3,FALSE),0)+(IF(QualitéAlimentsVerrat=BONNE,VLOOKUP("Avoine",AlimentsRationPorcinsMâles[],2,FALSE),0)+(IF(QualitéAlimentsTruie=BONNE,VLOOKUP("Avoine",AlimentsRationPorcinsFemelles[],2,FALSE),0))))))))))))</f>
        <v>0</v>
      </c>
      <c r="CL171" s="351">
        <f t="array" ref="CL171">SUM((IF(QualitéAlimentsPorceletMâle_0_1_mois=MOYENNE,VLOOKUP("Triticale",AlimentsRationPorcinsMâles[],6,FALSE),0)+(IF(QualitéAlimentsPorceletFemelle_0_1_mois=MOYENNE,VLOOKUP("Triticale",AlimentsRationPorcinsFemelles[],6,FALSE),0)+(IF(QualitéAlimentsPorceletMâle_1_3_mois=MOYENNE,VLOOKUP("Triticale",AlimentsRationPorcinsMâles[],5,FALSE),0)+(IF(QualitéAlimentsPorceletFemelle_1_3_mois=MOYENNE,VLOOKUP("Triticale",AlimentsRationPorcinsFemelles[],5,FALSE),0)+(IF(QualitéAlimentsJeuneVerrat_3_6_mois=MOYENNE,VLOOKUP("Triticale",AlimentsRationPorcinsMâles[],4,FALSE),0)+(IF(QualitéAlimentsJeuneTruie_3_6_mois=MOYENNE,VLOOKUP("Triticale",AlimentsRationPorcinsFemelles[],4,FALSE),0)+(IF(QualitéAlimentsJeuneVerrat_6_12_mois=MOYENNE,VLOOKUP("Triticale",AlimentsRationPorcinsMâles[],3,FALSE),0)+(IF(QualitéAlimentsJeuneTruie_6_12_mois=MOYENNE,VLOOKUP("Triticale",AlimentsRationPorcinsFemelles[],3,FALSE),0)+(IF(QualitéAlimentsVerrat=BONNE,VLOOKUP("Avoine",AlimentsRationPorcinsMâles[],2,FALSE),0)+(IF(QualitéAlimentsTruie=BONNE,VLOOKUP("Avoine",AlimentsRationPorcinsFemelles[],2,FALSE),0))))))))))))</f>
        <v>0</v>
      </c>
      <c r="CM171" s="351">
        <f t="array" ref="CM171">SUM((IF(QualitéAlimentsPorceletMâle_0_1_mois=MAUVAISE,VLOOKUP("Triticale",AlimentsRationPorcinsMâles[],6,FALSE),0)+(IF(QualitéAlimentsPorceletFemelle_0_1_mois=MAUVAISE,VLOOKUP("Triticale",AlimentsRationPorcinsFemelles[],6,FALSE),0)+(IF(QualitéAlimentsPorceletMâle_1_3_mois=MAUVAISE,VLOOKUP("Triticale",AlimentsRationPorcinsMâles[],5,FALSE),0)+(IF(QualitéAlimentsPorceletFemelle_1_3_mois=MAUVAISE,VLOOKUP("Triticale",AlimentsRationPorcinsFemelles[],5,FALSE),0)+(IF(QualitéAlimentsJeuneVerrat_3_6_mois=MAUVAISE,VLOOKUP("Triticale",AlimentsRationPorcinsMâles[],4,FALSE),0)+(IF(QualitéAlimentsJeuneTruie_3_6_mois=MAUVAISE,VLOOKUP("Triticale",AlimentsRationPorcinsFemelles[],4,FALSE),0)+(IF(QualitéAlimentsJeuneVerrat_6_12_mois=MAUVAISE,VLOOKUP("Triticale",AlimentsRationPorcinsMâles[],3,FALSE),0)+(IF(QualitéAlimentsJeuneTruie_6_12_mois=MAUVAISE,VLOOKUP("Triticale",AlimentsRationPorcinsFemelles[],3,FALSE),0)+(IF(QualitéAlimentsVerrat=BONNE,VLOOKUP("Avoine",AlimentsRationPorcinsMâles[],2,FALSE),0)+(IF(QualitéAlimentsTruie=BONNE,VLOOKUP("Avoine",AlimentsRationPorcinsFemelles[],2,FALSE),0))))))))))))</f>
        <v>0</v>
      </c>
      <c r="CN171" s="277"/>
      <c r="CO171" s="277"/>
      <c r="CP171" s="277"/>
      <c r="CS171" s="350" t="str">
        <f t="shared" si="59"/>
        <v>Lentille</v>
      </c>
      <c r="CT171" s="351">
        <f t="array" ref="CT171">SUM((IF(QualitéAlimentsLapereauMâle_0_1_mois=BONNE,VLOOKUP("Lentille",AlimentsRationLapinsMâles[],4,FALSE),0)+(IF(QualitéAlimentsLapereauFemelle_0_1_mois=BONNE,VLOOKUP("Lentille",AlimentsRationLapinsFemelles[],4,FALSE),0)+(IF(QualitéAlimentsJeuneLapin=BONNE,VLOOKUP("Lentille",AlimentsRationLapinsMâles[],3,FALSE),0)+(IF(QualitéAlimentsJeuneLapine=BONNE,VLOOKUP("Lentille",AlimentsRationLapinsFemelles[],3,FALSE),0)+(IF(QualitéAlimentsLapin=BONNE,VLOOKUP("Lentille",AlimentsRationLapinsMâles[],2,FALSE),0)+(IF(QualitéAlimentsLapine=BONNE,VLOOKUP("Lentille",AlimentsRationLapinsFemelles[],2,FALSE),0))))))))</f>
        <v>0</v>
      </c>
      <c r="CU171" s="351">
        <f t="array" ref="CU171">SUM((IF(QualitéAlimentsLapereauMâle_0_1_mois=MOYENNE,VLOOKUP("Lentille",AlimentsRationLapinsMâles[],4,FALSE),0)+(IF(QualitéAlimentsLapereauFemelle_0_1_mois=MOYENNE,VLOOKUP("Lentille",AlimentsRationLapinsFemelles[],4,FALSE),0)+(IF(QualitéAlimentsJeuneLapin=MOYENNE,VLOOKUP("Lentille",AlimentsRationLapinsMâles[],3,FALSE),0)+(IF(QualitéAlimentsJeuneLapine=MOYENNE,VLOOKUP("Lentille",AlimentsRationLapinsFemelles[],3,FALSE),0)+(IF(QualitéAlimentsLapin=MOYENNE,VLOOKUP("Lentille",AlimentsRationLapinsMâles[],2,FALSE),0)+(IF(QualitéAlimentsLapine=MOYENNE,VLOOKUP("Lentille",AlimentsRationLapinsFemelles[],2,FALSE),0))))))))</f>
        <v>0</v>
      </c>
      <c r="CV171" s="351">
        <f t="array" ref="CV171">SUM((IF(QualitéAlimentsLapereauMâle_0_1_mois=MAUVAISE,VLOOKUP("Lentille",AlimentsRationLapinsMâles[],4,FALSE),0)+(IF(QualitéAlimentsLapereauFemelle_0_1_mois=MAUVAISE,VLOOKUP("Lentille",AlimentsRationLapinsFemelles[],4,FALSE),0)+(IF(QualitéAlimentsJeuneLapin=MAUVAISE,VLOOKUP("Lentille",AlimentsRationLapinsMâles[],3,FALSE),0)+(IF(QualitéAlimentsJeuneLapine=MAUVAISE,VLOOKUP("Lentille",AlimentsRationLapinsFemelles[],3,FALSE),0)+(IF(QualitéAlimentsLapin=MAUVAISE,VLOOKUP("Lentille",AlimentsRationLapinsMâles[],2,FALSE),0)+(IF(QualitéAlimentsLapine=MAUVAISE,VLOOKUP("Lentille",AlimentsRationLapinsFemelles[],2,FALSE),0))))))))</f>
        <v>0</v>
      </c>
      <c r="CZ171" s="350" t="str">
        <f t="shared" si="58"/>
        <v>Maïs ensilé</v>
      </c>
      <c r="DA171" s="351">
        <f t="array" ref="DA171">SUM((IF(QualitéAlimentsPoussinMâle_0_1_mois=BONNE,VLOOKUP("Maïs ensilé",AlimentsRationVolaillesMâles[],4,FALSE),0)+(IF(QualitéAlimentsPoussinFemelle_0_1_mois=BONNE,VLOOKUP("Maïs ensilé",AlimentsRationVolaillesFemelles[],4,FALSE),0)+(IF(QualitéAlimentsJeuneCoq=BONNE,VLOOKUP("Maïs ensilé",AlimentsRationVolaillesMâles[],3,FALSE),0)+(IF(QualitéAlimentsJeunePoule=BONNE,VLOOKUP("Maïs ensilé",AlimentsRationVolaillesFemelles[],3,FALSE),0)+(IF(QualitéAlimentsCoq=BONNE,VLOOKUP("Maïs ensilé",AlimentsRationVolaillesMâles[],2,FALSE),0)+(IF(QualitéAlimentsPoule=BONNE,VLOOKUP("Maïs ensilé",AlimentsRationVolaillesFemelles[],2,FALSE),0))))))))</f>
        <v>0</v>
      </c>
      <c r="DB171" s="351">
        <f t="array" ref="DB171">SUM((IF(QualitéAlimentsPoussinMâle_0_1_mois=MOYENNE,VLOOKUP("Maïs ensilé",AlimentsRationVolaillesMâles[],4,FALSE),0)+(IF(QualitéAlimentsPoussinFemelle_0_1_mois=MOYENNE,VLOOKUP("Maïs ensilé",AlimentsRationVolaillesFemelles[],4,FALSE),0)+(IF(QualitéAlimentsJeuneCoq=MOYENNE,VLOOKUP("Maïs ensilé",AlimentsRationVolaillesMâles[],3,FALSE),0)+(IF(QualitéAlimentsJeunePoule=MOYENNE,VLOOKUP("Maïs ensilé",AlimentsRationVolaillesFemelles[],3,FALSE),0)+(IF(QualitéAlimentsCoq=MOYENNE,VLOOKUP("Maïs ensilé",AlimentsRationVolaillesMâles[],2,FALSE),0)+(IF(QualitéAlimentsPoule=MOYENNE,VLOOKUP("Maïs ensilé",AlimentsRationVolaillesFemelles[],2,FALSE),0))))))))</f>
        <v>0</v>
      </c>
      <c r="DC171" s="351">
        <f t="array" ref="DC171">SUM((IF(QualitéAlimentsPoussinMâle_0_1_mois=MAUVAISE,VLOOKUP("Maïs ensilé",AlimentsRationVolaillesMâles[],4,FALSE),0)+(IF(QualitéAlimentsPoussinFemelle_0_1_mois=MAUVAISE,VLOOKUP("Maïs ensilé",AlimentsRationVolaillesFemelles[],4,FALSE),0)+(IF(QualitéAlimentsJeuneCoq=MAUVAISE,VLOOKUP("Maïs ensilé",AlimentsRationVolaillesMâles[],3,FALSE),0)+(IF(QualitéAlimentsJeunePoule=MAUVAISE,VLOOKUP("Maïs ensilé",AlimentsRationVolaillesFemelles[],3,FALSE),0)+(IF(QualitéAlimentsCoq=MAUVAISE,VLOOKUP("Maïs ensilé",AlimentsRationVolaillesMâles[],2,FALSE),0)+(IF(QualitéAlimentsPoule=MAUVAISE,VLOOKUP("Maïs ensilé",AlimentsRationVolaillesFemelles[],2,FALSE),0))))))))</f>
        <v>0</v>
      </c>
      <c r="DG171" s="350" t="str">
        <f t="shared" si="52"/>
        <v>Soja</v>
      </c>
      <c r="DH171" s="351">
        <f t="array" ref="DH171">SUM((IF(QualitéAlimentsPintadeauMâle_0_1_mois=BONNE,VLOOKUP("Soja",AlimentsRationPintadesMâles[],4,FALSE),0)+(IF(QualitéAlimentsPintadeauFemelle_0_1_mois=BONNE,VLOOKUP("Soja",AlimentsRationPintadesFemelles[],4,FALSE),0)+(IF(QualitéAlimentsJeunePintadeMâle=BONNE,VLOOKUP("Soja",AlimentsRationPintadesMâles[],3,FALSE),0)+(IF(QualitéAlimentsJeunePintadeFemelle=BONNE,VLOOKUP("Soja",AlimentsRationPintadesFemelles[],3,FALSE),0)+(IF(QualitéAlimentsPintadeMâle=BONNE,VLOOKUP("Soja",AlimentsRationPintadesMâles[],2,FALSE),0)+(IF(QualitéAlimentsPintadeFemelle=BONNE,VLOOKUP("Soja",AlimentsRationPintadesFemelles[],2,FALSE),0))))))))</f>
        <v>0</v>
      </c>
      <c r="DI171" s="351">
        <f t="array" ref="DI171">SUM((IF(QualitéAlimentsPintadeauMâle_0_1_mois=MOYENNE,VLOOKUP("Soja",AlimentsRationPintadesMâles[],4,FALSE),0)+(IF(QualitéAlimentsPintadeauFemelle_0_1_mois=MOYENNE,VLOOKUP("Soja",AlimentsRationPintadesFemelles[],4,FALSE),0)+(IF(QualitéAlimentsJeunePintadeMâle=MOYENNE,VLOOKUP("Soja",AlimentsRationPintadesMâles[],3,FALSE),0)+(IF(QualitéAlimentsJeunePintadeFemelle=MOYENNE,VLOOKUP("Soja",AlimentsRationPintadesFemelles[],3,FALSE),0)+(IF(QualitéAlimentsPintadeMâle=MOYENNE,VLOOKUP("Soja",AlimentsRationPintadesMâles[],2,FALSE),0)+(IF(QualitéAlimentsPintadeFemelle=MOYENNE,VLOOKUP("Soja",AlimentsRationPintadesFemelles[],2,FALSE),0))))))))</f>
        <v>0</v>
      </c>
      <c r="DJ171" s="351">
        <f t="array" ref="DJ171">SUM((IF(QualitéAlimentsPintadeauMâle_0_1_mois=MAUVAISE,VLOOKUP("Soja",AlimentsRationPintadesMâles[],4,FALSE),0)+(IF(QualitéAlimentsPintadeauFemelle_0_1_mois=MAUVAISE,VLOOKUP("Soja",AlimentsRationPintadesFemelles[],4,FALSE),0)+(IF(QualitéAlimentsJeunePintadeMâle=MAUVAISE,VLOOKUP("Soja",AlimentsRationPintadesMâles[],3,FALSE),0)+(IF(QualitéAlimentsJeunePintadeFemelle=MAUVAISE,VLOOKUP("Soja",AlimentsRationPintadesFemelles[],3,FALSE),0)+(IF(QualitéAlimentsPintadeMâle=MAUVAISE,VLOOKUP("Soja",AlimentsRationPintadesMâles[],2,FALSE),0)+(IF(QualitéAlimentsPintadeFemelle=MAUVAISE,VLOOKUP("Soja",AlimentsRationPintadesFemelles[],2,FALSE),0))))))))</f>
        <v>0</v>
      </c>
      <c r="DN171" s="350" t="s">
        <v>510</v>
      </c>
      <c r="DO171" s="351">
        <f t="array" ref="DO171">IF(ChoixRationComplèteOvins=OUI,0,IFERROR(IF(OR(AND(INDEX(Règles_ovins[Specificite],MATCH(ChoixRationOvins&amp;$DN171,Règles_ovins[Ration]&amp;Règles_ovins[Aliment],0))="s1",IF($DN171=Spécificité1Ovins,1)),
AND(INDEX(Règles_ovins[Specificite],MATCH(ChoixRationOvins&amp;$DN171,Règles_ovins[Ration]&amp;Règles_ovins[Aliment],0))="s2",IF($DN171=Spécificité2Ovins,1)),
INDEX(Règles_ovins[Specificite],MATCH(ChoixRationOvins&amp;$DN171,Règles_ovins[Ration]&amp;Règles_ovins[Aliment],0))="c"),
INDEX(Règles_ovins[Valeur 12 et plus],MATCH(ChoixRationOvins&amp;$DN171,Règles_ovins[Ration]&amp;Règles_ovins[Aliment],0)),0),0)*IF(ChoixOvinsPréHiver=OUI,SUM(TotalOvinsAdultesRacesLaitières)*NbreJoursNourrirOvins,TotalBéliers*NbreJoursNourrirOvins))</f>
        <v>0</v>
      </c>
      <c r="DP171" s="351">
        <f t="array" ref="DP171">IF(ChoixRationComplèteOvins=OUI,0,IFERROR(IF(OR(AND(INDEX(Règles_ovins[Specificite],MATCH(ChoixRationOvins&amp;$DN171,Règles_ovins[Ration]&amp;Règles_ovins[Aliment],0))="s1",IF($DN171=Spécificité1Ovins,1)),
AND(INDEX(Règles_ovins[Specificite],MATCH(ChoixRationOvins&amp;$DN171,Règles_ovins[Ration]&amp;Règles_ovins[Aliment],0))="s2",IF($DN171=Spécificité2Ovins,1)),
INDEX(Règles_ovins[Specificite],MATCH(ChoixRationOvins&amp;$DN171,Règles_ovins[Ration]&amp;Règles_ovins[Aliment],0))="c"),
INDEX(Règles_ovins[Valeur 6-12],MATCH(ChoixRationOvins&amp;$DN171,Règles_ovins[Ration]&amp;Règles_ovins[Aliment],0)),0),0)*IF(ChoixOvinsPréHiver=OUI,SUM(TotalJeunesOvinsRacesLaitières)*NbreJoursNourrirOvins,TotalJeune_bélier_6_12_mois*NbreJoursNourrirOvins))</f>
        <v>0</v>
      </c>
      <c r="DQ171" s="351">
        <f t="array" ref="DQ171">IF(ChoixRationComplèteOvins=OUI,0,IFERROR(IF(OR(AND(INDEX(Règles_ovins[Specificite],MATCH(ChoixRationOvins&amp;$DN171,Règles_ovins[Ration]&amp;Règles_ovins[Aliment],0))="s1",IF($DN171=Spécificité1Ovins,1)),
AND(INDEX(Règles_ovins[Specificite],MATCH(ChoixRationOvins&amp;$DN171,Règles_ovins[Ration]&amp;Règles_ovins[Aliment],0))="s2",IF($DN171=Spécificité2Ovins,1)),
INDEX(Règles_ovins[Specificite],MATCH(ChoixRationOvins&amp;$DN171,Règles_ovins[Ration]&amp;Règles_ovins[Aliment],0))="c"),
INDEX(Règles_ovins[Valeur 3-6],MATCH(ChoixRationOvins&amp;$DN171,Règles_ovins[Ration]&amp;Règles_ovins[Aliment],0)),0),0)*IF(ChoixOvinsPréHiver=OUI,SUM(TotalOvins_3_6moisRacesLaitières)*NbreJoursNourrirOvins,TotalAgneau_3_6_mois*NbreJoursNourrirOvins))</f>
        <v>0</v>
      </c>
      <c r="DR171" s="351">
        <f t="array" ref="DR171">IF(ChoixRationComplèteOvins=OUI,0,IFERROR(IF(OR(AND(INDEX(Règles_ovins[Specificite],MATCH(ChoixRationOvins&amp;$DN171,Règles_ovins[Ration]&amp;Règles_ovins[Aliment],0))="s1",IF($DN171=Spécificité1Ovins,1)),
AND(INDEX(Règles_ovins[Specificite],MATCH(ChoixRationOvins&amp;$DN171,Règles_ovins[Ration]&amp;Règles_ovins[Aliment],0))="s2",IF($DN171=Spécificité2Ovins,1)),
INDEX(Règles_ovins[Specificite],MATCH(ChoixRationOvins&amp;$DN171,Règles_ovins[Ration]&amp;Règles_ovins[Aliment],0))="c"),
INDEX(Règles_ovins[Valeur 0-3],MATCH(ChoixRationOvins&amp;$DN171,Règles_ovins[Ration]&amp;Règles_ovins[Aliment],0)),0),0)*IF(ChoixOvinsPréHiver=OUI,SUM(TotalOvins_3_6moisRacesLaitières)*NbreJoursNourrirOvins,TotalAgneau_0_3_mois*NbreJoursNourrirOvins))</f>
        <v>0</v>
      </c>
      <c r="DS171" s="441">
        <f t="shared" si="55"/>
        <v>0</v>
      </c>
      <c r="EG171" s="350" t="str">
        <f t="shared" si="57"/>
        <v>Paille</v>
      </c>
      <c r="EH171" s="351">
        <f t="array" ref="EH171">SUM((IF(QualitéAlimentsOisonMâle_0_3_mois=BONNE,VLOOKUP("Paille",AlimentsRationOiesMâles[],4,FALSE),0)+(IF(QualitéAlimentsOisonFemelle_0_3_mois=BONNE,VLOOKUP("Paille",AlimentsRationOiesFemelles[],4,FALSE),0)+(IF(QualitéAlimentsJeuneJars=BONNE,VLOOKUP("Paille",AlimentsRationOiesMâles[],3,FALSE),0)+(IF(QualitéAlimentsJeuneOie=BONNE,VLOOKUP("Paille",AlimentsRationOiesFemelles[],3,FALSE),0)+(IF(QualitéAlimentsJars=BONNE,VLOOKUP("Paille",AlimentsRationOiesMâles[],2,FALSE),0)+(IF(QualitéAlimentsOie=BONNE,VLOOKUP("Paille",AlimentsRationOiesFemelles[],2,FALSE),0))))))))</f>
        <v>0</v>
      </c>
      <c r="EI171" s="351">
        <f t="array" ref="EI171">SUM((IF(QualitéAlimentsOisonMâle_0_3_mois=MOYENNE,VLOOKUP("Paille",AlimentsRationOiesMâles[],4,FALSE),0)+(IF(QualitéAlimentsOisonFemelle_0_3_mois=MOYENNE,VLOOKUP("Paille",AlimentsRationOiesFemelles[],4,FALSE),0)+(IF(QualitéAlimentsJeuneJars=MOYENNE,VLOOKUP("Paille",AlimentsRationOiesMâles[],3,FALSE),0)+(IF(QualitéAlimentsJeuneOie=MOYENNE,VLOOKUP("Paille",AlimentsRationOiesFemelles[],3,FALSE),0)+(IF(QualitéAlimentsJars=MOYENNE,VLOOKUP("Paille",AlimentsRationOiesMâles[],2,FALSE),0)+(IF(QualitéAlimentsOie=MOYENNE,VLOOKUP("Paille",AlimentsRationOiesFemelles[],2,FALSE),0))))))))</f>
        <v>0</v>
      </c>
      <c r="EJ171" s="351">
        <f t="array" ref="EJ171">SUM((IF(QualitéAlimentsOisonMâle_0_3_mois=MAUVAISE,VLOOKUP("Paille",AlimentsRationOiesMâles[],4,FALSE),0)+(IF(QualitéAlimentsOisonFemelle_0_3_mois=MAUVAISE,VLOOKUP("Paille",AlimentsRationOiesFemelles[],4,FALSE),0)+(IF(QualitéAlimentsJeuneJars=MAUVAISE,VLOOKUP("Paille",AlimentsRationOiesMâles[],3,FALSE),0)+(IF(QualitéAlimentsJeuneOie=MAUVAISE,VLOOKUP("Paille",AlimentsRationOiesFemelles[],3,FALSE),0)+(IF(QualitéAlimentsJars=MAUVAISE,VLOOKUP("Paille",AlimentsRationOiesMâles[],2,FALSE),0)+(IF(QualitéAlimentsOie=MAUVAISE,VLOOKUP("Paille",AlimentsRationOiesFemelles[],2,FALSE),0)+LitièreOies[[#Totals],[litière]])))))))</f>
        <v>0</v>
      </c>
      <c r="EN171" s="457" t="str">
        <f t="shared" si="56"/>
        <v>Pois</v>
      </c>
      <c r="EO171" s="458">
        <f t="array" ref="EO171">SUM((IF(QualitéAlimentsCanetonMâle=BONNE,VLOOKUP("Pois",AlimentsRationCanardsMâles,4,FALSE),0)+(IF(QualitéAlimentsCanetonFemelle=BONNE,VLOOKUP("Pois",AlimentsRationCanardsFemelles,4,FALSE),0)+(IF(QualitéAlimentsJeuneCanard=BONNE,VLOOKUP("Pois",AlimentsRationCanardsMâles,3,FALSE),0)+(IF(QualitéAlimentsJeuneCane=BONNE,VLOOKUP("Pois",AlimentsRationCanardsFemelles,3,FALSE),0)+(IF(QualitéAlimentsCanard=BONNE,VLOOKUP("Pois",AlimentsRationCanardsMâles,2,FALSE),0)+(IF(QualitéAlimentsCane=BONNE,VLOOKUP("Pois",AlimentsRationCanardsFemelles,2,FALSE),0))))))))</f>
        <v>0</v>
      </c>
      <c r="EP171" s="458">
        <f t="array" ref="EP171">SUM((IF(QualitéAlimentsCanetonMâle=MOYENNE,VLOOKUP("Pois",AlimentsRationCanardsMâles,4,FALSE),0)+(IF(QualitéAlimentsCanetonFemelle=MOYENNE,VLOOKUP("Pois",AlimentsRationCanardsFemelles,4,FALSE),0)+(IF(QualitéAlimentsJeuneCanard=MOYENNE,VLOOKUP("Pois",AlimentsRationCanardsMâles,3,FALSE),0)+(IF(QualitéAlimentsJeuneCane=MOYENNE,VLOOKUP("Pois",AlimentsRationCanardsFemelles,3,FALSE),0)+(IF(QualitéAlimentsCanard=MOYENNE,VLOOKUP("Pois",AlimentsRationCanardsMâles,2,FALSE),0)+(IF(QualitéAlimentsCane=MOYENNE,VLOOKUP("Pois",AlimentsRationCanardsFemelles,2,FALSE),0))))))))</f>
        <v>0</v>
      </c>
      <c r="EQ171" s="458">
        <f t="array" ref="EQ171">SUM((IF(QualitéAlimentsCanetonMâle=MAUVAISE,VLOOKUP("Pois",AlimentsRationCanardsMâles,4,FALSE),0)+(IF(QualitéAlimentsCanetonFemelle=MAUVAISE,VLOOKUP("Pois",AlimentsRationCanardsFemelles,4,FALSE),0)+(IF(QualitéAlimentsJeuneCanard=MAUVAISE,VLOOKUP("Pois",AlimentsRationCanardsMâles,3,FALSE),0)+(IF(QualitéAlimentsJeuneCane=MAUVAISE,VLOOKUP("Pois",AlimentsRationCanardsFemelles,3,FALSE),0)+(IF(QualitéAlimentsCanard=MAUVAISE,VLOOKUP("Pois",AlimentsRationCanardsMâles,2,FALSE),0)+(IF(QualitéAlimentsCane=MAUVAISE,VLOOKUP("Pois",AlimentsRationCanardsFemelles,2,FALSE),0))))))))</f>
        <v>0</v>
      </c>
      <c r="EU171" s="457" t="str">
        <f t="shared" si="54"/>
        <v>Pomme de terre</v>
      </c>
      <c r="EV171" s="458">
        <f t="array" ref="EV171">IF(OR(ChoixRationHivernaleComplèteChevauxSelle=OUI,ChoixRationHivernaleComplèteChevauxSelle="",ChoixChevauxSellePréHiver=NON),0,IFERROR(IF(OR(AND(INDEX(Règles_chevaux_selle[Specificite],MATCH(RationHivernaleAuPréChevauxSelle&amp;$EU171,Règles_chevaux_selle[Ration]&amp;Règles_chevaux_selle[Aliment],0))="s1",IF($EU171=Spécificité1ChevauxSelle,1)),
AND(INDEX(Règles_chevaux_selle[Specificite],MATCH(RationHivernaleAuPréChevauxSelle&amp;$EU171,Règles_chevaux_selle[Ration]&amp;Règles_chevaux_selle[Aliment],0))="s2",IF($EU171=Spécificité2ChevauxSelle,1)),
INDEX(Règles_chevaux_selle[Specificite],MATCH(RationHivernaleAuPréChevauxSelle&amp;$EU171,Règles_chevaux_selle[Ration]&amp;Règles_chevaux_selle[Aliment],0))="c"),
INDEX(Règles_chevaux_selle[Valeur 36 et plus],MATCH(RationHivernaleAuPréChevauxSelle&amp;$EU171,Règles_chevaux_selle[Ration]&amp;Règles_chevaux_selle[Aliment],0)),0),0)*SUM(TotalChevauxSelleAdultes)*21)</f>
        <v>0</v>
      </c>
      <c r="EW171" s="458">
        <f t="array" ref="EW171">IF(OR(ChoixRationHivernaleComplèteChevauxSelle=OUI,ChoixRationHivernaleComplèteChevauxSelle="",ChoixChevauxSellePréHiver=NON),0,IFERROR(IF(OR(AND(INDEX(Règles_chevaux_selle[Specificite],MATCH(RationHivernaleAuPréChevauxSelle&amp;$EU171,Règles_chevaux_selle[Ration]&amp;Règles_chevaux_selle[Aliment],0))="s1",IF($EU171=Spécificité1ChevauxSelle,1)),
AND(INDEX(Règles_chevaux_selle[Specificite],MATCH(RationHivernaleAuPréChevauxSelle&amp;$EU171,Règles_chevaux_selle[Ration]&amp;Règles_chevaux_selle[Aliment],0))="s2",IF($EU171=Spécificité2ChevauxSelle,1)),
INDEX(Règles_chevaux_selle[Specificite],MATCH(RationHivernaleAuPréChevauxSelle&amp;$EU171,Règles_chevaux_selle[Ration]&amp;Règles_chevaux_selle[Aliment],0))="c"),
INDEX(Règles_chevaux_selle[Valeur 24-36],MATCH(RationHivernaleAuPréChevauxSelle&amp;$EU171,Règles_chevaux_selle[Ration]&amp;Règles_chevaux_selle[Aliment],0)),0),0)*SUM(TotalChevauxSelle_24_36mois)*21)</f>
        <v>0</v>
      </c>
      <c r="EX171" s="458">
        <f t="array" ref="EX171">IF(OR(ChoixRationHivernaleComplèteChevauxSelle=OUI,ChoixRationHivernaleComplèteChevauxSelle="",ChoixChevauxSellePréHiver=NON),0,IFERROR(IF(OR(AND(INDEX(Règles_chevaux_selle[Specificite],MATCH(RationHivernaleAuPréChevauxSelle&amp;$EU171,Règles_chevaux_selle[Ration]&amp;Règles_chevaux_selle[Aliment],0))="s1",IF($EU171=Spécificité1ChevauxSelle,1)),
AND(INDEX(Règles_chevaux_selle[Specificite],MATCH(RationHivernaleAuPréChevauxSelle&amp;$EU171,Règles_chevaux_selle[Ration]&amp;Règles_chevaux_selle[Aliment],0))="s2",IF($EU171=Spécificité2ChevauxSelle,1)),
INDEX(Règles_chevaux_selle[Specificite],MATCH(RationHivernaleAuPréChevauxSelle&amp;$EU171,Règles_chevaux_selle[Ration]&amp;Règles_chevaux_selle[Aliment],0))="c"),
INDEX(Règles_chevaux_selle[Valeur 12-24],MATCH(RationHivernaleAuPréChevauxSelle&amp;$EU171,Règles_chevaux_selle[Ration]&amp;Règles_chevaux_selle[Aliment],0)),0),0)*SUM(TotalChevauxSelle_12_24mois)*21)</f>
        <v>0</v>
      </c>
      <c r="EY171" s="460">
        <f t="array" ref="EY171">IF(OR(ChoixRationHivernaleComplèteChevauxSelle=OUI,ChoixRationHivernaleComplèteChevauxSelle="",ChoixChevauxSellePréHiver=NON),0,IFERROR(IF(OR(AND(INDEX(Règles_chevaux_selle[Specificite],MATCH(RationHivernaleAuPréChevauxSelle&amp;$EU171,Règles_chevaux_selle[Ration]&amp;Règles_chevaux_selle[Aliment],0))="s1",IF($EU171=Spécificité1ChevauxSelle,1)),
AND(INDEX(Règles_chevaux_selle[Specificite],MATCH(RationHivernaleAuPréChevauxSelle&amp;$EU171,Règles_chevaux_selle[Ration]&amp;Règles_chevaux_selle[Aliment],0))="s2",IF($EU171=Spécificité2ChevauxSelle,1)),
INDEX(Règles_chevaux_selle[Specificite],MATCH(RationHivernaleAuPréChevauxSelle&amp;$EU171,Règles_chevaux_selle[Ration]&amp;Règles_chevaux_selle[Aliment],0))="c"),
INDEX(Règles_chevaux_selle[Valeur 0-12],MATCH(RationHivernaleAuPréChevauxSelle&amp;$EU171,Règles_chevaux_selle[Ration]&amp;Règles_chevaux_selle[Aliment],0)),0),0)*SUM(TotalPoulainsSelle)*21)</f>
        <v>0</v>
      </c>
      <c r="EZ171" s="460">
        <f t="shared" si="53"/>
        <v>0</v>
      </c>
      <c r="FD171" s="457" t="str">
        <f t="shared" si="49"/>
        <v>Tournesol</v>
      </c>
      <c r="FE171" s="458">
        <f t="array" ref="FE171">IF(OR(ChoixRationHivernaleComplèteChevauxTrait=OUI,ChoixRationHivernaleComplèteChevauxTrait="",ChoixChevauxTraitPréHiver=NON),0,IFERROR(IF(OR(AND(INDEX(Règles_chevaux_trait[Specificite],MATCH(RationHivernaleAuPréChevauxTrait&amp;$FD171,Règles_chevaux_trait[Ration]&amp;Règles_chevaux_trait[Aliment],0))="s1",IF($FD171=Spécificité1ChevauxTrait,1)),
AND(INDEX(Règles_chevaux_trait[Specificite],MATCH(RationHivernaleAuPréChevauxTrait&amp;$FD171,Règles_chevaux_trait[Ration]&amp;Règles_chevaux_trait[Aliment],0))="s2",IF($FD171=Spécificité2ChevauxTrait,1)),
INDEX(Règles_chevaux_trait[Specificite],MATCH(RationHivernaleAuPréChevauxTrait&amp;$FD171,Règles_chevaux_trait[Ration]&amp;Règles_chevaux_trait[Aliment],0))="c"),
INDEX(Règles_chevaux_trait[Valeur 36 et plus],MATCH(RationHivernaleAuPréChevauxTrait&amp;$FD171,Règles_chevaux_trait[Ration]&amp;Règles_chevaux_trait[Aliment],0)),0),0)*SUM(TotalChevauxTraitAdultes)*21)</f>
        <v>0</v>
      </c>
      <c r="FF171" s="458">
        <f t="array" ref="FF171">IF(OR(ChoixRationHivernaleComplèteChevauxTrait=OUI,ChoixRationHivernaleComplèteChevauxTrait="",ChoixChevauxTraitPréHiver=NON),0,IFERROR(IF(OR(AND(INDEX(Règles_chevaux_trait[Specificite],MATCH(RationHivernaleAuPréChevauxTrait&amp;$FD171,Règles_chevaux_trait[Ration]&amp;Règles_chevaux_trait[Aliment],0))="s1",IF($FD171=Spécificité1ChevauxTrait,1)),
AND(INDEX(Règles_chevaux_trait[Specificite],MATCH(RationHivernaleAuPréChevauxTrait&amp;$FD171,Règles_chevaux_trait[Ration]&amp;Règles_chevaux_trait[Aliment],0))="s2",IF($FD171=Spécificité2ChevauxTrait,1)),
INDEX(Règles_chevaux_trait[Specificite],MATCH(RationHivernaleAuPréChevauxTrait&amp;$FD171,Règles_chevaux_trait[Ration]&amp;Règles_chevaux_trait[Aliment],0))="c"),
INDEX(Règles_chevaux_trait[Valeur 24-36],MATCH(RationHivernaleAuPréChevauxTrait&amp;$FD171,Règles_chevaux_trait[Ration]&amp;Règles_chevaux_trait[Aliment],0)),0),0)*SUM(TotalChevauxTrait_24_36mois)*21)</f>
        <v>0</v>
      </c>
      <c r="FG171" s="458">
        <f t="array" ref="FG171">IF(OR(ChoixRationHivernaleComplèteChevauxTrait=OUI,ChoixRationHivernaleComplèteChevauxTrait="",ChoixChevauxTraitPréHiver=NON),0,IFERROR(IF(OR(AND(INDEX(Règles_chevaux_trait[Specificite],MATCH(RationHivernaleAuPréChevauxTrait&amp;$FD171,Règles_chevaux_trait[Ration]&amp;Règles_chevaux_trait[Aliment],0))="s1",IF($FD171=Spécificité1ChevauxTrait,1)),
AND(INDEX(Règles_chevaux_trait[Specificite],MATCH(RationHivernaleAuPréChevauxTrait&amp;$FD171,Règles_chevaux_trait[Ration]&amp;Règles_chevaux_trait[Aliment],0))="s2",IF($FD171=Spécificité2ChevauxTrait,1)),
INDEX(Règles_chevaux_trait[Specificite],MATCH(RationHivernaleAuPréChevauxTrait&amp;$FD171,Règles_chevaux_trait[Ration]&amp;Règles_chevaux_trait[Aliment],0))="c"),
INDEX(Règles_chevaux_trait[Valeur 12-24],MATCH(RationHivernaleAuPréChevauxTrait&amp;$FD171,Règles_chevaux_trait[Ration]&amp;Règles_chevaux_trait[Aliment],0)),0),0)*SUM(TotalChevauxTrait_12_24mois)*21)</f>
        <v>0</v>
      </c>
      <c r="FH171" s="460">
        <f t="array" ref="FH171">IF(OR(ChoixRationHivernaleComplèteChevauxTrait=OUI,ChoixRationHivernaleComplèteChevauxTrait="",ChoixChevauxTraitPréHiver=NON),0,IFERROR(IF(OR(AND(INDEX(Règles_chevaux_trait[Specificite],MATCH(RationHivernaleAuPréChevauxTrait&amp;$FD171,Règles_chevaux_trait[Ration]&amp;Règles_chevaux_trait[Aliment],0))="s1",IF($FD171=Spécificité1ChevauxTrait,1)),
AND(INDEX(Règles_chevaux_trait[Specificite],MATCH(RationHivernaleAuPréChevauxTrait&amp;$FD171,Règles_chevaux_trait[Ration]&amp;Règles_chevaux_trait[Aliment],0))="s2",IF($FD171=Spécificité2ChevauxTrait,1)),
INDEX(Règles_chevaux_trait[Specificite],MATCH(RationHivernaleAuPréChevauxTrait&amp;$FD171,Règles_chevaux_trait[Ration]&amp;Règles_chevaux_trait[Aliment],0))="c"),
INDEX(Règles_chevaux_trait[Valeur 0-12],MATCH(RationHivernaleAuPréChevauxTrait&amp;$FD171,Règles_chevaux_trait[Ration]&amp;Règles_chevaux_trait[Aliment],0)),0),0)*SUM(TotalPoulainsTrait)*21)</f>
        <v>0</v>
      </c>
      <c r="FI171" s="460">
        <f t="shared" si="47"/>
        <v>0</v>
      </c>
      <c r="FN171" s="457" t="str">
        <f t="shared" si="48"/>
        <v>Tourteau de colza</v>
      </c>
      <c r="FO171" s="458">
        <f t="array" ref="FO171">IF(OR(ChoixRationHivernaleComplètePoneys=OUI,ChoixRationHivernaleComplètePoneys="",ChoixPoneysPréHiver=NON),0,IFERROR(IF(OR(AND(INDEX(Règles_poneys[Specificite],MATCH(RationHivernaleAuPréPoneys&amp;$FN171,Règles_poneys[Ration]&amp;Règles_poneys[Aliment],0))="s1",IF($FN171=Spécificité1Poneys,1)),
AND(INDEX(Règles_poneys[Specificite],MATCH(RationHivernaleAuPréPoneys&amp;$FN171,Règles_poneys[Ration]&amp;Règles_poneys[Aliment],0))="s2",IF($FN171=Spécificité2Poneys,1)),
INDEX(Règles_poneys[Specificite],MATCH(RationHivernaleAuPréPoneys&amp;$FN171,Règles_poneys[Ration]&amp;Règles_poneys[Aliment],0))="c"),
INDEX(Règles_poneys[Valeur 36 et plus],MATCH(RationHivernaleAuPréPoneys&amp;$FN171,Règles_poneys[Ration]&amp;Règles_poneys[Aliment],0)),0),0)*SUM(TotalPoneysAdultes)*21)</f>
        <v>0</v>
      </c>
      <c r="FP171" s="458">
        <f t="array" ref="FP171">IF(OR(ChoixRationHivernaleComplètePoneys=OUI,ChoixRationHivernaleComplètePoneys="",ChoixPoneysPréHiver=NON),0,IFERROR(IF(OR(AND(INDEX(Règles_poneys[Specificite],MATCH(RationHivernaleAuPréPoneys&amp;$FN171,Règles_poneys[Ration]&amp;Règles_poneys[Aliment],0))="s1",IF($FN171=Spécificité1Poneys,1)),
AND(INDEX(Règles_poneys[Specificite],MATCH(RationHivernaleAuPréPoneys&amp;$FN171,Règles_poneys[Ration]&amp;Règles_poneys[Aliment],0))="s2",IF($FN171=Spécificité2Poneys,1)),
INDEX(Règles_poneys[Specificite],MATCH(RationHivernaleAuPréPoneys&amp;$FN171,Règles_poneys[Ration]&amp;Règles_poneys[Aliment],0))="c"),
INDEX(Règles_poneys[Valeur 24-36],MATCH(RationHivernaleAuPréPoneys&amp;$FN171,Règles_poneys[Ration]&amp;Règles_poneys[Aliment],0)),0),0)*SUM(TotalPoneys_24_36mois)*21)</f>
        <v>0</v>
      </c>
      <c r="FQ171" s="458">
        <f t="array" ref="FQ171">IF(OR(ChoixRationHivernaleComplètePoneys=OUI,ChoixRationHivernaleComplètePoneys="",ChoixPoneysPréHiver=NON),0,IFERROR(IF(OR(AND(INDEX(Règles_poneys[Specificite],MATCH(RationHivernaleAuPréPoneys&amp;$FN171,Règles_poneys[Ration]&amp;Règles_poneys[Aliment],0))="s1",IF($FN171=Spécificité1Poneys,1)),
AND(INDEX(Règles_poneys[Specificite],MATCH(RationHivernaleAuPréPoneys&amp;$FN171,Règles_poneys[Ration]&amp;Règles_poneys[Aliment],0))="s2",IF($FN171=Spécificité2Poneys,1)),
INDEX(Règles_poneys[Specificite],MATCH(RationHivernaleAuPréPoneys&amp;$FN171,Règles_poneys[Ration]&amp;Règles_poneys[Aliment],0))="c"),
INDEX(Règles_poneys[Valeur 12-24],MATCH(RationHivernaleAuPréPoneys&amp;$FN171,Règles_poneys[Ration]&amp;Règles_poneys[Aliment],0)),0),0)*SUM(TotalPoneys_12_24mois)*21)</f>
        <v>0</v>
      </c>
      <c r="FR171" s="460">
        <f t="array" ref="FR171">IF(OR(ChoixRationHivernaleComplètePoneys=OUI,ChoixRationHivernaleComplètePoneys="",ChoixPoneysPréHiver=NON),0,IFERROR(IF(OR(AND(INDEX(Règles_poneys[Specificite],MATCH(RationHivernaleAuPréPoneys&amp;$FN171,Règles_poneys[Ration]&amp;Règles_poneys[Aliment],0))="s1",IF($FN171=Spécificité1Poneys,1)),
AND(INDEX(Règles_poneys[Specificite],MATCH(RationHivernaleAuPréPoneys&amp;$FN171,Règles_poneys[Ration]&amp;Règles_poneys[Aliment],0))="s2",IF($FN171=Spécificité2Poneys,1)),
INDEX(Règles_poneys[Specificite],MATCH(RationHivernaleAuPréPoneys&amp;$FN171,Règles_poneys[Ration]&amp;Règles_poneys[Aliment],0))="c"),
INDEX(Règles_poneys[Valeur 0-12],MATCH(RationHivernaleAuPréPoneys&amp;$FN171,Règles_poneys[Ration]&amp;Règles_poneys[Aliment],0)),0),0)*SUM(TotalPoulainsPoneys)*21)</f>
        <v>0</v>
      </c>
      <c r="FS171" s="460">
        <f t="shared" si="46"/>
        <v>0</v>
      </c>
      <c r="FW171" s="457">
        <f t="shared" si="44"/>
        <v>0</v>
      </c>
      <c r="FX171" s="458"/>
      <c r="FY171" s="458"/>
      <c r="FZ171" s="458"/>
      <c r="GB171" s="281"/>
      <c r="GG171" s="276" t="s">
        <v>955</v>
      </c>
      <c r="GH171" s="276" t="s">
        <v>955</v>
      </c>
      <c r="GI171" s="276" t="s">
        <v>955</v>
      </c>
      <c r="GJ171" s="276" t="s">
        <v>955</v>
      </c>
      <c r="GK171" s="276" t="s">
        <v>955</v>
      </c>
      <c r="GL171" s="276" t="s">
        <v>955</v>
      </c>
      <c r="GM171" s="276" t="s">
        <v>955</v>
      </c>
      <c r="GN171" s="276" t="s">
        <v>955</v>
      </c>
      <c r="GO171" s="276" t="s">
        <v>955</v>
      </c>
      <c r="GP171" s="276" t="s">
        <v>955</v>
      </c>
      <c r="GQ171" s="276" t="s">
        <v>955</v>
      </c>
      <c r="GR171" s="276" t="s">
        <v>955</v>
      </c>
      <c r="GS171" s="276" t="s">
        <v>955</v>
      </c>
      <c r="GT171" s="276" t="s">
        <v>955</v>
      </c>
      <c r="GU171" s="276" t="s">
        <v>955</v>
      </c>
      <c r="GV171" s="276" t="s">
        <v>955</v>
      </c>
    </row>
    <row r="172" spans="1:204" ht="12.75" customHeight="1" x14ac:dyDescent="0.2">
      <c r="A172" s="373"/>
      <c r="B172" s="382"/>
      <c r="BB172" s="387" t="s">
        <v>949</v>
      </c>
      <c r="BC172" s="362" t="s">
        <v>518</v>
      </c>
      <c r="BD172" s="362" t="s">
        <v>886</v>
      </c>
      <c r="BE172" s="388">
        <v>200</v>
      </c>
      <c r="BF172" s="388">
        <v>100</v>
      </c>
      <c r="BG172" s="388">
        <v>80</v>
      </c>
      <c r="BH172" s="388">
        <v>60</v>
      </c>
      <c r="BI172" s="388">
        <v>40</v>
      </c>
      <c r="BJ172" s="388">
        <v>28</v>
      </c>
      <c r="BK172" s="389">
        <v>12</v>
      </c>
      <c r="BL172" s="276"/>
      <c r="BX172" s="350" t="str">
        <f t="shared" si="51"/>
        <v>Sorgho ensilé</v>
      </c>
      <c r="BY172" s="350">
        <f t="array" ref="BY172">IF(ChoixRationComplèteCaprins=OUI,0,IFERROR(IF(OR(AND(INDEX(Règles_caprins[Specificite],MATCH(ChoixRationCaprins&amp;$BX172,Règles_caprins[Ration]&amp;Règles_caprins[Aliment],0))="s1",IF($BX172=Spécificité1Caprins,1)),
INDEX(Règles_caprins[Specificite],MATCH(ChoixRationCaprins&amp;$BX172,Règles_caprins[Ration]&amp;Règles_caprins[Aliment],0))="c"),
INDEX(Règles_caprins[Valeur 12 et plus],MATCH(ChoixRationCaprins&amp;$BX172,Règles_caprins[Ration]&amp;Règles_caprins[Aliment],0)),0),0)*TotalChèvres*NbreJoursNourrirCaprins)</f>
        <v>0</v>
      </c>
      <c r="BZ172" s="350">
        <f t="array" ref="BZ172">IF(ChoixRationComplèteCaprins=OUI,0,IFERROR(IF(OR(AND(INDEX(Règles_caprins[Specificite],MATCH(ChoixRationCaprins&amp;$BX172,Règles_caprins[Ration]&amp;Règles_caprins[Aliment],0))="s1",IF($BX172=Spécificité1Caprins,1)),
INDEX(Règles_caprins[Specificite],MATCH(ChoixRationCaprins&amp;$BX172,Règles_caprins[Ration]&amp;Règles_caprins[Aliment],0))="c"),
INDEX(Règles_caprins[Valeur 6-12],MATCH(ChoixRationCaprins&amp;$BX172,Règles_caprins[Ration]&amp;Règles_caprins[Aliment],0)),0),0)*jeune_chèvre_6_12_mois*NbreJoursNourrirCaprins)</f>
        <v>0</v>
      </c>
      <c r="CA172" s="350">
        <f t="array" ref="CA172">IF(ChoixRationComplèteCaprins=OUI,0,IFERROR(IF(OR(AND(INDEX(Règles_caprins[Specificite],MATCH(ChoixRationCaprins&amp;$BX172,Règles_caprins[Ration]&amp;Règles_caprins[Aliment],0))="s1",IF($BX172=Spécificité1Caprins,1)),
INDEX(Règles_caprins[Specificite],MATCH(ChoixRationCaprins&amp;$BX172,Règles_caprins[Ration]&amp;Règles_caprins[Aliment],0))="c"),
INDEX(Règles_caprins[Valeur 3-6],MATCH(ChoixRationCaprins&amp;$BX172,Règles_caprins[Ration]&amp;Règles_caprins[Aliment],0)),0),0)*chevrette_3_6_mois*NbreJoursNourrirCaprins)</f>
        <v>0</v>
      </c>
      <c r="CB172" s="350">
        <f t="array" ref="CB172">IF(ChoixRationComplèteCaprins=OUI,0,IFERROR(IF(OR(AND(INDEX(Règles_caprins[Specificite],MATCH(ChoixRationCaprins&amp;$BX172,Règles_caprins[Ration]&amp;Règles_caprins[Aliment],0))="s1",IF($BX172=Spécificité1Caprins,1)),
INDEX(Règles_caprins[Specificite],MATCH(ChoixRationCaprins&amp;$BX172,Règles_caprins[Ration]&amp;Règles_caprins[Aliment],0))="c"),
INDEX(Règles_caprins[Valeur 0-3],MATCH(ChoixRationCaprins&amp;$BX172,Règles_caprins[Ration]&amp;Règles_caprins[Aliment],0)),0),0)*chevrette_0_3_mois*NbreJoursNourrirCaprins)</f>
        <v>0</v>
      </c>
      <c r="CC172" s="350">
        <f t="shared" si="50"/>
        <v>0</v>
      </c>
      <c r="CH172" s="298"/>
      <c r="CI172" s="277"/>
      <c r="CJ172" s="350">
        <f t="shared" si="45"/>
        <v>0</v>
      </c>
      <c r="CK172" s="351"/>
      <c r="CL172" s="351"/>
      <c r="CM172" s="351"/>
      <c r="CN172" s="277"/>
      <c r="CO172" s="277"/>
      <c r="CP172" s="277"/>
      <c r="CS172" s="350" t="str">
        <f t="shared" si="59"/>
        <v>Maïs ensilé</v>
      </c>
      <c r="CT172" s="351">
        <f t="array" ref="CT172">SUM((IF(QualitéAlimentsLapereauMâle_0_1_mois=BONNE,VLOOKUP("Maïs ensilé",AlimentsRationLapinsMâles[],4,FALSE),0)+(IF(QualitéAlimentsLapereauFemelle_0_1_mois=BONNE,VLOOKUP("Maïs ensilé",AlimentsRationLapinsFemelles[],4,FALSE),0)+(IF(QualitéAlimentsJeuneLapin=BONNE,VLOOKUP("Maïs ensilé",AlimentsRationLapinsMâles[],3,FALSE),0)+(IF(QualitéAlimentsJeuneLapine=BONNE,VLOOKUP("Maïs ensilé",AlimentsRationLapinsFemelles[],3,FALSE),0)+(IF(QualitéAlimentsLapin=BONNE,VLOOKUP("Maïs ensilé",AlimentsRationLapinsMâles[],2,FALSE),0)+(IF(QualitéAlimentsLapine=BONNE,VLOOKUP("Maïs ensilé",AlimentsRationLapinsFemelles[],2,FALSE),0))))))))</f>
        <v>0</v>
      </c>
      <c r="CU172" s="351">
        <f t="array" ref="CU172">SUM((IF(QualitéAlimentsLapereauMâle_0_1_mois=MOYENNE,VLOOKUP("Maïs ensilé",AlimentsRationLapinsMâles[],4,FALSE),0)+(IF(QualitéAlimentsLapereauFemelle_0_1_mois=MOYENNE,VLOOKUP("Maïs ensilé",AlimentsRationLapinsFemelles[],4,FALSE),0)+(IF(QualitéAlimentsJeuneLapin=MOYENNE,VLOOKUP("Maïs ensilé",AlimentsRationLapinsMâles[],3,FALSE),0)+(IF(QualitéAlimentsJeuneLapine=MOYENNE,VLOOKUP("Maïs ensilé",AlimentsRationLapinsFemelles[],3,FALSE),0)+(IF(QualitéAlimentsLapin=MOYENNE,VLOOKUP("Maïs ensilé",AlimentsRationLapinsMâles[],2,FALSE),0)+(IF(QualitéAlimentsLapine=MOYENNE,VLOOKUP("Maïs ensilé",AlimentsRationLapinsFemelles[],2,FALSE),0))))))))</f>
        <v>0</v>
      </c>
      <c r="CV172" s="351">
        <f t="array" ref="CV172">SUM((IF(QualitéAlimentsLapereauMâle_0_1_mois=MAUVAISE,VLOOKUP("Maïs ensilé",AlimentsRationLapinsMâles[],4,FALSE),0)+(IF(QualitéAlimentsLapereauFemelle_0_1_mois=MAUVAISE,VLOOKUP("Maïs ensilé",AlimentsRationLapinsFemelles[],4,FALSE),0)+(IF(QualitéAlimentsJeuneLapin=MAUVAISE,VLOOKUP("Maïs ensilé",AlimentsRationLapinsMâles[],3,FALSE),0)+(IF(QualitéAlimentsJeuneLapine=MAUVAISE,VLOOKUP("Maïs ensilé",AlimentsRationLapinsFemelles[],3,FALSE),0)+(IF(QualitéAlimentsLapin=MAUVAISE,VLOOKUP("Maïs ensilé",AlimentsRationLapinsMâles[],2,FALSE),0)+(IF(QualitéAlimentsLapine=MAUVAISE,VLOOKUP("Maïs ensilé",AlimentsRationLapinsFemelles[],2,FALSE),0))))))))</f>
        <v>0</v>
      </c>
      <c r="CZ172" s="350" t="str">
        <f t="shared" si="58"/>
        <v>Maïs grain</v>
      </c>
      <c r="DA172" s="351">
        <f t="array" ref="DA172">SUM((IF(QualitéAlimentsPoussinMâle_0_1_mois=BONNE,VLOOKUP("Maïs grain",AlimentsRationVolaillesMâles[],4,FALSE),0)+(IF(QualitéAlimentsPoussinFemelle_0_1_mois=BONNE,VLOOKUP("Maïs grain",AlimentsRationVolaillesFemelles[],4,FALSE),0)+(IF(QualitéAlimentsJeuneCoq=BONNE,VLOOKUP("Maïs grain",AlimentsRationVolaillesMâles[],3,FALSE),0)+(IF(QualitéAlimentsJeunePoule=BONNE,VLOOKUP("Maïs grain",AlimentsRationVolaillesFemelles[],3,FALSE),0)+(IF(QualitéAlimentsCoq=BONNE,VLOOKUP("Maïs grain",AlimentsRationVolaillesMâles[],2,FALSE),0)+(IF(QualitéAlimentsPoule=BONNE,VLOOKUP("Maïs grain",AlimentsRationVolaillesFemelles[],2,FALSE),0))))))))</f>
        <v>0</v>
      </c>
      <c r="DB172" s="351">
        <f t="array" ref="DB172">SUM((IF(QualitéAlimentsPoussinMâle_0_1_mois=MOYENNE,VLOOKUP("Maïs grain",AlimentsRationVolaillesMâles[],4,FALSE),0)+(IF(QualitéAlimentsPoussinFemelle_0_1_mois=MOYENNE,VLOOKUP("Maïs grain",AlimentsRationVolaillesFemelles[],4,FALSE),0)+(IF(QualitéAlimentsJeuneCoq=MOYENNE,VLOOKUP("Maïs grain",AlimentsRationVolaillesMâles[],3,FALSE),0)+(IF(QualitéAlimentsJeunePoule=MOYENNE,VLOOKUP("Maïs grain",AlimentsRationVolaillesFemelles[],3,FALSE),0)+(IF(QualitéAlimentsCoq=MOYENNE,VLOOKUP("Maïs grain",AlimentsRationVolaillesMâles[],2,FALSE),0)+(IF(QualitéAlimentsPoule=MOYENNE,VLOOKUP("Maïs grain",AlimentsRationVolaillesFemelles[],2,FALSE),0))))))))</f>
        <v>0</v>
      </c>
      <c r="DC172" s="351">
        <f t="array" ref="DC172">SUM((IF(QualitéAlimentsPoussinMâle_0_1_mois=MAUVAISE,VLOOKUP("Maïs grain",AlimentsRationVolaillesMâles[],4,FALSE),0)+(IF(QualitéAlimentsPoussinFemelle_0_1_mois=MAUVAISE,VLOOKUP("Maïs grain",AlimentsRationVolaillesFemelles[],4,FALSE),0)+(IF(QualitéAlimentsJeuneCoq=MAUVAISE,VLOOKUP("Maïs grain",AlimentsRationVolaillesMâles[],3,FALSE),0)+(IF(QualitéAlimentsJeunePoule=MAUVAISE,VLOOKUP("Maïs grain",AlimentsRationVolaillesFemelles[],3,FALSE),0)+(IF(QualitéAlimentsCoq=MAUVAISE,VLOOKUP("Maïs grain",AlimentsRationVolaillesMâles[],2,FALSE),0)+(IF(QualitéAlimentsPoule=MAUVAISE,VLOOKUP("Maïs grain",AlimentsRationVolaillesFemelles[],2,FALSE),0))))))))</f>
        <v>0</v>
      </c>
      <c r="DG172" s="350" t="str">
        <f t="shared" si="52"/>
        <v>Sorgho ensilé</v>
      </c>
      <c r="DH172" s="351">
        <f t="array" ref="DH172">SUM((IF(QualitéAlimentsPintadeauMâle_0_1_mois=BONNE,VLOOKUP("Sorho ensilé",AlimentsRationPintadesMâles[],4,FALSE),0)+(IF(QualitéAlimentsPintadeauFemelle_0_1_mois=BONNE,VLOOKUP("Sorho ensilé",AlimentsRationPintadesFemelles[],4,FALSE),0)+(IF(QualitéAlimentsJeunePintadeMâle=BONNE,VLOOKUP("Sorho ensilé",AlimentsRationPintadesMâles[],3,FALSE),0)+(IF(QualitéAlimentsJeunePintadeFemelle=BONNE,VLOOKUP("Sorho ensilé",AlimentsRationPintadesFemelles[],3,FALSE),0)+(IF(QualitéAlimentsPintadeMâle=BONNE,VLOOKUP("Sorho ensilé",AlimentsRationPintadesMâles[],2,FALSE),0)+(IF(QualitéAlimentsPintadeFemelle=BONNE,VLOOKUP("Sorho ensilé",AlimentsRationPintadesFemelles[],2,FALSE),0))))))))</f>
        <v>0</v>
      </c>
      <c r="DI172" s="351">
        <f t="array" ref="DI172">SUM((IF(QualitéAlimentsPintadeauMâle_0_1_mois=MOYENNE,VLOOKUP("Sorho ensilé",AlimentsRationPintadesMâles[],4,FALSE),0)+(IF(QualitéAlimentsPintadeauFemelle_0_1_mois=MOYENNE,VLOOKUP("Sorho ensilé",AlimentsRationPintadesFemelles[],4,FALSE),0)+(IF(QualitéAlimentsJeunePintadeMâle=MOYENNE,VLOOKUP("Sorho ensilé",AlimentsRationPintadesMâles[],3,FALSE),0)+(IF(QualitéAlimentsJeunePintadeFemelle=MOYENNE,VLOOKUP("Sorho ensilé",AlimentsRationPintadesFemelles[],3,FALSE),0)+(IF(QualitéAlimentsPintadeMâle=MOYENNE,VLOOKUP("Sorho ensilé",AlimentsRationPintadesMâles[],2,FALSE),0)+(IF(QualitéAlimentsPintadeFemelle=MOYENNE,VLOOKUP("Sorho ensilé",AlimentsRationPintadesFemelles[],2,FALSE),0))))))))</f>
        <v>0</v>
      </c>
      <c r="DJ172" s="351">
        <f t="array" ref="DJ172">SUM((IF(QualitéAlimentsPintadeauMâle_0_1_mois=MAUVAISE,VLOOKUP("Sorho ensilé",AlimentsRationPintadesMâles[],4,FALSE),0)+(IF(QualitéAlimentsPintadeauFemelle_0_1_mois=MAUVAISE,VLOOKUP("Sorho ensilé",AlimentsRationPintadesFemelles[],4,FALSE),0)+(IF(QualitéAlimentsJeunePintadeMâle=MAUVAISE,VLOOKUP("Sorho ensilé",AlimentsRationPintadesMâles[],3,FALSE),0)+(IF(QualitéAlimentsJeunePintadeFemelle=MAUVAISE,VLOOKUP("Sorho ensilé",AlimentsRationPintadesFemelles[],3,FALSE),0)+(IF(QualitéAlimentsPintadeMâle=MAUVAISE,VLOOKUP("Sorho ensilé",AlimentsRationPintadesMâles[],2,FALSE),0)+(IF(QualitéAlimentsPintadeFemelle=MAUVAISE,VLOOKUP("Sorho ensilé",AlimentsRationPintadesFemelles[],2,FALSE),0))))))))</f>
        <v>0</v>
      </c>
      <c r="DN172" s="350" t="s">
        <v>232</v>
      </c>
      <c r="DO172" s="351">
        <f t="array" ref="DO172">IF(ChoixRationComplèteOvins=OUI,0,IFERROR(IF(OR(AND(INDEX(Règles_ovins[Specificite],MATCH(ChoixRationOvins&amp;$DN172,Règles_ovins[Ration]&amp;Règles_ovins[Aliment],0))="s1",IF($DN172=Spécificité1Ovins,1)),
AND(INDEX(Règles_ovins[Specificite],MATCH(ChoixRationOvins&amp;$DN172,Règles_ovins[Ration]&amp;Règles_ovins[Aliment],0))="s2",IF($DN172=Spécificité2Ovins,1)),
INDEX(Règles_ovins[Specificite],MATCH(ChoixRationOvins&amp;$DN172,Règles_ovins[Ration]&amp;Règles_ovins[Aliment],0))="c"),
INDEX(Règles_ovins[Valeur 12 et plus],MATCH(ChoixRationOvins&amp;$DN172,Règles_ovins[Ration]&amp;Règles_ovins[Aliment],0)),0),0)*IF(ChoixOvinsPréHiver=OUI,SUM(TotalOvinsAdultesRacesLaitières)*NbreJoursNourrirOvins,TotalBéliers*NbreJoursNourrirOvins))</f>
        <v>0</v>
      </c>
      <c r="DP172" s="351">
        <f t="array" ref="DP172">IF(ChoixRationComplèteOvins=OUI,0,IFERROR(IF(OR(AND(INDEX(Règles_ovins[Specificite],MATCH(ChoixRationOvins&amp;$DN172,Règles_ovins[Ration]&amp;Règles_ovins[Aliment],0))="s1",IF($DN172=Spécificité1Ovins,1)),
AND(INDEX(Règles_ovins[Specificite],MATCH(ChoixRationOvins&amp;$DN172,Règles_ovins[Ration]&amp;Règles_ovins[Aliment],0))="s2",IF($DN172=Spécificité2Ovins,1)),
INDEX(Règles_ovins[Specificite],MATCH(ChoixRationOvins&amp;$DN172,Règles_ovins[Ration]&amp;Règles_ovins[Aliment],0))="c"),
INDEX(Règles_ovins[Valeur 6-12],MATCH(ChoixRationOvins&amp;$DN172,Règles_ovins[Ration]&amp;Règles_ovins[Aliment],0)),0),0)*IF(ChoixOvinsPréHiver=OUI,SUM(TotalJeunesOvinsRacesLaitières)*NbreJoursNourrirOvins,TotalJeune_bélier_6_12_mois*NbreJoursNourrirOvins))</f>
        <v>0</v>
      </c>
      <c r="DQ172" s="351">
        <f t="array" ref="DQ172">IF(ChoixRationComplèteOvins=OUI,0,IFERROR(IF(OR(AND(INDEX(Règles_ovins[Specificite],MATCH(ChoixRationOvins&amp;$DN172,Règles_ovins[Ration]&amp;Règles_ovins[Aliment],0))="s1",IF($DN172=Spécificité1Ovins,1)),
AND(INDEX(Règles_ovins[Specificite],MATCH(ChoixRationOvins&amp;$DN172,Règles_ovins[Ration]&amp;Règles_ovins[Aliment],0))="s2",IF($DN172=Spécificité2Ovins,1)),
INDEX(Règles_ovins[Specificite],MATCH(ChoixRationOvins&amp;$DN172,Règles_ovins[Ration]&amp;Règles_ovins[Aliment],0))="c"),
INDEX(Règles_ovins[Valeur 3-6],MATCH(ChoixRationOvins&amp;$DN172,Règles_ovins[Ration]&amp;Règles_ovins[Aliment],0)),0),0)*IF(ChoixOvinsPréHiver=OUI,SUM(TotalOvins_3_6moisRacesLaitières)*NbreJoursNourrirOvins,TotalAgneau_3_6_mois*NbreJoursNourrirOvins))</f>
        <v>0</v>
      </c>
      <c r="DR172" s="351">
        <f t="array" ref="DR172">IF(ChoixRationComplèteOvins=OUI,0,IFERROR(IF(OR(AND(INDEX(Règles_ovins[Specificite],MATCH(ChoixRationOvins&amp;$DN172,Règles_ovins[Ration]&amp;Règles_ovins[Aliment],0))="s1",IF($DN172=Spécificité1Ovins,1)),
AND(INDEX(Règles_ovins[Specificite],MATCH(ChoixRationOvins&amp;$DN172,Règles_ovins[Ration]&amp;Règles_ovins[Aliment],0))="s2",IF($DN172=Spécificité2Ovins,1)),
INDEX(Règles_ovins[Specificite],MATCH(ChoixRationOvins&amp;$DN172,Règles_ovins[Ration]&amp;Règles_ovins[Aliment],0))="c"),
INDEX(Règles_ovins[Valeur 0-3],MATCH(ChoixRationOvins&amp;$DN172,Règles_ovins[Ration]&amp;Règles_ovins[Aliment],0)),0),0)*IF(ChoixOvinsPréHiver=OUI,SUM(TotalOvins_3_6moisRacesLaitières)*NbreJoursNourrirOvins,TotalAgneau_0_3_mois*NbreJoursNourrirOvins))</f>
        <v>0</v>
      </c>
      <c r="DS172" s="441">
        <f t="shared" si="55"/>
        <v>0</v>
      </c>
      <c r="EG172" s="350" t="str">
        <f t="shared" si="57"/>
        <v>Pois</v>
      </c>
      <c r="EH172" s="351">
        <f t="array" ref="EH172">SUM((IF(QualitéAlimentsOisonMâle_0_3_mois=BONNE,VLOOKUP("Pois",AlimentsRationOiesMâles[],4,FALSE),0)+(IF(QualitéAlimentsOisonFemelle_0_3_mois=BONNE,VLOOKUP("Pois",AlimentsRationOiesFemelles[],4,FALSE),0)+(IF(QualitéAlimentsJeuneJars=BONNE,VLOOKUP("Pois",AlimentsRationOiesMâles[],3,FALSE),0)+(IF(QualitéAlimentsJeuneOie=BONNE,VLOOKUP("Pois",AlimentsRationOiesFemelles[],3,FALSE),0)+(IF(QualitéAlimentsJars=BONNE,VLOOKUP("Pois",AlimentsRationOiesMâles[],2,FALSE),0)+(IF(QualitéAlimentsOie=BONNE,VLOOKUP("Pois",AlimentsRationOiesFemelles[],2,FALSE),0))))))))</f>
        <v>0</v>
      </c>
      <c r="EI172" s="351">
        <f t="array" ref="EI172">SUM((IF(QualitéAlimentsOisonMâle_0_3_mois=MOYENNE,VLOOKUP("Pois",AlimentsRationOiesMâles[],4,FALSE),0)+(IF(QualitéAlimentsOisonFemelle_0_3_mois=MOYENNE,VLOOKUP("Pois",AlimentsRationOiesFemelles[],4,FALSE),0)+(IF(QualitéAlimentsJeuneJars=MOYENNE,VLOOKUP("Pois",AlimentsRationOiesMâles[],3,FALSE),0)+(IF(QualitéAlimentsJeuneOie=MOYENNE,VLOOKUP("Pois",AlimentsRationOiesFemelles[],3,FALSE),0)+(IF(QualitéAlimentsJars=MOYENNE,VLOOKUP("Pois",AlimentsRationOiesMâles[],2,FALSE),0)+(IF(QualitéAlimentsOie=MOYENNE,VLOOKUP("Pois",AlimentsRationOiesFemelles[],2,FALSE),0))))))))</f>
        <v>0</v>
      </c>
      <c r="EJ172" s="351">
        <f t="array" ref="EJ172">SUM((IF(QualitéAlimentsOisonMâle_0_3_mois=MAUVAISE,VLOOKUP("Pois",AlimentsRationOiesMâles[],4,FALSE),0)+(IF(QualitéAlimentsOisonFemelle_0_3_mois=MAUVAISE,VLOOKUP("Pois",AlimentsRationOiesFemelles[],4,FALSE),0)+(IF(QualitéAlimentsJeuneJars=MAUVAISE,VLOOKUP("Pois",AlimentsRationOiesMâles[],3,FALSE),0)+(IF(QualitéAlimentsJeuneOie=MAUVAISE,VLOOKUP("Pois",AlimentsRationOiesFemelles[],3,FALSE),0)+(IF(QualitéAlimentsJars=MAUVAISE,VLOOKUP("Pois",AlimentsRationOiesMâles[],2,FALSE),0)+(IF(QualitéAlimentsOie=MAUVAISE,VLOOKUP("Pois",AlimentsRationOiesFemelles[],2,FALSE),0))))))))</f>
        <v>0</v>
      </c>
      <c r="EN172" s="457" t="str">
        <f t="shared" si="56"/>
        <v>Pomme de terre</v>
      </c>
      <c r="EO172" s="458">
        <f t="array" ref="EO172">SUM((IF(QualitéAlimentsCanetonMâle=BONNE,VLOOKUP("Pomme de terre",AlimentsRationCanardsMâles,4,FALSE),0)+(IF(QualitéAlimentsCanetonFemelle=BONNE,VLOOKUP("Pomme de terre",AlimentsRationCanardsFemelles,4,FALSE),0)+(IF(QualitéAlimentsJeuneCanard=BONNE,VLOOKUP("Pomme de terre",AlimentsRationCanardsMâles,3,FALSE),0)+(IF(QualitéAlimentsJeuneCane=BONNE,VLOOKUP("Pomme de terre",AlimentsRationCanardsFemelles,3,FALSE),0)+(IF(QualitéAlimentsCanard=BONNE,VLOOKUP("Pomme de terre",AlimentsRationCanardsMâles,2,FALSE),0)+(IF(QualitéAlimentsCane=BONNE,VLOOKUP("Pomme de terre",AlimentsRationCanardsFemelles,2,FALSE),0))))))))</f>
        <v>0</v>
      </c>
      <c r="EP172" s="458">
        <f t="array" ref="EP172">SUM((IF(QualitéAlimentsCanetonMâle=MOYENNE,VLOOKUP("Pomme de terre",AlimentsRationCanardsMâles,4,FALSE),0)+(IF(QualitéAlimentsCanetonFemelle=MOYENNE,VLOOKUP("Pomme de terre",AlimentsRationCanardsFemelles,4,FALSE),0)+(IF(QualitéAlimentsJeuneCanard=MOYENNE,VLOOKUP("Pomme de terre",AlimentsRationCanardsMâles,3,FALSE),0)+(IF(QualitéAlimentsJeuneCane=MOYENNE,VLOOKUP("Pomme de terre",AlimentsRationCanardsFemelles,3,FALSE),0)+(IF(QualitéAlimentsCanard=MOYENNE,VLOOKUP("Pomme de terre",AlimentsRationCanardsMâles,2,FALSE),0)+(IF(QualitéAlimentsCane=MOYENNE,VLOOKUP("Pomme de terre",AlimentsRationCanardsFemelles,2,FALSE),0))))))))</f>
        <v>0</v>
      </c>
      <c r="EQ172" s="458">
        <f t="array" ref="EQ172">SUM((IF(QualitéAlimentsCanetonMâle=MAUVAISE,VLOOKUP("Pomme de terre",AlimentsRationCanardsMâles,4,FALSE),0)+(IF(QualitéAlimentsCanetonFemelle=MAUVAISE,VLOOKUP("Pomme de terre",AlimentsRationCanardsFemelles,4,FALSE),0)+(IF(QualitéAlimentsJeuneCanard=MAUVAISE,VLOOKUP("Pomme de terre",AlimentsRationCanardsMâles,3,FALSE),0)+(IF(QualitéAlimentsJeuneCane=MAUVAISE,VLOOKUP("Pomme de terre",AlimentsRationCanardsFemelles,3,FALSE),0)+(IF(QualitéAlimentsCanard=MAUVAISE,VLOOKUP("Pomme de terre",AlimentsRationCanardsMâles,2,FALSE),0)+(IF(QualitéAlimentsCane=MAUVAISE,VLOOKUP("Pomme de terre",AlimentsRationCanardsFemelles,2,FALSE),0))))))))</f>
        <v>0</v>
      </c>
      <c r="EU172" s="457" t="str">
        <f t="shared" si="54"/>
        <v>Pulpe déshydratée de betterave</v>
      </c>
      <c r="EV172" s="458">
        <f t="array" ref="EV172">IF(OR(ChoixRationHivernaleComplèteChevauxSelle=OUI,ChoixRationHivernaleComplèteChevauxSelle="",ChoixChevauxSellePréHiver=NON),0,IFERROR(IF(OR(AND(INDEX(Règles_chevaux_selle[Specificite],MATCH(RationHivernaleAuPréChevauxSelle&amp;$EU172,Règles_chevaux_selle[Ration]&amp;Règles_chevaux_selle[Aliment],0))="s1",IF($EU172=Spécificité1ChevauxSelle,1)),
AND(INDEX(Règles_chevaux_selle[Specificite],MATCH(RationHivernaleAuPréChevauxSelle&amp;$EU172,Règles_chevaux_selle[Ration]&amp;Règles_chevaux_selle[Aliment],0))="s2",IF($EU172=Spécificité2ChevauxSelle,1)),
INDEX(Règles_chevaux_selle[Specificite],MATCH(RationHivernaleAuPréChevauxSelle&amp;$EU172,Règles_chevaux_selle[Ration]&amp;Règles_chevaux_selle[Aliment],0))="c"),
INDEX(Règles_chevaux_selle[Valeur 36 et plus],MATCH(RationHivernaleAuPréChevauxSelle&amp;$EU172,Règles_chevaux_selle[Ration]&amp;Règles_chevaux_selle[Aliment],0)),0),0)*SUM(TotalChevauxSelleAdultes)*21)</f>
        <v>0</v>
      </c>
      <c r="EW172" s="458">
        <f t="array" ref="EW172">IF(OR(ChoixRationHivernaleComplèteChevauxSelle=OUI,ChoixRationHivernaleComplèteChevauxSelle="",ChoixChevauxSellePréHiver=NON),0,IFERROR(IF(OR(AND(INDEX(Règles_chevaux_selle[Specificite],MATCH(RationHivernaleAuPréChevauxSelle&amp;$EU172,Règles_chevaux_selle[Ration]&amp;Règles_chevaux_selle[Aliment],0))="s1",IF($EU172=Spécificité1ChevauxSelle,1)),
AND(INDEX(Règles_chevaux_selle[Specificite],MATCH(RationHivernaleAuPréChevauxSelle&amp;$EU172,Règles_chevaux_selle[Ration]&amp;Règles_chevaux_selle[Aliment],0))="s2",IF($EU172=Spécificité2ChevauxSelle,1)),
INDEX(Règles_chevaux_selle[Specificite],MATCH(RationHivernaleAuPréChevauxSelle&amp;$EU172,Règles_chevaux_selle[Ration]&amp;Règles_chevaux_selle[Aliment],0))="c"),
INDEX(Règles_chevaux_selle[Valeur 24-36],MATCH(RationHivernaleAuPréChevauxSelle&amp;$EU172,Règles_chevaux_selle[Ration]&amp;Règles_chevaux_selle[Aliment],0)),0),0)*SUM(TotalChevauxSelle_24_36mois)*21)</f>
        <v>0</v>
      </c>
      <c r="EX172" s="458">
        <f t="array" ref="EX172">IF(OR(ChoixRationHivernaleComplèteChevauxSelle=OUI,ChoixRationHivernaleComplèteChevauxSelle="",ChoixChevauxSellePréHiver=NON),0,IFERROR(IF(OR(AND(INDEX(Règles_chevaux_selle[Specificite],MATCH(RationHivernaleAuPréChevauxSelle&amp;$EU172,Règles_chevaux_selle[Ration]&amp;Règles_chevaux_selle[Aliment],0))="s1",IF($EU172=Spécificité1ChevauxSelle,1)),
AND(INDEX(Règles_chevaux_selle[Specificite],MATCH(RationHivernaleAuPréChevauxSelle&amp;$EU172,Règles_chevaux_selle[Ration]&amp;Règles_chevaux_selle[Aliment],0))="s2",IF($EU172=Spécificité2ChevauxSelle,1)),
INDEX(Règles_chevaux_selle[Specificite],MATCH(RationHivernaleAuPréChevauxSelle&amp;$EU172,Règles_chevaux_selle[Ration]&amp;Règles_chevaux_selle[Aliment],0))="c"),
INDEX(Règles_chevaux_selle[Valeur 12-24],MATCH(RationHivernaleAuPréChevauxSelle&amp;$EU172,Règles_chevaux_selle[Ration]&amp;Règles_chevaux_selle[Aliment],0)),0),0)*SUM(TotalChevauxSelle_12_24mois)*21)</f>
        <v>0</v>
      </c>
      <c r="EY172" s="460">
        <f t="array" ref="EY172">IF(OR(ChoixRationHivernaleComplèteChevauxSelle=OUI,ChoixRationHivernaleComplèteChevauxSelle="",ChoixChevauxSellePréHiver=NON),0,IFERROR(IF(OR(AND(INDEX(Règles_chevaux_selle[Specificite],MATCH(RationHivernaleAuPréChevauxSelle&amp;$EU172,Règles_chevaux_selle[Ration]&amp;Règles_chevaux_selle[Aliment],0))="s1",IF($EU172=Spécificité1ChevauxSelle,1)),
AND(INDEX(Règles_chevaux_selle[Specificite],MATCH(RationHivernaleAuPréChevauxSelle&amp;$EU172,Règles_chevaux_selle[Ration]&amp;Règles_chevaux_selle[Aliment],0))="s2",IF($EU172=Spécificité2ChevauxSelle,1)),
INDEX(Règles_chevaux_selle[Specificite],MATCH(RationHivernaleAuPréChevauxSelle&amp;$EU172,Règles_chevaux_selle[Ration]&amp;Règles_chevaux_selle[Aliment],0))="c"),
INDEX(Règles_chevaux_selle[Valeur 0-12],MATCH(RationHivernaleAuPréChevauxSelle&amp;$EU172,Règles_chevaux_selle[Ration]&amp;Règles_chevaux_selle[Aliment],0)),0),0)*SUM(TotalPoulainsSelle)*21)</f>
        <v>0</v>
      </c>
      <c r="EZ172" s="460">
        <f t="shared" si="53"/>
        <v>0</v>
      </c>
      <c r="FD172" s="457" t="str">
        <f t="shared" si="49"/>
        <v>Tourteau de colza</v>
      </c>
      <c r="FE172" s="458">
        <f t="array" ref="FE172">IF(OR(ChoixRationHivernaleComplèteChevauxTrait=OUI,ChoixRationHivernaleComplèteChevauxTrait="",ChoixChevauxTraitPréHiver=NON),0,IFERROR(IF(OR(AND(INDEX(Règles_chevaux_trait[Specificite],MATCH(RationHivernaleAuPréChevauxTrait&amp;$FD172,Règles_chevaux_trait[Ration]&amp;Règles_chevaux_trait[Aliment],0))="s1",IF($FD172=Spécificité1ChevauxTrait,1)),
AND(INDEX(Règles_chevaux_trait[Specificite],MATCH(RationHivernaleAuPréChevauxTrait&amp;$FD172,Règles_chevaux_trait[Ration]&amp;Règles_chevaux_trait[Aliment],0))="s2",IF($FD172=Spécificité2ChevauxTrait,1)),
INDEX(Règles_chevaux_trait[Specificite],MATCH(RationHivernaleAuPréChevauxTrait&amp;$FD172,Règles_chevaux_trait[Ration]&amp;Règles_chevaux_trait[Aliment],0))="c"),
INDEX(Règles_chevaux_trait[Valeur 36 et plus],MATCH(RationHivernaleAuPréChevauxTrait&amp;$FD172,Règles_chevaux_trait[Ration]&amp;Règles_chevaux_trait[Aliment],0)),0),0)*SUM(TotalChevauxTraitAdultes)*21)</f>
        <v>0</v>
      </c>
      <c r="FF172" s="458">
        <f t="array" ref="FF172">IF(OR(ChoixRationHivernaleComplèteChevauxTrait=OUI,ChoixRationHivernaleComplèteChevauxTrait="",ChoixChevauxTraitPréHiver=NON),0,IFERROR(IF(OR(AND(INDEX(Règles_chevaux_trait[Specificite],MATCH(RationHivernaleAuPréChevauxTrait&amp;$FD172,Règles_chevaux_trait[Ration]&amp;Règles_chevaux_trait[Aliment],0))="s1",IF($FD172=Spécificité1ChevauxTrait,1)),
AND(INDEX(Règles_chevaux_trait[Specificite],MATCH(RationHivernaleAuPréChevauxTrait&amp;$FD172,Règles_chevaux_trait[Ration]&amp;Règles_chevaux_trait[Aliment],0))="s2",IF($FD172=Spécificité2ChevauxTrait,1)),
INDEX(Règles_chevaux_trait[Specificite],MATCH(RationHivernaleAuPréChevauxTrait&amp;$FD172,Règles_chevaux_trait[Ration]&amp;Règles_chevaux_trait[Aliment],0))="c"),
INDEX(Règles_chevaux_trait[Valeur 24-36],MATCH(RationHivernaleAuPréChevauxTrait&amp;$FD172,Règles_chevaux_trait[Ration]&amp;Règles_chevaux_trait[Aliment],0)),0),0)*SUM(TotalChevauxTrait_24_36mois)*21)</f>
        <v>0</v>
      </c>
      <c r="FG172" s="458">
        <f t="array" ref="FG172">IF(OR(ChoixRationHivernaleComplèteChevauxTrait=OUI,ChoixRationHivernaleComplèteChevauxTrait="",ChoixChevauxTraitPréHiver=NON),0,IFERROR(IF(OR(AND(INDEX(Règles_chevaux_trait[Specificite],MATCH(RationHivernaleAuPréChevauxTrait&amp;$FD172,Règles_chevaux_trait[Ration]&amp;Règles_chevaux_trait[Aliment],0))="s1",IF($FD172=Spécificité1ChevauxTrait,1)),
AND(INDEX(Règles_chevaux_trait[Specificite],MATCH(RationHivernaleAuPréChevauxTrait&amp;$FD172,Règles_chevaux_trait[Ration]&amp;Règles_chevaux_trait[Aliment],0))="s2",IF($FD172=Spécificité2ChevauxTrait,1)),
INDEX(Règles_chevaux_trait[Specificite],MATCH(RationHivernaleAuPréChevauxTrait&amp;$FD172,Règles_chevaux_trait[Ration]&amp;Règles_chevaux_trait[Aliment],0))="c"),
INDEX(Règles_chevaux_trait[Valeur 12-24],MATCH(RationHivernaleAuPréChevauxTrait&amp;$FD172,Règles_chevaux_trait[Ration]&amp;Règles_chevaux_trait[Aliment],0)),0),0)*SUM(TotalChevauxTrait_12_24mois)*21)</f>
        <v>0</v>
      </c>
      <c r="FH172" s="460">
        <f t="array" ref="FH172">IF(OR(ChoixRationHivernaleComplèteChevauxTrait=OUI,ChoixRationHivernaleComplèteChevauxTrait="",ChoixChevauxTraitPréHiver=NON),0,IFERROR(IF(OR(AND(INDEX(Règles_chevaux_trait[Specificite],MATCH(RationHivernaleAuPréChevauxTrait&amp;$FD172,Règles_chevaux_trait[Ration]&amp;Règles_chevaux_trait[Aliment],0))="s1",IF($FD172=Spécificité1ChevauxTrait,1)),
AND(INDEX(Règles_chevaux_trait[Specificite],MATCH(RationHivernaleAuPréChevauxTrait&amp;$FD172,Règles_chevaux_trait[Ration]&amp;Règles_chevaux_trait[Aliment],0))="s2",IF($FD172=Spécificité2ChevauxTrait,1)),
INDEX(Règles_chevaux_trait[Specificite],MATCH(RationHivernaleAuPréChevauxTrait&amp;$FD172,Règles_chevaux_trait[Ration]&amp;Règles_chevaux_trait[Aliment],0))="c"),
INDEX(Règles_chevaux_trait[Valeur 0-12],MATCH(RationHivernaleAuPréChevauxTrait&amp;$FD172,Règles_chevaux_trait[Ration]&amp;Règles_chevaux_trait[Aliment],0)),0),0)*SUM(TotalPoulainsTrait)*21)</f>
        <v>0</v>
      </c>
      <c r="FI172" s="460">
        <f t="shared" si="47"/>
        <v>0</v>
      </c>
      <c r="FN172" s="457" t="str">
        <f t="shared" si="48"/>
        <v>Tourteau de tournesol</v>
      </c>
      <c r="FO172" s="458">
        <f t="array" ref="FO172">IF(OR(ChoixRationHivernaleComplètePoneys=OUI,ChoixRationHivernaleComplètePoneys="",ChoixPoneysPréHiver=NON),0,IFERROR(IF(OR(AND(INDEX(Règles_poneys[Specificite],MATCH(RationHivernaleAuPréPoneys&amp;$FN172,Règles_poneys[Ration]&amp;Règles_poneys[Aliment],0))="s1",IF($FN172=Spécificité1Poneys,1)),
AND(INDEX(Règles_poneys[Specificite],MATCH(RationHivernaleAuPréPoneys&amp;$FN172,Règles_poneys[Ration]&amp;Règles_poneys[Aliment],0))="s2",IF($FN172=Spécificité2Poneys,1)),
INDEX(Règles_poneys[Specificite],MATCH(RationHivernaleAuPréPoneys&amp;$FN172,Règles_poneys[Ration]&amp;Règles_poneys[Aliment],0))="c"),
INDEX(Règles_poneys[Valeur 36 et plus],MATCH(RationHivernaleAuPréPoneys&amp;$FN172,Règles_poneys[Ration]&amp;Règles_poneys[Aliment],0)),0),0)*SUM(TotalPoneysAdultes)*21)</f>
        <v>0</v>
      </c>
      <c r="FP172" s="458">
        <f t="array" ref="FP172">IF(OR(ChoixRationHivernaleComplètePoneys=OUI,ChoixRationHivernaleComplètePoneys="",ChoixPoneysPréHiver=NON),0,IFERROR(IF(OR(AND(INDEX(Règles_poneys[Specificite],MATCH(RationHivernaleAuPréPoneys&amp;$FN172,Règles_poneys[Ration]&amp;Règles_poneys[Aliment],0))="s1",IF($FN172=Spécificité1Poneys,1)),
AND(INDEX(Règles_poneys[Specificite],MATCH(RationHivernaleAuPréPoneys&amp;$FN172,Règles_poneys[Ration]&amp;Règles_poneys[Aliment],0))="s2",IF($FN172=Spécificité2Poneys,1)),
INDEX(Règles_poneys[Specificite],MATCH(RationHivernaleAuPréPoneys&amp;$FN172,Règles_poneys[Ration]&amp;Règles_poneys[Aliment],0))="c"),
INDEX(Règles_poneys[Valeur 24-36],MATCH(RationHivernaleAuPréPoneys&amp;$FN172,Règles_poneys[Ration]&amp;Règles_poneys[Aliment],0)),0),0)*SUM(TotalPoneys_24_36mois)*21)</f>
        <v>0</v>
      </c>
      <c r="FQ172" s="458">
        <f t="array" ref="FQ172">IF(OR(ChoixRationHivernaleComplètePoneys=OUI,ChoixRationHivernaleComplètePoneys="",ChoixPoneysPréHiver=NON),0,IFERROR(IF(OR(AND(INDEX(Règles_poneys[Specificite],MATCH(RationHivernaleAuPréPoneys&amp;$FN172,Règles_poneys[Ration]&amp;Règles_poneys[Aliment],0))="s1",IF($FN172=Spécificité1Poneys,1)),
AND(INDEX(Règles_poneys[Specificite],MATCH(RationHivernaleAuPréPoneys&amp;$FN172,Règles_poneys[Ration]&amp;Règles_poneys[Aliment],0))="s2",IF($FN172=Spécificité2Poneys,1)),
INDEX(Règles_poneys[Specificite],MATCH(RationHivernaleAuPréPoneys&amp;$FN172,Règles_poneys[Ration]&amp;Règles_poneys[Aliment],0))="c"),
INDEX(Règles_poneys[Valeur 12-24],MATCH(RationHivernaleAuPréPoneys&amp;$FN172,Règles_poneys[Ration]&amp;Règles_poneys[Aliment],0)),0),0)*SUM(TotalPoneys_12_24mois)*21)</f>
        <v>0</v>
      </c>
      <c r="FR172" s="460">
        <f t="array" ref="FR172">IF(OR(ChoixRationHivernaleComplètePoneys=OUI,ChoixRationHivernaleComplètePoneys="",ChoixPoneysPréHiver=NON),0,IFERROR(IF(OR(AND(INDEX(Règles_poneys[Specificite],MATCH(RationHivernaleAuPréPoneys&amp;$FN172,Règles_poneys[Ration]&amp;Règles_poneys[Aliment],0))="s1",IF($FN172=Spécificité1Poneys,1)),
AND(INDEX(Règles_poneys[Specificite],MATCH(RationHivernaleAuPréPoneys&amp;$FN172,Règles_poneys[Ration]&amp;Règles_poneys[Aliment],0))="s2",IF($FN172=Spécificité2Poneys,1)),
INDEX(Règles_poneys[Specificite],MATCH(RationHivernaleAuPréPoneys&amp;$FN172,Règles_poneys[Ration]&amp;Règles_poneys[Aliment],0))="c"),
INDEX(Règles_poneys[Valeur 0-12],MATCH(RationHivernaleAuPréPoneys&amp;$FN172,Règles_poneys[Ration]&amp;Règles_poneys[Aliment],0)),0),0)*SUM(TotalPoulainsPoneys)*21)</f>
        <v>0</v>
      </c>
      <c r="FS172" s="460">
        <f t="shared" si="46"/>
        <v>0</v>
      </c>
      <c r="FW172" s="457">
        <f t="shared" si="44"/>
        <v>0</v>
      </c>
      <c r="FX172" s="458"/>
      <c r="FY172" s="458"/>
      <c r="FZ172" s="458"/>
      <c r="GB172" s="281"/>
      <c r="GG172" s="276" t="s">
        <v>955</v>
      </c>
      <c r="GH172" s="276" t="s">
        <v>955</v>
      </c>
      <c r="GI172" s="276" t="s">
        <v>955</v>
      </c>
      <c r="GJ172" s="276" t="s">
        <v>955</v>
      </c>
      <c r="GK172" s="276" t="s">
        <v>955</v>
      </c>
      <c r="GL172" s="276" t="s">
        <v>955</v>
      </c>
      <c r="GM172" s="276" t="s">
        <v>955</v>
      </c>
      <c r="GN172" s="276" t="s">
        <v>955</v>
      </c>
      <c r="GO172" s="276" t="s">
        <v>955</v>
      </c>
      <c r="GP172" s="276" t="s">
        <v>955</v>
      </c>
      <c r="GQ172" s="276" t="s">
        <v>955</v>
      </c>
      <c r="GR172" s="276" t="s">
        <v>955</v>
      </c>
      <c r="GS172" s="276" t="s">
        <v>955</v>
      </c>
      <c r="GT172" s="276" t="s">
        <v>955</v>
      </c>
      <c r="GU172" s="276" t="s">
        <v>955</v>
      </c>
      <c r="GV172" s="276" t="s">
        <v>955</v>
      </c>
    </row>
    <row r="173" spans="1:204" ht="12.75" customHeight="1" x14ac:dyDescent="0.2">
      <c r="A173" s="373"/>
      <c r="B173" s="382"/>
      <c r="BB173" s="387" t="s">
        <v>843</v>
      </c>
      <c r="BC173" s="362" t="s">
        <v>508</v>
      </c>
      <c r="BD173" s="362" t="s">
        <v>911</v>
      </c>
      <c r="BE173" s="388">
        <v>53.8</v>
      </c>
      <c r="BF173" s="388">
        <v>44</v>
      </c>
      <c r="BG173" s="388">
        <v>34</v>
      </c>
      <c r="BH173" s="388">
        <v>25</v>
      </c>
      <c r="BI173" s="388">
        <v>20</v>
      </c>
      <c r="BJ173" s="388">
        <v>15</v>
      </c>
      <c r="BK173" s="389">
        <v>0</v>
      </c>
      <c r="BL173" s="276"/>
      <c r="BX173" s="350" t="str">
        <f t="shared" si="51"/>
        <v>Tournesol</v>
      </c>
      <c r="BY173" s="350">
        <f t="array" ref="BY173">IF(ChoixRationComplèteCaprins=OUI,0,IFERROR(IF(OR(AND(INDEX(Règles_caprins[Specificite],MATCH(ChoixRationCaprins&amp;$BX173,Règles_caprins[Ration]&amp;Règles_caprins[Aliment],0))="s1",IF($BX173=Spécificité1Caprins,1)),
INDEX(Règles_caprins[Specificite],MATCH(ChoixRationCaprins&amp;$BX173,Règles_caprins[Ration]&amp;Règles_caprins[Aliment],0))="c"),
INDEX(Règles_caprins[Valeur 12 et plus],MATCH(ChoixRationCaprins&amp;$BX173,Règles_caprins[Ration]&amp;Règles_caprins[Aliment],0)),0),0)*TotalChèvres*NbreJoursNourrirCaprins)</f>
        <v>0</v>
      </c>
      <c r="BZ173" s="350">
        <f t="array" ref="BZ173">IF(ChoixRationComplèteCaprins=OUI,0,IFERROR(IF(OR(AND(INDEX(Règles_caprins[Specificite],MATCH(ChoixRationCaprins&amp;$BX173,Règles_caprins[Ration]&amp;Règles_caprins[Aliment],0))="s1",IF($BX173=Spécificité1Caprins,1)),
INDEX(Règles_caprins[Specificite],MATCH(ChoixRationCaprins&amp;$BX173,Règles_caprins[Ration]&amp;Règles_caprins[Aliment],0))="c"),
INDEX(Règles_caprins[Valeur 6-12],MATCH(ChoixRationCaprins&amp;$BX173,Règles_caprins[Ration]&amp;Règles_caprins[Aliment],0)),0),0)*jeune_chèvre_6_12_mois*NbreJoursNourrirCaprins)</f>
        <v>0</v>
      </c>
      <c r="CA173" s="350">
        <f t="array" ref="CA173">IF(ChoixRationComplèteCaprins=OUI,0,IFERROR(IF(OR(AND(INDEX(Règles_caprins[Specificite],MATCH(ChoixRationCaprins&amp;$BX173,Règles_caprins[Ration]&amp;Règles_caprins[Aliment],0))="s1",IF($BX173=Spécificité1Caprins,1)),
INDEX(Règles_caprins[Specificite],MATCH(ChoixRationCaprins&amp;$BX173,Règles_caprins[Ration]&amp;Règles_caprins[Aliment],0))="c"),
INDEX(Règles_caprins[Valeur 3-6],MATCH(ChoixRationCaprins&amp;$BX173,Règles_caprins[Ration]&amp;Règles_caprins[Aliment],0)),0),0)*chevrette_3_6_mois*NbreJoursNourrirCaprins)</f>
        <v>0</v>
      </c>
      <c r="CB173" s="350">
        <f t="array" ref="CB173">IF(ChoixRationComplèteCaprins=OUI,0,IFERROR(IF(OR(AND(INDEX(Règles_caprins[Specificite],MATCH(ChoixRationCaprins&amp;$BX173,Règles_caprins[Ration]&amp;Règles_caprins[Aliment],0))="s1",IF($BX173=Spécificité1Caprins,1)),
INDEX(Règles_caprins[Specificite],MATCH(ChoixRationCaprins&amp;$BX173,Règles_caprins[Ration]&amp;Règles_caprins[Aliment],0))="c"),
INDEX(Règles_caprins[Valeur 0-3],MATCH(ChoixRationCaprins&amp;$BX173,Règles_caprins[Ration]&amp;Règles_caprins[Aliment],0)),0),0)*chevrette_0_3_mois*NbreJoursNourrirCaprins)</f>
        <v>0</v>
      </c>
      <c r="CC173" s="350">
        <f t="shared" si="50"/>
        <v>0</v>
      </c>
      <c r="CH173" s="298"/>
      <c r="CI173" s="277"/>
      <c r="CJ173" s="350">
        <f t="shared" si="45"/>
        <v>0</v>
      </c>
      <c r="CK173" s="351"/>
      <c r="CL173" s="351"/>
      <c r="CM173" s="351"/>
      <c r="CN173" s="277"/>
      <c r="CO173" s="277"/>
      <c r="CP173" s="277"/>
      <c r="CS173" s="350" t="str">
        <f t="shared" si="59"/>
        <v>Maïs grain</v>
      </c>
      <c r="CT173" s="351">
        <f t="array" ref="CT173">SUM((IF(QualitéAlimentsLapereauMâle_0_1_mois=BONNE,VLOOKUP("Maïs grain",AlimentsRationLapinsMâles[],4,FALSE),0)+(IF(QualitéAlimentsLapereauFemelle_0_1_mois=BONNE,VLOOKUP("Maïs grain",AlimentsRationLapinsFemelles[],4,FALSE),0)+(IF(QualitéAlimentsJeuneLapin=BONNE,VLOOKUP("Maïs grain",AlimentsRationLapinsMâles[],3,FALSE),0)+(IF(QualitéAlimentsJeuneLapine=BONNE,VLOOKUP("Maïs grain",AlimentsRationLapinsFemelles[],3,FALSE),0)+(IF(QualitéAlimentsLapin=BONNE,VLOOKUP("Maïs grain",AlimentsRationLapinsMâles[],2,FALSE),0)+(IF(QualitéAlimentsLapine=BONNE,VLOOKUP("Maïs grain",AlimentsRationLapinsFemelles[],2,FALSE),0))))))))</f>
        <v>0</v>
      </c>
      <c r="CU173" s="351">
        <f t="array" ref="CU173">SUM((IF(QualitéAlimentsLapereauMâle_0_1_mois=MOYENNE,VLOOKUP("Maïs grain",AlimentsRationLapinsMâles[],4,FALSE),0)+(IF(QualitéAlimentsLapereauFemelle_0_1_mois=MOYENNE,VLOOKUP("Maïs grain",AlimentsRationLapinsFemelles[],4,FALSE),0)+(IF(QualitéAlimentsJeuneLapin=MOYENNE,VLOOKUP("Maïs grain",AlimentsRationLapinsMâles[],3,FALSE),0)+(IF(QualitéAlimentsJeuneLapine=MOYENNE,VLOOKUP("Maïs grain",AlimentsRationLapinsFemelles[],3,FALSE),0)+(IF(QualitéAlimentsLapin=MOYENNE,VLOOKUP("Maïs grain",AlimentsRationLapinsMâles[],2,FALSE),0)+(IF(QualitéAlimentsLapine=MOYENNE,VLOOKUP("Maïs grain",AlimentsRationLapinsFemelles[],2,FALSE),0))))))))</f>
        <v>0</v>
      </c>
      <c r="CV173" s="351">
        <f t="array" ref="CV173">SUM((IF(QualitéAlimentsLapereauMâle_0_1_mois=MAUVAISE,VLOOKUP("Maïs grain",AlimentsRationLapinsMâles[],4,FALSE),0)+(IF(QualitéAlimentsLapereauFemelle_0_1_mois=MAUVAISE,VLOOKUP("Maïs grain",AlimentsRationLapinsFemelles[],4,FALSE),0)+(IF(QualitéAlimentsJeuneLapin=MAUVAISE,VLOOKUP("Maïs grain",AlimentsRationLapinsMâles[],3,FALSE),0)+(IF(QualitéAlimentsJeuneLapine=MAUVAISE,VLOOKUP("Maïs grain",AlimentsRationLapinsFemelles[],3,FALSE),0)+(IF(QualitéAlimentsLapin=MAUVAISE,VLOOKUP("Maïs grain",AlimentsRationLapinsMâles[],2,FALSE),0)+(IF(QualitéAlimentsLapine=MAUVAISE,VLOOKUP("Maïs grain",AlimentsRationLapinsFemelles[],2,FALSE),0))))))))</f>
        <v>0</v>
      </c>
      <c r="CZ173" s="350" t="str">
        <f t="shared" si="58"/>
        <v>Minéraux + vitamines</v>
      </c>
      <c r="DA173" s="351">
        <f t="array" ref="DA173">SUM((IF(QualitéAlimentsPoussinMâle_0_1_mois=BONNE,VLOOKUP("Minéraux + vitamines",AlimentsRationVolaillesMâles[],4,FALSE),0)+(IF(QualitéAlimentsPoussinFemelle_0_1_mois=BONNE,VLOOKUP("Minéraux + vitamines",AlimentsRationVolaillesFemelles[],4,FALSE),0)+(IF(QualitéAlimentsJeuneCoq=BONNE,VLOOKUP("Minéraux + vitamines",AlimentsRationVolaillesMâles[],3,FALSE),0)+(IF(QualitéAlimentsJeunePoule=BONNE,VLOOKUP("Minéraux + vitamines",AlimentsRationVolaillesFemelles[],3,FALSE),0)+(IF(QualitéAlimentsCoq=BONNE,VLOOKUP("Minéraux + vitamines",AlimentsRationVolaillesMâles[],2,FALSE),0)+(IF(QualitéAlimentsPoule=BONNE,VLOOKUP("Minéraux + vitamines",AlimentsRationVolaillesFemelles[],2,FALSE),0))))))))</f>
        <v>0</v>
      </c>
      <c r="DB173" s="351">
        <f t="array" ref="DB173">SUM((IF(QualitéAlimentsPoussinMâle_0_1_mois=MOYENNE,VLOOKUP("Minéraux + vitamines",AlimentsRationVolaillesMâles[],4,FALSE),0)+(IF(QualitéAlimentsPoussinFemelle_0_1_mois=MOYENNE,VLOOKUP("Minéraux + vitamines",AlimentsRationVolaillesFemelles[],4,FALSE),0)+(IF(QualitéAlimentsJeuneCoq=MOYENNE,VLOOKUP("Minéraux + vitamines",AlimentsRationVolaillesMâles[],3,FALSE),0)+(IF(QualitéAlimentsJeunePoule=MOYENNE,VLOOKUP("Minéraux + vitamines",AlimentsRationVolaillesFemelles[],3,FALSE),0)+(IF(QualitéAlimentsCoq=MOYENNE,VLOOKUP("Minéraux + vitamines",AlimentsRationVolaillesMâles[],2,FALSE),0)+(IF(QualitéAlimentsPoule=MOYENNE,VLOOKUP("Minéraux + vitamines",AlimentsRationVolaillesFemelles[],2,FALSE),0))))))))</f>
        <v>0</v>
      </c>
      <c r="DC173" s="351">
        <f t="array" ref="DC173">SUM((IF(QualitéAlimentsPoussinMâle_0_1_mois=MAUVAISE,VLOOKUP("Minéraux + vitamines",AlimentsRationVolaillesMâles[],4,FALSE),0)+(IF(QualitéAlimentsPoussinFemelle_0_1_mois=MAUVAISE,VLOOKUP("Minéraux + vitamines",AlimentsRationVolaillesFemelles[],4,FALSE),0)+(IF(QualitéAlimentsJeuneCoq=MAUVAISE,VLOOKUP("Minéraux + vitamines",AlimentsRationVolaillesMâles[],3,FALSE),0)+(IF(QualitéAlimentsJeunePoule=MAUVAISE,VLOOKUP("Minéraux + vitamines",AlimentsRationVolaillesFemelles[],3,FALSE),0)+(IF(QualitéAlimentsCoq=MAUVAISE,VLOOKUP("Minéraux + vitamines",AlimentsRationVolaillesMâles[],2,FALSE),0)+(IF(QualitéAlimentsPoule=MAUVAISE,VLOOKUP("Minéraux + vitamines",AlimentsRationVolaillesFemelles[],2,FALSE),0))))))))</f>
        <v>0</v>
      </c>
      <c r="DG173" s="350" t="str">
        <f t="shared" si="52"/>
        <v>Tournesol</v>
      </c>
      <c r="DH173" s="351">
        <f t="array" ref="DH173">SUM((IF(QualitéAlimentsPintadeauMâle_0_1_mois=BONNE,VLOOKUP("Tournesol",AlimentsRationPintadesMâles[],4,FALSE),0)+(IF(QualitéAlimentsPintadeauFemelle_0_1_mois=BONNE,VLOOKUP("Tournesol",AlimentsRationPintadesFemelles[],4,FALSE),0)+(IF(QualitéAlimentsJeunePintadeMâle=BONNE,VLOOKUP("Tournesol",AlimentsRationPintadesMâles[],3,FALSE),0)+(IF(QualitéAlimentsJeunePintadeFemelle=BONNE,VLOOKUP("Tournesol",AlimentsRationPintadesFemelles[],3,FALSE),0)+(IF(QualitéAlimentsPintadeMâle=BONNE,VLOOKUP("Tournesol",AlimentsRationPintadesMâles[],2,FALSE),0)+(IF(QualitéAlimentsPintadeFemelle=BONNE,VLOOKUP("Tournesol",AlimentsRationPintadesFemelles[],2,FALSE),0))))))))</f>
        <v>0</v>
      </c>
      <c r="DI173" s="351">
        <f t="array" ref="DI173">SUM((IF(QualitéAlimentsPintadeauMâle_0_1_mois=MOYENNE,VLOOKUP("Tournesol",AlimentsRationPintadesMâles[],4,FALSE),0)+(IF(QualitéAlimentsPintadeauFemelle_0_1_mois=MOYENNE,VLOOKUP("Tournesol",AlimentsRationPintadesFemelles[],4,FALSE),0)+(IF(QualitéAlimentsJeunePintadeMâle=MOYENNE,VLOOKUP("Tournesol",AlimentsRationPintadesMâles[],3,FALSE),0)+(IF(QualitéAlimentsJeunePintadeFemelle=MOYENNE,VLOOKUP("Tournesol",AlimentsRationPintadesFemelles[],3,FALSE),0)+(IF(QualitéAlimentsPintadeMâle=MOYENNE,VLOOKUP("Tournesol",AlimentsRationPintadesMâles[],2,FALSE),0)+(IF(QualitéAlimentsPintadeFemelle=MOYENNE,VLOOKUP("Tournesol",AlimentsRationPintadesFemelles[],2,FALSE),0))))))))</f>
        <v>0</v>
      </c>
      <c r="DJ173" s="351">
        <f t="array" ref="DJ173">SUM((IF(QualitéAlimentsPintadeauMâle_0_1_mois=MAUVAISE,VLOOKUP("Tournesol",AlimentsRationPintadesMâles[],4,FALSE),0)+(IF(QualitéAlimentsPintadeauFemelle_0_1_mois=MAUVAISE,VLOOKUP("Tournesol",AlimentsRationPintadesFemelles[],4,FALSE),0)+(IF(QualitéAlimentsJeunePintadeMâle=MAUVAISE,VLOOKUP("Tournesol",AlimentsRationPintadesMâles[],3,FALSE),0)+(IF(QualitéAlimentsJeunePintadeFemelle=MAUVAISE,VLOOKUP("Tournesol",AlimentsRationPintadesFemelles[],3,FALSE),0)+(IF(QualitéAlimentsPintadeMâle=MAUVAISE,VLOOKUP("Tournesol",AlimentsRationPintadesMâles[],2,FALSE),0)+(IF(QualitéAlimentsPintadeFemelle=MAUVAISE,VLOOKUP("Tournesol",AlimentsRationPintadesFemelles[],2,FALSE),0))))))))</f>
        <v>0</v>
      </c>
      <c r="DN173" s="350" t="s">
        <v>59</v>
      </c>
      <c r="DO173" s="351">
        <f t="array" ref="DO173">IF(ChoixRationComplèteOvins=OUI,0,IFERROR(IF(OR(AND(INDEX(Règles_ovins[Specificite],MATCH(ChoixRationOvins&amp;$DN173,Règles_ovins[Ration]&amp;Règles_ovins[Aliment],0))="s1",IF($DN173=Spécificité1Ovins,1)),
AND(INDEX(Règles_ovins[Specificite],MATCH(ChoixRationOvins&amp;$DN173,Règles_ovins[Ration]&amp;Règles_ovins[Aliment],0))="s2",IF($DN173=Spécificité2Ovins,1)),
INDEX(Règles_ovins[Specificite],MATCH(ChoixRationOvins&amp;$DN173,Règles_ovins[Ration]&amp;Règles_ovins[Aliment],0))="c"),
INDEX(Règles_ovins[Valeur 12 et plus],MATCH(ChoixRationOvins&amp;$DN173,Règles_ovins[Ration]&amp;Règles_ovins[Aliment],0)),0),0)*IF(ChoixOvinsPréHiver=OUI,SUM(TotalOvinsAdultesRacesLaitières)*NbreJoursNourrirOvins,TotalBéliers*NbreJoursNourrirOvins))</f>
        <v>0</v>
      </c>
      <c r="DP173" s="351">
        <f t="array" ref="DP173">IF(ChoixRationComplèteOvins=OUI,0,IFERROR(IF(OR(AND(INDEX(Règles_ovins[Specificite],MATCH(ChoixRationOvins&amp;$DN173,Règles_ovins[Ration]&amp;Règles_ovins[Aliment],0))="s1",IF($DN173=Spécificité1Ovins,1)),
AND(INDEX(Règles_ovins[Specificite],MATCH(ChoixRationOvins&amp;$DN173,Règles_ovins[Ration]&amp;Règles_ovins[Aliment],0))="s2",IF($DN173=Spécificité2Ovins,1)),
INDEX(Règles_ovins[Specificite],MATCH(ChoixRationOvins&amp;$DN173,Règles_ovins[Ration]&amp;Règles_ovins[Aliment],0))="c"),
INDEX(Règles_ovins[Valeur 6-12],MATCH(ChoixRationOvins&amp;$DN173,Règles_ovins[Ration]&amp;Règles_ovins[Aliment],0)),0),0)*IF(ChoixOvinsPréHiver=OUI,SUM(TotalJeunesOvinsRacesLaitières)*NbreJoursNourrirOvins,TotalJeune_bélier_6_12_mois*NbreJoursNourrirOvins))</f>
        <v>0</v>
      </c>
      <c r="DQ173" s="351">
        <f t="array" ref="DQ173">IF(ChoixRationComplèteOvins=OUI,0,IFERROR(IF(OR(AND(INDEX(Règles_ovins[Specificite],MATCH(ChoixRationOvins&amp;$DN173,Règles_ovins[Ration]&amp;Règles_ovins[Aliment],0))="s1",IF($DN173=Spécificité1Ovins,1)),
AND(INDEX(Règles_ovins[Specificite],MATCH(ChoixRationOvins&amp;$DN173,Règles_ovins[Ration]&amp;Règles_ovins[Aliment],0))="s2",IF($DN173=Spécificité2Ovins,1)),
INDEX(Règles_ovins[Specificite],MATCH(ChoixRationOvins&amp;$DN173,Règles_ovins[Ration]&amp;Règles_ovins[Aliment],0))="c"),
INDEX(Règles_ovins[Valeur 3-6],MATCH(ChoixRationOvins&amp;$DN173,Règles_ovins[Ration]&amp;Règles_ovins[Aliment],0)),0),0)*IF(ChoixOvinsPréHiver=OUI,SUM(TotalOvins_3_6moisRacesLaitières)*NbreJoursNourrirOvins,TotalAgneau_3_6_mois*NbreJoursNourrirOvins))</f>
        <v>0</v>
      </c>
      <c r="DR173" s="351">
        <f t="array" ref="DR173">IF(ChoixRationComplèteOvins=OUI,0,IFERROR(IF(OR(AND(INDEX(Règles_ovins[Specificite],MATCH(ChoixRationOvins&amp;$DN173,Règles_ovins[Ration]&amp;Règles_ovins[Aliment],0))="s1",IF($DN173=Spécificité1Ovins,1)),
AND(INDEX(Règles_ovins[Specificite],MATCH(ChoixRationOvins&amp;$DN173,Règles_ovins[Ration]&amp;Règles_ovins[Aliment],0))="s2",IF($DN173=Spécificité2Ovins,1)),
INDEX(Règles_ovins[Specificite],MATCH(ChoixRationOvins&amp;$DN173,Règles_ovins[Ration]&amp;Règles_ovins[Aliment],0))="c"),
INDEX(Règles_ovins[Valeur 0-3],MATCH(ChoixRationOvins&amp;$DN173,Règles_ovins[Ration]&amp;Règles_ovins[Aliment],0)),0),0)*IF(ChoixOvinsPréHiver=OUI,SUM(TotalOvins_3_6moisRacesLaitières)*NbreJoursNourrirOvins,TotalAgneau_0_3_mois*NbreJoursNourrirOvins))</f>
        <v>0</v>
      </c>
      <c r="DS173" s="441">
        <f t="shared" si="55"/>
        <v>0</v>
      </c>
      <c r="EG173" s="350" t="str">
        <f t="shared" si="57"/>
        <v>Pomme de terre</v>
      </c>
      <c r="EH173" s="351">
        <f t="array" ref="EH173">SUM((IF(QualitéAlimentsOisonMâle_0_3_mois=BONNE,VLOOKUP("Pomme de terre",AlimentsRationOiesMâles[],4,FALSE),0)+(IF(QualitéAlimentsOisonFemelle_0_3_mois=BONNE,VLOOKUP("Pomme de terre",AlimentsRationOiesFemelles[],4,FALSE),0)+(IF(QualitéAlimentsJeuneJars=BONNE,VLOOKUP("Pomme de terre",AlimentsRationOiesMâles[],3,FALSE),0)+(IF(QualitéAlimentsJeuneOie=BONNE,VLOOKUP("Pomme de terre",AlimentsRationOiesFemelles[],3,FALSE),0)+(IF(QualitéAlimentsJars=BONNE,VLOOKUP("Pomme de terre",AlimentsRationOiesMâles[],2,FALSE),0)+(IF(QualitéAlimentsOie=BONNE,VLOOKUP("Pomme de terre",AlimentsRationOiesFemelles[],2,FALSE),0))))))))</f>
        <v>0</v>
      </c>
      <c r="EI173" s="351">
        <f t="array" ref="EI173">SUM((IF(QualitéAlimentsOisonMâle_0_3_mois=MOYENNE,VLOOKUP("Pomme de terre",AlimentsRationOiesMâles[],4,FALSE),0)+(IF(QualitéAlimentsOisonFemelle_0_3_mois=MOYENNE,VLOOKUP("Pomme de terre",AlimentsRationOiesFemelles[],4,FALSE),0)+(IF(QualitéAlimentsJeuneJars=MOYENNE,VLOOKUP("Pomme de terre",AlimentsRationOiesMâles[],3,FALSE),0)+(IF(QualitéAlimentsJeuneOie=MOYENNE,VLOOKUP("Pomme de terre",AlimentsRationOiesFemelles[],3,FALSE),0)+(IF(QualitéAlimentsJars=MOYENNE,VLOOKUP("Pomme de terre",AlimentsRationOiesMâles[],2,FALSE),0)+(IF(QualitéAlimentsOie=MOYENNE,VLOOKUP("Pomme de terre",AlimentsRationOiesFemelles[],2,FALSE),0))))))))</f>
        <v>0</v>
      </c>
      <c r="EJ173" s="351">
        <f t="array" ref="EJ173">SUM((IF(QualitéAlimentsOisonMâle_0_3_mois=MAUVAISE,VLOOKUP("Pomme de terre",AlimentsRationOiesMâles[],4,FALSE),0)+(IF(QualitéAlimentsOisonFemelle_0_3_mois=MAUVAISE,VLOOKUP("Pomme de terre",AlimentsRationOiesFemelles[],4,FALSE),0)+(IF(QualitéAlimentsJeuneJars=MAUVAISE,VLOOKUP("Pomme de terre",AlimentsRationOiesMâles[],3,FALSE),0)+(IF(QualitéAlimentsJeuneOie=MAUVAISE,VLOOKUP("Pomme de terre",AlimentsRationOiesFemelles[],3,FALSE),0)+(IF(QualitéAlimentsJars=MAUVAISE,VLOOKUP("Pomme de terre",AlimentsRationOiesMâles[],2,FALSE),0)+(IF(QualitéAlimentsOie=MAUVAISE,VLOOKUP("Pomme de terre",AlimentsRationOiesFemelles[],2,FALSE),0))))))))</f>
        <v>0</v>
      </c>
      <c r="EN173" s="457" t="str">
        <f t="shared" si="56"/>
        <v>Pulpe déshydratée de betterave</v>
      </c>
      <c r="EO173" s="458">
        <f t="array" ref="EO173">SUM((IF(QualitéAlimentsCanetonMâle=BONNE,VLOOKUP("Pulpe déshydratée de betterave",AlimentsRationCanardsMâles,4,FALSE),0)+(IF(QualitéAlimentsCanetonFemelle=BONNE,VLOOKUP("Pulpe déshydratée de betterave",AlimentsRationCanardsFemelles,4,FALSE),0)+(IF(QualitéAlimentsJeuneCanard=BONNE,VLOOKUP("Pulpe déshydratée de betterave",AlimentsRationCanardsMâles,3,FALSE),0)+(IF(QualitéAlimentsJeuneCane=BONNE,VLOOKUP("Pulpe déshydratée de betterave",AlimentsRationCanardsFemelles,3,FALSE),0)+(IF(QualitéAlimentsCanard=BONNE,VLOOKUP("Pulpe déshydratée de betterave",AlimentsRationCanardsMâles,2,FALSE),0)+(IF(QualitéAlimentsCane=BONNE,VLOOKUP("Pulpe déshydratée de betterave",AlimentsRationCanardsFemelles,2,FALSE),0))))))))</f>
        <v>0</v>
      </c>
      <c r="EP173" s="458">
        <f t="array" ref="EP173">SUM((IF(QualitéAlimentsCanetonMâle=MOYENNE,VLOOKUP("Pulpe déshydratée de betterave",AlimentsRationCanardsMâles,4,FALSE),0)+(IF(QualitéAlimentsCanetonFemelle=MOYENNE,VLOOKUP("Pulpe déshydratée de betterave",AlimentsRationCanardsFemelles,4,FALSE),0)+(IF(QualitéAlimentsJeuneCanard=MOYENNE,VLOOKUP("Pulpe déshydratée de betterave",AlimentsRationCanardsMâles,3,FALSE),0)+(IF(QualitéAlimentsJeuneCane=MOYENNE,VLOOKUP("Pulpe déshydratée de betterave",AlimentsRationCanardsFemelles,3,FALSE),0)+(IF(QualitéAlimentsCanard=MOYENNE,VLOOKUP("Pulpe déshydratée de betterave",AlimentsRationCanardsMâles,2,FALSE),0)+(IF(QualitéAlimentsCane=MOYENNE,VLOOKUP("Pulpe déshydratée de betterave",AlimentsRationCanardsFemelles,2,FALSE),0))))))))</f>
        <v>0</v>
      </c>
      <c r="EQ173" s="458">
        <f t="array" ref="EQ173">SUM((IF(QualitéAlimentsCanetonMâle=MAUVAISE,VLOOKUP("Pulpe déshydratée de betterave",AlimentsRationCanardsMâles,4,FALSE),0)+(IF(QualitéAlimentsCanetonFemelle=MAUVAISE,VLOOKUP("Pulpe déshydratée de betterave",AlimentsRationCanardsFemelles,4,FALSE),0)+(IF(QualitéAlimentsJeuneCanard=MAUVAISE,VLOOKUP("Pulpe déshydratée de betterave",AlimentsRationCanardsMâles,3,FALSE),0)+(IF(QualitéAlimentsJeuneCane=MAUVAISE,VLOOKUP("Pulpe déshydratée de betterave",AlimentsRationCanardsFemelles,3,FALSE),0)+(IF(QualitéAlimentsCanard=MAUVAISE,VLOOKUP("Pulpe déshydratée de betterave",AlimentsRationCanardsMâles,2,FALSE),0)+(IF(QualitéAlimentsCane=MAUVAISE,VLOOKUP("Pulpe déshydratée de betterave",AlimentsRationCanardsFemelles,2,FALSE),0))))))))</f>
        <v>0</v>
      </c>
      <c r="EU173" s="457" t="str">
        <f t="shared" si="54"/>
        <v>Ration complète</v>
      </c>
      <c r="EV173" s="458">
        <f t="array" ref="EV173">IF(OR(ChoixRationHivernaleComplèteChevauxSelle=OUI,ChoixRationHivernaleComplèteChevauxSelle="",ChoixChevauxSellePréHiver=NON),0,IFERROR(IF(OR(AND(INDEX(Règles_chevaux_selle[Specificite],MATCH(RationHivernaleAuPréChevauxSelle&amp;$EU173,Règles_chevaux_selle[Ration]&amp;Règles_chevaux_selle[Aliment],0))="s1",IF($EU173=Spécificité1ChevauxSelle,1)),
AND(INDEX(Règles_chevaux_selle[Specificite],MATCH(RationHivernaleAuPréChevauxSelle&amp;$EU173,Règles_chevaux_selle[Ration]&amp;Règles_chevaux_selle[Aliment],0))="s2",IF($EU173=Spécificité2ChevauxSelle,1)),
INDEX(Règles_chevaux_selle[Specificite],MATCH(RationHivernaleAuPréChevauxSelle&amp;$EU173,Règles_chevaux_selle[Ration]&amp;Règles_chevaux_selle[Aliment],0))="c"),
INDEX(Règles_chevaux_selle[Valeur 36 et plus],MATCH(RationHivernaleAuPréChevauxSelle&amp;$EU173,Règles_chevaux_selle[Ration]&amp;Règles_chevaux_selle[Aliment],0)),0),0)*SUM(TotalChevauxSelleAdultes)*21)</f>
        <v>0</v>
      </c>
      <c r="EW173" s="458">
        <f t="array" ref="EW173">IF(OR(ChoixRationHivernaleComplèteChevauxSelle=OUI,ChoixRationHivernaleComplèteChevauxSelle="",ChoixChevauxSellePréHiver=NON),0,IFERROR(IF(OR(AND(INDEX(Règles_chevaux_selle[Specificite],MATCH(RationHivernaleAuPréChevauxSelle&amp;$EU173,Règles_chevaux_selle[Ration]&amp;Règles_chevaux_selle[Aliment],0))="s1",IF($EU173=Spécificité1ChevauxSelle,1)),
AND(INDEX(Règles_chevaux_selle[Specificite],MATCH(RationHivernaleAuPréChevauxSelle&amp;$EU173,Règles_chevaux_selle[Ration]&amp;Règles_chevaux_selle[Aliment],0))="s2",IF($EU173=Spécificité2ChevauxSelle,1)),
INDEX(Règles_chevaux_selle[Specificite],MATCH(RationHivernaleAuPréChevauxSelle&amp;$EU173,Règles_chevaux_selle[Ration]&amp;Règles_chevaux_selle[Aliment],0))="c"),
INDEX(Règles_chevaux_selle[Valeur 24-36],MATCH(RationHivernaleAuPréChevauxSelle&amp;$EU173,Règles_chevaux_selle[Ration]&amp;Règles_chevaux_selle[Aliment],0)),0),0)*SUM(TotalChevauxSelle_24_36mois)*21)</f>
        <v>0</v>
      </c>
      <c r="EX173" s="458">
        <f t="array" ref="EX173">IF(OR(ChoixRationHivernaleComplèteChevauxSelle=OUI,ChoixRationHivernaleComplèteChevauxSelle="",ChoixChevauxSellePréHiver=NON),0,IFERROR(IF(OR(AND(INDEX(Règles_chevaux_selle[Specificite],MATCH(RationHivernaleAuPréChevauxSelle&amp;$EU173,Règles_chevaux_selle[Ration]&amp;Règles_chevaux_selle[Aliment],0))="s1",IF($EU173=Spécificité1ChevauxSelle,1)),
AND(INDEX(Règles_chevaux_selle[Specificite],MATCH(RationHivernaleAuPréChevauxSelle&amp;$EU173,Règles_chevaux_selle[Ration]&amp;Règles_chevaux_selle[Aliment],0))="s2",IF($EU173=Spécificité2ChevauxSelle,1)),
INDEX(Règles_chevaux_selle[Specificite],MATCH(RationHivernaleAuPréChevauxSelle&amp;$EU173,Règles_chevaux_selle[Ration]&amp;Règles_chevaux_selle[Aliment],0))="c"),
INDEX(Règles_chevaux_selle[Valeur 12-24],MATCH(RationHivernaleAuPréChevauxSelle&amp;$EU173,Règles_chevaux_selle[Ration]&amp;Règles_chevaux_selle[Aliment],0)),0),0)*SUM(TotalChevauxSelle_12_24mois)*21)</f>
        <v>0</v>
      </c>
      <c r="EY173" s="460">
        <f t="array" ref="EY173">IF(OR(ChoixRationHivernaleComplèteChevauxSelle=OUI,ChoixRationHivernaleComplèteChevauxSelle="",ChoixChevauxSellePréHiver=NON),0,IFERROR(IF(OR(AND(INDEX(Règles_chevaux_selle[Specificite],MATCH(RationHivernaleAuPréChevauxSelle&amp;$EU173,Règles_chevaux_selle[Ration]&amp;Règles_chevaux_selle[Aliment],0))="s1",IF($EU173=Spécificité1ChevauxSelle,1)),
AND(INDEX(Règles_chevaux_selle[Specificite],MATCH(RationHivernaleAuPréChevauxSelle&amp;$EU173,Règles_chevaux_selle[Ration]&amp;Règles_chevaux_selle[Aliment],0))="s2",IF($EU173=Spécificité2ChevauxSelle,1)),
INDEX(Règles_chevaux_selle[Specificite],MATCH(RationHivernaleAuPréChevauxSelle&amp;$EU173,Règles_chevaux_selle[Ration]&amp;Règles_chevaux_selle[Aliment],0))="c"),
INDEX(Règles_chevaux_selle[Valeur 0-12],MATCH(RationHivernaleAuPréChevauxSelle&amp;$EU173,Règles_chevaux_selle[Ration]&amp;Règles_chevaux_selle[Aliment],0)),0),0)*SUM(TotalPoulainsSelle)*21)</f>
        <v>0</v>
      </c>
      <c r="EZ173" s="460">
        <f t="shared" si="53"/>
        <v>0</v>
      </c>
      <c r="FD173" s="457" t="str">
        <f t="shared" si="49"/>
        <v>Tourteau de tournesol</v>
      </c>
      <c r="FE173" s="458">
        <f t="array" ref="FE173">IF(OR(ChoixRationHivernaleComplèteChevauxTrait=OUI,ChoixRationHivernaleComplèteChevauxTrait="",ChoixChevauxTraitPréHiver=NON),0,IFERROR(IF(OR(AND(INDEX(Règles_chevaux_trait[Specificite],MATCH(RationHivernaleAuPréChevauxTrait&amp;$FD173,Règles_chevaux_trait[Ration]&amp;Règles_chevaux_trait[Aliment],0))="s1",IF($FD173=Spécificité1ChevauxTrait,1)),
AND(INDEX(Règles_chevaux_trait[Specificite],MATCH(RationHivernaleAuPréChevauxTrait&amp;$FD173,Règles_chevaux_trait[Ration]&amp;Règles_chevaux_trait[Aliment],0))="s2",IF($FD173=Spécificité2ChevauxTrait,1)),
INDEX(Règles_chevaux_trait[Specificite],MATCH(RationHivernaleAuPréChevauxTrait&amp;$FD173,Règles_chevaux_trait[Ration]&amp;Règles_chevaux_trait[Aliment],0))="c"),
INDEX(Règles_chevaux_trait[Valeur 36 et plus],MATCH(RationHivernaleAuPréChevauxTrait&amp;$FD173,Règles_chevaux_trait[Ration]&amp;Règles_chevaux_trait[Aliment],0)),0),0)*SUM(TotalChevauxTraitAdultes)*21)</f>
        <v>0</v>
      </c>
      <c r="FF173" s="458">
        <f t="array" ref="FF173">IF(OR(ChoixRationHivernaleComplèteChevauxTrait=OUI,ChoixRationHivernaleComplèteChevauxTrait="",ChoixChevauxTraitPréHiver=NON),0,IFERROR(IF(OR(AND(INDEX(Règles_chevaux_trait[Specificite],MATCH(RationHivernaleAuPréChevauxTrait&amp;$FD173,Règles_chevaux_trait[Ration]&amp;Règles_chevaux_trait[Aliment],0))="s1",IF($FD173=Spécificité1ChevauxTrait,1)),
AND(INDEX(Règles_chevaux_trait[Specificite],MATCH(RationHivernaleAuPréChevauxTrait&amp;$FD173,Règles_chevaux_trait[Ration]&amp;Règles_chevaux_trait[Aliment],0))="s2",IF($FD173=Spécificité2ChevauxTrait,1)),
INDEX(Règles_chevaux_trait[Specificite],MATCH(RationHivernaleAuPréChevauxTrait&amp;$FD173,Règles_chevaux_trait[Ration]&amp;Règles_chevaux_trait[Aliment],0))="c"),
INDEX(Règles_chevaux_trait[Valeur 24-36],MATCH(RationHivernaleAuPréChevauxTrait&amp;$FD173,Règles_chevaux_trait[Ration]&amp;Règles_chevaux_trait[Aliment],0)),0),0)*SUM(TotalChevauxTrait_24_36mois)*21)</f>
        <v>0</v>
      </c>
      <c r="FG173" s="458">
        <f t="array" ref="FG173">IF(OR(ChoixRationHivernaleComplèteChevauxTrait=OUI,ChoixRationHivernaleComplèteChevauxTrait="",ChoixChevauxTraitPréHiver=NON),0,IFERROR(IF(OR(AND(INDEX(Règles_chevaux_trait[Specificite],MATCH(RationHivernaleAuPréChevauxTrait&amp;$FD173,Règles_chevaux_trait[Ration]&amp;Règles_chevaux_trait[Aliment],0))="s1",IF($FD173=Spécificité1ChevauxTrait,1)),
AND(INDEX(Règles_chevaux_trait[Specificite],MATCH(RationHivernaleAuPréChevauxTrait&amp;$FD173,Règles_chevaux_trait[Ration]&amp;Règles_chevaux_trait[Aliment],0))="s2",IF($FD173=Spécificité2ChevauxTrait,1)),
INDEX(Règles_chevaux_trait[Specificite],MATCH(RationHivernaleAuPréChevauxTrait&amp;$FD173,Règles_chevaux_trait[Ration]&amp;Règles_chevaux_trait[Aliment],0))="c"),
INDEX(Règles_chevaux_trait[Valeur 12-24],MATCH(RationHivernaleAuPréChevauxTrait&amp;$FD173,Règles_chevaux_trait[Ration]&amp;Règles_chevaux_trait[Aliment],0)),0),0)*SUM(TotalChevauxTrait_12_24mois)*21)</f>
        <v>0</v>
      </c>
      <c r="FH173" s="460">
        <f t="array" ref="FH173">IF(OR(ChoixRationHivernaleComplèteChevauxTrait=OUI,ChoixRationHivernaleComplèteChevauxTrait="",ChoixChevauxTraitPréHiver=NON),0,IFERROR(IF(OR(AND(INDEX(Règles_chevaux_trait[Specificite],MATCH(RationHivernaleAuPréChevauxTrait&amp;$FD173,Règles_chevaux_trait[Ration]&amp;Règles_chevaux_trait[Aliment],0))="s1",IF($FD173=Spécificité1ChevauxTrait,1)),
AND(INDEX(Règles_chevaux_trait[Specificite],MATCH(RationHivernaleAuPréChevauxTrait&amp;$FD173,Règles_chevaux_trait[Ration]&amp;Règles_chevaux_trait[Aliment],0))="s2",IF($FD173=Spécificité2ChevauxTrait,1)),
INDEX(Règles_chevaux_trait[Specificite],MATCH(RationHivernaleAuPréChevauxTrait&amp;$FD173,Règles_chevaux_trait[Ration]&amp;Règles_chevaux_trait[Aliment],0))="c"),
INDEX(Règles_chevaux_trait[Valeur 0-12],MATCH(RationHivernaleAuPréChevauxTrait&amp;$FD173,Règles_chevaux_trait[Ration]&amp;Règles_chevaux_trait[Aliment],0)),0),0)*SUM(TotalPoulainsTrait)*21)</f>
        <v>0</v>
      </c>
      <c r="FI173" s="460">
        <f t="shared" si="47"/>
        <v>0</v>
      </c>
      <c r="FN173" s="457" t="str">
        <f t="shared" si="48"/>
        <v>Triticale</v>
      </c>
      <c r="FO173" s="458">
        <f t="array" ref="FO173">IF(OR(ChoixRationHivernaleComplètePoneys=OUI,ChoixRationHivernaleComplètePoneys="",ChoixPoneysPréHiver=NON),0,IFERROR(IF(OR(AND(INDEX(Règles_poneys[Specificite],MATCH(RationHivernaleAuPréPoneys&amp;$FN173,Règles_poneys[Ration]&amp;Règles_poneys[Aliment],0))="s1",IF($FN173=Spécificité1Poneys,1)),
AND(INDEX(Règles_poneys[Specificite],MATCH(RationHivernaleAuPréPoneys&amp;$FN173,Règles_poneys[Ration]&amp;Règles_poneys[Aliment],0))="s2",IF($FN173=Spécificité2Poneys,1)),
INDEX(Règles_poneys[Specificite],MATCH(RationHivernaleAuPréPoneys&amp;$FN173,Règles_poneys[Ration]&amp;Règles_poneys[Aliment],0))="c"),
INDEX(Règles_poneys[Valeur 36 et plus],MATCH(RationHivernaleAuPréPoneys&amp;$FN173,Règles_poneys[Ration]&amp;Règles_poneys[Aliment],0)),0),0)*SUM(TotalPoneysAdultes)*21)</f>
        <v>0</v>
      </c>
      <c r="FP173" s="458">
        <f t="array" ref="FP173">IF(OR(ChoixRationHivernaleComplètePoneys=OUI,ChoixRationHivernaleComplètePoneys="",ChoixPoneysPréHiver=NON),0,IFERROR(IF(OR(AND(INDEX(Règles_poneys[Specificite],MATCH(RationHivernaleAuPréPoneys&amp;$FN173,Règles_poneys[Ration]&amp;Règles_poneys[Aliment],0))="s1",IF($FN173=Spécificité1Poneys,1)),
AND(INDEX(Règles_poneys[Specificite],MATCH(RationHivernaleAuPréPoneys&amp;$FN173,Règles_poneys[Ration]&amp;Règles_poneys[Aliment],0))="s2",IF($FN173=Spécificité2Poneys,1)),
INDEX(Règles_poneys[Specificite],MATCH(RationHivernaleAuPréPoneys&amp;$FN173,Règles_poneys[Ration]&amp;Règles_poneys[Aliment],0))="c"),
INDEX(Règles_poneys[Valeur 24-36],MATCH(RationHivernaleAuPréPoneys&amp;$FN173,Règles_poneys[Ration]&amp;Règles_poneys[Aliment],0)),0),0)*SUM(TotalPoneys_24_36mois)*21)</f>
        <v>0</v>
      </c>
      <c r="FQ173" s="458">
        <f t="array" ref="FQ173">IF(OR(ChoixRationHivernaleComplètePoneys=OUI,ChoixRationHivernaleComplètePoneys="",ChoixPoneysPréHiver=NON),0,IFERROR(IF(OR(AND(INDEX(Règles_poneys[Specificite],MATCH(RationHivernaleAuPréPoneys&amp;$FN173,Règles_poneys[Ration]&amp;Règles_poneys[Aliment],0))="s1",IF($FN173=Spécificité1Poneys,1)),
AND(INDEX(Règles_poneys[Specificite],MATCH(RationHivernaleAuPréPoneys&amp;$FN173,Règles_poneys[Ration]&amp;Règles_poneys[Aliment],0))="s2",IF($FN173=Spécificité2Poneys,1)),
INDEX(Règles_poneys[Specificite],MATCH(RationHivernaleAuPréPoneys&amp;$FN173,Règles_poneys[Ration]&amp;Règles_poneys[Aliment],0))="c"),
INDEX(Règles_poneys[Valeur 12-24],MATCH(RationHivernaleAuPréPoneys&amp;$FN173,Règles_poneys[Ration]&amp;Règles_poneys[Aliment],0)),0),0)*SUM(TotalPoneys_12_24mois)*21)</f>
        <v>0</v>
      </c>
      <c r="FR173" s="460">
        <f t="array" ref="FR173">IF(OR(ChoixRationHivernaleComplètePoneys=OUI,ChoixRationHivernaleComplètePoneys="",ChoixPoneysPréHiver=NON),0,IFERROR(IF(OR(AND(INDEX(Règles_poneys[Specificite],MATCH(RationHivernaleAuPréPoneys&amp;$FN173,Règles_poneys[Ration]&amp;Règles_poneys[Aliment],0))="s1",IF($FN173=Spécificité1Poneys,1)),
AND(INDEX(Règles_poneys[Specificite],MATCH(RationHivernaleAuPréPoneys&amp;$FN173,Règles_poneys[Ration]&amp;Règles_poneys[Aliment],0))="s2",IF($FN173=Spécificité2Poneys,1)),
INDEX(Règles_poneys[Specificite],MATCH(RationHivernaleAuPréPoneys&amp;$FN173,Règles_poneys[Ration]&amp;Règles_poneys[Aliment],0))="c"),
INDEX(Règles_poneys[Valeur 0-12],MATCH(RationHivernaleAuPréPoneys&amp;$FN173,Règles_poneys[Ration]&amp;Règles_poneys[Aliment],0)),0),0)*SUM(TotalPoulainsPoneys)*21)</f>
        <v>0</v>
      </c>
      <c r="FS173" s="460">
        <f t="shared" si="46"/>
        <v>0</v>
      </c>
      <c r="FW173" s="457">
        <f t="shared" si="44"/>
        <v>0</v>
      </c>
      <c r="FX173" s="458"/>
      <c r="FY173" s="458"/>
      <c r="FZ173" s="458"/>
      <c r="GB173" s="281"/>
      <c r="GG173" s="276" t="s">
        <v>955</v>
      </c>
      <c r="GH173" s="276" t="s">
        <v>955</v>
      </c>
      <c r="GI173" s="276" t="s">
        <v>955</v>
      </c>
      <c r="GJ173" s="276" t="s">
        <v>955</v>
      </c>
      <c r="GK173" s="276" t="s">
        <v>955</v>
      </c>
      <c r="GL173" s="276" t="s">
        <v>955</v>
      </c>
      <c r="GM173" s="276" t="s">
        <v>955</v>
      </c>
      <c r="GN173" s="276" t="s">
        <v>955</v>
      </c>
      <c r="GO173" s="276" t="s">
        <v>955</v>
      </c>
      <c r="GP173" s="276" t="s">
        <v>955</v>
      </c>
      <c r="GQ173" s="276" t="s">
        <v>955</v>
      </c>
      <c r="GR173" s="276" t="s">
        <v>955</v>
      </c>
      <c r="GS173" s="276" t="s">
        <v>955</v>
      </c>
      <c r="GT173" s="276" t="s">
        <v>955</v>
      </c>
      <c r="GU173" s="276" t="s">
        <v>955</v>
      </c>
      <c r="GV173" s="276" t="s">
        <v>955</v>
      </c>
    </row>
    <row r="174" spans="1:204" ht="12.75" customHeight="1" x14ac:dyDescent="0.2">
      <c r="A174" s="373"/>
      <c r="B174" s="382"/>
      <c r="BB174" s="387" t="s">
        <v>843</v>
      </c>
      <c r="BC174" s="362" t="s">
        <v>168</v>
      </c>
      <c r="BD174" s="362" t="s">
        <v>886</v>
      </c>
      <c r="BE174" s="388">
        <v>44</v>
      </c>
      <c r="BF174" s="388">
        <v>36</v>
      </c>
      <c r="BG174" s="388">
        <v>28</v>
      </c>
      <c r="BH174" s="388">
        <v>20</v>
      </c>
      <c r="BI174" s="388">
        <v>16</v>
      </c>
      <c r="BJ174" s="388">
        <v>12</v>
      </c>
      <c r="BK174" s="389">
        <v>0</v>
      </c>
      <c r="BL174" s="276"/>
      <c r="BX174" s="350" t="str">
        <f t="shared" si="51"/>
        <v>Tourteau de colza</v>
      </c>
      <c r="BY174" s="350">
        <f t="array" ref="BY174">IF(ChoixRationComplèteCaprins=OUI,0,IFERROR(IF(OR(AND(INDEX(Règles_caprins[Specificite],MATCH(ChoixRationCaprins&amp;$BX174,Règles_caprins[Ration]&amp;Règles_caprins[Aliment],0))="s1",IF($BX174=Spécificité1Caprins,1)),
INDEX(Règles_caprins[Specificite],MATCH(ChoixRationCaprins&amp;$BX174,Règles_caprins[Ration]&amp;Règles_caprins[Aliment],0))="c"),
INDEX(Règles_caprins[Valeur 12 et plus],MATCH(ChoixRationCaprins&amp;$BX174,Règles_caprins[Ration]&amp;Règles_caprins[Aliment],0)),0),0)*TotalChèvres*NbreJoursNourrirCaprins)</f>
        <v>0</v>
      </c>
      <c r="BZ174" s="350">
        <f t="array" ref="BZ174">IF(ChoixRationComplèteCaprins=OUI,0,IFERROR(IF(OR(AND(INDEX(Règles_caprins[Specificite],MATCH(ChoixRationCaprins&amp;$BX174,Règles_caprins[Ration]&amp;Règles_caprins[Aliment],0))="s1",IF($BX174=Spécificité1Caprins,1)),
INDEX(Règles_caprins[Specificite],MATCH(ChoixRationCaprins&amp;$BX174,Règles_caprins[Ration]&amp;Règles_caprins[Aliment],0))="c"),
INDEX(Règles_caprins[Valeur 6-12],MATCH(ChoixRationCaprins&amp;$BX174,Règles_caprins[Ration]&amp;Règles_caprins[Aliment],0)),0),0)*jeune_chèvre_6_12_mois*NbreJoursNourrirCaprins)</f>
        <v>0</v>
      </c>
      <c r="CA174" s="350">
        <f t="array" ref="CA174">IF(ChoixRationComplèteCaprins=OUI,0,IFERROR(IF(OR(AND(INDEX(Règles_caprins[Specificite],MATCH(ChoixRationCaprins&amp;$BX174,Règles_caprins[Ration]&amp;Règles_caprins[Aliment],0))="s1",IF($BX174=Spécificité1Caprins,1)),
INDEX(Règles_caprins[Specificite],MATCH(ChoixRationCaprins&amp;$BX174,Règles_caprins[Ration]&amp;Règles_caprins[Aliment],0))="c"),
INDEX(Règles_caprins[Valeur 3-6],MATCH(ChoixRationCaprins&amp;$BX174,Règles_caprins[Ration]&amp;Règles_caprins[Aliment],0)),0),0)*chevrette_3_6_mois*NbreJoursNourrirCaprins)</f>
        <v>0</v>
      </c>
      <c r="CB174" s="350">
        <f t="array" ref="CB174">IF(ChoixRationComplèteCaprins=OUI,0,IFERROR(IF(OR(AND(INDEX(Règles_caprins[Specificite],MATCH(ChoixRationCaprins&amp;$BX174,Règles_caprins[Ration]&amp;Règles_caprins[Aliment],0))="s1",IF($BX174=Spécificité1Caprins,1)),
INDEX(Règles_caprins[Specificite],MATCH(ChoixRationCaprins&amp;$BX174,Règles_caprins[Ration]&amp;Règles_caprins[Aliment],0))="c"),
INDEX(Règles_caprins[Valeur 0-3],MATCH(ChoixRationCaprins&amp;$BX174,Règles_caprins[Ration]&amp;Règles_caprins[Aliment],0)),0),0)*chevrette_0_3_mois*NbreJoursNourrirCaprins)</f>
        <v>0</v>
      </c>
      <c r="CC174" s="350">
        <f t="shared" si="50"/>
        <v>0</v>
      </c>
      <c r="CH174" s="298"/>
      <c r="CI174" s="277"/>
      <c r="CJ174" s="350">
        <f t="shared" si="45"/>
        <v>0</v>
      </c>
      <c r="CK174" s="351"/>
      <c r="CL174" s="351"/>
      <c r="CM174" s="351"/>
      <c r="CN174" s="277"/>
      <c r="CO174" s="277"/>
      <c r="CP174" s="277"/>
      <c r="CS174" s="350" t="str">
        <f t="shared" si="59"/>
        <v>Minéraux + vitamines</v>
      </c>
      <c r="CT174" s="351">
        <f t="array" ref="CT174">SUM((IF(QualitéAlimentsLapereauMâle_0_1_mois=BONNE,VLOOKUP("Minéraux + vitamines",AlimentsRationLapinsMâles[],4,FALSE),0)+(IF(QualitéAlimentsLapereauFemelle_0_1_mois=BONNE,VLOOKUP("Minéraux + vitamines",AlimentsRationLapinsFemelles[],4,FALSE),0)+(IF(QualitéAlimentsJeuneLapin=BONNE,VLOOKUP("Minéraux + vitamines",AlimentsRationLapinsMâles[],3,FALSE),0)+(IF(QualitéAlimentsJeuneLapine=BONNE,VLOOKUP("Minéraux + vitamines",AlimentsRationLapinsFemelles[],3,FALSE),0)+(IF(QualitéAlimentsLapin=BONNE,VLOOKUP("Minéraux + vitamines",AlimentsRationLapinsMâles[],2,FALSE),0)+(IF(QualitéAlimentsLapine=BONNE,VLOOKUP("Minéraux + vitamines",AlimentsRationLapinsFemelles[],2,FALSE),0))))))))</f>
        <v>0</v>
      </c>
      <c r="CU174" s="351">
        <f t="array" ref="CU174">SUM((IF(QualitéAlimentsLapereauMâle_0_1_mois=MOYENNE,VLOOKUP("Minéraux + vitamines",AlimentsRationLapinsMâles[],4,FALSE),0)+(IF(QualitéAlimentsLapereauFemelle_0_1_mois=MOYENNE,VLOOKUP("Minéraux + vitamines",AlimentsRationLapinsFemelles[],4,FALSE),0)+(IF(QualitéAlimentsJeuneLapin=MOYENNE,VLOOKUP("Minéraux + vitamines",AlimentsRationLapinsMâles[],3,FALSE),0)+(IF(QualitéAlimentsJeuneLapine=MOYENNE,VLOOKUP("Minéraux + vitamines",AlimentsRationLapinsFemelles[],3,FALSE),0)+(IF(QualitéAlimentsLapin=MOYENNE,VLOOKUP("Minéraux + vitamines",AlimentsRationLapinsMâles[],2,FALSE),0)+(IF(QualitéAlimentsLapine=MOYENNE,VLOOKUP("Minéraux + vitamines",AlimentsRationLapinsFemelles[],2,FALSE),0))))))))</f>
        <v>0</v>
      </c>
      <c r="CV174" s="351">
        <f t="array" ref="CV174">SUM((IF(QualitéAlimentsLapereauMâle_0_1_mois=MAUVAISE,VLOOKUP("Minéraux + vitamines",AlimentsRationLapinsMâles[],4,FALSE),0)+(IF(QualitéAlimentsLapereauFemelle_0_1_mois=MAUVAISE,VLOOKUP("Minéraux + vitamines",AlimentsRationLapinsFemelles[],4,FALSE),0)+(IF(QualitéAlimentsJeuneLapin=MAUVAISE,VLOOKUP("Minéraux + vitamines",AlimentsRationLapinsMâles[],3,FALSE),0)+(IF(QualitéAlimentsJeuneLapine=MAUVAISE,VLOOKUP("Minéraux + vitamines",AlimentsRationLapinsFemelles[],3,FALSE),0)+(IF(QualitéAlimentsLapin=MAUVAISE,VLOOKUP("Minéraux + vitamines",AlimentsRationLapinsMâles[],2,FALSE),0)+(IF(QualitéAlimentsLapine=MAUVAISE,VLOOKUP("Minéraux + vitamines",AlimentsRationLapinsFemelles[],2,FALSE),0))))))))</f>
        <v>0</v>
      </c>
      <c r="CZ174" s="350" t="str">
        <f t="shared" si="58"/>
        <v>Orge</v>
      </c>
      <c r="DA174" s="351">
        <f t="array" ref="DA174">SUM((IF(QualitéAlimentsPoussinMâle_0_1_mois=BONNE,VLOOKUP("Orge",AlimentsRationVolaillesMâles[],4,FALSE),0)+(IF(QualitéAlimentsPoussinFemelle_0_1_mois=BONNE,VLOOKUP("Orge",AlimentsRationVolaillesFemelles[],4,FALSE),0)+(IF(QualitéAlimentsJeuneCoq=BONNE,VLOOKUP("Orge",AlimentsRationVolaillesMâles[],3,FALSE),0)+(IF(QualitéAlimentsJeunePoule=BONNE,VLOOKUP("Orge",AlimentsRationVolaillesFemelles[],3,FALSE),0)+(IF(QualitéAlimentsCoq=BONNE,VLOOKUP("Orge",AlimentsRationVolaillesMâles[],2,FALSE),0)+(IF(QualitéAlimentsPoule=BONNE,VLOOKUP("Orge",AlimentsRationVolaillesFemelles[],2,FALSE),0))))))))</f>
        <v>0</v>
      </c>
      <c r="DB174" s="351">
        <f t="array" ref="DB174">SUM((IF(QualitéAlimentsPoussinMâle_0_1_mois=MOYENNE,VLOOKUP("Orge",AlimentsRationVolaillesMâles[],4,FALSE),0)+(IF(QualitéAlimentsPoussinFemelle_0_1_mois=MOYENNE,VLOOKUP("Orge",AlimentsRationVolaillesFemelles[],4,FALSE),0)+(IF(QualitéAlimentsJeuneCoq=MOYENNE,VLOOKUP("Orge",AlimentsRationVolaillesMâles[],3,FALSE),0)+(IF(QualitéAlimentsJeunePoule=MOYENNE,VLOOKUP("Orge",AlimentsRationVolaillesFemelles[],3,FALSE),0)+(IF(QualitéAlimentsCoq=MOYENNE,VLOOKUP("Orge",AlimentsRationVolaillesMâles[],2,FALSE),0)+(IF(QualitéAlimentsPoule=MOYENNE,VLOOKUP("Orge",AlimentsRationVolaillesFemelles[],2,FALSE),0))))))))</f>
        <v>0</v>
      </c>
      <c r="DC174" s="351">
        <f t="array" ref="DC174">SUM((IF(QualitéAlimentsPoussinMâle_0_1_mois=MAUVAISE,VLOOKUP("Orge",AlimentsRationVolaillesMâles[],4,FALSE),0)+(IF(QualitéAlimentsPoussinFemelle_0_1_mois=MAUVAISE,VLOOKUP("Orge",AlimentsRationVolaillesFemelles[],4,FALSE),0)+(IF(QualitéAlimentsJeuneCoq=MAUVAISE,VLOOKUP("Orge",AlimentsRationVolaillesMâles[],3,FALSE),0)+(IF(QualitéAlimentsJeunePoule=MAUVAISE,VLOOKUP("Orge",AlimentsRationVolaillesFemelles[],3,FALSE),0)+(IF(QualitéAlimentsCoq=MAUVAISE,VLOOKUP("Orge",AlimentsRationVolaillesMâles[],2,FALSE),0)+(IF(QualitéAlimentsPoule=MAUVAISE,VLOOKUP("Orge",AlimentsRationVolaillesFemelles[],2,FALSE),0))))))))</f>
        <v>0</v>
      </c>
      <c r="DG174" s="350" t="str">
        <f t="shared" si="52"/>
        <v>Tourteau de colza</v>
      </c>
      <c r="DH174" s="351">
        <f t="array" ref="DH174">SUM((IF(QualitéAlimentsPintadeauMâle_0_1_mois=BONNE,VLOOKUP("Tournesol de colza",AlimentsRationPintadesMâles[],4,FALSE),0)+(IF(QualitéAlimentsPintadeauFemelle_0_1_mois=BONNE,VLOOKUP("Tournesol de colza",AlimentsRationPintadesFemelles[],4,FALSE),0)+(IF(QualitéAlimentsJeunePintadeMâle=BONNE,VLOOKUP("Tournesol de colza",AlimentsRationPintadesMâles[],3,FALSE),0)+(IF(QualitéAlimentsJeunePintadeFemelle=BONNE,VLOOKUP("Tournesol de colza",AlimentsRationPintadesFemelles[],3,FALSE),0)+(IF(QualitéAlimentsPintadeMâle=BONNE,VLOOKUP("Tournesol de colza",AlimentsRationPintadesMâles[],2,FALSE),0)+(IF(QualitéAlimentsPintadeFemelle=BONNE,VLOOKUP("Tournesol de colza",AlimentsRationPintadesFemelles[],2,FALSE),0))))))))</f>
        <v>0</v>
      </c>
      <c r="DI174" s="351">
        <f t="array" ref="DI174">SUM((IF(QualitéAlimentsPintadeauMâle_0_1_mois=MOYENNE,VLOOKUP("Tournesol de colza",AlimentsRationPintadesMâles[],4,FALSE),0)+(IF(QualitéAlimentsPintadeauFemelle_0_1_mois=MOYENNE,VLOOKUP("Tournesol de colza",AlimentsRationPintadesFemelles[],4,FALSE),0)+(IF(QualitéAlimentsJeunePintadeMâle=MOYENNE,VLOOKUP("Tournesol de colza",AlimentsRationPintadesMâles[],3,FALSE),0)+(IF(QualitéAlimentsJeunePintadeFemelle=MOYENNE,VLOOKUP("Tournesol de colza",AlimentsRationPintadesFemelles[],3,FALSE),0)+(IF(QualitéAlimentsPintadeMâle=MOYENNE,VLOOKUP("Tournesol de colza",AlimentsRationPintadesMâles[],2,FALSE),0)+(IF(QualitéAlimentsPintadeFemelle=MOYENNE,VLOOKUP("Tournesol de colza",AlimentsRationPintadesFemelles[],2,FALSE),0))))))))</f>
        <v>0</v>
      </c>
      <c r="DJ174" s="351">
        <f t="array" ref="DJ174">SUM((IF(QualitéAlimentsPintadeauMâle_0_1_mois=MAUVAISE,VLOOKUP("Tournesol de colza",AlimentsRationPintadesMâles[],4,FALSE),0)+(IF(QualitéAlimentsPintadeauFemelle_0_1_mois=MAUVAISE,VLOOKUP("Tournesol de colza",AlimentsRationPintadesFemelles[],4,FALSE),0)+(IF(QualitéAlimentsJeunePintadeMâle=MAUVAISE,VLOOKUP("Tournesol de colza",AlimentsRationPintadesMâles[],3,FALSE),0)+(IF(QualitéAlimentsJeunePintadeFemelle=MAUVAISE,VLOOKUP("Tournesol de colza",AlimentsRationPintadesFemelles[],3,FALSE),0)+(IF(QualitéAlimentsPintadeMâle=MAUVAISE,VLOOKUP("Tournesol de colza",AlimentsRationPintadesMâles[],2,FALSE),0)+(IF(QualitéAlimentsPintadeFemelle=MAUVAISE,VLOOKUP("Tournesol de colza",AlimentsRationPintadesFemelles[],2,FALSE),0))))))))</f>
        <v>0</v>
      </c>
      <c r="DN174" s="350" t="s">
        <v>906</v>
      </c>
      <c r="DO174" s="351">
        <f t="array" ref="DO174">IF(ChoixRationComplèteOvins=OUI,0,IFERROR(IF(OR(AND(INDEX(Règles_ovins[Specificite],MATCH(ChoixRationOvins&amp;$DN174,Règles_ovins[Ration]&amp;Règles_ovins[Aliment],0))="s1",IF($DN174=Spécificité1Ovins,1)),
AND(INDEX(Règles_ovins[Specificite],MATCH(ChoixRationOvins&amp;$DN174,Règles_ovins[Ration]&amp;Règles_ovins[Aliment],0))="s2",IF($DN174=Spécificité2Ovins,1)),
INDEX(Règles_ovins[Specificite],MATCH(ChoixRationOvins&amp;$DN174,Règles_ovins[Ration]&amp;Règles_ovins[Aliment],0))="c"),
INDEX(Règles_ovins[Valeur 12 et plus],MATCH(ChoixRationOvins&amp;$DN174,Règles_ovins[Ration]&amp;Règles_ovins[Aliment],0)),0),0)*IF(ChoixOvinsPréHiver=OUI,SUM(TotalOvinsAdultesRacesLaitières)*NbreJoursNourrirOvins,TotalBéliers*NbreJoursNourrirOvins))</f>
        <v>0</v>
      </c>
      <c r="DP174" s="351">
        <f t="array" ref="DP174">IF(ChoixRationComplèteOvins=OUI,0,IFERROR(IF(OR(AND(INDEX(Règles_ovins[Specificite],MATCH(ChoixRationOvins&amp;$DN174,Règles_ovins[Ration]&amp;Règles_ovins[Aliment],0))="s1",IF($DN174=Spécificité1Ovins,1)),
AND(INDEX(Règles_ovins[Specificite],MATCH(ChoixRationOvins&amp;$DN174,Règles_ovins[Ration]&amp;Règles_ovins[Aliment],0))="s2",IF($DN174=Spécificité2Ovins,1)),
INDEX(Règles_ovins[Specificite],MATCH(ChoixRationOvins&amp;$DN174,Règles_ovins[Ration]&amp;Règles_ovins[Aliment],0))="c"),
INDEX(Règles_ovins[Valeur 6-12],MATCH(ChoixRationOvins&amp;$DN174,Règles_ovins[Ration]&amp;Règles_ovins[Aliment],0)),0),0)*IF(ChoixOvinsPréHiver=OUI,SUM(TotalJeunesOvinsRacesLaitières)*NbreJoursNourrirOvins,TotalJeune_bélier_6_12_mois*NbreJoursNourrirOvins))</f>
        <v>0</v>
      </c>
      <c r="DQ174" s="351">
        <f t="array" ref="DQ174">IF(ChoixRationComplèteOvins=OUI,0,IFERROR(IF(OR(AND(INDEX(Règles_ovins[Specificite],MATCH(ChoixRationOvins&amp;$DN174,Règles_ovins[Ration]&amp;Règles_ovins[Aliment],0))="s1",IF($DN174=Spécificité1Ovins,1)),
AND(INDEX(Règles_ovins[Specificite],MATCH(ChoixRationOvins&amp;$DN174,Règles_ovins[Ration]&amp;Règles_ovins[Aliment],0))="s2",IF($DN174=Spécificité2Ovins,1)),
INDEX(Règles_ovins[Specificite],MATCH(ChoixRationOvins&amp;$DN174,Règles_ovins[Ration]&amp;Règles_ovins[Aliment],0))="c"),
INDEX(Règles_ovins[Valeur 3-6],MATCH(ChoixRationOvins&amp;$DN174,Règles_ovins[Ration]&amp;Règles_ovins[Aliment],0)),0),0)*IF(ChoixOvinsPréHiver=OUI,SUM(TotalOvins_3_6moisRacesLaitières)*NbreJoursNourrirOvins,TotalAgneau_3_6_mois*NbreJoursNourrirOvins))</f>
        <v>0</v>
      </c>
      <c r="DR174" s="351">
        <f t="array" ref="DR174">IF(ChoixRationComplèteOvins=OUI,0,IFERROR(IF(OR(AND(INDEX(Règles_ovins[Specificite],MATCH(ChoixRationOvins&amp;$DN174,Règles_ovins[Ration]&amp;Règles_ovins[Aliment],0))="s1",IF($DN174=Spécificité1Ovins,1)),
AND(INDEX(Règles_ovins[Specificite],MATCH(ChoixRationOvins&amp;$DN174,Règles_ovins[Ration]&amp;Règles_ovins[Aliment],0))="s2",IF($DN174=Spécificité2Ovins,1)),
INDEX(Règles_ovins[Specificite],MATCH(ChoixRationOvins&amp;$DN174,Règles_ovins[Ration]&amp;Règles_ovins[Aliment],0))="c"),
INDEX(Règles_ovins[Valeur 0-3],MATCH(ChoixRationOvins&amp;$DN174,Règles_ovins[Ration]&amp;Règles_ovins[Aliment],0)),0),0)*IF(ChoixOvinsPréHiver=OUI,SUM(TotalOvins_3_6moisRacesLaitières)*NbreJoursNourrirOvins,TotalAgneau_0_3_mois*NbreJoursNourrirOvins))</f>
        <v>0</v>
      </c>
      <c r="DS174" s="441">
        <f t="shared" si="55"/>
        <v>0</v>
      </c>
      <c r="EG174" s="350" t="str">
        <f t="shared" si="57"/>
        <v>Pulpe déshydratée de betterave</v>
      </c>
      <c r="EH174" s="351">
        <f t="array" ref="EH174">SUM((IF(QualitéAlimentsOisonMâle_0_3_mois=BONNE,VLOOKUP("Pulpe déshydratée de betterave",AlimentsRationOiesMâles[],4,FALSE),0)+(IF(QualitéAlimentsOisonFemelle_0_3_mois=BONNE,VLOOKUP("Pulpe déshydratée de betterave",AlimentsRationOiesFemelles[],4,FALSE),0)+(IF(QualitéAlimentsJeuneJars=BONNE,VLOOKUP("Pulpe déshydratée de betterave",AlimentsRationOiesMâles[],3,FALSE),0)+(IF(QualitéAlimentsJeuneOie=BONNE,VLOOKUP("Pulpe déshydratée de betterave",AlimentsRationOiesFemelles[],3,FALSE),0)+(IF(QualitéAlimentsJars=BONNE,VLOOKUP("Pulpe déshydratée de betterave",AlimentsRationOiesMâles[],2,FALSE),0)+(IF(QualitéAlimentsOie=BONNE,VLOOKUP("Pulpe déshydratée de betterave",AlimentsRationOiesFemelles[],2,FALSE),0))))))))</f>
        <v>0</v>
      </c>
      <c r="EI174" s="351">
        <f t="array" ref="EI174">SUM((IF(QualitéAlimentsOisonMâle_0_3_mois=MOYENNE,VLOOKUP("Pulpe déshydratée de betterave",AlimentsRationOiesMâles[],4,FALSE),0)+(IF(QualitéAlimentsOisonFemelle_0_3_mois=MOYENNE,VLOOKUP("Pulpe déshydratée de betterave",AlimentsRationOiesFemelles[],4,FALSE),0)+(IF(QualitéAlimentsJeuneJars=MOYENNE,VLOOKUP("Pulpe déshydratée de betterave",AlimentsRationOiesMâles[],3,FALSE),0)+(IF(QualitéAlimentsJeuneOie=MOYENNE,VLOOKUP("Pulpe déshydratée de betterave",AlimentsRationOiesFemelles[],3,FALSE),0)+(IF(QualitéAlimentsJars=MOYENNE,VLOOKUP("Pulpe déshydratée de betterave",AlimentsRationOiesMâles[],2,FALSE),0)+(IF(QualitéAlimentsOie=MOYENNE,VLOOKUP("Pulpe déshydratée de betterave",AlimentsRationOiesFemelles[],2,FALSE),0))))))))</f>
        <v>0</v>
      </c>
      <c r="EJ174" s="351">
        <f t="array" ref="EJ174">SUM((IF(QualitéAlimentsOisonMâle_0_3_mois=MAUVAISE,VLOOKUP("Pulpe déshydratée de betterave",AlimentsRationOiesMâles[],4,FALSE),0)+(IF(QualitéAlimentsOisonFemelle_0_3_mois=MAUVAISE,VLOOKUP("Pulpe déshydratée de betterave",AlimentsRationOiesFemelles[],4,FALSE),0)+(IF(QualitéAlimentsJeuneJars=MAUVAISE,VLOOKUP("Pulpe déshydratée de betterave",AlimentsRationOiesMâles[],3,FALSE),0)+(IF(QualitéAlimentsJeuneOie=MAUVAISE,VLOOKUP("Pulpe déshydratée de betterave",AlimentsRationOiesFemelles[],3,FALSE),0)+(IF(QualitéAlimentsJars=MAUVAISE,VLOOKUP("Pulpe déshydratée de betterave",AlimentsRationOiesMâles[],2,FALSE),0)+(IF(QualitéAlimentsOie=MAUVAISE,VLOOKUP("Pulpe déshydratée de betterave",AlimentsRationOiesFemelles[],2,FALSE),0))))))))</f>
        <v>0</v>
      </c>
      <c r="EN174" s="457" t="str">
        <f t="shared" si="56"/>
        <v>Ration complète</v>
      </c>
      <c r="EO174" s="458">
        <f t="array" ref="EO174">SUM((IF(QualitéAlimentsCanetonMâle=BONNE,VLOOKUP("Ration complète",AlimentsRationCanardsMâles,4,FALSE),0)+(IF(QualitéAlimentsCanetonFemelle=BONNE,VLOOKUP("Ration complète",AlimentsRationCanardsFemelles,4,FALSE),0)+(IF(QualitéAlimentsJeuneCanard=BONNE,VLOOKUP("Ration complète",AlimentsRationCanardsMâles,3,FALSE),0)+(IF(QualitéAlimentsJeuneCane=BONNE,VLOOKUP("Ration complète",AlimentsRationCanardsFemelles,3,FALSE),0)+(IF(QualitéAlimentsCanard=BONNE,VLOOKUP("Ration complète",AlimentsRationCanardsMâles,2,FALSE),0)+(IF(QualitéAlimentsCane=BONNE,VLOOKUP("Ration complète",AlimentsRationCanardsFemelles,2,FALSE),0))))))))</f>
        <v>0</v>
      </c>
      <c r="EP174" s="458">
        <f t="array" ref="EP174">SUM((IF(QualitéAlimentsCanetonMâle=MOYENNE,VLOOKUP("Ration complète",AlimentsRationCanardsMâles,4,FALSE),0)+(IF(QualitéAlimentsCanetonFemelle=MOYENNE,VLOOKUP("Ration complète",AlimentsRationCanardsFemelles,4,FALSE),0)+(IF(QualitéAlimentsJeuneCanard=MOYENNE,VLOOKUP("Ration complète",AlimentsRationCanardsMâles,3,FALSE),0)+(IF(QualitéAlimentsJeuneCane=MOYENNE,VLOOKUP("Ration complète",AlimentsRationCanardsFemelles,3,FALSE),0)+(IF(QualitéAlimentsCanard=MOYENNE,VLOOKUP("Ration complète",AlimentsRationCanardsMâles,2,FALSE),0)+(IF(QualitéAlimentsCane=MOYENNE,VLOOKUP("Ration complète",AlimentsRationCanardsFemelles,2,FALSE),0))))))))</f>
        <v>0</v>
      </c>
      <c r="EQ174" s="458">
        <f t="array" ref="EQ174">SUM((IF(QualitéAlimentsCanetonMâle=MAUVAISE,VLOOKUP("Ration complète",AlimentsRationCanardsMâles,4,FALSE),0)+(IF(QualitéAlimentsCanetonFemelle=MAUVAISE,VLOOKUP("Ration complète",AlimentsRationCanardsFemelles,4,FALSE),0)+(IF(QualitéAlimentsJeuneCanard=MAUVAISE,VLOOKUP("Ration complète",AlimentsRationCanardsMâles,3,FALSE),0)+(IF(QualitéAlimentsJeuneCane=MAUVAISE,VLOOKUP("Ration complète",AlimentsRationCanardsFemelles,3,FALSE),0)+(IF(QualitéAlimentsCanard=MAUVAISE,VLOOKUP("Ration complète",AlimentsRationCanardsMâles,2,FALSE),0)+(IF(QualitéAlimentsCane=MAUVAISE,VLOOKUP("Ration complète",AlimentsRationCanardsFemelles,2,FALSE),0))))))))</f>
        <v>0</v>
      </c>
      <c r="EU174" s="457" t="str">
        <f t="shared" si="54"/>
        <v>Seigle</v>
      </c>
      <c r="EV174" s="458">
        <f t="array" ref="EV174">IF(OR(ChoixRationHivernaleComplèteChevauxSelle=OUI,ChoixRationHivernaleComplèteChevauxSelle="",ChoixChevauxSellePréHiver=NON),0,IFERROR(IF(OR(AND(INDEX(Règles_chevaux_selle[Specificite],MATCH(RationHivernaleAuPréChevauxSelle&amp;$EU174,Règles_chevaux_selle[Ration]&amp;Règles_chevaux_selle[Aliment],0))="s1",IF($EU174=Spécificité1ChevauxSelle,1)),
AND(INDEX(Règles_chevaux_selle[Specificite],MATCH(RationHivernaleAuPréChevauxSelle&amp;$EU174,Règles_chevaux_selle[Ration]&amp;Règles_chevaux_selle[Aliment],0))="s2",IF($EU174=Spécificité2ChevauxSelle,1)),
INDEX(Règles_chevaux_selle[Specificite],MATCH(RationHivernaleAuPréChevauxSelle&amp;$EU174,Règles_chevaux_selle[Ration]&amp;Règles_chevaux_selle[Aliment],0))="c"),
INDEX(Règles_chevaux_selle[Valeur 36 et plus],MATCH(RationHivernaleAuPréChevauxSelle&amp;$EU174,Règles_chevaux_selle[Ration]&amp;Règles_chevaux_selle[Aliment],0)),0),0)*SUM(TotalChevauxSelleAdultes)*21)</f>
        <v>0</v>
      </c>
      <c r="EW174" s="458">
        <f t="array" ref="EW174">IF(OR(ChoixRationHivernaleComplèteChevauxSelle=OUI,ChoixRationHivernaleComplèteChevauxSelle="",ChoixChevauxSellePréHiver=NON),0,IFERROR(IF(OR(AND(INDEX(Règles_chevaux_selle[Specificite],MATCH(RationHivernaleAuPréChevauxSelle&amp;$EU174,Règles_chevaux_selle[Ration]&amp;Règles_chevaux_selle[Aliment],0))="s1",IF($EU174=Spécificité1ChevauxSelle,1)),
AND(INDEX(Règles_chevaux_selle[Specificite],MATCH(RationHivernaleAuPréChevauxSelle&amp;$EU174,Règles_chevaux_selle[Ration]&amp;Règles_chevaux_selle[Aliment],0))="s2",IF($EU174=Spécificité2ChevauxSelle,1)),
INDEX(Règles_chevaux_selle[Specificite],MATCH(RationHivernaleAuPréChevauxSelle&amp;$EU174,Règles_chevaux_selle[Ration]&amp;Règles_chevaux_selle[Aliment],0))="c"),
INDEX(Règles_chevaux_selle[Valeur 24-36],MATCH(RationHivernaleAuPréChevauxSelle&amp;$EU174,Règles_chevaux_selle[Ration]&amp;Règles_chevaux_selle[Aliment],0)),0),0)*SUM(TotalChevauxSelle_24_36mois)*21)</f>
        <v>0</v>
      </c>
      <c r="EX174" s="458">
        <f t="array" ref="EX174">IF(OR(ChoixRationHivernaleComplèteChevauxSelle=OUI,ChoixRationHivernaleComplèteChevauxSelle="",ChoixChevauxSellePréHiver=NON),0,IFERROR(IF(OR(AND(INDEX(Règles_chevaux_selle[Specificite],MATCH(RationHivernaleAuPréChevauxSelle&amp;$EU174,Règles_chevaux_selle[Ration]&amp;Règles_chevaux_selle[Aliment],0))="s1",IF($EU174=Spécificité1ChevauxSelle,1)),
AND(INDEX(Règles_chevaux_selle[Specificite],MATCH(RationHivernaleAuPréChevauxSelle&amp;$EU174,Règles_chevaux_selle[Ration]&amp;Règles_chevaux_selle[Aliment],0))="s2",IF($EU174=Spécificité2ChevauxSelle,1)),
INDEX(Règles_chevaux_selle[Specificite],MATCH(RationHivernaleAuPréChevauxSelle&amp;$EU174,Règles_chevaux_selle[Ration]&amp;Règles_chevaux_selle[Aliment],0))="c"),
INDEX(Règles_chevaux_selle[Valeur 12-24],MATCH(RationHivernaleAuPréChevauxSelle&amp;$EU174,Règles_chevaux_selle[Ration]&amp;Règles_chevaux_selle[Aliment],0)),0),0)*SUM(TotalChevauxSelle_12_24mois)*21)</f>
        <v>0</v>
      </c>
      <c r="EY174" s="460">
        <f t="array" ref="EY174">IF(OR(ChoixRationHivernaleComplèteChevauxSelle=OUI,ChoixRationHivernaleComplèteChevauxSelle="",ChoixChevauxSellePréHiver=NON),0,IFERROR(IF(OR(AND(INDEX(Règles_chevaux_selle[Specificite],MATCH(RationHivernaleAuPréChevauxSelle&amp;$EU174,Règles_chevaux_selle[Ration]&amp;Règles_chevaux_selle[Aliment],0))="s1",IF($EU174=Spécificité1ChevauxSelle,1)),
AND(INDEX(Règles_chevaux_selle[Specificite],MATCH(RationHivernaleAuPréChevauxSelle&amp;$EU174,Règles_chevaux_selle[Ration]&amp;Règles_chevaux_selle[Aliment],0))="s2",IF($EU174=Spécificité2ChevauxSelle,1)),
INDEX(Règles_chevaux_selle[Specificite],MATCH(RationHivernaleAuPréChevauxSelle&amp;$EU174,Règles_chevaux_selle[Ration]&amp;Règles_chevaux_selle[Aliment],0))="c"),
INDEX(Règles_chevaux_selle[Valeur 0-12],MATCH(RationHivernaleAuPréChevauxSelle&amp;$EU174,Règles_chevaux_selle[Ration]&amp;Règles_chevaux_selle[Aliment],0)),0),0)*SUM(TotalPoulainsSelle)*21)</f>
        <v>0</v>
      </c>
      <c r="EZ174" s="460">
        <f t="shared" si="53"/>
        <v>0</v>
      </c>
      <c r="FD174" s="457" t="str">
        <f t="shared" si="49"/>
        <v>Triticale</v>
      </c>
      <c r="FE174" s="458">
        <f t="array" ref="FE174">IF(OR(ChoixRationHivernaleComplèteChevauxTrait=OUI,ChoixRationHivernaleComplèteChevauxTrait="",ChoixChevauxTraitPréHiver=NON),0,IFERROR(IF(OR(AND(INDEX(Règles_chevaux_trait[Specificite],MATCH(RationHivernaleAuPréChevauxTrait&amp;$FD174,Règles_chevaux_trait[Ration]&amp;Règles_chevaux_trait[Aliment],0))="s1",IF($FD174=Spécificité1ChevauxTrait,1)),
AND(INDEX(Règles_chevaux_trait[Specificite],MATCH(RationHivernaleAuPréChevauxTrait&amp;$FD174,Règles_chevaux_trait[Ration]&amp;Règles_chevaux_trait[Aliment],0))="s2",IF($FD174=Spécificité2ChevauxTrait,1)),
INDEX(Règles_chevaux_trait[Specificite],MATCH(RationHivernaleAuPréChevauxTrait&amp;$FD174,Règles_chevaux_trait[Ration]&amp;Règles_chevaux_trait[Aliment],0))="c"),
INDEX(Règles_chevaux_trait[Valeur 36 et plus],MATCH(RationHivernaleAuPréChevauxTrait&amp;$FD174,Règles_chevaux_trait[Ration]&amp;Règles_chevaux_trait[Aliment],0)),0),0)*SUM(TotalChevauxTraitAdultes)*21)</f>
        <v>0</v>
      </c>
      <c r="FF174" s="458">
        <f t="array" ref="FF174">IF(OR(ChoixRationHivernaleComplèteChevauxTrait=OUI,ChoixRationHivernaleComplèteChevauxTrait="",ChoixChevauxTraitPréHiver=NON),0,IFERROR(IF(OR(AND(INDEX(Règles_chevaux_trait[Specificite],MATCH(RationHivernaleAuPréChevauxTrait&amp;$FD174,Règles_chevaux_trait[Ration]&amp;Règles_chevaux_trait[Aliment],0))="s1",IF($FD174=Spécificité1ChevauxTrait,1)),
AND(INDEX(Règles_chevaux_trait[Specificite],MATCH(RationHivernaleAuPréChevauxTrait&amp;$FD174,Règles_chevaux_trait[Ration]&amp;Règles_chevaux_trait[Aliment],0))="s2",IF($FD174=Spécificité2ChevauxTrait,1)),
INDEX(Règles_chevaux_trait[Specificite],MATCH(RationHivernaleAuPréChevauxTrait&amp;$FD174,Règles_chevaux_trait[Ration]&amp;Règles_chevaux_trait[Aliment],0))="c"),
INDEX(Règles_chevaux_trait[Valeur 24-36],MATCH(RationHivernaleAuPréChevauxTrait&amp;$FD174,Règles_chevaux_trait[Ration]&amp;Règles_chevaux_trait[Aliment],0)),0),0)*SUM(TotalChevauxTrait_24_36mois)*21)</f>
        <v>0</v>
      </c>
      <c r="FG174" s="458">
        <f t="array" ref="FG174">IF(OR(ChoixRationHivernaleComplèteChevauxTrait=OUI,ChoixRationHivernaleComplèteChevauxTrait="",ChoixChevauxTraitPréHiver=NON),0,IFERROR(IF(OR(AND(INDEX(Règles_chevaux_trait[Specificite],MATCH(RationHivernaleAuPréChevauxTrait&amp;$FD174,Règles_chevaux_trait[Ration]&amp;Règles_chevaux_trait[Aliment],0))="s1",IF($FD174=Spécificité1ChevauxTrait,1)),
AND(INDEX(Règles_chevaux_trait[Specificite],MATCH(RationHivernaleAuPréChevauxTrait&amp;$FD174,Règles_chevaux_trait[Ration]&amp;Règles_chevaux_trait[Aliment],0))="s2",IF($FD174=Spécificité2ChevauxTrait,1)),
INDEX(Règles_chevaux_trait[Specificite],MATCH(RationHivernaleAuPréChevauxTrait&amp;$FD174,Règles_chevaux_trait[Ration]&amp;Règles_chevaux_trait[Aliment],0))="c"),
INDEX(Règles_chevaux_trait[Valeur 12-24],MATCH(RationHivernaleAuPréChevauxTrait&amp;$FD174,Règles_chevaux_trait[Ration]&amp;Règles_chevaux_trait[Aliment],0)),0),0)*SUM(TotalChevauxTrait_12_24mois)*21)</f>
        <v>0</v>
      </c>
      <c r="FH174" s="460">
        <f t="array" ref="FH174">IF(OR(ChoixRationHivernaleComplèteChevauxTrait=OUI,ChoixRationHivernaleComplèteChevauxTrait="",ChoixChevauxTraitPréHiver=NON),0,IFERROR(IF(OR(AND(INDEX(Règles_chevaux_trait[Specificite],MATCH(RationHivernaleAuPréChevauxTrait&amp;$FD174,Règles_chevaux_trait[Ration]&amp;Règles_chevaux_trait[Aliment],0))="s1",IF($FD174=Spécificité1ChevauxTrait,1)),
AND(INDEX(Règles_chevaux_trait[Specificite],MATCH(RationHivernaleAuPréChevauxTrait&amp;$FD174,Règles_chevaux_trait[Ration]&amp;Règles_chevaux_trait[Aliment],0))="s2",IF($FD174=Spécificité2ChevauxTrait,1)),
INDEX(Règles_chevaux_trait[Specificite],MATCH(RationHivernaleAuPréChevauxTrait&amp;$FD174,Règles_chevaux_trait[Ration]&amp;Règles_chevaux_trait[Aliment],0))="c"),
INDEX(Règles_chevaux_trait[Valeur 0-12],MATCH(RationHivernaleAuPréChevauxTrait&amp;$FD174,Règles_chevaux_trait[Ration]&amp;Règles_chevaux_trait[Aliment],0)),0),0)*SUM(TotalPoulainsTrait)*21)</f>
        <v>0</v>
      </c>
      <c r="FI174" s="460">
        <f t="shared" si="47"/>
        <v>0</v>
      </c>
      <c r="FN174" s="457">
        <f t="shared" si="48"/>
        <v>0</v>
      </c>
      <c r="FO174" s="458">
        <f t="array" ref="FO174">IF(OR(ChoixRationHivernaleComplètePoneys=OUI,ChoixRationHivernaleComplètePoneys="",ChoixPoneysPréHiver=NON),0,IFERROR(IF(OR(AND(INDEX(Règles_poneys[Specificite],MATCH(RationHivernaleAuPréPoneys&amp;$FN174,Règles_poneys[Ration]&amp;Règles_poneys[Aliment],0))="s1",IF($FN174=Spécificité1Poneys,1)),
AND(INDEX(Règles_poneys[Specificite],MATCH(RationHivernaleAuPréPoneys&amp;$FN174,Règles_poneys[Ration]&amp;Règles_poneys[Aliment],0))="s2",IF($FN174=Spécificité2Poneys,1)),
INDEX(Règles_poneys[Specificite],MATCH(RationHivernaleAuPréPoneys&amp;$FN174,Règles_poneys[Ration]&amp;Règles_poneys[Aliment],0))="c"),
INDEX(Règles_poneys[Valeur 36 et plus],MATCH(RationHivernaleAuPréPoneys&amp;$FN174,Règles_poneys[Ration]&amp;Règles_poneys[Aliment],0)),0),0)*SUM(TotalPoneysAdultes)*21)</f>
        <v>0</v>
      </c>
      <c r="FP174" s="458">
        <f t="array" ref="FP174">IF(OR(ChoixRationHivernaleComplètePoneys=OUI,ChoixRationHivernaleComplètePoneys="",ChoixPoneysPréHiver=NON),0,IFERROR(IF(OR(AND(INDEX(Règles_poneys[Specificite],MATCH(RationHivernaleAuPréPoneys&amp;$FN174,Règles_poneys[Ration]&amp;Règles_poneys[Aliment],0))="s1",IF($FN174=Spécificité1Poneys,1)),
AND(INDEX(Règles_poneys[Specificite],MATCH(RationHivernaleAuPréPoneys&amp;$FN174,Règles_poneys[Ration]&amp;Règles_poneys[Aliment],0))="s2",IF($FN174=Spécificité2Poneys,1)),
INDEX(Règles_poneys[Specificite],MATCH(RationHivernaleAuPréPoneys&amp;$FN174,Règles_poneys[Ration]&amp;Règles_poneys[Aliment],0))="c"),
INDEX(Règles_poneys[Valeur 24-36],MATCH(RationHivernaleAuPréPoneys&amp;$FN174,Règles_poneys[Ration]&amp;Règles_poneys[Aliment],0)),0),0)*SUM(TotalPoneys_24_36mois)*21)</f>
        <v>0</v>
      </c>
      <c r="FQ174" s="458">
        <f t="array" ref="FQ174">IF(OR(ChoixRationHivernaleComplètePoneys=OUI,ChoixRationHivernaleComplètePoneys="",ChoixPoneysPréHiver=NON),0,IFERROR(IF(OR(AND(INDEX(Règles_poneys[Specificite],MATCH(RationHivernaleAuPréPoneys&amp;$FN174,Règles_poneys[Ration]&amp;Règles_poneys[Aliment],0))="s1",IF($FN174=Spécificité1Poneys,1)),
AND(INDEX(Règles_poneys[Specificite],MATCH(RationHivernaleAuPréPoneys&amp;$FN174,Règles_poneys[Ration]&amp;Règles_poneys[Aliment],0))="s2",IF($FN174=Spécificité2Poneys,1)),
INDEX(Règles_poneys[Specificite],MATCH(RationHivernaleAuPréPoneys&amp;$FN174,Règles_poneys[Ration]&amp;Règles_poneys[Aliment],0))="c"),
INDEX(Règles_poneys[Valeur 12-24],MATCH(RationHivernaleAuPréPoneys&amp;$FN174,Règles_poneys[Ration]&amp;Règles_poneys[Aliment],0)),0),0)*SUM(TotalPoneys_12_24mois)*21)</f>
        <v>0</v>
      </c>
      <c r="FR174" s="460">
        <f t="array" ref="FR174">IF(OR(ChoixRationHivernaleComplètePoneys=OUI,ChoixRationHivernaleComplètePoneys="",ChoixPoneysPréHiver=NON),0,IFERROR(IF(OR(AND(INDEX(Règles_poneys[Specificite],MATCH(RationHivernaleAuPréPoneys&amp;$FN174,Règles_poneys[Ration]&amp;Règles_poneys[Aliment],0))="s1",IF($FN174=Spécificité1Poneys,1)),
AND(INDEX(Règles_poneys[Specificite],MATCH(RationHivernaleAuPréPoneys&amp;$FN174,Règles_poneys[Ration]&amp;Règles_poneys[Aliment],0))="s2",IF($FN174=Spécificité2Poneys,1)),
INDEX(Règles_poneys[Specificite],MATCH(RationHivernaleAuPréPoneys&amp;$FN174,Règles_poneys[Ration]&amp;Règles_poneys[Aliment],0))="c"),
INDEX(Règles_poneys[Valeur 0-12],MATCH(RationHivernaleAuPréPoneys&amp;$FN174,Règles_poneys[Ration]&amp;Règles_poneys[Aliment],0)),0),0)*SUM(TotalPoulainsPoneys)*21)</f>
        <v>0</v>
      </c>
      <c r="FS174" s="460">
        <f t="shared" si="46"/>
        <v>0</v>
      </c>
      <c r="FW174" s="457">
        <f t="shared" si="44"/>
        <v>0</v>
      </c>
      <c r="FX174" s="458"/>
      <c r="FY174" s="458"/>
      <c r="FZ174" s="458"/>
      <c r="GB174" s="281"/>
      <c r="GG174" s="276" t="s">
        <v>955</v>
      </c>
      <c r="GH174" s="276" t="s">
        <v>955</v>
      </c>
      <c r="GI174" s="276" t="s">
        <v>955</v>
      </c>
      <c r="GJ174" s="276" t="s">
        <v>955</v>
      </c>
      <c r="GK174" s="276" t="s">
        <v>955</v>
      </c>
      <c r="GL174" s="276" t="s">
        <v>955</v>
      </c>
      <c r="GM174" s="276" t="s">
        <v>955</v>
      </c>
      <c r="GN174" s="276" t="s">
        <v>955</v>
      </c>
      <c r="GO174" s="276" t="s">
        <v>955</v>
      </c>
      <c r="GP174" s="276" t="s">
        <v>955</v>
      </c>
      <c r="GQ174" s="276" t="s">
        <v>955</v>
      </c>
      <c r="GR174" s="276" t="s">
        <v>955</v>
      </c>
      <c r="GS174" s="276" t="s">
        <v>955</v>
      </c>
      <c r="GT174" s="276" t="s">
        <v>955</v>
      </c>
      <c r="GU174" s="276" t="s">
        <v>955</v>
      </c>
      <c r="GV174" s="276" t="s">
        <v>955</v>
      </c>
    </row>
    <row r="175" spans="1:204" ht="12.75" customHeight="1" x14ac:dyDescent="0.2">
      <c r="A175" s="373"/>
      <c r="B175" s="382"/>
      <c r="BB175" s="387" t="s">
        <v>843</v>
      </c>
      <c r="BC175" s="362" t="s">
        <v>489</v>
      </c>
      <c r="BD175" s="362" t="s">
        <v>887</v>
      </c>
      <c r="BE175" s="388">
        <v>6.6</v>
      </c>
      <c r="BF175" s="388">
        <v>5.4</v>
      </c>
      <c r="BG175" s="388">
        <v>4.2</v>
      </c>
      <c r="BH175" s="388">
        <v>3</v>
      </c>
      <c r="BI175" s="388">
        <v>2.4</v>
      </c>
      <c r="BJ175" s="388">
        <v>1.2</v>
      </c>
      <c r="BK175" s="389">
        <v>0</v>
      </c>
      <c r="BL175" s="276"/>
      <c r="BX175" s="350" t="str">
        <f t="shared" si="51"/>
        <v>Tourteau de tournesol</v>
      </c>
      <c r="BY175" s="350">
        <f t="array" ref="BY175">IF(ChoixRationComplèteCaprins=OUI,0,IFERROR(IF(OR(AND(INDEX(Règles_caprins[Specificite],MATCH(ChoixRationCaprins&amp;$BX175,Règles_caprins[Ration]&amp;Règles_caprins[Aliment],0))="s1",IF($BX175=Spécificité1Caprins,1)),
INDEX(Règles_caprins[Specificite],MATCH(ChoixRationCaprins&amp;$BX175,Règles_caprins[Ration]&amp;Règles_caprins[Aliment],0))="c"),
INDEX(Règles_caprins[Valeur 12 et plus],MATCH(ChoixRationCaprins&amp;$BX175,Règles_caprins[Ration]&amp;Règles_caprins[Aliment],0)),0),0)*TotalChèvres*NbreJoursNourrirCaprins)</f>
        <v>0</v>
      </c>
      <c r="BZ175" s="350">
        <f t="array" ref="BZ175">IF(ChoixRationComplèteCaprins=OUI,0,IFERROR(IF(OR(AND(INDEX(Règles_caprins[Specificite],MATCH(ChoixRationCaprins&amp;$BX175,Règles_caprins[Ration]&amp;Règles_caprins[Aliment],0))="s1",IF($BX175=Spécificité1Caprins,1)),
INDEX(Règles_caprins[Specificite],MATCH(ChoixRationCaprins&amp;$BX175,Règles_caprins[Ration]&amp;Règles_caprins[Aliment],0))="c"),
INDEX(Règles_caprins[Valeur 6-12],MATCH(ChoixRationCaprins&amp;$BX175,Règles_caprins[Ration]&amp;Règles_caprins[Aliment],0)),0),0)*jeune_chèvre_6_12_mois*NbreJoursNourrirCaprins)</f>
        <v>0</v>
      </c>
      <c r="CA175" s="350">
        <f t="array" ref="CA175">IF(ChoixRationComplèteCaprins=OUI,0,IFERROR(IF(OR(AND(INDEX(Règles_caprins[Specificite],MATCH(ChoixRationCaprins&amp;$BX175,Règles_caprins[Ration]&amp;Règles_caprins[Aliment],0))="s1",IF($BX175=Spécificité1Caprins,1)),
INDEX(Règles_caprins[Specificite],MATCH(ChoixRationCaprins&amp;$BX175,Règles_caprins[Ration]&amp;Règles_caprins[Aliment],0))="c"),
INDEX(Règles_caprins[Valeur 3-6],MATCH(ChoixRationCaprins&amp;$BX175,Règles_caprins[Ration]&amp;Règles_caprins[Aliment],0)),0),0)*chevrette_3_6_mois*NbreJoursNourrirCaprins)</f>
        <v>0</v>
      </c>
      <c r="CB175" s="350">
        <f t="array" ref="CB175">IF(ChoixRationComplèteCaprins=OUI,0,IFERROR(IF(OR(AND(INDEX(Règles_caprins[Specificite],MATCH(ChoixRationCaprins&amp;$BX175,Règles_caprins[Ration]&amp;Règles_caprins[Aliment],0))="s1",IF($BX175=Spécificité1Caprins,1)),
INDEX(Règles_caprins[Specificite],MATCH(ChoixRationCaprins&amp;$BX175,Règles_caprins[Ration]&amp;Règles_caprins[Aliment],0))="c"),
INDEX(Règles_caprins[Valeur 0-3],MATCH(ChoixRationCaprins&amp;$BX175,Règles_caprins[Ration]&amp;Règles_caprins[Aliment],0)),0),0)*chevrette_0_3_mois*NbreJoursNourrirCaprins)</f>
        <v>0</v>
      </c>
      <c r="CC175" s="350">
        <f t="shared" si="50"/>
        <v>0</v>
      </c>
      <c r="CH175" s="298"/>
      <c r="CI175" s="277"/>
      <c r="CJ175" s="350"/>
      <c r="CK175" s="351"/>
      <c r="CL175" s="351"/>
      <c r="CM175" s="351"/>
      <c r="CN175" s="277"/>
      <c r="CO175" s="277"/>
      <c r="CP175" s="277"/>
      <c r="CS175" s="350" t="str">
        <f t="shared" si="59"/>
        <v>Orge</v>
      </c>
      <c r="CT175" s="351">
        <f t="array" ref="CT175">SUM((IF(QualitéAlimentsLapereauMâle_0_1_mois=BONNE,VLOOKUP("Orge",AlimentsRationLapinsMâles[],4,FALSE),0)+(IF(QualitéAlimentsLapereauFemelle_0_1_mois=BONNE,VLOOKUP("Orge",AlimentsRationLapinsFemelles[],4,FALSE),0)+(IF(QualitéAlimentsJeuneLapin=BONNE,VLOOKUP("Orge",AlimentsRationLapinsMâles[],3,FALSE),0)+(IF(QualitéAlimentsJeuneLapine=BONNE,VLOOKUP("Orge",AlimentsRationLapinsFemelles[],3,FALSE),0)+(IF(QualitéAlimentsLapin=BONNE,VLOOKUP("Orge",AlimentsRationLapinsMâles[],2,FALSE),0)+(IF(QualitéAlimentsLapine=BONNE,VLOOKUP("Orge",AlimentsRationLapinsFemelles[],2,FALSE),0))))))))</f>
        <v>0</v>
      </c>
      <c r="CU175" s="351">
        <f t="array" ref="CU175">SUM((IF(QualitéAlimentsLapereauMâle_0_1_mois=MOYENNE,VLOOKUP("Orge",AlimentsRationLapinsMâles[],4,FALSE),0)+(IF(QualitéAlimentsLapereauFemelle_0_1_mois=MOYENNE,VLOOKUP("Orge",AlimentsRationLapinsFemelles[],4,FALSE),0)+(IF(QualitéAlimentsJeuneLapin=MOYENNE,VLOOKUP("Orge",AlimentsRationLapinsMâles[],3,FALSE),0)+(IF(QualitéAlimentsJeuneLapine=MOYENNE,VLOOKUP("Orge",AlimentsRationLapinsFemelles[],3,FALSE),0)+(IF(QualitéAlimentsLapin=MOYENNE,VLOOKUP("Orge",AlimentsRationLapinsMâles[],2,FALSE),0)+(IF(QualitéAlimentsLapine=MOYENNE,VLOOKUP("Orge",AlimentsRationLapinsFemelles[],2,FALSE),0))))))))</f>
        <v>0</v>
      </c>
      <c r="CV175" s="351">
        <f t="array" ref="CV175">SUM((IF(QualitéAlimentsLapereauMâle_0_1_mois=MAUVAISE,VLOOKUP("Orge",AlimentsRationLapinsMâles[],4,FALSE),0)+(IF(QualitéAlimentsLapereauFemelle_0_1_mois=MAUVAISE,VLOOKUP("Orge",AlimentsRationLapinsFemelles[],4,FALSE),0)+(IF(QualitéAlimentsJeuneLapin=MAUVAISE,VLOOKUP("Orge",AlimentsRationLapinsMâles[],3,FALSE),0)+(IF(QualitéAlimentsJeuneLapine=MAUVAISE,VLOOKUP("Orge",AlimentsRationLapinsFemelles[],3,FALSE),0)+(IF(QualitéAlimentsLapin=MAUVAISE,VLOOKUP("Orge",AlimentsRationLapinsMâles[],2,FALSE),0)+(IF(QualitéAlimentsLapine=MAUVAISE,VLOOKUP("Orge",AlimentsRationLapinsFemelles[],2,FALSE),0))))))))</f>
        <v>0</v>
      </c>
      <c r="CZ175" s="350" t="str">
        <f t="shared" si="58"/>
        <v>Paille</v>
      </c>
      <c r="DA175" s="351">
        <f t="array" ref="DA175">SUM((IF(QualitéAlimentsPoussinMâle_0_1_mois=BONNE,VLOOKUP("Paille",AlimentsRationVolaillesMâles[],4,FALSE),0)+(IF(QualitéAlimentsPoussinFemelle_0_1_mois=BONNE,VLOOKUP("Paille",AlimentsRationVolaillesFemelles[],4,FALSE),0)+(IF(QualitéAlimentsJeuneCoq=BONNE,VLOOKUP("Paille",AlimentsRationVolaillesMâles[],3,FALSE),0)+(IF(QualitéAlimentsJeunePoule=BONNE,VLOOKUP("Paille",AlimentsRationVolaillesFemelles[],3,FALSE),0)+(IF(QualitéAlimentsCoq=BONNE,VLOOKUP("Paille",AlimentsRationVolaillesMâles[],2,FALSE),0)+(IF(QualitéAlimentsPoule=BONNE,VLOOKUP("Paille",AlimentsRationVolaillesFemelles[],2,FALSE),0))))))))</f>
        <v>0</v>
      </c>
      <c r="DB175" s="351">
        <f t="array" ref="DB175">SUM((IF(QualitéAlimentsPoussinMâle_0_1_mois=MOYENNE,VLOOKUP("Paille",AlimentsRationVolaillesMâles[],4,FALSE),0)+(IF(QualitéAlimentsPoussinFemelle_0_1_mois=MOYENNE,VLOOKUP("Paille",AlimentsRationVolaillesFemelles[],4,FALSE),0)+(IF(QualitéAlimentsJeuneCoq=MOYENNE,VLOOKUP("Paille",AlimentsRationVolaillesMâles[],3,FALSE),0)+(IF(QualitéAlimentsJeunePoule=MOYENNE,VLOOKUP("Paille",AlimentsRationVolaillesFemelles[],3,FALSE),0)+(IF(QualitéAlimentsCoq=MOYENNE,VLOOKUP("Paille",AlimentsRationVolaillesMâles[],2,FALSE),0)+(IF(QualitéAlimentsPoule=MOYENNE,VLOOKUP("Paille",AlimentsRationVolaillesFemelles[],2,FALSE),0))))))))</f>
        <v>0</v>
      </c>
      <c r="DC175" s="351">
        <f t="array" ref="DC175">SUM((IF(QualitéAlimentsPoussinMâle_0_1_mois=MAUVAISE,VLOOKUP("Paille",AlimentsRationVolaillesMâles[],4,FALSE),0)+(IF(QualitéAlimentsPoussinFemelle_0_1_mois=MAUVAISE,VLOOKUP("Paille",AlimentsRationVolaillesFemelles[],4,FALSE),0)+(IF(QualitéAlimentsJeuneCoq=MAUVAISE,VLOOKUP("Paille",AlimentsRationVolaillesMâles[],3,FALSE),0)+(IF(QualitéAlimentsJeunePoule=MAUVAISE,VLOOKUP("Paille",AlimentsRationVolaillesFemelles[],3,FALSE),0)+(IF(QualitéAlimentsCoq=MAUVAISE,VLOOKUP("Paille",AlimentsRationVolaillesMâles[],2,FALSE),0)+(IF(QualitéAlimentsPoule=MAUVAISE,VLOOKUP("Paille",AlimentsRationVolaillesFemelles[],2,FALSE),0)+LitièreVolailles[[#Totals],[litière]])))))))</f>
        <v>0</v>
      </c>
      <c r="DG175" s="350" t="str">
        <f t="shared" si="52"/>
        <v>Tourteau de tournesol</v>
      </c>
      <c r="DH175" s="351">
        <f t="array" ref="DH175">SUM((IF(QualitéAlimentsPintadeauMâle_0_1_mois=BONNE,VLOOKUP("Tournesol de tournesol",AlimentsRationPintadesMâles[],4,FALSE),0)+(IF(QualitéAlimentsPintadeauFemelle_0_1_mois=BONNE,VLOOKUP("Tournesol de tournesol",AlimentsRationPintadesFemelles[],4,FALSE),0)+(IF(QualitéAlimentsJeunePintadeMâle=BONNE,VLOOKUP("Tournesol de tournesol",AlimentsRationPintadesMâles[],3,FALSE),0)+(IF(QualitéAlimentsJeunePintadeFemelle=BONNE,VLOOKUP("Tournesol de tournesol",AlimentsRationPintadesFemelles[],3,FALSE),0)+(IF(QualitéAlimentsPintadeMâle=BONNE,VLOOKUP("Tournesol de tournesol",AlimentsRationPintadesMâles[],2,FALSE),0)+(IF(QualitéAlimentsPintadeFemelle=BONNE,VLOOKUP("Tournesol de tournesol",AlimentsRationPintadesFemelles[],2,FALSE),0))))))))</f>
        <v>0</v>
      </c>
      <c r="DI175" s="351">
        <f t="array" ref="DI175">SUM((IF(QualitéAlimentsPintadeauMâle_0_1_mois=MOYENNE,VLOOKUP("Tournesol de tournesol",AlimentsRationPintadesMâles[],4,FALSE),0)+(IF(QualitéAlimentsPintadeauFemelle_0_1_mois=MOYENNE,VLOOKUP("Tournesol de tournesol",AlimentsRationPintadesFemelles[],4,FALSE),0)+(IF(QualitéAlimentsJeunePintadeMâle=MOYENNE,VLOOKUP("Tournesol de tournesol",AlimentsRationPintadesMâles[],3,FALSE),0)+(IF(QualitéAlimentsJeunePintadeFemelle=MOYENNE,VLOOKUP("Tournesol de tournesol",AlimentsRationPintadesFemelles[],3,FALSE),0)+(IF(QualitéAlimentsPintadeMâle=MOYENNE,VLOOKUP("Tournesol de tournesol",AlimentsRationPintadesMâles[],2,FALSE),0)+(IF(QualitéAlimentsPintadeFemelle=MOYENNE,VLOOKUP("Tournesol de tournesol",AlimentsRationPintadesFemelles[],2,FALSE),0))))))))</f>
        <v>0</v>
      </c>
      <c r="DJ175" s="351">
        <f t="array" ref="DJ175">SUM((IF(QualitéAlimentsPintadeauMâle_0_1_mois=MAUVAISE,VLOOKUP("Tournesol de tournesol",AlimentsRationPintadesMâles[],4,FALSE),0)+(IF(QualitéAlimentsPintadeauFemelle_0_1_mois=MAUVAISE,VLOOKUP("Tournesol de tournesol",AlimentsRationPintadesFemelles[],4,FALSE),0)+(IF(QualitéAlimentsJeunePintadeMâle=MAUVAISE,VLOOKUP("Tournesol de tournesol",AlimentsRationPintadesMâles[],3,FALSE),0)+(IF(QualitéAlimentsJeunePintadeFemelle=MAUVAISE,VLOOKUP("Tournesol de tournesol",AlimentsRationPintadesFemelles[],3,FALSE),0)+(IF(QualitéAlimentsPintadeMâle=MAUVAISE,VLOOKUP("Tournesol de tournesol",AlimentsRationPintadesMâles[],2,FALSE),0)+(IF(QualitéAlimentsPintadeFemelle=MAUVAISE,VLOOKUP("Tournesol de tournesol",AlimentsRationPintadesFemelles[],2,FALSE),0))))))))</f>
        <v>0</v>
      </c>
      <c r="DN175" s="350" t="s">
        <v>508</v>
      </c>
      <c r="DO175" s="351">
        <f t="array" ref="DO175">IF(ChoixRationComplèteOvins=OUI,0,IFERROR(IF(OR(AND(INDEX(Règles_ovins[Specificite],MATCH(ChoixRationOvins&amp;$DN175,Règles_ovins[Ration]&amp;Règles_ovins[Aliment],0))="s1",IF($DN175=Spécificité1Ovins,1)),
AND(INDEX(Règles_ovins[Specificite],MATCH(ChoixRationOvins&amp;$DN175,Règles_ovins[Ration]&amp;Règles_ovins[Aliment],0))="s2",IF($DN175=Spécificité2Ovins,1)),
INDEX(Règles_ovins[Specificite],MATCH(ChoixRationOvins&amp;$DN175,Règles_ovins[Ration]&amp;Règles_ovins[Aliment],0))="c"),
INDEX(Règles_ovins[Valeur 12 et plus],MATCH(ChoixRationOvins&amp;$DN175,Règles_ovins[Ration]&amp;Règles_ovins[Aliment],0)),0),0)*IF(ChoixOvinsPréHiver=OUI,SUM(TotalOvinsAdultesRacesLaitières)*NbreJoursNourrirOvins,TotalBéliers*NbreJoursNourrirOvins))</f>
        <v>0</v>
      </c>
      <c r="DP175" s="351">
        <f t="array" ref="DP175">IF(ChoixRationComplèteOvins=OUI,0,IFERROR(IF(OR(AND(INDEX(Règles_ovins[Specificite],MATCH(ChoixRationOvins&amp;$DN175,Règles_ovins[Ration]&amp;Règles_ovins[Aliment],0))="s1",IF($DN175=Spécificité1Ovins,1)),
AND(INDEX(Règles_ovins[Specificite],MATCH(ChoixRationOvins&amp;$DN175,Règles_ovins[Ration]&amp;Règles_ovins[Aliment],0))="s2",IF($DN175=Spécificité2Ovins,1)),
INDEX(Règles_ovins[Specificite],MATCH(ChoixRationOvins&amp;$DN175,Règles_ovins[Ration]&amp;Règles_ovins[Aliment],0))="c"),
INDEX(Règles_ovins[Valeur 6-12],MATCH(ChoixRationOvins&amp;$DN175,Règles_ovins[Ration]&amp;Règles_ovins[Aliment],0)),0),0)*IF(ChoixOvinsPréHiver=OUI,SUM(TotalJeunesOvinsRacesLaitières)*NbreJoursNourrirOvins,TotalJeune_bélier_6_12_mois*NbreJoursNourrirOvins))</f>
        <v>0</v>
      </c>
      <c r="DQ175" s="351">
        <f t="array" ref="DQ175">IF(ChoixRationComplèteOvins=OUI,0,IFERROR(IF(OR(AND(INDEX(Règles_ovins[Specificite],MATCH(ChoixRationOvins&amp;$DN175,Règles_ovins[Ration]&amp;Règles_ovins[Aliment],0))="s1",IF($DN175=Spécificité1Ovins,1)),
AND(INDEX(Règles_ovins[Specificite],MATCH(ChoixRationOvins&amp;$DN175,Règles_ovins[Ration]&amp;Règles_ovins[Aliment],0))="s2",IF($DN175=Spécificité2Ovins,1)),
INDEX(Règles_ovins[Specificite],MATCH(ChoixRationOvins&amp;$DN175,Règles_ovins[Ration]&amp;Règles_ovins[Aliment],0))="c"),
INDEX(Règles_ovins[Valeur 3-6],MATCH(ChoixRationOvins&amp;$DN175,Règles_ovins[Ration]&amp;Règles_ovins[Aliment],0)),0),0)*IF(ChoixOvinsPréHiver=OUI,SUM(TotalOvins_3_6moisRacesLaitières)*NbreJoursNourrirOvins,TotalAgneau_3_6_mois*NbreJoursNourrirOvins))</f>
        <v>0</v>
      </c>
      <c r="DR175" s="351">
        <f t="array" ref="DR175">IF(ChoixRationComplèteOvins=OUI,0,IFERROR(IF(OR(AND(INDEX(Règles_ovins[Specificite],MATCH(ChoixRationOvins&amp;$DN175,Règles_ovins[Ration]&amp;Règles_ovins[Aliment],0))="s1",IF($DN175=Spécificité1Ovins,1)),
AND(INDEX(Règles_ovins[Specificite],MATCH(ChoixRationOvins&amp;$DN175,Règles_ovins[Ration]&amp;Règles_ovins[Aliment],0))="s2",IF($DN175=Spécificité2Ovins,1)),
INDEX(Règles_ovins[Specificite],MATCH(ChoixRationOvins&amp;$DN175,Règles_ovins[Ration]&amp;Règles_ovins[Aliment],0))="c"),
INDEX(Règles_ovins[Valeur 0-3],MATCH(ChoixRationOvins&amp;$DN175,Règles_ovins[Ration]&amp;Règles_ovins[Aliment],0)),0),0)*IF(ChoixOvinsPréHiver=OUI,SUM(TotalOvins_3_6moisRacesLaitières)*NbreJoursNourrirOvins,TotalAgneau_0_3_mois*NbreJoursNourrirOvins))</f>
        <v>0</v>
      </c>
      <c r="DS175" s="441">
        <f t="shared" si="55"/>
        <v>0</v>
      </c>
      <c r="EG175" s="350" t="str">
        <f t="shared" si="57"/>
        <v>Ration complète</v>
      </c>
      <c r="EH175" s="351">
        <f t="array" ref="EH175">SUM((IF(QualitéAlimentsOisonMâle_0_3_mois=BONNE,VLOOKUP("Ration complète",AlimentsRationOiesMâles[],4,FALSE),0)+(IF(QualitéAlimentsOisonFemelle_0_3_mois=BONNE,VLOOKUP("Ration complète",AlimentsRationOiesFemelles[],4,FALSE),0)+(IF(QualitéAlimentsJeuneJars=BONNE,VLOOKUP("Ration complète",AlimentsRationOiesMâles[],3,FALSE),0)+(IF(QualitéAlimentsJeuneOie=BONNE,VLOOKUP("Ration complète",AlimentsRationOiesFemelles[],3,FALSE),0)+(IF(QualitéAlimentsJars=BONNE,VLOOKUP("Ration complète",AlimentsRationOiesMâles[],2,FALSE),0)+(IF(QualitéAlimentsOie=BONNE,VLOOKUP("Ration complète",AlimentsRationOiesFemelles[],2,FALSE),0))))))))</f>
        <v>0</v>
      </c>
      <c r="EI175" s="351">
        <f t="array" ref="EI175">SUM((IF(QualitéAlimentsOisonMâle_0_3_mois=MOYENNE,VLOOKUP("Ration complète",AlimentsRationOiesMâles[],4,FALSE),0)+(IF(QualitéAlimentsOisonFemelle_0_3_mois=MOYENNE,VLOOKUP("Ration complète",AlimentsRationOiesFemelles[],4,FALSE),0)+(IF(QualitéAlimentsJeuneJars=MOYENNE,VLOOKUP("Ration complète",AlimentsRationOiesMâles[],3,FALSE),0)+(IF(QualitéAlimentsJeuneOie=MOYENNE,VLOOKUP("Ration complète",AlimentsRationOiesFemelles[],3,FALSE),0)+(IF(QualitéAlimentsJars=MOYENNE,VLOOKUP("Ration complète",AlimentsRationOiesMâles[],2,FALSE),0)+(IF(QualitéAlimentsOie=MOYENNE,VLOOKUP("Ration complète",AlimentsRationOiesFemelles[],2,FALSE),0))))))))</f>
        <v>0</v>
      </c>
      <c r="EJ175" s="351">
        <f t="array" ref="EJ175">SUM((IF(QualitéAlimentsOisonMâle_0_3_mois=MAUVAISE,VLOOKUP("Ration complète",AlimentsRationOiesMâles[],4,FALSE),0)+(IF(QualitéAlimentsOisonFemelle_0_3_mois=MAUVAISE,VLOOKUP("Ration complète",AlimentsRationOiesFemelles[],4,FALSE),0)+(IF(QualitéAlimentsJeuneJars=MAUVAISE,VLOOKUP("Ration complète",AlimentsRationOiesMâles[],3,FALSE),0)+(IF(QualitéAlimentsJeuneOie=MAUVAISE,VLOOKUP("Ration complète",AlimentsRationOiesFemelles[],3,FALSE),0)+(IF(QualitéAlimentsJars=MAUVAISE,VLOOKUP("Ration complète",AlimentsRationOiesMâles[],2,FALSE),0)+(IF(QualitéAlimentsOie=MAUVAISE,VLOOKUP("Ration complète",AlimentsRationOiesFemelles[],2,FALSE),0))))))))</f>
        <v>0</v>
      </c>
      <c r="EN175" s="457" t="str">
        <f t="shared" si="56"/>
        <v>Seigle</v>
      </c>
      <c r="EO175" s="458">
        <f t="array" ref="EO175">SUM((IF(QualitéAlimentsCanetonMâle=BONNE,VLOOKUP("Seigle",AlimentsRationCanardsMâles,4,FALSE),0)+(IF(QualitéAlimentsCanetonFemelle=BONNE,VLOOKUP("Seigle",AlimentsRationCanardsFemelles,4,FALSE),0)+(IF(QualitéAlimentsJeuneCanard=BONNE,VLOOKUP("Seigle",AlimentsRationCanardsMâles,3,FALSE),0)+(IF(QualitéAlimentsJeuneCane=BONNE,VLOOKUP("Seigle",AlimentsRationCanardsFemelles,3,FALSE),0)+(IF(QualitéAlimentsCanard=BONNE,VLOOKUP("Seigle",AlimentsRationCanardsMâles,2,FALSE),0)+(IF(QualitéAlimentsCane=BONNE,VLOOKUP("Seigle",AlimentsRationCanardsFemelles,2,FALSE),0))))))))</f>
        <v>0</v>
      </c>
      <c r="EP175" s="458">
        <f t="array" ref="EP175">SUM((IF(QualitéAlimentsCanetonMâle=MOYENNE,VLOOKUP("Seigle",AlimentsRationCanardsMâles,4,FALSE),0)+(IF(QualitéAlimentsCanetonFemelle=MOYENNE,VLOOKUP("Seigle",AlimentsRationCanardsFemelles,4,FALSE),0)+(IF(QualitéAlimentsJeuneCanard=MOYENNE,VLOOKUP("Seigle",AlimentsRationCanardsMâles,3,FALSE),0)+(IF(QualitéAlimentsJeuneCane=MOYENNE,VLOOKUP("Seigle",AlimentsRationCanardsFemelles,3,FALSE),0)+(IF(QualitéAlimentsCanard=MOYENNE,VLOOKUP("Seigle",AlimentsRationCanardsMâles,2,FALSE),0)+(IF(QualitéAlimentsCane=MOYENNE,VLOOKUP("Seigle",AlimentsRationCanardsFemelles,2,FALSE),0))))))))</f>
        <v>0</v>
      </c>
      <c r="EQ175" s="458">
        <f t="array" ref="EQ175">SUM((IF(QualitéAlimentsCanetonMâle=MAUVAISE,VLOOKUP("Seigle",AlimentsRationCanardsMâles,4,FALSE),0)+(IF(QualitéAlimentsCanetonFemelle=MAUVAISE,VLOOKUP("Seigle",AlimentsRationCanardsFemelles,4,FALSE),0)+(IF(QualitéAlimentsJeuneCanard=MAUVAISE,VLOOKUP("Seigle",AlimentsRationCanardsMâles,3,FALSE),0)+(IF(QualitéAlimentsJeuneCane=MAUVAISE,VLOOKUP("Seigle",AlimentsRationCanardsFemelles,3,FALSE),0)+(IF(QualitéAlimentsCanard=MAUVAISE,VLOOKUP("Seigle",AlimentsRationCanardsMâles,2,FALSE),0)+(IF(QualitéAlimentsCane=MAUVAISE,VLOOKUP("Seigle",AlimentsRationCanardsFemelles,2,FALSE),0))))))))</f>
        <v>0</v>
      </c>
      <c r="EU175" s="457" t="str">
        <f t="shared" si="54"/>
        <v>Soja</v>
      </c>
      <c r="EV175" s="458">
        <f t="array" ref="EV175">IF(OR(ChoixRationHivernaleComplèteChevauxSelle=OUI,ChoixRationHivernaleComplèteChevauxSelle="",ChoixChevauxSellePréHiver=NON),0,IFERROR(IF(OR(AND(INDEX(Règles_chevaux_selle[Specificite],MATCH(RationHivernaleAuPréChevauxSelle&amp;$EU175,Règles_chevaux_selle[Ration]&amp;Règles_chevaux_selle[Aliment],0))="s1",IF($EU175=Spécificité1ChevauxSelle,1)),
AND(INDEX(Règles_chevaux_selle[Specificite],MATCH(RationHivernaleAuPréChevauxSelle&amp;$EU175,Règles_chevaux_selle[Ration]&amp;Règles_chevaux_selle[Aliment],0))="s2",IF($EU175=Spécificité2ChevauxSelle,1)),
INDEX(Règles_chevaux_selle[Specificite],MATCH(RationHivernaleAuPréChevauxSelle&amp;$EU175,Règles_chevaux_selle[Ration]&amp;Règles_chevaux_selle[Aliment],0))="c"),
INDEX(Règles_chevaux_selle[Valeur 36 et plus],MATCH(RationHivernaleAuPréChevauxSelle&amp;$EU175,Règles_chevaux_selle[Ration]&amp;Règles_chevaux_selle[Aliment],0)),0),0)*SUM(TotalChevauxSelleAdultes)*21)</f>
        <v>0</v>
      </c>
      <c r="EW175" s="458">
        <f t="array" ref="EW175">IF(OR(ChoixRationHivernaleComplèteChevauxSelle=OUI,ChoixRationHivernaleComplèteChevauxSelle="",ChoixChevauxSellePréHiver=NON),0,IFERROR(IF(OR(AND(INDEX(Règles_chevaux_selle[Specificite],MATCH(RationHivernaleAuPréChevauxSelle&amp;$EU175,Règles_chevaux_selle[Ration]&amp;Règles_chevaux_selle[Aliment],0))="s1",IF($EU175=Spécificité1ChevauxSelle,1)),
AND(INDEX(Règles_chevaux_selle[Specificite],MATCH(RationHivernaleAuPréChevauxSelle&amp;$EU175,Règles_chevaux_selle[Ration]&amp;Règles_chevaux_selle[Aliment],0))="s2",IF($EU175=Spécificité2ChevauxSelle,1)),
INDEX(Règles_chevaux_selle[Specificite],MATCH(RationHivernaleAuPréChevauxSelle&amp;$EU175,Règles_chevaux_selle[Ration]&amp;Règles_chevaux_selle[Aliment],0))="c"),
INDEX(Règles_chevaux_selle[Valeur 24-36],MATCH(RationHivernaleAuPréChevauxSelle&amp;$EU175,Règles_chevaux_selle[Ration]&amp;Règles_chevaux_selle[Aliment],0)),0),0)*SUM(TotalChevauxSelle_24_36mois)*21)</f>
        <v>0</v>
      </c>
      <c r="EX175" s="458">
        <f t="array" ref="EX175">IF(OR(ChoixRationHivernaleComplèteChevauxSelle=OUI,ChoixRationHivernaleComplèteChevauxSelle="",ChoixChevauxSellePréHiver=NON),0,IFERROR(IF(OR(AND(INDEX(Règles_chevaux_selle[Specificite],MATCH(RationHivernaleAuPréChevauxSelle&amp;$EU175,Règles_chevaux_selle[Ration]&amp;Règles_chevaux_selle[Aliment],0))="s1",IF($EU175=Spécificité1ChevauxSelle,1)),
AND(INDEX(Règles_chevaux_selle[Specificite],MATCH(RationHivernaleAuPréChevauxSelle&amp;$EU175,Règles_chevaux_selle[Ration]&amp;Règles_chevaux_selle[Aliment],0))="s2",IF($EU175=Spécificité2ChevauxSelle,1)),
INDEX(Règles_chevaux_selle[Specificite],MATCH(RationHivernaleAuPréChevauxSelle&amp;$EU175,Règles_chevaux_selle[Ration]&amp;Règles_chevaux_selle[Aliment],0))="c"),
INDEX(Règles_chevaux_selle[Valeur 12-24],MATCH(RationHivernaleAuPréChevauxSelle&amp;$EU175,Règles_chevaux_selle[Ration]&amp;Règles_chevaux_selle[Aliment],0)),0),0)*SUM(TotalChevauxSelle_12_24mois)*21)</f>
        <v>0</v>
      </c>
      <c r="EY175" s="460">
        <f t="array" ref="EY175">IF(OR(ChoixRationHivernaleComplèteChevauxSelle=OUI,ChoixRationHivernaleComplèteChevauxSelle="",ChoixChevauxSellePréHiver=NON),0,IFERROR(IF(OR(AND(INDEX(Règles_chevaux_selle[Specificite],MATCH(RationHivernaleAuPréChevauxSelle&amp;$EU175,Règles_chevaux_selle[Ration]&amp;Règles_chevaux_selle[Aliment],0))="s1",IF($EU175=Spécificité1ChevauxSelle,1)),
AND(INDEX(Règles_chevaux_selle[Specificite],MATCH(RationHivernaleAuPréChevauxSelle&amp;$EU175,Règles_chevaux_selle[Ration]&amp;Règles_chevaux_selle[Aliment],0))="s2",IF($EU175=Spécificité2ChevauxSelle,1)),
INDEX(Règles_chevaux_selle[Specificite],MATCH(RationHivernaleAuPréChevauxSelle&amp;$EU175,Règles_chevaux_selle[Ration]&amp;Règles_chevaux_selle[Aliment],0))="c"),
INDEX(Règles_chevaux_selle[Valeur 0-12],MATCH(RationHivernaleAuPréChevauxSelle&amp;$EU175,Règles_chevaux_selle[Ration]&amp;Règles_chevaux_selle[Aliment],0)),0),0)*SUM(TotalPoulainsSelle)*21)</f>
        <v>0</v>
      </c>
      <c r="EZ175" s="460">
        <f t="shared" si="53"/>
        <v>0</v>
      </c>
      <c r="FD175" s="457">
        <f t="shared" si="49"/>
        <v>0</v>
      </c>
      <c r="FE175" s="458">
        <f t="array" ref="FE175">IF(OR(ChoixRationHivernaleComplèteChevauxTrait=OUI,ChoixRationHivernaleComplèteChevauxTrait="",ChoixChevauxTraitPréHiver=NON),0,IFERROR(IF(OR(AND(INDEX(Règles_chevaux_trait[Specificite],MATCH(RationHivernaleAuPréChevauxTrait&amp;$FD175,Règles_chevaux_trait[Ration]&amp;Règles_chevaux_trait[Aliment],0))="s1",IF($FD175=Spécificité1ChevauxTrait,1)),
AND(INDEX(Règles_chevaux_trait[Specificite],MATCH(RationHivernaleAuPréChevauxTrait&amp;$FD175,Règles_chevaux_trait[Ration]&amp;Règles_chevaux_trait[Aliment],0))="s2",IF($FD175=Spécificité2ChevauxTrait,1)),
INDEX(Règles_chevaux_trait[Specificite],MATCH(RationHivernaleAuPréChevauxTrait&amp;$FD175,Règles_chevaux_trait[Ration]&amp;Règles_chevaux_trait[Aliment],0))="c"),
INDEX(Règles_chevaux_trait[Valeur 36 et plus],MATCH(RationHivernaleAuPréChevauxTrait&amp;$FD175,Règles_chevaux_trait[Ration]&amp;Règles_chevaux_trait[Aliment],0)),0),0)*SUM(TotalChevauxTraitAdultes)*21)</f>
        <v>0</v>
      </c>
      <c r="FF175" s="458">
        <f t="array" ref="FF175">IF(OR(ChoixRationHivernaleComplèteChevauxTrait=OUI,ChoixRationHivernaleComplèteChevauxTrait="",ChoixChevauxTraitPréHiver=NON),0,IFERROR(IF(OR(AND(INDEX(Règles_chevaux_trait[Specificite],MATCH(RationHivernaleAuPréChevauxTrait&amp;$FD175,Règles_chevaux_trait[Ration]&amp;Règles_chevaux_trait[Aliment],0))="s1",IF($FD175=Spécificité1ChevauxTrait,1)),
AND(INDEX(Règles_chevaux_trait[Specificite],MATCH(RationHivernaleAuPréChevauxTrait&amp;$FD175,Règles_chevaux_trait[Ration]&amp;Règles_chevaux_trait[Aliment],0))="s2",IF($FD175=Spécificité2ChevauxTrait,1)),
INDEX(Règles_chevaux_trait[Specificite],MATCH(RationHivernaleAuPréChevauxTrait&amp;$FD175,Règles_chevaux_trait[Ration]&amp;Règles_chevaux_trait[Aliment],0))="c"),
INDEX(Règles_chevaux_trait[Valeur 24-36],MATCH(RationHivernaleAuPréChevauxTrait&amp;$FD175,Règles_chevaux_trait[Ration]&amp;Règles_chevaux_trait[Aliment],0)),0),0)*SUM(TotalChevauxTrait_24_36mois)*21)</f>
        <v>0</v>
      </c>
      <c r="FG175" s="458">
        <f t="array" ref="FG175">IF(OR(ChoixRationHivernaleComplèteChevauxTrait=OUI,ChoixRationHivernaleComplèteChevauxTrait="",ChoixChevauxTraitPréHiver=NON),0,IFERROR(IF(OR(AND(INDEX(Règles_chevaux_trait[Specificite],MATCH(RationHivernaleAuPréChevauxTrait&amp;$FD175,Règles_chevaux_trait[Ration]&amp;Règles_chevaux_trait[Aliment],0))="s1",IF($FD175=Spécificité1ChevauxTrait,1)),
AND(INDEX(Règles_chevaux_trait[Specificite],MATCH(RationHivernaleAuPréChevauxTrait&amp;$FD175,Règles_chevaux_trait[Ration]&amp;Règles_chevaux_trait[Aliment],0))="s2",IF($FD175=Spécificité2ChevauxTrait,1)),
INDEX(Règles_chevaux_trait[Specificite],MATCH(RationHivernaleAuPréChevauxTrait&amp;$FD175,Règles_chevaux_trait[Ration]&amp;Règles_chevaux_trait[Aliment],0))="c"),
INDEX(Règles_chevaux_trait[Valeur 12-24],MATCH(RationHivernaleAuPréChevauxTrait&amp;$FD175,Règles_chevaux_trait[Ration]&amp;Règles_chevaux_trait[Aliment],0)),0),0)*SUM(TotalChevauxTrait_12_24mois)*21)</f>
        <v>0</v>
      </c>
      <c r="FH175" s="460">
        <f t="array" ref="FH175">IF(OR(ChoixRationHivernaleComplèteChevauxTrait=OUI,ChoixRationHivernaleComplèteChevauxTrait="",ChoixChevauxTraitPréHiver=NON),0,IFERROR(IF(OR(AND(INDEX(Règles_chevaux_trait[Specificite],MATCH(RationHivernaleAuPréChevauxTrait&amp;$FD175,Règles_chevaux_trait[Ration]&amp;Règles_chevaux_trait[Aliment],0))="s1",IF($FD175=Spécificité1ChevauxTrait,1)),
AND(INDEX(Règles_chevaux_trait[Specificite],MATCH(RationHivernaleAuPréChevauxTrait&amp;$FD175,Règles_chevaux_trait[Ration]&amp;Règles_chevaux_trait[Aliment],0))="s2",IF($FD175=Spécificité2ChevauxTrait,1)),
INDEX(Règles_chevaux_trait[Specificite],MATCH(RationHivernaleAuPréChevauxTrait&amp;$FD175,Règles_chevaux_trait[Ration]&amp;Règles_chevaux_trait[Aliment],0))="c"),
INDEX(Règles_chevaux_trait[Valeur 0-12],MATCH(RationHivernaleAuPréChevauxTrait&amp;$FD175,Règles_chevaux_trait[Ration]&amp;Règles_chevaux_trait[Aliment],0)),0),0)*SUM(TotalPoulainsTrait)*21)</f>
        <v>0</v>
      </c>
      <c r="FI175" s="460">
        <f t="shared" si="47"/>
        <v>0</v>
      </c>
      <c r="FN175" s="457">
        <f t="shared" si="48"/>
        <v>0</v>
      </c>
      <c r="FO175" s="458">
        <f t="array" ref="FO175">IF(OR(ChoixRationHivernaleComplètePoneys=OUI,ChoixRationHivernaleComplètePoneys="",ChoixPoneysPréHiver=NON),0,IFERROR(IF(OR(AND(INDEX(Règles_poneys[Specificite],MATCH(RationHivernaleAuPréPoneys&amp;$FN175,Règles_poneys[Ration]&amp;Règles_poneys[Aliment],0))="s1",IF($FN175=Spécificité1Poneys,1)),
AND(INDEX(Règles_poneys[Specificite],MATCH(RationHivernaleAuPréPoneys&amp;$FN175,Règles_poneys[Ration]&amp;Règles_poneys[Aliment],0))="s2",IF($FN175=Spécificité2Poneys,1)),
INDEX(Règles_poneys[Specificite],MATCH(RationHivernaleAuPréPoneys&amp;$FN175,Règles_poneys[Ration]&amp;Règles_poneys[Aliment],0))="c"),
INDEX(Règles_poneys[Valeur 36 et plus],MATCH(RationHivernaleAuPréPoneys&amp;$FN175,Règles_poneys[Ration]&amp;Règles_poneys[Aliment],0)),0),0)*SUM(TotalPoneysAdultes)*21)</f>
        <v>0</v>
      </c>
      <c r="FP175" s="458">
        <f t="array" ref="FP175">IF(OR(ChoixRationHivernaleComplètePoneys=OUI,ChoixRationHivernaleComplètePoneys="",ChoixPoneysPréHiver=NON),0,IFERROR(IF(OR(AND(INDEX(Règles_poneys[Specificite],MATCH(RationHivernaleAuPréPoneys&amp;$FN175,Règles_poneys[Ration]&amp;Règles_poneys[Aliment],0))="s1",IF($FN175=Spécificité1Poneys,1)),
AND(INDEX(Règles_poneys[Specificite],MATCH(RationHivernaleAuPréPoneys&amp;$FN175,Règles_poneys[Ration]&amp;Règles_poneys[Aliment],0))="s2",IF($FN175=Spécificité2Poneys,1)),
INDEX(Règles_poneys[Specificite],MATCH(RationHivernaleAuPréPoneys&amp;$FN175,Règles_poneys[Ration]&amp;Règles_poneys[Aliment],0))="c"),
INDEX(Règles_poneys[Valeur 24-36],MATCH(RationHivernaleAuPréPoneys&amp;$FN175,Règles_poneys[Ration]&amp;Règles_poneys[Aliment],0)),0),0)*SUM(TotalPoneys_24_36mois)*21)</f>
        <v>0</v>
      </c>
      <c r="FQ175" s="458">
        <f t="array" ref="FQ175">IF(OR(ChoixRationHivernaleComplètePoneys=OUI,ChoixRationHivernaleComplètePoneys="",ChoixPoneysPréHiver=NON),0,IFERROR(IF(OR(AND(INDEX(Règles_poneys[Specificite],MATCH(RationHivernaleAuPréPoneys&amp;$FN175,Règles_poneys[Ration]&amp;Règles_poneys[Aliment],0))="s1",IF($FN175=Spécificité1Poneys,1)),
AND(INDEX(Règles_poneys[Specificite],MATCH(RationHivernaleAuPréPoneys&amp;$FN175,Règles_poneys[Ration]&amp;Règles_poneys[Aliment],0))="s2",IF($FN175=Spécificité2Poneys,1)),
INDEX(Règles_poneys[Specificite],MATCH(RationHivernaleAuPréPoneys&amp;$FN175,Règles_poneys[Ration]&amp;Règles_poneys[Aliment],0))="c"),
INDEX(Règles_poneys[Valeur 12-24],MATCH(RationHivernaleAuPréPoneys&amp;$FN175,Règles_poneys[Ration]&amp;Règles_poneys[Aliment],0)),0),0)*SUM(TotalPoneys_12_24mois)*21)</f>
        <v>0</v>
      </c>
      <c r="FR175" s="460">
        <f t="array" ref="FR175">IF(OR(ChoixRationHivernaleComplètePoneys=OUI,ChoixRationHivernaleComplètePoneys="",ChoixPoneysPréHiver=NON),0,IFERROR(IF(OR(AND(INDEX(Règles_poneys[Specificite],MATCH(RationHivernaleAuPréPoneys&amp;$FN175,Règles_poneys[Ration]&amp;Règles_poneys[Aliment],0))="s1",IF($FN175=Spécificité1Poneys,1)),
AND(INDEX(Règles_poneys[Specificite],MATCH(RationHivernaleAuPréPoneys&amp;$FN175,Règles_poneys[Ration]&amp;Règles_poneys[Aliment],0))="s2",IF($FN175=Spécificité2Poneys,1)),
INDEX(Règles_poneys[Specificite],MATCH(RationHivernaleAuPréPoneys&amp;$FN175,Règles_poneys[Ration]&amp;Règles_poneys[Aliment],0))="c"),
INDEX(Règles_poneys[Valeur 0-12],MATCH(RationHivernaleAuPréPoneys&amp;$FN175,Règles_poneys[Ration]&amp;Règles_poneys[Aliment],0)),0),0)*SUM(TotalPoulainsPoneys)*21)</f>
        <v>0</v>
      </c>
      <c r="FS175" s="460">
        <f t="shared" si="46"/>
        <v>0</v>
      </c>
      <c r="FW175" s="281"/>
      <c r="FX175" s="281"/>
      <c r="FY175" s="281"/>
      <c r="FZ175" s="281"/>
      <c r="GB175" s="281"/>
      <c r="GG175" s="276" t="s">
        <v>955</v>
      </c>
      <c r="GH175" s="276" t="s">
        <v>955</v>
      </c>
      <c r="GI175" s="276" t="s">
        <v>955</v>
      </c>
      <c r="GJ175" s="276" t="s">
        <v>955</v>
      </c>
      <c r="GK175" s="276" t="s">
        <v>955</v>
      </c>
      <c r="GL175" s="276" t="s">
        <v>955</v>
      </c>
      <c r="GM175" s="276" t="s">
        <v>955</v>
      </c>
      <c r="GN175" s="276" t="s">
        <v>955</v>
      </c>
      <c r="GO175" s="276" t="s">
        <v>955</v>
      </c>
      <c r="GP175" s="276" t="s">
        <v>955</v>
      </c>
      <c r="GQ175" s="276" t="s">
        <v>955</v>
      </c>
      <c r="GR175" s="276" t="s">
        <v>955</v>
      </c>
      <c r="GS175" s="276" t="s">
        <v>955</v>
      </c>
      <c r="GT175" s="276" t="s">
        <v>955</v>
      </c>
      <c r="GU175" s="276" t="s">
        <v>955</v>
      </c>
      <c r="GV175" s="276" t="s">
        <v>955</v>
      </c>
    </row>
    <row r="176" spans="1:204" ht="12.75" customHeight="1" x14ac:dyDescent="0.2">
      <c r="A176" s="373"/>
      <c r="B176" s="382"/>
      <c r="BB176" s="387" t="s">
        <v>843</v>
      </c>
      <c r="BC176" s="362" t="s">
        <v>220</v>
      </c>
      <c r="BD176" s="362" t="s">
        <v>887</v>
      </c>
      <c r="BE176" s="388">
        <v>6.6</v>
      </c>
      <c r="BF176" s="388">
        <v>5.4</v>
      </c>
      <c r="BG176" s="388">
        <v>4.2</v>
      </c>
      <c r="BH176" s="388">
        <v>3</v>
      </c>
      <c r="BI176" s="388">
        <v>2.4</v>
      </c>
      <c r="BJ176" s="388">
        <v>1.2</v>
      </c>
      <c r="BK176" s="389">
        <v>0</v>
      </c>
      <c r="BL176" s="276"/>
      <c r="BX176" s="350" t="str">
        <f t="shared" si="51"/>
        <v>Triticale</v>
      </c>
      <c r="BY176" s="350">
        <f t="array" ref="BY176">IF(ChoixRationComplèteCaprins=OUI,0,IFERROR(IF(OR(AND(INDEX(Règles_caprins[Specificite],MATCH(ChoixRationCaprins&amp;$BX176,Règles_caprins[Ration]&amp;Règles_caprins[Aliment],0))="s1",IF($BX176=Spécificité1Caprins,1)),
INDEX(Règles_caprins[Specificite],MATCH(ChoixRationCaprins&amp;$BX176,Règles_caprins[Ration]&amp;Règles_caprins[Aliment],0))="c"),
INDEX(Règles_caprins[Valeur 12 et plus],MATCH(ChoixRationCaprins&amp;$BX176,Règles_caprins[Ration]&amp;Règles_caprins[Aliment],0)),0),0)*TotalChèvres*NbreJoursNourrirCaprins)</f>
        <v>411.20000000000005</v>
      </c>
      <c r="BZ176" s="350">
        <f t="array" ref="BZ176">IF(ChoixRationComplèteCaprins=OUI,0,IFERROR(IF(OR(AND(INDEX(Règles_caprins[Specificite],MATCH(ChoixRationCaprins&amp;$BX176,Règles_caprins[Ration]&amp;Règles_caprins[Aliment],0))="s1",IF($BX176=Spécificité1Caprins,1)),
INDEX(Règles_caprins[Specificite],MATCH(ChoixRationCaprins&amp;$BX176,Règles_caprins[Ration]&amp;Règles_caprins[Aliment],0))="c"),
INDEX(Règles_caprins[Valeur 6-12],MATCH(ChoixRationCaprins&amp;$BX176,Règles_caprins[Ration]&amp;Règles_caprins[Aliment],0)),0),0)*jeune_chèvre_6_12_mois*NbreJoursNourrirCaprins)</f>
        <v>95.199999999999989</v>
      </c>
      <c r="CA176" s="350">
        <f t="array" ref="CA176">IF(ChoixRationComplèteCaprins=OUI,0,IFERROR(IF(OR(AND(INDEX(Règles_caprins[Specificite],MATCH(ChoixRationCaprins&amp;$BX176,Règles_caprins[Ration]&amp;Règles_caprins[Aliment],0))="s1",IF($BX176=Spécificité1Caprins,1)),
INDEX(Règles_caprins[Specificite],MATCH(ChoixRationCaprins&amp;$BX176,Règles_caprins[Ration]&amp;Règles_caprins[Aliment],0))="c"),
INDEX(Règles_caprins[Valeur 3-6],MATCH(ChoixRationCaprins&amp;$BX176,Règles_caprins[Ration]&amp;Règles_caprins[Aliment],0)),0),0)*chevrette_3_6_mois*NbreJoursNourrirCaprins)</f>
        <v>39.6</v>
      </c>
      <c r="CB176" s="350">
        <f t="array" ref="CB176">IF(ChoixRationComplèteCaprins=OUI,0,IFERROR(IF(OR(AND(INDEX(Règles_caprins[Specificite],MATCH(ChoixRationCaprins&amp;$BX176,Règles_caprins[Ration]&amp;Règles_caprins[Aliment],0))="s1",IF($BX176=Spécificité1Caprins,1)),
INDEX(Règles_caprins[Specificite],MATCH(ChoixRationCaprins&amp;$BX176,Règles_caprins[Ration]&amp;Règles_caprins[Aliment],0))="c"),
INDEX(Règles_caprins[Valeur 0-3],MATCH(ChoixRationCaprins&amp;$BX176,Règles_caprins[Ration]&amp;Règles_caprins[Aliment],0)),0),0)*chevrette_0_3_mois*NbreJoursNourrirCaprins)</f>
        <v>53</v>
      </c>
      <c r="CC176" s="350">
        <f t="shared" si="50"/>
        <v>599</v>
      </c>
      <c r="CH176" s="298"/>
      <c r="CI176" s="277"/>
      <c r="CJ176" s="350"/>
      <c r="CK176" s="351"/>
      <c r="CL176" s="351"/>
      <c r="CM176" s="351"/>
      <c r="CN176" s="277"/>
      <c r="CO176" s="277"/>
      <c r="CP176" s="277"/>
      <c r="CS176" s="350" t="str">
        <f t="shared" si="59"/>
        <v>Paille</v>
      </c>
      <c r="CT176" s="351">
        <f t="array" ref="CT176">SUM((IF(QualitéAlimentsLapereauMâle_0_1_mois=BONNE,VLOOKUP("Paille",AlimentsRationLapinsMâles[],4,FALSE),0)+(IF(QualitéAlimentsLapereauFemelle_0_1_mois=BONNE,VLOOKUP("Paille",AlimentsRationLapinsFemelles[],4,FALSE),0)+(IF(QualitéAlimentsJeuneLapin=BONNE,VLOOKUP("Paille",AlimentsRationLapinsMâles[],3,FALSE),0)+(IF(QualitéAlimentsJeuneLapine=BONNE,VLOOKUP("Paille",AlimentsRationLapinsFemelles[],3,FALSE),0)+(IF(QualitéAlimentsLapin=BONNE,VLOOKUP("Paille",AlimentsRationLapinsMâles[],2,FALSE),0)+(IF(QualitéAlimentsLapine=BONNE,VLOOKUP("Paille",AlimentsRationLapinsFemelles[],2,FALSE),0))))))))</f>
        <v>0</v>
      </c>
      <c r="CU176" s="351">
        <f t="array" ref="CU176">SUM((IF(QualitéAlimentsLapereauMâle_0_1_mois=MOYENNE,VLOOKUP("Paille",AlimentsRationLapinsMâles[],4,FALSE),0)+(IF(QualitéAlimentsLapereauFemelle_0_1_mois=MOYENNE,VLOOKUP("Paille",AlimentsRationLapinsFemelles[],4,FALSE),0)+(IF(QualitéAlimentsJeuneLapin=MOYENNE,VLOOKUP("Paille",AlimentsRationLapinsMâles[],3,FALSE),0)+(IF(QualitéAlimentsJeuneLapine=MOYENNE,VLOOKUP("Paille",AlimentsRationLapinsFemelles[],3,FALSE),0)+(IF(QualitéAlimentsLapin=MOYENNE,VLOOKUP("Paille",AlimentsRationLapinsMâles[],2,FALSE),0)+(IF(QualitéAlimentsLapine=MOYENNE,VLOOKUP("Paille",AlimentsRationLapinsFemelles[],2,FALSE),0))))))))</f>
        <v>0</v>
      </c>
      <c r="CV176" s="351">
        <f t="array" ref="CV176">SUM((IF(QualitéAlimentsLapereauMâle_0_1_mois=MAUVAISE,VLOOKUP("Paille",AlimentsRationLapinsMâles[],4,FALSE),0)+(IF(QualitéAlimentsLapereauFemelle_0_1_mois=MAUVAISE,VLOOKUP("Paille",AlimentsRationLapinsFemelles[],4,FALSE),0)+(IF(QualitéAlimentsJeuneLapin=MAUVAISE,VLOOKUP("Paille",AlimentsRationLapinsMâles[],3,FALSE),0)+(IF(QualitéAlimentsJeuneLapine=MAUVAISE,VLOOKUP("Paille",AlimentsRationLapinsFemelles[],3,FALSE),0)+(IF(QualitéAlimentsLapin=MAUVAISE,VLOOKUP("Paille",AlimentsRationLapinsMâles[],2,FALSE),0)+(IF(QualitéAlimentsLapine=MAUVAISE,VLOOKUP("Paille",AlimentsRationLapinsFemelles[],2,FALSE),0)+LitièreLapins[[#Totals],[litière]])))))))</f>
        <v>0</v>
      </c>
      <c r="CZ176" s="350" t="str">
        <f t="shared" si="58"/>
        <v>Pois</v>
      </c>
      <c r="DA176" s="351">
        <f t="array" ref="DA176">SUM((IF(QualitéAlimentsPoussinMâle_0_1_mois=BONNE,VLOOKUP("Pois",AlimentsRationVolaillesMâles[],4,FALSE),0)+(IF(QualitéAlimentsPoussinFemelle_0_1_mois=BONNE,VLOOKUP("Pois",AlimentsRationVolaillesFemelles[],4,FALSE),0)+(IF(QualitéAlimentsJeuneCoq=BONNE,VLOOKUP("Pois",AlimentsRationVolaillesMâles[],3,FALSE),0)+(IF(QualitéAlimentsJeunePoule=BONNE,VLOOKUP("Pois",AlimentsRationVolaillesFemelles[],3,FALSE),0)+(IF(QualitéAlimentsCoq=BONNE,VLOOKUP("Pois",AlimentsRationVolaillesMâles[],2,FALSE),0)+(IF(QualitéAlimentsPoule=BONNE,VLOOKUP("Pois",AlimentsRationVolaillesFemelles[],2,FALSE),0))))))))</f>
        <v>0</v>
      </c>
      <c r="DB176" s="351">
        <f t="array" ref="DB176">SUM((IF(QualitéAlimentsPoussinMâle_0_1_mois=MOYENNE,VLOOKUP("Pois",AlimentsRationVolaillesMâles[],4,FALSE),0)+(IF(QualitéAlimentsPoussinFemelle_0_1_mois=MOYENNE,VLOOKUP("Pois",AlimentsRationVolaillesFemelles[],4,FALSE),0)+(IF(QualitéAlimentsJeuneCoq=MOYENNE,VLOOKUP("Pois",AlimentsRationVolaillesMâles[],3,FALSE),0)+(IF(QualitéAlimentsJeunePoule=MOYENNE,VLOOKUP("Pois",AlimentsRationVolaillesFemelles[],3,FALSE),0)+(IF(QualitéAlimentsCoq=MOYENNE,VLOOKUP("Pois",AlimentsRationVolaillesMâles[],2,FALSE),0)+(IF(QualitéAlimentsPoule=MOYENNE,VLOOKUP("Pois",AlimentsRationVolaillesFemelles[],2,FALSE),0))))))))</f>
        <v>0</v>
      </c>
      <c r="DC176" s="351">
        <f t="array" ref="DC176">SUM((IF(QualitéAlimentsPoussinMâle_0_1_mois=MAUVAISE,VLOOKUP("Pois",AlimentsRationVolaillesMâles[],4,FALSE),0)+(IF(QualitéAlimentsPoussinFemelle_0_1_mois=MAUVAISE,VLOOKUP("Pois",AlimentsRationVolaillesFemelles[],4,FALSE),0)+(IF(QualitéAlimentsJeuneCoq=MAUVAISE,VLOOKUP("Pois",AlimentsRationVolaillesMâles[],3,FALSE),0)+(IF(QualitéAlimentsJeunePoule=MAUVAISE,VLOOKUP("Pois",AlimentsRationVolaillesFemelles[],3,FALSE),0)+(IF(QualitéAlimentsCoq=MAUVAISE,VLOOKUP("Pois",AlimentsRationVolaillesMâles[],2,FALSE),0)+(IF(QualitéAlimentsPoule=MAUVAISE,VLOOKUP("Pois",AlimentsRationVolaillesFemelles[],2,FALSE),0))))))))</f>
        <v>0</v>
      </c>
      <c r="DG176" s="350" t="str">
        <f t="shared" si="52"/>
        <v>Triticale</v>
      </c>
      <c r="DH176" s="351">
        <f t="array" ref="DH176">SUM((IF(QualitéAlimentsPintadeauMâle_0_1_mois=BONNE,VLOOKUP("Triticale",AlimentsRationPintadesMâles[],4,FALSE),0)+(IF(QualitéAlimentsPintadeauFemelle_0_1_mois=BONNE,VLOOKUP("Triticale",AlimentsRationPintadesFemelles[],4,FALSE),0)+(IF(QualitéAlimentsJeunePintadeMâle=BONNE,VLOOKUP("Triticale",AlimentsRationPintadesMâles[],3,FALSE),0)+(IF(QualitéAlimentsJeunePintadeFemelle=BONNE,VLOOKUP("Triticale",AlimentsRationPintadesFemelles[],3,FALSE),0)+(IF(QualitéAlimentsPintadeMâle=BONNE,VLOOKUP("Triticale",AlimentsRationPintadesMâles[],2,FALSE),0)+(IF(QualitéAlimentsPintadeFemelle=BONNE,VLOOKUP("Triticale",AlimentsRationPintadesFemelles[],2,FALSE),0))))))))</f>
        <v>0</v>
      </c>
      <c r="DI176" s="351">
        <f t="array" ref="DI176">SUM((IF(QualitéAlimentsPintadeauMâle_0_1_mois=MOYENNE,VLOOKUP("Triticale",AlimentsRationPintadesMâles[],4,FALSE),0)+(IF(QualitéAlimentsPintadeauFemelle_0_1_mois=MOYENNE,VLOOKUP("Triticale",AlimentsRationPintadesFemelles[],4,FALSE),0)+(IF(QualitéAlimentsJeunePintadeMâle=MOYENNE,VLOOKUP("Triticale",AlimentsRationPintadesMâles[],3,FALSE),0)+(IF(QualitéAlimentsJeunePintadeFemelle=MOYENNE,VLOOKUP("Triticale",AlimentsRationPintadesFemelles[],3,FALSE),0)+(IF(QualitéAlimentsPintadeMâle=MOYENNE,VLOOKUP("Triticale",AlimentsRationPintadesMâles[],2,FALSE),0)+(IF(QualitéAlimentsPintadeFemelle=MOYENNE,VLOOKUP("Triticale",AlimentsRationPintadesFemelles[],2,FALSE),0))))))))</f>
        <v>0</v>
      </c>
      <c r="DJ176" s="351">
        <f t="array" ref="DJ176">SUM((IF(QualitéAlimentsPintadeauMâle_0_1_mois=MAUVAISE,VLOOKUP("Triticale",AlimentsRationPintadesMâles[],4,FALSE),0)+(IF(QualitéAlimentsPintadeauFemelle_0_1_mois=MAUVAISE,VLOOKUP("Triticale",AlimentsRationPintadesFemelles[],4,FALSE),0)+(IF(QualitéAlimentsJeunePintadeMâle=MAUVAISE,VLOOKUP("Triticale",AlimentsRationPintadesMâles[],3,FALSE),0)+(IF(QualitéAlimentsJeunePintadeFemelle=MAUVAISE,VLOOKUP("Triticale",AlimentsRationPintadesFemelles[],3,FALSE),0)+(IF(QualitéAlimentsPintadeMâle=MAUVAISE,VLOOKUP("Triticale",AlimentsRationPintadesMâles[],2,FALSE),0)+(IF(QualitéAlimentsPintadeFemelle=MAUVAISE,VLOOKUP("Triticale",AlimentsRationPintadesFemelles[],2,FALSE),0))))))))</f>
        <v>0</v>
      </c>
      <c r="DN176" s="350" t="s">
        <v>378</v>
      </c>
      <c r="DO176" s="351">
        <f t="array" ref="DO176">IF(ChoixRationComplèteOvins=OUI,0,IFERROR(IF(OR(AND(INDEX(Règles_ovins[Specificite],MATCH(ChoixRationOvins&amp;$DN176,Règles_ovins[Ration]&amp;Règles_ovins[Aliment],0))="s1",IF($DN176=Spécificité1Ovins,1)),
AND(INDEX(Règles_ovins[Specificite],MATCH(ChoixRationOvins&amp;$DN176,Règles_ovins[Ration]&amp;Règles_ovins[Aliment],0))="s2",IF($DN176=Spécificité2Ovins,1)),
INDEX(Règles_ovins[Specificite],MATCH(ChoixRationOvins&amp;$DN176,Règles_ovins[Ration]&amp;Règles_ovins[Aliment],0))="c"),
INDEX(Règles_ovins[Valeur 12 et plus],MATCH(ChoixRationOvins&amp;$DN176,Règles_ovins[Ration]&amp;Règles_ovins[Aliment],0)),0),0)*IF(ChoixOvinsPréHiver=OUI,SUM(TotalOvinsAdultesRacesLaitières)*NbreJoursNourrirOvins,TotalBéliers*NbreJoursNourrirOvins))</f>
        <v>0</v>
      </c>
      <c r="DP176" s="351">
        <f t="array" ref="DP176">IF(ChoixRationComplèteOvins=OUI,0,IFERROR(IF(OR(AND(INDEX(Règles_ovins[Specificite],MATCH(ChoixRationOvins&amp;$DN176,Règles_ovins[Ration]&amp;Règles_ovins[Aliment],0))="s1",IF($DN176=Spécificité1Ovins,1)),
AND(INDEX(Règles_ovins[Specificite],MATCH(ChoixRationOvins&amp;$DN176,Règles_ovins[Ration]&amp;Règles_ovins[Aliment],0))="s2",IF($DN176=Spécificité2Ovins,1)),
INDEX(Règles_ovins[Specificite],MATCH(ChoixRationOvins&amp;$DN176,Règles_ovins[Ration]&amp;Règles_ovins[Aliment],0))="c"),
INDEX(Règles_ovins[Valeur 6-12],MATCH(ChoixRationOvins&amp;$DN176,Règles_ovins[Ration]&amp;Règles_ovins[Aliment],0)),0),0)*IF(ChoixOvinsPréHiver=OUI,SUM(TotalJeunesOvinsRacesLaitières)*NbreJoursNourrirOvins,TotalJeune_bélier_6_12_mois*NbreJoursNourrirOvins))</f>
        <v>0</v>
      </c>
      <c r="DQ176" s="351">
        <f t="array" ref="DQ176">IF(ChoixRationComplèteOvins=OUI,0,IFERROR(IF(OR(AND(INDEX(Règles_ovins[Specificite],MATCH(ChoixRationOvins&amp;$DN176,Règles_ovins[Ration]&amp;Règles_ovins[Aliment],0))="s1",IF($DN176=Spécificité1Ovins,1)),
AND(INDEX(Règles_ovins[Specificite],MATCH(ChoixRationOvins&amp;$DN176,Règles_ovins[Ration]&amp;Règles_ovins[Aliment],0))="s2",IF($DN176=Spécificité2Ovins,1)),
INDEX(Règles_ovins[Specificite],MATCH(ChoixRationOvins&amp;$DN176,Règles_ovins[Ration]&amp;Règles_ovins[Aliment],0))="c"),
INDEX(Règles_ovins[Valeur 3-6],MATCH(ChoixRationOvins&amp;$DN176,Règles_ovins[Ration]&amp;Règles_ovins[Aliment],0)),0),0)*IF(ChoixOvinsPréHiver=OUI,SUM(TotalOvins_3_6moisRacesLaitières)*NbreJoursNourrirOvins,TotalAgneau_3_6_mois*NbreJoursNourrirOvins))</f>
        <v>0</v>
      </c>
      <c r="DR176" s="351">
        <f t="array" ref="DR176">IF(ChoixRationComplèteOvins=OUI,0,IFERROR(IF(OR(AND(INDEX(Règles_ovins[Specificite],MATCH(ChoixRationOvins&amp;$DN176,Règles_ovins[Ration]&amp;Règles_ovins[Aliment],0))="s1",IF($DN176=Spécificité1Ovins,1)),
AND(INDEX(Règles_ovins[Specificite],MATCH(ChoixRationOvins&amp;$DN176,Règles_ovins[Ration]&amp;Règles_ovins[Aliment],0))="s2",IF($DN176=Spécificité2Ovins,1)),
INDEX(Règles_ovins[Specificite],MATCH(ChoixRationOvins&amp;$DN176,Règles_ovins[Ration]&amp;Règles_ovins[Aliment],0))="c"),
INDEX(Règles_ovins[Valeur 0-3],MATCH(ChoixRationOvins&amp;$DN176,Règles_ovins[Ration]&amp;Règles_ovins[Aliment],0)),0),0)*IF(ChoixOvinsPréHiver=OUI,SUM(TotalOvins_3_6moisRacesLaitières)*NbreJoursNourrirOvins,TotalAgneau_0_3_mois*NbreJoursNourrirOvins))</f>
        <v>0</v>
      </c>
      <c r="DS176" s="441">
        <f t="shared" si="55"/>
        <v>0</v>
      </c>
      <c r="EG176" s="350" t="str">
        <f t="shared" si="57"/>
        <v>Seigle</v>
      </c>
      <c r="EH176" s="351">
        <f t="array" ref="EH176">SUM((IF(QualitéAlimentsOisonMâle_0_3_mois=BONNE,VLOOKUP("Seigle",AlimentsRationOiesMâles[],4,FALSE),0)+(IF(QualitéAlimentsOisonFemelle_0_3_mois=BONNE,VLOOKUP("Seigle",AlimentsRationOiesFemelles[],4,FALSE),0)+(IF(QualitéAlimentsJeuneJars=BONNE,VLOOKUP("Seigle",AlimentsRationOiesMâles[],3,FALSE),0)+(IF(QualitéAlimentsJeuneOie=BONNE,VLOOKUP("Seigle",AlimentsRationOiesFemelles[],3,FALSE),0)+(IF(QualitéAlimentsJars=BONNE,VLOOKUP("Seigle",AlimentsRationOiesMâles[],2,FALSE),0)+(IF(QualitéAlimentsOie=BONNE,VLOOKUP("Seigle",AlimentsRationOiesFemelles[],2,FALSE),0))))))))</f>
        <v>0</v>
      </c>
      <c r="EI176" s="351">
        <f t="array" ref="EI176">SUM((IF(QualitéAlimentsOisonMâle_0_3_mois=MOYENNE,VLOOKUP("Seigle",AlimentsRationOiesMâles[],4,FALSE),0)+(IF(QualitéAlimentsOisonFemelle_0_3_mois=MOYENNE,VLOOKUP("Seigle",AlimentsRationOiesFemelles[],4,FALSE),0)+(IF(QualitéAlimentsJeuneJars=MOYENNE,VLOOKUP("Seigle",AlimentsRationOiesMâles[],3,FALSE),0)+(IF(QualitéAlimentsJeuneOie=MOYENNE,VLOOKUP("Seigle",AlimentsRationOiesFemelles[],3,FALSE),0)+(IF(QualitéAlimentsJars=MOYENNE,VLOOKUP("Seigle",AlimentsRationOiesMâles[],2,FALSE),0)+(IF(QualitéAlimentsOie=MOYENNE,VLOOKUP("Seigle",AlimentsRationOiesFemelles[],2,FALSE),0))))))))</f>
        <v>0</v>
      </c>
      <c r="EJ176" s="351">
        <f t="array" ref="EJ176">SUM((IF(QualitéAlimentsOisonMâle_0_3_mois=MAUVAISE,VLOOKUP("Seigle",AlimentsRationOiesMâles[],4,FALSE),0)+(IF(QualitéAlimentsOisonFemelle_0_3_mois=MAUVAISE,VLOOKUP("Seigle",AlimentsRationOiesFemelles[],4,FALSE),0)+(IF(QualitéAlimentsJeuneJars=MAUVAISE,VLOOKUP("Seigle",AlimentsRationOiesMâles[],3,FALSE),0)+(IF(QualitéAlimentsJeuneOie=MAUVAISE,VLOOKUP("Seigle",AlimentsRationOiesFemelles[],3,FALSE),0)+(IF(QualitéAlimentsJars=MAUVAISE,VLOOKUP("Seigle",AlimentsRationOiesMâles[],2,FALSE),0)+(IF(QualitéAlimentsOie=MAUVAISE,VLOOKUP("Seigle",AlimentsRationOiesFemelles[],2,FALSE),0))))))))</f>
        <v>0</v>
      </c>
      <c r="EN176" s="457" t="str">
        <f t="shared" si="56"/>
        <v>Soja</v>
      </c>
      <c r="EO176" s="458">
        <f t="array" ref="EO176">SUM((IF(QualitéAlimentsCanetonMâle=BONNE,VLOOKUP("Soja",AlimentsRationCanardsMâles,4,FALSE),0)+(IF(QualitéAlimentsCanetonFemelle=BONNE,VLOOKUP("Soja",AlimentsRationCanardsFemelles,4,FALSE),0)+(IF(QualitéAlimentsJeuneCanard=BONNE,VLOOKUP("Soja",AlimentsRationCanardsMâles,3,FALSE),0)+(IF(QualitéAlimentsJeuneCane=BONNE,VLOOKUP("Soja",AlimentsRationCanardsFemelles,3,FALSE),0)+(IF(QualitéAlimentsCanard=BONNE,VLOOKUP("Soja",AlimentsRationCanardsMâles,2,FALSE),0)+(IF(QualitéAlimentsCane=BONNE,VLOOKUP("Soja",AlimentsRationCanardsFemelles,2,FALSE),0))))))))</f>
        <v>0</v>
      </c>
      <c r="EP176" s="458">
        <f t="array" ref="EP176">SUM((IF(QualitéAlimentsCanetonMâle=MOYENNE,VLOOKUP("Soja",AlimentsRationCanardsMâles,4,FALSE),0)+(IF(QualitéAlimentsCanetonFemelle=MOYENNE,VLOOKUP("Soja",AlimentsRationCanardsFemelles,4,FALSE),0)+(IF(QualitéAlimentsJeuneCanard=MOYENNE,VLOOKUP("Soja",AlimentsRationCanardsMâles,3,FALSE),0)+(IF(QualitéAlimentsJeuneCane=MOYENNE,VLOOKUP("Soja",AlimentsRationCanardsFemelles,3,FALSE),0)+(IF(QualitéAlimentsCanard=MOYENNE,VLOOKUP("Soja",AlimentsRationCanardsMâles,2,FALSE),0)+(IF(QualitéAlimentsCane=MOYENNE,VLOOKUP("Soja",AlimentsRationCanardsFemelles,2,FALSE),0))))))))</f>
        <v>0</v>
      </c>
      <c r="EQ176" s="458">
        <f t="array" ref="EQ176">SUM((IF(QualitéAlimentsCanetonMâle=MAUVAISE,VLOOKUP("Soja",AlimentsRationCanardsMâles,4,FALSE),0)+(IF(QualitéAlimentsCanetonFemelle=MAUVAISE,VLOOKUP("Soja",AlimentsRationCanardsFemelles,4,FALSE),0)+(IF(QualitéAlimentsJeuneCanard=MAUVAISE,VLOOKUP("Soja",AlimentsRationCanardsMâles,3,FALSE),0)+(IF(QualitéAlimentsJeuneCane=MAUVAISE,VLOOKUP("Soja",AlimentsRationCanardsFemelles,3,FALSE),0)+(IF(QualitéAlimentsCanard=MAUVAISE,VLOOKUP("Soja",AlimentsRationCanardsMâles,2,FALSE),0)+(IF(QualitéAlimentsCane=MAUVAISE,VLOOKUP("Soja",AlimentsRationCanardsFemelles,2,FALSE),0))))))))</f>
        <v>0</v>
      </c>
      <c r="EU176" s="457" t="str">
        <f t="shared" si="54"/>
        <v>Sorgho ensilé</v>
      </c>
      <c r="EV176" s="458">
        <f t="array" ref="EV176">IF(OR(ChoixRationHivernaleComplèteChevauxSelle=OUI,ChoixRationHivernaleComplèteChevauxSelle="",ChoixChevauxSellePréHiver=NON),0,IFERROR(IF(OR(AND(INDEX(Règles_chevaux_selle[Specificite],MATCH(RationHivernaleAuPréChevauxSelle&amp;$EU176,Règles_chevaux_selle[Ration]&amp;Règles_chevaux_selle[Aliment],0))="s1",IF($EU176=Spécificité1ChevauxSelle,1)),
AND(INDEX(Règles_chevaux_selle[Specificite],MATCH(RationHivernaleAuPréChevauxSelle&amp;$EU176,Règles_chevaux_selle[Ration]&amp;Règles_chevaux_selle[Aliment],0))="s2",IF($EU176=Spécificité2ChevauxSelle,1)),
INDEX(Règles_chevaux_selle[Specificite],MATCH(RationHivernaleAuPréChevauxSelle&amp;$EU176,Règles_chevaux_selle[Ration]&amp;Règles_chevaux_selle[Aliment],0))="c"),
INDEX(Règles_chevaux_selle[Valeur 36 et plus],MATCH(RationHivernaleAuPréChevauxSelle&amp;$EU176,Règles_chevaux_selle[Ration]&amp;Règles_chevaux_selle[Aliment],0)),0),0)*SUM(TotalChevauxSelleAdultes)*21)</f>
        <v>0</v>
      </c>
      <c r="EW176" s="458">
        <f t="array" ref="EW176">IF(OR(ChoixRationHivernaleComplèteChevauxSelle=OUI,ChoixRationHivernaleComplèteChevauxSelle="",ChoixChevauxSellePréHiver=NON),0,IFERROR(IF(OR(AND(INDEX(Règles_chevaux_selle[Specificite],MATCH(RationHivernaleAuPréChevauxSelle&amp;$EU176,Règles_chevaux_selle[Ration]&amp;Règles_chevaux_selle[Aliment],0))="s1",IF($EU176=Spécificité1ChevauxSelle,1)),
AND(INDEX(Règles_chevaux_selle[Specificite],MATCH(RationHivernaleAuPréChevauxSelle&amp;$EU176,Règles_chevaux_selle[Ration]&amp;Règles_chevaux_selle[Aliment],0))="s2",IF($EU176=Spécificité2ChevauxSelle,1)),
INDEX(Règles_chevaux_selle[Specificite],MATCH(RationHivernaleAuPréChevauxSelle&amp;$EU176,Règles_chevaux_selle[Ration]&amp;Règles_chevaux_selle[Aliment],0))="c"),
INDEX(Règles_chevaux_selle[Valeur 24-36],MATCH(RationHivernaleAuPréChevauxSelle&amp;$EU176,Règles_chevaux_selle[Ration]&amp;Règles_chevaux_selle[Aliment],0)),0),0)*SUM(TotalChevauxSelle_24_36mois)*21)</f>
        <v>0</v>
      </c>
      <c r="EX176" s="458">
        <f t="array" ref="EX176">IF(OR(ChoixRationHivernaleComplèteChevauxSelle=OUI,ChoixRationHivernaleComplèteChevauxSelle="",ChoixChevauxSellePréHiver=NON),0,IFERROR(IF(OR(AND(INDEX(Règles_chevaux_selle[Specificite],MATCH(RationHivernaleAuPréChevauxSelle&amp;$EU176,Règles_chevaux_selle[Ration]&amp;Règles_chevaux_selle[Aliment],0))="s1",IF($EU176=Spécificité1ChevauxSelle,1)),
AND(INDEX(Règles_chevaux_selle[Specificite],MATCH(RationHivernaleAuPréChevauxSelle&amp;$EU176,Règles_chevaux_selle[Ration]&amp;Règles_chevaux_selle[Aliment],0))="s2",IF($EU176=Spécificité2ChevauxSelle,1)),
INDEX(Règles_chevaux_selle[Specificite],MATCH(RationHivernaleAuPréChevauxSelle&amp;$EU176,Règles_chevaux_selle[Ration]&amp;Règles_chevaux_selle[Aliment],0))="c"),
INDEX(Règles_chevaux_selle[Valeur 12-24],MATCH(RationHivernaleAuPréChevauxSelle&amp;$EU176,Règles_chevaux_selle[Ration]&amp;Règles_chevaux_selle[Aliment],0)),0),0)*SUM(TotalChevauxSelle_12_24mois)*21)</f>
        <v>0</v>
      </c>
      <c r="EY176" s="460">
        <f t="array" ref="EY176">IF(OR(ChoixRationHivernaleComplèteChevauxSelle=OUI,ChoixRationHivernaleComplèteChevauxSelle="",ChoixChevauxSellePréHiver=NON),0,IFERROR(IF(OR(AND(INDEX(Règles_chevaux_selle[Specificite],MATCH(RationHivernaleAuPréChevauxSelle&amp;$EU176,Règles_chevaux_selle[Ration]&amp;Règles_chevaux_selle[Aliment],0))="s1",IF($EU176=Spécificité1ChevauxSelle,1)),
AND(INDEX(Règles_chevaux_selle[Specificite],MATCH(RationHivernaleAuPréChevauxSelle&amp;$EU176,Règles_chevaux_selle[Ration]&amp;Règles_chevaux_selle[Aliment],0))="s2",IF($EU176=Spécificité2ChevauxSelle,1)),
INDEX(Règles_chevaux_selle[Specificite],MATCH(RationHivernaleAuPréChevauxSelle&amp;$EU176,Règles_chevaux_selle[Ration]&amp;Règles_chevaux_selle[Aliment],0))="c"),
INDEX(Règles_chevaux_selle[Valeur 0-12],MATCH(RationHivernaleAuPréChevauxSelle&amp;$EU176,Règles_chevaux_selle[Ration]&amp;Règles_chevaux_selle[Aliment],0)),0),0)*SUM(TotalPoulainsSelle)*21)</f>
        <v>0</v>
      </c>
      <c r="EZ176" s="460">
        <f t="shared" si="53"/>
        <v>0</v>
      </c>
      <c r="FD176" s="457">
        <f t="shared" si="49"/>
        <v>0</v>
      </c>
      <c r="FE176" s="458">
        <f t="array" ref="FE176">IF(OR(ChoixRationHivernaleComplèteChevauxTrait=OUI,ChoixRationHivernaleComplèteChevauxTrait="",ChoixChevauxTraitPréHiver=NON),0,IFERROR(IF(OR(AND(INDEX(Règles_chevaux_trait[Specificite],MATCH(RationHivernaleAuPréChevauxTrait&amp;$FD176,Règles_chevaux_trait[Ration]&amp;Règles_chevaux_trait[Aliment],0))="s1",IF($FD176=Spécificité1ChevauxTrait,1)),
AND(INDEX(Règles_chevaux_trait[Specificite],MATCH(RationHivernaleAuPréChevauxTrait&amp;$FD176,Règles_chevaux_trait[Ration]&amp;Règles_chevaux_trait[Aliment],0))="s2",IF($FD176=Spécificité2ChevauxTrait,1)),
INDEX(Règles_chevaux_trait[Specificite],MATCH(RationHivernaleAuPréChevauxTrait&amp;$FD176,Règles_chevaux_trait[Ration]&amp;Règles_chevaux_trait[Aliment],0))="c"),
INDEX(Règles_chevaux_trait[Valeur 36 et plus],MATCH(RationHivernaleAuPréChevauxTrait&amp;$FD176,Règles_chevaux_trait[Ration]&amp;Règles_chevaux_trait[Aliment],0)),0),0)*SUM(TotalChevauxTraitAdultes)*21)</f>
        <v>0</v>
      </c>
      <c r="FF176" s="458">
        <f t="array" ref="FF176">IF(OR(ChoixRationHivernaleComplèteChevauxTrait=OUI,ChoixRationHivernaleComplèteChevauxTrait="",ChoixChevauxTraitPréHiver=NON),0,IFERROR(IF(OR(AND(INDEX(Règles_chevaux_trait[Specificite],MATCH(RationHivernaleAuPréChevauxTrait&amp;$FD176,Règles_chevaux_trait[Ration]&amp;Règles_chevaux_trait[Aliment],0))="s1",IF($FD176=Spécificité1ChevauxTrait,1)),
AND(INDEX(Règles_chevaux_trait[Specificite],MATCH(RationHivernaleAuPréChevauxTrait&amp;$FD176,Règles_chevaux_trait[Ration]&amp;Règles_chevaux_trait[Aliment],0))="s2",IF($FD176=Spécificité2ChevauxTrait,1)),
INDEX(Règles_chevaux_trait[Specificite],MATCH(RationHivernaleAuPréChevauxTrait&amp;$FD176,Règles_chevaux_trait[Ration]&amp;Règles_chevaux_trait[Aliment],0))="c"),
INDEX(Règles_chevaux_trait[Valeur 24-36],MATCH(RationHivernaleAuPréChevauxTrait&amp;$FD176,Règles_chevaux_trait[Ration]&amp;Règles_chevaux_trait[Aliment],0)),0),0)*SUM(TotalChevauxTrait_24_36mois)*21)</f>
        <v>0</v>
      </c>
      <c r="FG176" s="458">
        <f t="array" ref="FG176">IF(OR(ChoixRationHivernaleComplèteChevauxTrait=OUI,ChoixRationHivernaleComplèteChevauxTrait="",ChoixChevauxTraitPréHiver=NON),0,IFERROR(IF(OR(AND(INDEX(Règles_chevaux_trait[Specificite],MATCH(RationHivernaleAuPréChevauxTrait&amp;$FD176,Règles_chevaux_trait[Ration]&amp;Règles_chevaux_trait[Aliment],0))="s1",IF($FD176=Spécificité1ChevauxTrait,1)),
AND(INDEX(Règles_chevaux_trait[Specificite],MATCH(RationHivernaleAuPréChevauxTrait&amp;$FD176,Règles_chevaux_trait[Ration]&amp;Règles_chevaux_trait[Aliment],0))="s2",IF($FD176=Spécificité2ChevauxTrait,1)),
INDEX(Règles_chevaux_trait[Specificite],MATCH(RationHivernaleAuPréChevauxTrait&amp;$FD176,Règles_chevaux_trait[Ration]&amp;Règles_chevaux_trait[Aliment],0))="c"),
INDEX(Règles_chevaux_trait[Valeur 12-24],MATCH(RationHivernaleAuPréChevauxTrait&amp;$FD176,Règles_chevaux_trait[Ration]&amp;Règles_chevaux_trait[Aliment],0)),0),0)*SUM(TotalChevauxTrait_12_24mois)*21)</f>
        <v>0</v>
      </c>
      <c r="FH176" s="460">
        <f t="array" ref="FH176">IF(OR(ChoixRationHivernaleComplèteChevauxTrait=OUI,ChoixRationHivernaleComplèteChevauxTrait="",ChoixChevauxTraitPréHiver=NON),0,IFERROR(IF(OR(AND(INDEX(Règles_chevaux_trait[Specificite],MATCH(RationHivernaleAuPréChevauxTrait&amp;$FD176,Règles_chevaux_trait[Ration]&amp;Règles_chevaux_trait[Aliment],0))="s1",IF($FD176=Spécificité1ChevauxTrait,1)),
AND(INDEX(Règles_chevaux_trait[Specificite],MATCH(RationHivernaleAuPréChevauxTrait&amp;$FD176,Règles_chevaux_trait[Ration]&amp;Règles_chevaux_trait[Aliment],0))="s2",IF($FD176=Spécificité2ChevauxTrait,1)),
INDEX(Règles_chevaux_trait[Specificite],MATCH(RationHivernaleAuPréChevauxTrait&amp;$FD176,Règles_chevaux_trait[Ration]&amp;Règles_chevaux_trait[Aliment],0))="c"),
INDEX(Règles_chevaux_trait[Valeur 0-12],MATCH(RationHivernaleAuPréChevauxTrait&amp;$FD176,Règles_chevaux_trait[Ration]&amp;Règles_chevaux_trait[Aliment],0)),0),0)*SUM(TotalPoulainsTrait)*21)</f>
        <v>0</v>
      </c>
      <c r="FI176" s="460">
        <f t="shared" si="47"/>
        <v>0</v>
      </c>
      <c r="FN176" s="457">
        <f t="shared" si="48"/>
        <v>0</v>
      </c>
      <c r="FO176" s="458">
        <f t="array" ref="FO176">IF(OR(ChoixRationHivernaleComplètePoneys=OUI,ChoixRationHivernaleComplètePoneys="",ChoixPoneysPréHiver=NON),0,IFERROR(IF(OR(AND(INDEX(Règles_poneys[Specificite],MATCH(RationHivernaleAuPréPoneys&amp;$FN176,Règles_poneys[Ration]&amp;Règles_poneys[Aliment],0))="s1",IF($FN176=Spécificité1Poneys,1)),
AND(INDEX(Règles_poneys[Specificite],MATCH(RationHivernaleAuPréPoneys&amp;$FN176,Règles_poneys[Ration]&amp;Règles_poneys[Aliment],0))="s2",IF($FN176=Spécificité2Poneys,1)),
INDEX(Règles_poneys[Specificite],MATCH(RationHivernaleAuPréPoneys&amp;$FN176,Règles_poneys[Ration]&amp;Règles_poneys[Aliment],0))="c"),
INDEX(Règles_poneys[Valeur 36 et plus],MATCH(RationHivernaleAuPréPoneys&amp;$FN176,Règles_poneys[Ration]&amp;Règles_poneys[Aliment],0)),0),0)*SUM(TotalPoneysAdultes)*21)</f>
        <v>0</v>
      </c>
      <c r="FP176" s="458">
        <f t="array" ref="FP176">IF(OR(ChoixRationHivernaleComplètePoneys=OUI,ChoixRationHivernaleComplètePoneys="",ChoixPoneysPréHiver=NON),0,IFERROR(IF(OR(AND(INDEX(Règles_poneys[Specificite],MATCH(RationHivernaleAuPréPoneys&amp;$FN176,Règles_poneys[Ration]&amp;Règles_poneys[Aliment],0))="s1",IF($FN176=Spécificité1Poneys,1)),
AND(INDEX(Règles_poneys[Specificite],MATCH(RationHivernaleAuPréPoneys&amp;$FN176,Règles_poneys[Ration]&amp;Règles_poneys[Aliment],0))="s2",IF($FN176=Spécificité2Poneys,1)),
INDEX(Règles_poneys[Specificite],MATCH(RationHivernaleAuPréPoneys&amp;$FN176,Règles_poneys[Ration]&amp;Règles_poneys[Aliment],0))="c"),
INDEX(Règles_poneys[Valeur 24-36],MATCH(RationHivernaleAuPréPoneys&amp;$FN176,Règles_poneys[Ration]&amp;Règles_poneys[Aliment],0)),0),0)*SUM(TotalPoneys_24_36mois)*21)</f>
        <v>0</v>
      </c>
      <c r="FQ176" s="458">
        <f t="array" ref="FQ176">IF(OR(ChoixRationHivernaleComplètePoneys=OUI,ChoixRationHivernaleComplètePoneys="",ChoixPoneysPréHiver=NON),0,IFERROR(IF(OR(AND(INDEX(Règles_poneys[Specificite],MATCH(RationHivernaleAuPréPoneys&amp;$FN176,Règles_poneys[Ration]&amp;Règles_poneys[Aliment],0))="s1",IF($FN176=Spécificité1Poneys,1)),
AND(INDEX(Règles_poneys[Specificite],MATCH(RationHivernaleAuPréPoneys&amp;$FN176,Règles_poneys[Ration]&amp;Règles_poneys[Aliment],0))="s2",IF($FN176=Spécificité2Poneys,1)),
INDEX(Règles_poneys[Specificite],MATCH(RationHivernaleAuPréPoneys&amp;$FN176,Règles_poneys[Ration]&amp;Règles_poneys[Aliment],0))="c"),
INDEX(Règles_poneys[Valeur 12-24],MATCH(RationHivernaleAuPréPoneys&amp;$FN176,Règles_poneys[Ration]&amp;Règles_poneys[Aliment],0)),0),0)*SUM(TotalPoneys_12_24mois)*21)</f>
        <v>0</v>
      </c>
      <c r="FR176" s="460">
        <f t="array" ref="FR176">IF(OR(ChoixRationHivernaleComplètePoneys=OUI,ChoixRationHivernaleComplètePoneys="",ChoixPoneysPréHiver=NON),0,IFERROR(IF(OR(AND(INDEX(Règles_poneys[Specificite],MATCH(RationHivernaleAuPréPoneys&amp;$FN176,Règles_poneys[Ration]&amp;Règles_poneys[Aliment],0))="s1",IF($FN176=Spécificité1Poneys,1)),
AND(INDEX(Règles_poneys[Specificite],MATCH(RationHivernaleAuPréPoneys&amp;$FN176,Règles_poneys[Ration]&amp;Règles_poneys[Aliment],0))="s2",IF($FN176=Spécificité2Poneys,1)),
INDEX(Règles_poneys[Specificite],MATCH(RationHivernaleAuPréPoneys&amp;$FN176,Règles_poneys[Ration]&amp;Règles_poneys[Aliment],0))="c"),
INDEX(Règles_poneys[Valeur 0-12],MATCH(RationHivernaleAuPréPoneys&amp;$FN176,Règles_poneys[Ration]&amp;Règles_poneys[Aliment],0)),0),0)*SUM(TotalPoulainsPoneys)*21)</f>
        <v>0</v>
      </c>
      <c r="FS176" s="460">
        <f t="shared" si="46"/>
        <v>0</v>
      </c>
      <c r="FW176" s="281"/>
      <c r="FX176" s="281"/>
      <c r="FY176" s="281"/>
      <c r="FZ176" s="281"/>
      <c r="GB176" s="281"/>
      <c r="GG176" s="276" t="s">
        <v>955</v>
      </c>
      <c r="GH176" s="276" t="s">
        <v>955</v>
      </c>
      <c r="GI176" s="276" t="s">
        <v>955</v>
      </c>
      <c r="GJ176" s="276" t="s">
        <v>955</v>
      </c>
      <c r="GK176" s="276" t="s">
        <v>955</v>
      </c>
      <c r="GL176" s="276" t="s">
        <v>955</v>
      </c>
      <c r="GM176" s="276" t="s">
        <v>955</v>
      </c>
      <c r="GN176" s="276" t="s">
        <v>955</v>
      </c>
      <c r="GO176" s="276" t="s">
        <v>955</v>
      </c>
      <c r="GP176" s="276" t="s">
        <v>955</v>
      </c>
      <c r="GQ176" s="276" t="s">
        <v>955</v>
      </c>
      <c r="GR176" s="276" t="s">
        <v>955</v>
      </c>
      <c r="GS176" s="276" t="s">
        <v>955</v>
      </c>
      <c r="GT176" s="276" t="s">
        <v>955</v>
      </c>
      <c r="GU176" s="276" t="s">
        <v>955</v>
      </c>
      <c r="GV176" s="276" t="s">
        <v>955</v>
      </c>
    </row>
    <row r="177" spans="1:204" ht="12.75" customHeight="1" x14ac:dyDescent="0.2">
      <c r="A177" s="373"/>
      <c r="B177" s="382"/>
      <c r="BB177" s="387" t="s">
        <v>843</v>
      </c>
      <c r="BC177" s="362" t="s">
        <v>70</v>
      </c>
      <c r="BD177" s="362" t="s">
        <v>887</v>
      </c>
      <c r="BE177" s="388">
        <v>6.6</v>
      </c>
      <c r="BF177" s="388">
        <v>5.4</v>
      </c>
      <c r="BG177" s="388">
        <v>4.2</v>
      </c>
      <c r="BH177" s="388">
        <v>3</v>
      </c>
      <c r="BI177" s="388">
        <v>2.4</v>
      </c>
      <c r="BJ177" s="388">
        <v>1.2</v>
      </c>
      <c r="BK177" s="389">
        <v>0</v>
      </c>
      <c r="BL177" s="276"/>
      <c r="BX177" s="350">
        <f t="shared" si="51"/>
        <v>0</v>
      </c>
      <c r="BY177" s="350">
        <f t="array" ref="BY177">IF(ChoixRationComplèteCaprins=OUI,0,IFERROR(IF(OR(AND(INDEX(Règles_caprins[Specificite],MATCH(ChoixRationCaprins&amp;$BX177,Règles_caprins[Ration]&amp;Règles_caprins[Aliment],0))="s1",IF($BX177=Spécificité1Caprins,1)),
INDEX(Règles_caprins[Specificite],MATCH(ChoixRationCaprins&amp;$BX177,Règles_caprins[Ration]&amp;Règles_caprins[Aliment],0))="c"),
INDEX(Règles_caprins[Valeur 12 et plus],MATCH(ChoixRationCaprins&amp;$BX177,Règles_caprins[Ration]&amp;Règles_caprins[Aliment],0)),0),0)*TotalChèvres*NbreJoursNourrirCaprins)</f>
        <v>0</v>
      </c>
      <c r="BZ177" s="350">
        <f t="array" ref="BZ177">IF(ChoixRationComplèteCaprins=OUI,0,IFERROR(IF(OR(AND(INDEX(Règles_caprins[Specificite],MATCH(ChoixRationCaprins&amp;$BX177,Règles_caprins[Ration]&amp;Règles_caprins[Aliment],0))="s1",IF($BX177=Spécificité1Caprins,1)),
INDEX(Règles_caprins[Specificite],MATCH(ChoixRationCaprins&amp;$BX177,Règles_caprins[Ration]&amp;Règles_caprins[Aliment],0))="c"),
INDEX(Règles_caprins[Valeur 6-12],MATCH(ChoixRationCaprins&amp;$BX177,Règles_caprins[Ration]&amp;Règles_caprins[Aliment],0)),0),0)*jeune_chèvre_6_12_mois*NbreJoursNourrirCaprins)</f>
        <v>0</v>
      </c>
      <c r="CA177" s="350">
        <f t="array" ref="CA177">IF(ChoixRationComplèteCaprins=OUI,0,IFERROR(IF(OR(AND(INDEX(Règles_caprins[Specificite],MATCH(ChoixRationCaprins&amp;$BX177,Règles_caprins[Ration]&amp;Règles_caprins[Aliment],0))="s1",IF($BX177=Spécificité1Caprins,1)),
INDEX(Règles_caprins[Specificite],MATCH(ChoixRationCaprins&amp;$BX177,Règles_caprins[Ration]&amp;Règles_caprins[Aliment],0))="c"),
INDEX(Règles_caprins[Valeur 3-6],MATCH(ChoixRationCaprins&amp;$BX177,Règles_caprins[Ration]&amp;Règles_caprins[Aliment],0)),0),0)*chevrette_3_6_mois*NbreJoursNourrirCaprins)</f>
        <v>0</v>
      </c>
      <c r="CB177" s="350">
        <f t="array" ref="CB177">IF(ChoixRationComplèteCaprins=OUI,0,IFERROR(IF(OR(AND(INDEX(Règles_caprins[Specificite],MATCH(ChoixRationCaprins&amp;$BX177,Règles_caprins[Ration]&amp;Règles_caprins[Aliment],0))="s1",IF($BX177=Spécificité1Caprins,1)),
INDEX(Règles_caprins[Specificite],MATCH(ChoixRationCaprins&amp;$BX177,Règles_caprins[Ration]&amp;Règles_caprins[Aliment],0))="c"),
INDEX(Règles_caprins[Valeur 0-3],MATCH(ChoixRationCaprins&amp;$BX177,Règles_caprins[Ration]&amp;Règles_caprins[Aliment],0)),0),0)*chevrette_0_3_mois*NbreJoursNourrirCaprins)</f>
        <v>0</v>
      </c>
      <c r="CC177" s="350">
        <f t="shared" si="50"/>
        <v>0</v>
      </c>
      <c r="CH177" s="298"/>
      <c r="CI177" s="277"/>
      <c r="CJ177" s="350"/>
      <c r="CK177" s="351"/>
      <c r="CL177" s="351"/>
      <c r="CM177" s="351"/>
      <c r="CN177" s="277"/>
      <c r="CO177" s="277"/>
      <c r="CP177" s="277"/>
      <c r="CS177" s="350" t="str">
        <f t="shared" si="59"/>
        <v>Pois</v>
      </c>
      <c r="CT177" s="351">
        <f t="array" ref="CT177">SUM((IF(QualitéAlimentsLapereauMâle_0_1_mois=BONNE,VLOOKUP("Pois",AlimentsRationLapinsMâles[],4,FALSE),0)+(IF(QualitéAlimentsLapereauFemelle_0_1_mois=BONNE,VLOOKUP("Pois",AlimentsRationLapinsFemelles[],4,FALSE),0)+(IF(QualitéAlimentsJeuneLapin=BONNE,VLOOKUP("Pois",AlimentsRationLapinsMâles[],3,FALSE),0)+(IF(QualitéAlimentsJeuneLapine=BONNE,VLOOKUP("Pois",AlimentsRationLapinsFemelles[],3,FALSE),0)+(IF(QualitéAlimentsLapin=BONNE,VLOOKUP("Pois",AlimentsRationLapinsMâles[],2,FALSE),0)+(IF(QualitéAlimentsLapine=BONNE,VLOOKUP("Pois",AlimentsRationLapinsFemelles[],2,FALSE),0))))))))</f>
        <v>0</v>
      </c>
      <c r="CU177" s="351">
        <f t="array" ref="CU177">SUM((IF(QualitéAlimentsLapereauMâle_0_1_mois=MOYENNE,VLOOKUP("Pois",AlimentsRationLapinsMâles[],4,FALSE),0)+(IF(QualitéAlimentsLapereauFemelle_0_1_mois=MOYENNE,VLOOKUP("Pois",AlimentsRationLapinsFemelles[],4,FALSE),0)+(IF(QualitéAlimentsJeuneLapin=MOYENNE,VLOOKUP("Pois",AlimentsRationLapinsMâles[],3,FALSE),0)+(IF(QualitéAlimentsJeuneLapine=MOYENNE,VLOOKUP("Pois",AlimentsRationLapinsFemelles[],3,FALSE),0)+(IF(QualitéAlimentsLapin=MOYENNE,VLOOKUP("Pois",AlimentsRationLapinsMâles[],2,FALSE),0)+(IF(QualitéAlimentsLapine=MOYENNE,VLOOKUP("Pois",AlimentsRationLapinsFemelles[],2,FALSE),0))))))))</f>
        <v>0</v>
      </c>
      <c r="CV177" s="351">
        <f t="array" ref="CV177">SUM((IF(QualitéAlimentsLapereauMâle_0_1_mois=MAUVAISE,VLOOKUP("Pois",AlimentsRationLapinsMâles[],4,FALSE),0)+(IF(QualitéAlimentsLapereauFemelle_0_1_mois=MAUVAISE,VLOOKUP("Pois",AlimentsRationLapinsFemelles[],4,FALSE),0)+(IF(QualitéAlimentsJeuneLapin=MAUVAISE,VLOOKUP("Pois",AlimentsRationLapinsMâles[],3,FALSE),0)+(IF(QualitéAlimentsJeuneLapine=MAUVAISE,VLOOKUP("Pois",AlimentsRationLapinsFemelles[],3,FALSE),0)+(IF(QualitéAlimentsLapin=MAUVAISE,VLOOKUP("Pois",AlimentsRationLapinsMâles[],2,FALSE),0)+(IF(QualitéAlimentsLapine=MAUVAISE,VLOOKUP("Pois",AlimentsRationLapinsFemelles[],2,FALSE),0))))))))</f>
        <v>0</v>
      </c>
      <c r="CZ177" s="350" t="str">
        <f t="shared" si="58"/>
        <v>Pomme de terre</v>
      </c>
      <c r="DA177" s="351">
        <f t="array" ref="DA177">SUM((IF(QualitéAlimentsPoussinMâle_0_1_mois=BONNE,VLOOKUP("Pomme de terre",AlimentsRationVolaillesMâles[],4,FALSE),0)+(IF(QualitéAlimentsPoussinFemelle_0_1_mois=BONNE,VLOOKUP("Pomme de terre",AlimentsRationVolaillesFemelles[],4,FALSE),0)+(IF(QualitéAlimentsJeuneCoq=BONNE,VLOOKUP("Pomme de terre",AlimentsRationVolaillesMâles[],3,FALSE),0)+(IF(QualitéAlimentsJeunePoule=BONNE,VLOOKUP("Pomme de terre",AlimentsRationVolaillesFemelles[],3,FALSE),0)+(IF(QualitéAlimentsCoq=BONNE,VLOOKUP("Pomme de terre",AlimentsRationVolaillesMâles[],2,FALSE),0)+(IF(QualitéAlimentsPoule=BONNE,VLOOKUP("Pomme de terre",AlimentsRationVolaillesFemelles[],2,FALSE),0))))))))</f>
        <v>0</v>
      </c>
      <c r="DB177" s="351">
        <f t="array" ref="DB177">SUM((IF(QualitéAlimentsPoussinMâle_0_1_mois=MOYENNE,VLOOKUP("Pomme de terre",AlimentsRationVolaillesMâles[],4,FALSE),0)+(IF(QualitéAlimentsPoussinFemelle_0_1_mois=MOYENNE,VLOOKUP("Pomme de terre",AlimentsRationVolaillesFemelles[],4,FALSE),0)+(IF(QualitéAlimentsJeuneCoq=MOYENNE,VLOOKUP("Pomme de terre",AlimentsRationVolaillesMâles[],3,FALSE),0)+(IF(QualitéAlimentsJeunePoule=MOYENNE,VLOOKUP("Pomme de terre",AlimentsRationVolaillesFemelles[],3,FALSE),0)+(IF(QualitéAlimentsCoq=MOYENNE,VLOOKUP("Pomme de terre",AlimentsRationVolaillesMâles[],2,FALSE),0)+(IF(QualitéAlimentsPoule=MOYENNE,VLOOKUP("Pomme de terre",AlimentsRationVolaillesFemelles[],2,FALSE),0))))))))</f>
        <v>0</v>
      </c>
      <c r="DC177" s="351">
        <f t="array" ref="DC177">SUM((IF(QualitéAlimentsPoussinMâle_0_1_mois=MAUVAISE,VLOOKUP("Pomme de terre",AlimentsRationVolaillesMâles[],4,FALSE),0)+(IF(QualitéAlimentsPoussinFemelle_0_1_mois=MAUVAISE,VLOOKUP("Pomme de terre",AlimentsRationVolaillesFemelles[],4,FALSE),0)+(IF(QualitéAlimentsJeuneCoq=MAUVAISE,VLOOKUP("Pomme de terre",AlimentsRationVolaillesMâles[],3,FALSE),0)+(IF(QualitéAlimentsJeunePoule=MAUVAISE,VLOOKUP("Pomme de terre",AlimentsRationVolaillesFemelles[],3,FALSE),0)+(IF(QualitéAlimentsCoq=MAUVAISE,VLOOKUP("Pomme de terre",AlimentsRationVolaillesMâles[],2,FALSE),0)+(IF(QualitéAlimentsPoule=MAUVAISE,VLOOKUP("Pomme de terre",AlimentsRationVolaillesFemelles[],2,FALSE),0))))))))</f>
        <v>0</v>
      </c>
      <c r="DG177" s="350">
        <f t="shared" si="52"/>
        <v>0</v>
      </c>
      <c r="DH177" s="351"/>
      <c r="DI177" s="351"/>
      <c r="DJ177" s="351"/>
      <c r="DN177" s="350" t="s">
        <v>57</v>
      </c>
      <c r="DO177" s="351">
        <f t="array" ref="DO177">IF(ChoixRationComplèteOvins=OUI,0,IFERROR(IF(OR(AND(INDEX(Règles_ovins[Specificite],MATCH(ChoixRationOvins&amp;$DN177,Règles_ovins[Ration]&amp;Règles_ovins[Aliment],0))="s1",IF($DN177=Spécificité1Ovins,1)),
AND(INDEX(Règles_ovins[Specificite],MATCH(ChoixRationOvins&amp;$DN177,Règles_ovins[Ration]&amp;Règles_ovins[Aliment],0))="s2",IF($DN177=Spécificité2Ovins,1)),
INDEX(Règles_ovins[Specificite],MATCH(ChoixRationOvins&amp;$DN177,Règles_ovins[Ration]&amp;Règles_ovins[Aliment],0))="c"),
INDEX(Règles_ovins[Valeur 12 et plus],MATCH(ChoixRationOvins&amp;$DN177,Règles_ovins[Ration]&amp;Règles_ovins[Aliment],0)),0),0)*IF(ChoixOvinsPréHiver=OUI,SUM(TotalOvinsAdultesRacesLaitières)*NbreJoursNourrirOvins,TotalBéliers*NbreJoursNourrirOvins))</f>
        <v>0</v>
      </c>
      <c r="DP177" s="351">
        <f t="array" ref="DP177">IF(ChoixRationComplèteOvins=OUI,0,IFERROR(IF(OR(AND(INDEX(Règles_ovins[Specificite],MATCH(ChoixRationOvins&amp;$DN177,Règles_ovins[Ration]&amp;Règles_ovins[Aliment],0))="s1",IF($DN177=Spécificité1Ovins,1)),
AND(INDEX(Règles_ovins[Specificite],MATCH(ChoixRationOvins&amp;$DN177,Règles_ovins[Ration]&amp;Règles_ovins[Aliment],0))="s2",IF($DN177=Spécificité2Ovins,1)),
INDEX(Règles_ovins[Specificite],MATCH(ChoixRationOvins&amp;$DN177,Règles_ovins[Ration]&amp;Règles_ovins[Aliment],0))="c"),
INDEX(Règles_ovins[Valeur 6-12],MATCH(ChoixRationOvins&amp;$DN177,Règles_ovins[Ration]&amp;Règles_ovins[Aliment],0)),0),0)*IF(ChoixOvinsPréHiver=OUI,SUM(TotalJeunesOvinsRacesLaitières)*NbreJoursNourrirOvins,TotalJeune_bélier_6_12_mois*NbreJoursNourrirOvins))</f>
        <v>0</v>
      </c>
      <c r="DQ177" s="351">
        <f t="array" ref="DQ177">IF(ChoixRationComplèteOvins=OUI,0,IFERROR(IF(OR(AND(INDEX(Règles_ovins[Specificite],MATCH(ChoixRationOvins&amp;$DN177,Règles_ovins[Ration]&amp;Règles_ovins[Aliment],0))="s1",IF($DN177=Spécificité1Ovins,1)),
AND(INDEX(Règles_ovins[Specificite],MATCH(ChoixRationOvins&amp;$DN177,Règles_ovins[Ration]&amp;Règles_ovins[Aliment],0))="s2",IF($DN177=Spécificité2Ovins,1)),
INDEX(Règles_ovins[Specificite],MATCH(ChoixRationOvins&amp;$DN177,Règles_ovins[Ration]&amp;Règles_ovins[Aliment],0))="c"),
INDEX(Règles_ovins[Valeur 3-6],MATCH(ChoixRationOvins&amp;$DN177,Règles_ovins[Ration]&amp;Règles_ovins[Aliment],0)),0),0)*IF(ChoixOvinsPréHiver=OUI,SUM(TotalOvins_3_6moisRacesLaitières)*NbreJoursNourrirOvins,TotalAgneau_3_6_mois*NbreJoursNourrirOvins))</f>
        <v>0</v>
      </c>
      <c r="DR177" s="351">
        <f t="array" ref="DR177">IF(ChoixRationComplèteOvins=OUI,0,IFERROR(IF(OR(AND(INDEX(Règles_ovins[Specificite],MATCH(ChoixRationOvins&amp;$DN177,Règles_ovins[Ration]&amp;Règles_ovins[Aliment],0))="s1",IF($DN177=Spécificité1Ovins,1)),
AND(INDEX(Règles_ovins[Specificite],MATCH(ChoixRationOvins&amp;$DN177,Règles_ovins[Ration]&amp;Règles_ovins[Aliment],0))="s2",IF($DN177=Spécificité2Ovins,1)),
INDEX(Règles_ovins[Specificite],MATCH(ChoixRationOvins&amp;$DN177,Règles_ovins[Ration]&amp;Règles_ovins[Aliment],0))="c"),
INDEX(Règles_ovins[Valeur 0-3],MATCH(ChoixRationOvins&amp;$DN177,Règles_ovins[Ration]&amp;Règles_ovins[Aliment],0)),0),0)*IF(ChoixOvinsPréHiver=OUI,SUM(TotalOvins_3_6moisRacesLaitières)*NbreJoursNourrirOvins,TotalAgneau_0_3_mois*NbreJoursNourrirOvins))</f>
        <v>0</v>
      </c>
      <c r="DS177" s="441">
        <f t="shared" si="55"/>
        <v>0</v>
      </c>
      <c r="EG177" s="350" t="str">
        <f t="shared" si="57"/>
        <v>Soja</v>
      </c>
      <c r="EH177" s="351">
        <f t="array" ref="EH177">SUM((IF(QualitéAlimentsOisonMâle_0_3_mois=BONNE,VLOOKUP("Soja",AlimentsRationOiesMâles[],4,FALSE),0)+(IF(QualitéAlimentsOisonFemelle_0_3_mois=BONNE,VLOOKUP("Soja",AlimentsRationOiesFemelles[],4,FALSE),0)+(IF(QualitéAlimentsJeuneJars=BONNE,VLOOKUP("Soja",AlimentsRationOiesMâles[],3,FALSE),0)+(IF(QualitéAlimentsJeuneOie=BONNE,VLOOKUP("Soja",AlimentsRationOiesFemelles[],3,FALSE),0)+(IF(QualitéAlimentsJars=BONNE,VLOOKUP("Soja",AlimentsRationOiesMâles[],2,FALSE),0)+(IF(QualitéAlimentsOie=BONNE,VLOOKUP("Soja",AlimentsRationOiesFemelles[],2,FALSE),0))))))))</f>
        <v>0</v>
      </c>
      <c r="EI177" s="351">
        <f t="array" ref="EI177">SUM((IF(QualitéAlimentsOisonMâle_0_3_mois=MOYENNE,VLOOKUP("Soja",AlimentsRationOiesMâles[],4,FALSE),0)+(IF(QualitéAlimentsOisonFemelle_0_3_mois=MOYENNE,VLOOKUP("Soja",AlimentsRationOiesFemelles[],4,FALSE),0)+(IF(QualitéAlimentsJeuneJars=MOYENNE,VLOOKUP("Soja",AlimentsRationOiesMâles[],3,FALSE),0)+(IF(QualitéAlimentsJeuneOie=MOYENNE,VLOOKUP("Soja",AlimentsRationOiesFemelles[],3,FALSE),0)+(IF(QualitéAlimentsJars=MOYENNE,VLOOKUP("Soja",AlimentsRationOiesMâles[],2,FALSE),0)+(IF(QualitéAlimentsOie=MOYENNE,VLOOKUP("Soja",AlimentsRationOiesFemelles[],2,FALSE),0))))))))</f>
        <v>0</v>
      </c>
      <c r="EJ177" s="351">
        <f t="array" ref="EJ177">SUM((IF(QualitéAlimentsOisonMâle_0_3_mois=MAUVAISE,VLOOKUP("Soja",AlimentsRationOiesMâles[],4,FALSE),0)+(IF(QualitéAlimentsOisonFemelle_0_3_mois=MAUVAISE,VLOOKUP("Soja",AlimentsRationOiesFemelles[],4,FALSE),0)+(IF(QualitéAlimentsJeuneJars=MAUVAISE,VLOOKUP("Soja",AlimentsRationOiesMâles[],3,FALSE),0)+(IF(QualitéAlimentsJeuneOie=MAUVAISE,VLOOKUP("Soja",AlimentsRationOiesFemelles[],3,FALSE),0)+(IF(QualitéAlimentsJars=MAUVAISE,VLOOKUP("Soja",AlimentsRationOiesMâles[],2,FALSE),0)+(IF(QualitéAlimentsOie=MAUVAISE,VLOOKUP("Soja",AlimentsRationOiesFemelles[],2,FALSE),0))))))))</f>
        <v>0</v>
      </c>
      <c r="EN177" s="457" t="str">
        <f t="shared" si="56"/>
        <v>Sorgho ensilé</v>
      </c>
      <c r="EO177" s="458">
        <f t="array" ref="EO177">SUM((IF(QualitéAlimentsCanetonMâle=BONNE,VLOOKUP("Sorho ensilé",AlimentsRationCanardsMâles,4,FALSE),0)+(IF(QualitéAlimentsCanetonFemelle=BONNE,VLOOKUP("Sorho ensilé",AlimentsRationCanardsFemelles,4,FALSE),0)+(IF(QualitéAlimentsJeuneCanard=BONNE,VLOOKUP("Sorho ensilé",AlimentsRationCanardsMâles,3,FALSE),0)+(IF(QualitéAlimentsJeuneCane=BONNE,VLOOKUP("Sorho ensilé",AlimentsRationCanardsFemelles,3,FALSE),0)+(IF(QualitéAlimentsCanard=BONNE,VLOOKUP("Sorho ensilé",AlimentsRationCanardsMâles,2,FALSE),0)+(IF(QualitéAlimentsCane=BONNE,VLOOKUP("Sorho ensilé",AlimentsRationCanardsFemelles,2,FALSE),0))))))))</f>
        <v>0</v>
      </c>
      <c r="EP177" s="458">
        <f t="array" ref="EP177">SUM((IF(QualitéAlimentsCanetonMâle=MOYENNE,VLOOKUP("Sorho ensilé",AlimentsRationCanardsMâles,4,FALSE),0)+(IF(QualitéAlimentsCanetonFemelle=MOYENNE,VLOOKUP("Sorho ensilé",AlimentsRationCanardsFemelles,4,FALSE),0)+(IF(QualitéAlimentsJeuneCanard=MOYENNE,VLOOKUP("Sorho ensilé",AlimentsRationCanardsMâles,3,FALSE),0)+(IF(QualitéAlimentsJeuneCane=MOYENNE,VLOOKUP("Sorho ensilé",AlimentsRationCanardsFemelles,3,FALSE),0)+(IF(QualitéAlimentsCanard=MOYENNE,VLOOKUP("Sorho ensilé",AlimentsRationCanardsMâles,2,FALSE),0)+(IF(QualitéAlimentsCane=MOYENNE,VLOOKUP("Sorho ensilé",AlimentsRationCanardsFemelles,2,FALSE),0))))))))</f>
        <v>0</v>
      </c>
      <c r="EQ177" s="458">
        <f t="array" ref="EQ177">SUM((IF(QualitéAlimentsCanetonMâle=MAUVAISE,VLOOKUP("Sorho ensilé",AlimentsRationCanardsMâles,4,FALSE),0)+(IF(QualitéAlimentsCanetonFemelle=MAUVAISE,VLOOKUP("Sorho ensilé",AlimentsRationCanardsFemelles,4,FALSE),0)+(IF(QualitéAlimentsJeuneCanard=MAUVAISE,VLOOKUP("Sorho ensilé",AlimentsRationCanardsMâles,3,FALSE),0)+(IF(QualitéAlimentsJeuneCane=MAUVAISE,VLOOKUP("Sorho ensilé",AlimentsRationCanardsFemelles,3,FALSE),0)+(IF(QualitéAlimentsCanard=MAUVAISE,VLOOKUP("Sorho ensilé",AlimentsRationCanardsMâles,2,FALSE),0)+(IF(QualitéAlimentsCane=MAUVAISE,VLOOKUP("Sorho ensilé",AlimentsRationCanardsFemelles,2,FALSE),0))))))))</f>
        <v>0</v>
      </c>
      <c r="EU177" s="457" t="str">
        <f t="shared" si="54"/>
        <v>Tournesol</v>
      </c>
      <c r="EV177" s="458">
        <f t="array" ref="EV177">IF(OR(ChoixRationHivernaleComplèteChevauxSelle=OUI,ChoixRationHivernaleComplèteChevauxSelle="",ChoixChevauxSellePréHiver=NON),0,IFERROR(IF(OR(AND(INDEX(Règles_chevaux_selle[Specificite],MATCH(RationHivernaleAuPréChevauxSelle&amp;$EU177,Règles_chevaux_selle[Ration]&amp;Règles_chevaux_selle[Aliment],0))="s1",IF($EU177=Spécificité1ChevauxSelle,1)),
AND(INDEX(Règles_chevaux_selle[Specificite],MATCH(RationHivernaleAuPréChevauxSelle&amp;$EU177,Règles_chevaux_selle[Ration]&amp;Règles_chevaux_selle[Aliment],0))="s2",IF($EU177=Spécificité2ChevauxSelle,1)),
INDEX(Règles_chevaux_selle[Specificite],MATCH(RationHivernaleAuPréChevauxSelle&amp;$EU177,Règles_chevaux_selle[Ration]&amp;Règles_chevaux_selle[Aliment],0))="c"),
INDEX(Règles_chevaux_selle[Valeur 36 et plus],MATCH(RationHivernaleAuPréChevauxSelle&amp;$EU177,Règles_chevaux_selle[Ration]&amp;Règles_chevaux_selle[Aliment],0)),0),0)*SUM(TotalChevauxSelleAdultes)*21)</f>
        <v>0</v>
      </c>
      <c r="EW177" s="458">
        <f t="array" ref="EW177">IF(OR(ChoixRationHivernaleComplèteChevauxSelle=OUI,ChoixRationHivernaleComplèteChevauxSelle="",ChoixChevauxSellePréHiver=NON),0,IFERROR(IF(OR(AND(INDEX(Règles_chevaux_selle[Specificite],MATCH(RationHivernaleAuPréChevauxSelle&amp;$EU177,Règles_chevaux_selle[Ration]&amp;Règles_chevaux_selle[Aliment],0))="s1",IF($EU177=Spécificité1ChevauxSelle,1)),
AND(INDEX(Règles_chevaux_selle[Specificite],MATCH(RationHivernaleAuPréChevauxSelle&amp;$EU177,Règles_chevaux_selle[Ration]&amp;Règles_chevaux_selle[Aliment],0))="s2",IF($EU177=Spécificité2ChevauxSelle,1)),
INDEX(Règles_chevaux_selle[Specificite],MATCH(RationHivernaleAuPréChevauxSelle&amp;$EU177,Règles_chevaux_selle[Ration]&amp;Règles_chevaux_selle[Aliment],0))="c"),
INDEX(Règles_chevaux_selle[Valeur 24-36],MATCH(RationHivernaleAuPréChevauxSelle&amp;$EU177,Règles_chevaux_selle[Ration]&amp;Règles_chevaux_selle[Aliment],0)),0),0)*SUM(TotalChevauxSelle_24_36mois)*21)</f>
        <v>0</v>
      </c>
      <c r="EX177" s="458">
        <f t="array" ref="EX177">IF(OR(ChoixRationHivernaleComplèteChevauxSelle=OUI,ChoixRationHivernaleComplèteChevauxSelle="",ChoixChevauxSellePréHiver=NON),0,IFERROR(IF(OR(AND(INDEX(Règles_chevaux_selle[Specificite],MATCH(RationHivernaleAuPréChevauxSelle&amp;$EU177,Règles_chevaux_selle[Ration]&amp;Règles_chevaux_selle[Aliment],0))="s1",IF($EU177=Spécificité1ChevauxSelle,1)),
AND(INDEX(Règles_chevaux_selle[Specificite],MATCH(RationHivernaleAuPréChevauxSelle&amp;$EU177,Règles_chevaux_selle[Ration]&amp;Règles_chevaux_selle[Aliment],0))="s2",IF($EU177=Spécificité2ChevauxSelle,1)),
INDEX(Règles_chevaux_selle[Specificite],MATCH(RationHivernaleAuPréChevauxSelle&amp;$EU177,Règles_chevaux_selle[Ration]&amp;Règles_chevaux_selle[Aliment],0))="c"),
INDEX(Règles_chevaux_selle[Valeur 12-24],MATCH(RationHivernaleAuPréChevauxSelle&amp;$EU177,Règles_chevaux_selle[Ration]&amp;Règles_chevaux_selle[Aliment],0)),0),0)*SUM(TotalChevauxSelle_12_24mois)*21)</f>
        <v>0</v>
      </c>
      <c r="EY177" s="460">
        <f t="array" ref="EY177">IF(OR(ChoixRationHivernaleComplèteChevauxSelle=OUI,ChoixRationHivernaleComplèteChevauxSelle="",ChoixChevauxSellePréHiver=NON),0,IFERROR(IF(OR(AND(INDEX(Règles_chevaux_selle[Specificite],MATCH(RationHivernaleAuPréChevauxSelle&amp;$EU177,Règles_chevaux_selle[Ration]&amp;Règles_chevaux_selle[Aliment],0))="s1",IF($EU177=Spécificité1ChevauxSelle,1)),
AND(INDEX(Règles_chevaux_selle[Specificite],MATCH(RationHivernaleAuPréChevauxSelle&amp;$EU177,Règles_chevaux_selle[Ration]&amp;Règles_chevaux_selle[Aliment],0))="s2",IF($EU177=Spécificité2ChevauxSelle,1)),
INDEX(Règles_chevaux_selle[Specificite],MATCH(RationHivernaleAuPréChevauxSelle&amp;$EU177,Règles_chevaux_selle[Ration]&amp;Règles_chevaux_selle[Aliment],0))="c"),
INDEX(Règles_chevaux_selle[Valeur 0-12],MATCH(RationHivernaleAuPréChevauxSelle&amp;$EU177,Règles_chevaux_selle[Ration]&amp;Règles_chevaux_selle[Aliment],0)),0),0)*SUM(TotalPoulainsSelle)*21)</f>
        <v>0</v>
      </c>
      <c r="EZ177" s="460">
        <f t="shared" si="53"/>
        <v>0</v>
      </c>
      <c r="FD177" s="457">
        <f t="shared" si="49"/>
        <v>0</v>
      </c>
      <c r="FE177" s="458">
        <f t="array" ref="FE177">IF(OR(ChoixRationHivernaleComplèteChevauxTrait=OUI,ChoixRationHivernaleComplèteChevauxTrait="",ChoixChevauxTraitPréHiver=NON),0,IFERROR(IF(OR(AND(INDEX(Règles_chevaux_trait[Specificite],MATCH(RationHivernaleAuPréChevauxTrait&amp;$FD177,Règles_chevaux_trait[Ration]&amp;Règles_chevaux_trait[Aliment],0))="s1",IF($FD177=Spécificité1ChevauxTrait,1)),
AND(INDEX(Règles_chevaux_trait[Specificite],MATCH(RationHivernaleAuPréChevauxTrait&amp;$FD177,Règles_chevaux_trait[Ration]&amp;Règles_chevaux_trait[Aliment],0))="s2",IF($FD177=Spécificité2ChevauxTrait,1)),
INDEX(Règles_chevaux_trait[Specificite],MATCH(RationHivernaleAuPréChevauxTrait&amp;$FD177,Règles_chevaux_trait[Ration]&amp;Règles_chevaux_trait[Aliment],0))="c"),
INDEX(Règles_chevaux_trait[Valeur 36 et plus],MATCH(RationHivernaleAuPréChevauxTrait&amp;$FD177,Règles_chevaux_trait[Ration]&amp;Règles_chevaux_trait[Aliment],0)),0),0)*SUM(TotalChevauxTraitAdultes)*21)</f>
        <v>0</v>
      </c>
      <c r="FF177" s="458">
        <f t="array" ref="FF177">IF(OR(ChoixRationHivernaleComplèteChevauxTrait=OUI,ChoixRationHivernaleComplèteChevauxTrait="",ChoixChevauxTraitPréHiver=NON),0,IFERROR(IF(OR(AND(INDEX(Règles_chevaux_trait[Specificite],MATCH(RationHivernaleAuPréChevauxTrait&amp;$FD177,Règles_chevaux_trait[Ration]&amp;Règles_chevaux_trait[Aliment],0))="s1",IF($FD177=Spécificité1ChevauxTrait,1)),
AND(INDEX(Règles_chevaux_trait[Specificite],MATCH(RationHivernaleAuPréChevauxTrait&amp;$FD177,Règles_chevaux_trait[Ration]&amp;Règles_chevaux_trait[Aliment],0))="s2",IF($FD177=Spécificité2ChevauxTrait,1)),
INDEX(Règles_chevaux_trait[Specificite],MATCH(RationHivernaleAuPréChevauxTrait&amp;$FD177,Règles_chevaux_trait[Ration]&amp;Règles_chevaux_trait[Aliment],0))="c"),
INDEX(Règles_chevaux_trait[Valeur 24-36],MATCH(RationHivernaleAuPréChevauxTrait&amp;$FD177,Règles_chevaux_trait[Ration]&amp;Règles_chevaux_trait[Aliment],0)),0),0)*SUM(TotalChevauxTrait_24_36mois)*21)</f>
        <v>0</v>
      </c>
      <c r="FG177" s="458">
        <f t="array" ref="FG177">IF(OR(ChoixRationHivernaleComplèteChevauxTrait=OUI,ChoixRationHivernaleComplèteChevauxTrait="",ChoixChevauxTraitPréHiver=NON),0,IFERROR(IF(OR(AND(INDEX(Règles_chevaux_trait[Specificite],MATCH(RationHivernaleAuPréChevauxTrait&amp;$FD177,Règles_chevaux_trait[Ration]&amp;Règles_chevaux_trait[Aliment],0))="s1",IF($FD177=Spécificité1ChevauxTrait,1)),
AND(INDEX(Règles_chevaux_trait[Specificite],MATCH(RationHivernaleAuPréChevauxTrait&amp;$FD177,Règles_chevaux_trait[Ration]&amp;Règles_chevaux_trait[Aliment],0))="s2",IF($FD177=Spécificité2ChevauxTrait,1)),
INDEX(Règles_chevaux_trait[Specificite],MATCH(RationHivernaleAuPréChevauxTrait&amp;$FD177,Règles_chevaux_trait[Ration]&amp;Règles_chevaux_trait[Aliment],0))="c"),
INDEX(Règles_chevaux_trait[Valeur 12-24],MATCH(RationHivernaleAuPréChevauxTrait&amp;$FD177,Règles_chevaux_trait[Ration]&amp;Règles_chevaux_trait[Aliment],0)),0),0)*SUM(TotalChevauxTrait_12_24mois)*21)</f>
        <v>0</v>
      </c>
      <c r="FH177" s="460">
        <f t="array" ref="FH177">IF(OR(ChoixRationHivernaleComplèteChevauxTrait=OUI,ChoixRationHivernaleComplèteChevauxTrait="",ChoixChevauxTraitPréHiver=NON),0,IFERROR(IF(OR(AND(INDEX(Règles_chevaux_trait[Specificite],MATCH(RationHivernaleAuPréChevauxTrait&amp;$FD177,Règles_chevaux_trait[Ration]&amp;Règles_chevaux_trait[Aliment],0))="s1",IF($FD177=Spécificité1ChevauxTrait,1)),
AND(INDEX(Règles_chevaux_trait[Specificite],MATCH(RationHivernaleAuPréChevauxTrait&amp;$FD177,Règles_chevaux_trait[Ration]&amp;Règles_chevaux_trait[Aliment],0))="s2",IF($FD177=Spécificité2ChevauxTrait,1)),
INDEX(Règles_chevaux_trait[Specificite],MATCH(RationHivernaleAuPréChevauxTrait&amp;$FD177,Règles_chevaux_trait[Ration]&amp;Règles_chevaux_trait[Aliment],0))="c"),
INDEX(Règles_chevaux_trait[Valeur 0-12],MATCH(RationHivernaleAuPréChevauxTrait&amp;$FD177,Règles_chevaux_trait[Ration]&amp;Règles_chevaux_trait[Aliment],0)),0),0)*SUM(TotalPoulainsTrait)*21)</f>
        <v>0</v>
      </c>
      <c r="FI177" s="460">
        <f t="shared" si="47"/>
        <v>0</v>
      </c>
      <c r="FN177" s="457">
        <f t="shared" si="48"/>
        <v>0</v>
      </c>
      <c r="FO177" s="458">
        <f t="array" ref="FO177">IF(OR(ChoixRationHivernaleComplètePoneys=OUI,ChoixRationHivernaleComplètePoneys="",ChoixPoneysPréHiver=NON),0,IFERROR(IF(OR(AND(INDEX(Règles_poneys[Specificite],MATCH(RationHivernaleAuPréPoneys&amp;$FN177,Règles_poneys[Ration]&amp;Règles_poneys[Aliment],0))="s1",IF($FN177=Spécificité1Poneys,1)),
AND(INDEX(Règles_poneys[Specificite],MATCH(RationHivernaleAuPréPoneys&amp;$FN177,Règles_poneys[Ration]&amp;Règles_poneys[Aliment],0))="s2",IF($FN177=Spécificité2Poneys,1)),
INDEX(Règles_poneys[Specificite],MATCH(RationHivernaleAuPréPoneys&amp;$FN177,Règles_poneys[Ration]&amp;Règles_poneys[Aliment],0))="c"),
INDEX(Règles_poneys[Valeur 36 et plus],MATCH(RationHivernaleAuPréPoneys&amp;$FN177,Règles_poneys[Ration]&amp;Règles_poneys[Aliment],0)),0),0)*SUM(TotalPoneysAdultes)*21)</f>
        <v>0</v>
      </c>
      <c r="FP177" s="458">
        <f t="array" ref="FP177">IF(OR(ChoixRationHivernaleComplètePoneys=OUI,ChoixRationHivernaleComplètePoneys="",ChoixPoneysPréHiver=NON),0,IFERROR(IF(OR(AND(INDEX(Règles_poneys[Specificite],MATCH(RationHivernaleAuPréPoneys&amp;$FN177,Règles_poneys[Ration]&amp;Règles_poneys[Aliment],0))="s1",IF($FN177=Spécificité1Poneys,1)),
AND(INDEX(Règles_poneys[Specificite],MATCH(RationHivernaleAuPréPoneys&amp;$FN177,Règles_poneys[Ration]&amp;Règles_poneys[Aliment],0))="s2",IF($FN177=Spécificité2Poneys,1)),
INDEX(Règles_poneys[Specificite],MATCH(RationHivernaleAuPréPoneys&amp;$FN177,Règles_poneys[Ration]&amp;Règles_poneys[Aliment],0))="c"),
INDEX(Règles_poneys[Valeur 24-36],MATCH(RationHivernaleAuPréPoneys&amp;$FN177,Règles_poneys[Ration]&amp;Règles_poneys[Aliment],0)),0),0)*SUM(TotalPoneys_24_36mois)*21)</f>
        <v>0</v>
      </c>
      <c r="FQ177" s="458">
        <f t="array" ref="FQ177">IF(OR(ChoixRationHivernaleComplètePoneys=OUI,ChoixRationHivernaleComplètePoneys="",ChoixPoneysPréHiver=NON),0,IFERROR(IF(OR(AND(INDEX(Règles_poneys[Specificite],MATCH(RationHivernaleAuPréPoneys&amp;$FN177,Règles_poneys[Ration]&amp;Règles_poneys[Aliment],0))="s1",IF($FN177=Spécificité1Poneys,1)),
AND(INDEX(Règles_poneys[Specificite],MATCH(RationHivernaleAuPréPoneys&amp;$FN177,Règles_poneys[Ration]&amp;Règles_poneys[Aliment],0))="s2",IF($FN177=Spécificité2Poneys,1)),
INDEX(Règles_poneys[Specificite],MATCH(RationHivernaleAuPréPoneys&amp;$FN177,Règles_poneys[Ration]&amp;Règles_poneys[Aliment],0))="c"),
INDEX(Règles_poneys[Valeur 12-24],MATCH(RationHivernaleAuPréPoneys&amp;$FN177,Règles_poneys[Ration]&amp;Règles_poneys[Aliment],0)),0),0)*SUM(TotalPoneys_12_24mois)*21)</f>
        <v>0</v>
      </c>
      <c r="FR177" s="460">
        <f t="array" ref="FR177">IF(OR(ChoixRationHivernaleComplètePoneys=OUI,ChoixRationHivernaleComplètePoneys="",ChoixPoneysPréHiver=NON),0,IFERROR(IF(OR(AND(INDEX(Règles_poneys[Specificite],MATCH(RationHivernaleAuPréPoneys&amp;$FN177,Règles_poneys[Ration]&amp;Règles_poneys[Aliment],0))="s1",IF($FN177=Spécificité1Poneys,1)),
AND(INDEX(Règles_poneys[Specificite],MATCH(RationHivernaleAuPréPoneys&amp;$FN177,Règles_poneys[Ration]&amp;Règles_poneys[Aliment],0))="s2",IF($FN177=Spécificité2Poneys,1)),
INDEX(Règles_poneys[Specificite],MATCH(RationHivernaleAuPréPoneys&amp;$FN177,Règles_poneys[Ration]&amp;Règles_poneys[Aliment],0))="c"),
INDEX(Règles_poneys[Valeur 0-12],MATCH(RationHivernaleAuPréPoneys&amp;$FN177,Règles_poneys[Ration]&amp;Règles_poneys[Aliment],0)),0),0)*SUM(TotalPoulainsPoneys)*21)</f>
        <v>0</v>
      </c>
      <c r="FS177" s="460">
        <f t="shared" si="46"/>
        <v>0</v>
      </c>
      <c r="FW177" s="281"/>
      <c r="FX177" s="281"/>
      <c r="FY177" s="281"/>
      <c r="FZ177" s="281"/>
      <c r="GB177" s="281"/>
      <c r="GG177" s="276" t="s">
        <v>955</v>
      </c>
      <c r="GH177" s="276" t="s">
        <v>955</v>
      </c>
      <c r="GI177" s="276" t="s">
        <v>955</v>
      </c>
      <c r="GJ177" s="276" t="s">
        <v>955</v>
      </c>
      <c r="GK177" s="276" t="s">
        <v>955</v>
      </c>
      <c r="GL177" s="276" t="s">
        <v>955</v>
      </c>
      <c r="GM177" s="276" t="s">
        <v>955</v>
      </c>
      <c r="GN177" s="276" t="s">
        <v>955</v>
      </c>
      <c r="GO177" s="276" t="s">
        <v>955</v>
      </c>
      <c r="GP177" s="276" t="s">
        <v>955</v>
      </c>
      <c r="GQ177" s="276" t="s">
        <v>955</v>
      </c>
      <c r="GR177" s="276" t="s">
        <v>955</v>
      </c>
      <c r="GS177" s="276" t="s">
        <v>955</v>
      </c>
      <c r="GT177" s="276" t="s">
        <v>955</v>
      </c>
      <c r="GU177" s="276" t="s">
        <v>955</v>
      </c>
      <c r="GV177" s="276" t="s">
        <v>955</v>
      </c>
    </row>
    <row r="178" spans="1:204" ht="12.75" customHeight="1" x14ac:dyDescent="0.2">
      <c r="A178" s="373"/>
      <c r="B178" s="382"/>
      <c r="BB178" s="387" t="s">
        <v>843</v>
      </c>
      <c r="BC178" s="362" t="s">
        <v>907</v>
      </c>
      <c r="BD178" s="362" t="s">
        <v>888</v>
      </c>
      <c r="BE178" s="388">
        <v>2.2000000000000002</v>
      </c>
      <c r="BF178" s="388">
        <v>1.8</v>
      </c>
      <c r="BG178" s="388">
        <v>1.4</v>
      </c>
      <c r="BH178" s="388">
        <v>1</v>
      </c>
      <c r="BI178" s="388">
        <v>0.8</v>
      </c>
      <c r="BJ178" s="388">
        <v>0.6</v>
      </c>
      <c r="BK178" s="389">
        <v>0</v>
      </c>
      <c r="BL178" s="276"/>
      <c r="BX178" s="350">
        <f t="shared" si="51"/>
        <v>0</v>
      </c>
      <c r="BY178" s="356">
        <f t="array" ref="BY178">IF(ChoixRationComplèteCaprins=OUI,0,IFERROR(IF(OR(AND(INDEX(Règles_caprins[Specificite],MATCH(ChoixRationCaprins&amp;$BX178,Règles_caprins[Ration]&amp;Règles_caprins[Aliment],0))="s1",IF($BX178=Spécificité1Caprins,1)),
INDEX(Règles_caprins[Specificite],MATCH(ChoixRationCaprins&amp;$BX178,Règles_caprins[Ration]&amp;Règles_caprins[Aliment],0))="c"),
INDEX(Règles_caprins[Valeur 12 et plus],MATCH(ChoixRationCaprins&amp;$BX178,Règles_caprins[Ration]&amp;Règles_caprins[Aliment],0)),0),0)*TotalChèvres*NbreJoursNourrirCaprins)</f>
        <v>0</v>
      </c>
      <c r="BZ178" s="356">
        <f t="array" ref="BZ178">IF(ChoixRationComplèteCaprins=OUI,0,IFERROR(IF(OR(AND(INDEX(Règles_caprins[Specificite],MATCH(ChoixRationCaprins&amp;$BX178,Règles_caprins[Ration]&amp;Règles_caprins[Aliment],0))="s1",IF($BX178=Spécificité1Caprins,1)),
INDEX(Règles_caprins[Specificite],MATCH(ChoixRationCaprins&amp;$BX178,Règles_caprins[Ration]&amp;Règles_caprins[Aliment],0))="c"),
INDEX(Règles_caprins[Valeur 6-12],MATCH(ChoixRationCaprins&amp;$BX178,Règles_caprins[Ration]&amp;Règles_caprins[Aliment],0)),0),0)*jeune_chèvre_6_12_mois*NbreJoursNourrirCaprins)</f>
        <v>0</v>
      </c>
      <c r="CA178" s="356">
        <f t="array" ref="CA178">IF(ChoixRationComplèteCaprins=OUI,0,IFERROR(IF(OR(AND(INDEX(Règles_caprins[Specificite],MATCH(ChoixRationCaprins&amp;$BX178,Règles_caprins[Ration]&amp;Règles_caprins[Aliment],0))="s1",IF($BX178=Spécificité1Caprins,1)),
INDEX(Règles_caprins[Specificite],MATCH(ChoixRationCaprins&amp;$BX178,Règles_caprins[Ration]&amp;Règles_caprins[Aliment],0))="c"),
INDEX(Règles_caprins[Valeur 3-6],MATCH(ChoixRationCaprins&amp;$BX178,Règles_caprins[Ration]&amp;Règles_caprins[Aliment],0)),0),0)*chevrette_3_6_mois*NbreJoursNourrirCaprins)</f>
        <v>0</v>
      </c>
      <c r="CB178" s="356">
        <f t="array" ref="CB178">IF(ChoixRationComplèteCaprins=OUI,0,IFERROR(IF(OR(AND(INDEX(Règles_caprins[Specificite],MATCH(ChoixRationCaprins&amp;$BX178,Règles_caprins[Ration]&amp;Règles_caprins[Aliment],0))="s1",IF($BX178=Spécificité1Caprins,1)),
INDEX(Règles_caprins[Specificite],MATCH(ChoixRationCaprins&amp;$BX178,Règles_caprins[Ration]&amp;Règles_caprins[Aliment],0))="c"),
INDEX(Règles_caprins[Valeur 0-3],MATCH(ChoixRationCaprins&amp;$BX178,Règles_caprins[Ration]&amp;Règles_caprins[Aliment],0)),0),0)*chevrette_0_3_mois*NbreJoursNourrirCaprins)</f>
        <v>0</v>
      </c>
      <c r="CC178" s="350">
        <f t="shared" si="50"/>
        <v>0</v>
      </c>
      <c r="CH178" s="298"/>
      <c r="CI178" s="277"/>
      <c r="CK178" s="277"/>
      <c r="CL178" s="277"/>
      <c r="CM178" s="277"/>
      <c r="CN178" s="277"/>
      <c r="CO178" s="277"/>
      <c r="CP178" s="277"/>
      <c r="CS178" s="350" t="str">
        <f t="shared" si="59"/>
        <v>Pomme de terre</v>
      </c>
      <c r="CT178" s="351">
        <f t="array" ref="CT178">SUM((IF(QualitéAlimentsLapereauMâle_0_1_mois=BONNE,VLOOKUP("Pomme de terre",AlimentsRationLapinsMâles[],4,FALSE),0)+(IF(QualitéAlimentsLapereauFemelle_0_1_mois=BONNE,VLOOKUP("Pomme de terre",AlimentsRationLapinsFemelles[],4,FALSE),0)+(IF(QualitéAlimentsJeuneLapin=BONNE,VLOOKUP("Pomme de terre",AlimentsRationLapinsMâles[],3,FALSE),0)+(IF(QualitéAlimentsJeuneLapine=BONNE,VLOOKUP("Pomme de terre",AlimentsRationLapinsFemelles[],3,FALSE),0)+(IF(QualitéAlimentsLapin=BONNE,VLOOKUP("Pomme de terre",AlimentsRationLapinsMâles[],2,FALSE),0)+(IF(QualitéAlimentsLapine=BONNE,VLOOKUP("Pomme de terre",AlimentsRationLapinsFemelles[],2,FALSE),0))))))))</f>
        <v>0</v>
      </c>
      <c r="CU178" s="351">
        <f t="array" ref="CU178">SUM((IF(QualitéAlimentsLapereauMâle_0_1_mois=MOYENNE,VLOOKUP("Pomme de terre",AlimentsRationLapinsMâles[],4,FALSE),0)+(IF(QualitéAlimentsLapereauFemelle_0_1_mois=MOYENNE,VLOOKUP("Pomme de terre",AlimentsRationLapinsFemelles[],4,FALSE),0)+(IF(QualitéAlimentsJeuneLapin=MOYENNE,VLOOKUP("Pomme de terre",AlimentsRationLapinsMâles[],3,FALSE),0)+(IF(QualitéAlimentsJeuneLapine=MOYENNE,VLOOKUP("Pomme de terre",AlimentsRationLapinsFemelles[],3,FALSE),0)+(IF(QualitéAlimentsLapin=MOYENNE,VLOOKUP("Pomme de terre",AlimentsRationLapinsMâles[],2,FALSE),0)+(IF(QualitéAlimentsLapine=MOYENNE,VLOOKUP("Pomme de terre",AlimentsRationLapinsFemelles[],2,FALSE),0))))))))</f>
        <v>0</v>
      </c>
      <c r="CV178" s="351">
        <f t="array" ref="CV178">SUM((IF(QualitéAlimentsLapereauMâle_0_1_mois=MAUVAISE,VLOOKUP("Pomme de terre",AlimentsRationLapinsMâles[],4,FALSE),0)+(IF(QualitéAlimentsLapereauFemelle_0_1_mois=MAUVAISE,VLOOKUP("Pomme de terre",AlimentsRationLapinsFemelles[],4,FALSE),0)+(IF(QualitéAlimentsJeuneLapin=MAUVAISE,VLOOKUP("Pomme de terre",AlimentsRationLapinsMâles[],3,FALSE),0)+(IF(QualitéAlimentsJeuneLapine=MAUVAISE,VLOOKUP("Pomme de terre",AlimentsRationLapinsFemelles[],3,FALSE),0)+(IF(QualitéAlimentsLapin=MAUVAISE,VLOOKUP("Pomme de terre",AlimentsRationLapinsMâles[],2,FALSE),0)+(IF(QualitéAlimentsLapine=MAUVAISE,VLOOKUP("Pomme de terre",AlimentsRationLapinsFemelles[],2,FALSE),0))))))))</f>
        <v>0</v>
      </c>
      <c r="CZ178" s="350" t="str">
        <f t="shared" si="58"/>
        <v>Pulpe déshydratée de betterave</v>
      </c>
      <c r="DA178" s="351">
        <f t="array" ref="DA178">SUM((IF(QualitéAlimentsPoussinMâle_0_1_mois=BONNE,VLOOKUP("Pulpe déshydratée de betterave",AlimentsRationVolaillesMâles[],4,FALSE),0)+(IF(QualitéAlimentsPoussinFemelle_0_1_mois=BONNE,VLOOKUP("Pulpe déshydratée de betterave",AlimentsRationVolaillesFemelles[],4,FALSE),0)+(IF(QualitéAlimentsJeuneCoq=BONNE,VLOOKUP("Pulpe déshydratée de betterave",AlimentsRationVolaillesMâles[],3,FALSE),0)+(IF(QualitéAlimentsJeunePoule=BONNE,VLOOKUP("Pulpe déshydratée de betterave",AlimentsRationVolaillesFemelles[],3,FALSE),0)+(IF(QualitéAlimentsCoq=BONNE,VLOOKUP("Pulpe déshydratée de betterave",AlimentsRationVolaillesMâles[],2,FALSE),0)+(IF(QualitéAlimentsPoule=BONNE,VLOOKUP("Pulpe déshydratée de betterave",AlimentsRationVolaillesFemelles[],2,FALSE),0))))))))</f>
        <v>0</v>
      </c>
      <c r="DB178" s="351">
        <f t="array" ref="DB178">SUM((IF(QualitéAlimentsPoussinMâle_0_1_mois=MOYENNE,VLOOKUP("Pulpe déshydratée de betterave",AlimentsRationVolaillesMâles[],4,FALSE),0)+(IF(QualitéAlimentsPoussinFemelle_0_1_mois=MOYENNE,VLOOKUP("Pulpe déshydratée de betterave",AlimentsRationVolaillesFemelles[],4,FALSE),0)+(IF(QualitéAlimentsJeuneCoq=MOYENNE,VLOOKUP("Pulpe déshydratée de betterave",AlimentsRationVolaillesMâles[],3,FALSE),0)+(IF(QualitéAlimentsJeunePoule=MOYENNE,VLOOKUP("Pulpe déshydratée de betterave",AlimentsRationVolaillesFemelles[],3,FALSE),0)+(IF(QualitéAlimentsCoq=MOYENNE,VLOOKUP("Pulpe déshydratée de betterave",AlimentsRationVolaillesMâles[],2,FALSE),0)+(IF(QualitéAlimentsPoule=MOYENNE,VLOOKUP("Pulpe déshydratée de betterave",AlimentsRationVolaillesFemelles[],2,FALSE),0))))))))</f>
        <v>0</v>
      </c>
      <c r="DC178" s="351">
        <f t="array" ref="DC178">SUM((IF(QualitéAlimentsPoussinMâle_0_1_mois=MAUVAISE,VLOOKUP("Pulpe déshydratée de betterave",AlimentsRationVolaillesMâles[],4,FALSE),0)+(IF(QualitéAlimentsPoussinFemelle_0_1_mois=MAUVAISE,VLOOKUP("Pulpe déshydratée de betterave",AlimentsRationVolaillesFemelles[],4,FALSE),0)+(IF(QualitéAlimentsJeuneCoq=MAUVAISE,VLOOKUP("Pulpe déshydratée de betterave",AlimentsRationVolaillesMâles[],3,FALSE),0)+(IF(QualitéAlimentsJeunePoule=MAUVAISE,VLOOKUP("Pulpe déshydratée de betterave",AlimentsRationVolaillesFemelles[],3,FALSE),0)+(IF(QualitéAlimentsCoq=MAUVAISE,VLOOKUP("Pulpe déshydratée de betterave",AlimentsRationVolaillesMâles[],2,FALSE),0)+(IF(QualitéAlimentsPoule=MAUVAISE,VLOOKUP("Pulpe déshydratée de betterave",AlimentsRationVolaillesFemelles[],2,FALSE),0))))))))</f>
        <v>0</v>
      </c>
      <c r="DG178" s="350">
        <f t="shared" si="52"/>
        <v>0</v>
      </c>
      <c r="DH178" s="351"/>
      <c r="DI178" s="351"/>
      <c r="DJ178" s="351"/>
      <c r="DN178" s="350" t="s">
        <v>488</v>
      </c>
      <c r="DO178" s="351">
        <f t="array" ref="DO178">IF(ChoixRationComplèteOvins=OUI,0,IFERROR(IF(OR(AND(INDEX(Règles_ovins[Specificite],MATCH(ChoixRationOvins&amp;$DN178,Règles_ovins[Ration]&amp;Règles_ovins[Aliment],0))="s1",IF($DN178=Spécificité1Ovins,1)),
AND(INDEX(Règles_ovins[Specificite],MATCH(ChoixRationOvins&amp;$DN178,Règles_ovins[Ration]&amp;Règles_ovins[Aliment],0))="s2",IF($DN178=Spécificité2Ovins,1)),
INDEX(Règles_ovins[Specificite],MATCH(ChoixRationOvins&amp;$DN178,Règles_ovins[Ration]&amp;Règles_ovins[Aliment],0))="c"),
INDEX(Règles_ovins[Valeur 12 et plus],MATCH(ChoixRationOvins&amp;$DN178,Règles_ovins[Ration]&amp;Règles_ovins[Aliment],0)),0),0)*IF(ChoixOvinsPréHiver=OUI,SUM(TotalOvinsAdultesRacesLaitières)*NbreJoursNourrirOvins,TotalBéliers*NbreJoursNourrirOvins))</f>
        <v>0</v>
      </c>
      <c r="DP178" s="351">
        <f t="array" ref="DP178">IF(ChoixRationComplèteOvins=OUI,0,IFERROR(IF(OR(AND(INDEX(Règles_ovins[Specificite],MATCH(ChoixRationOvins&amp;$DN178,Règles_ovins[Ration]&amp;Règles_ovins[Aliment],0))="s1",IF($DN178=Spécificité1Ovins,1)),
AND(INDEX(Règles_ovins[Specificite],MATCH(ChoixRationOvins&amp;$DN178,Règles_ovins[Ration]&amp;Règles_ovins[Aliment],0))="s2",IF($DN178=Spécificité2Ovins,1)),
INDEX(Règles_ovins[Specificite],MATCH(ChoixRationOvins&amp;$DN178,Règles_ovins[Ration]&amp;Règles_ovins[Aliment],0))="c"),
INDEX(Règles_ovins[Valeur 6-12],MATCH(ChoixRationOvins&amp;$DN178,Règles_ovins[Ration]&amp;Règles_ovins[Aliment],0)),0),0)*IF(ChoixOvinsPréHiver=OUI,SUM(TotalJeunesOvinsRacesLaitières)*NbreJoursNourrirOvins,TotalJeune_bélier_6_12_mois*NbreJoursNourrirOvins))</f>
        <v>0</v>
      </c>
      <c r="DQ178" s="351">
        <f t="array" ref="DQ178">IF(ChoixRationComplèteOvins=OUI,0,IFERROR(IF(OR(AND(INDEX(Règles_ovins[Specificite],MATCH(ChoixRationOvins&amp;$DN178,Règles_ovins[Ration]&amp;Règles_ovins[Aliment],0))="s1",IF($DN178=Spécificité1Ovins,1)),
AND(INDEX(Règles_ovins[Specificite],MATCH(ChoixRationOvins&amp;$DN178,Règles_ovins[Ration]&amp;Règles_ovins[Aliment],0))="s2",IF($DN178=Spécificité2Ovins,1)),
INDEX(Règles_ovins[Specificite],MATCH(ChoixRationOvins&amp;$DN178,Règles_ovins[Ration]&amp;Règles_ovins[Aliment],0))="c"),
INDEX(Règles_ovins[Valeur 3-6],MATCH(ChoixRationOvins&amp;$DN178,Règles_ovins[Ration]&amp;Règles_ovins[Aliment],0)),0),0)*IF(ChoixOvinsPréHiver=OUI,SUM(TotalOvins_3_6moisRacesLaitières)*NbreJoursNourrirOvins,TotalAgneau_3_6_mois*NbreJoursNourrirOvins))</f>
        <v>0</v>
      </c>
      <c r="DR178" s="351">
        <f t="array" ref="DR178">IF(ChoixRationComplèteOvins=OUI,0,IFERROR(IF(OR(AND(INDEX(Règles_ovins[Specificite],MATCH(ChoixRationOvins&amp;$DN178,Règles_ovins[Ration]&amp;Règles_ovins[Aliment],0))="s1",IF($DN178=Spécificité1Ovins,1)),
AND(INDEX(Règles_ovins[Specificite],MATCH(ChoixRationOvins&amp;$DN178,Règles_ovins[Ration]&amp;Règles_ovins[Aliment],0))="s2",IF($DN178=Spécificité2Ovins,1)),
INDEX(Règles_ovins[Specificite],MATCH(ChoixRationOvins&amp;$DN178,Règles_ovins[Ration]&amp;Règles_ovins[Aliment],0))="c"),
INDEX(Règles_ovins[Valeur 0-3],MATCH(ChoixRationOvins&amp;$DN178,Règles_ovins[Ration]&amp;Règles_ovins[Aliment],0)),0),0)*IF(ChoixOvinsPréHiver=OUI,SUM(TotalOvins_3_6moisRacesLaitières)*NbreJoursNourrirOvins,TotalAgneau_0_3_mois*NbreJoursNourrirOvins))</f>
        <v>0</v>
      </c>
      <c r="DS178" s="441">
        <f t="shared" si="55"/>
        <v>0</v>
      </c>
      <c r="EG178" s="350" t="str">
        <f t="shared" si="57"/>
        <v>Sorgho ensilé</v>
      </c>
      <c r="EH178" s="351">
        <f t="array" ref="EH178">SUM((IF(QualitéAlimentsOisonMâle_0_3_mois=BONNE,VLOOKUP("Sorho ensilé",AlimentsRationOiesMâles[],4,FALSE),0)+(IF(QualitéAlimentsOisonFemelle_0_3_mois=BONNE,VLOOKUP("Sorho ensilé",AlimentsRationOiesFemelles[],4,FALSE),0)+(IF(QualitéAlimentsJeuneJars=BONNE,VLOOKUP("Sorho ensilé",AlimentsRationOiesMâles[],3,FALSE),0)+(IF(QualitéAlimentsJeuneOie=BONNE,VLOOKUP("Sorho ensilé",AlimentsRationOiesFemelles[],3,FALSE),0)+(IF(QualitéAlimentsJars=BONNE,VLOOKUP("Sorho ensilé",AlimentsRationOiesMâles[],2,FALSE),0)+(IF(QualitéAlimentsOie=BONNE,VLOOKUP("Sorho ensilé",AlimentsRationOiesFemelles[],2,FALSE),0))))))))</f>
        <v>0</v>
      </c>
      <c r="EI178" s="351">
        <f t="array" ref="EI178">SUM((IF(QualitéAlimentsOisonMâle_0_3_mois=MOYENNE,VLOOKUP("Sorho ensilé",AlimentsRationOiesMâles[],4,FALSE),0)+(IF(QualitéAlimentsOisonFemelle_0_3_mois=MOYENNE,VLOOKUP("Sorho ensilé",AlimentsRationOiesFemelles[],4,FALSE),0)+(IF(QualitéAlimentsJeuneJars=MOYENNE,VLOOKUP("Sorho ensilé",AlimentsRationOiesMâles[],3,FALSE),0)+(IF(QualitéAlimentsJeuneOie=MOYENNE,VLOOKUP("Sorho ensilé",AlimentsRationOiesFemelles[],3,FALSE),0)+(IF(QualitéAlimentsJars=MOYENNE,VLOOKUP("Sorho ensilé",AlimentsRationOiesMâles[],2,FALSE),0)+(IF(QualitéAlimentsOie=MOYENNE,VLOOKUP("Sorho ensilé",AlimentsRationOiesFemelles[],2,FALSE),0))))))))</f>
        <v>0</v>
      </c>
      <c r="EJ178" s="351">
        <f t="array" ref="EJ178">SUM((IF(QualitéAlimentsOisonMâle_0_3_mois=MAUVAISE,VLOOKUP("Sorho ensilé",AlimentsRationOiesMâles[],4,FALSE),0)+(IF(QualitéAlimentsOisonFemelle_0_3_mois=MAUVAISE,VLOOKUP("Sorho ensilé",AlimentsRationOiesFemelles[],4,FALSE),0)+(IF(QualitéAlimentsJeuneJars=MAUVAISE,VLOOKUP("Sorho ensilé",AlimentsRationOiesMâles[],3,FALSE),0)+(IF(QualitéAlimentsJeuneOie=MAUVAISE,VLOOKUP("Sorho ensilé",AlimentsRationOiesFemelles[],3,FALSE),0)+(IF(QualitéAlimentsJars=MAUVAISE,VLOOKUP("Sorho ensilé",AlimentsRationOiesMâles[],2,FALSE),0)+(IF(QualitéAlimentsOie=MAUVAISE,VLOOKUP("Sorho ensilé",AlimentsRationOiesFemelles[],2,FALSE),0))))))))</f>
        <v>0</v>
      </c>
      <c r="EN178" s="457" t="str">
        <f t="shared" si="56"/>
        <v>Tournesol</v>
      </c>
      <c r="EO178" s="458">
        <f t="array" ref="EO178">SUM((IF(QualitéAlimentsCanetonMâle=BONNE,VLOOKUP("Tournesol",AlimentsRationCanardsMâles,4,FALSE),0)+(IF(QualitéAlimentsCanetonFemelle=BONNE,VLOOKUP("Tournesol",AlimentsRationCanardsFemelles,4,FALSE),0)+(IF(QualitéAlimentsJeuneCanard=BONNE,VLOOKUP("Tournesol",AlimentsRationCanardsMâles,3,FALSE),0)+(IF(QualitéAlimentsJeuneCane=BONNE,VLOOKUP("Tournesol",AlimentsRationCanardsFemelles,3,FALSE),0)+(IF(QualitéAlimentsCanard=BONNE,VLOOKUP("Tournesol",AlimentsRationCanardsMâles,2,FALSE),0)+(IF(QualitéAlimentsCane=BONNE,VLOOKUP("Tournesol",AlimentsRationCanardsFemelles,2,FALSE),0))))))))</f>
        <v>0</v>
      </c>
      <c r="EP178" s="458">
        <f t="array" ref="EP178">SUM((IF(QualitéAlimentsCanetonMâle=MOYENNE,VLOOKUP("Tournesol",AlimentsRationCanardsMâles,4,FALSE),0)+(IF(QualitéAlimentsCanetonFemelle=MOYENNE,VLOOKUP("Tournesol",AlimentsRationCanardsFemelles,4,FALSE),0)+(IF(QualitéAlimentsJeuneCanard=MOYENNE,VLOOKUP("Tournesol",AlimentsRationCanardsMâles,3,FALSE),0)+(IF(QualitéAlimentsJeuneCane=MOYENNE,VLOOKUP("Tournesol",AlimentsRationCanardsFemelles,3,FALSE),0)+(IF(QualitéAlimentsCanard=MOYENNE,VLOOKUP("Tournesol",AlimentsRationCanardsMâles,2,FALSE),0)+(IF(QualitéAlimentsCane=MOYENNE,VLOOKUP("Tournesol",AlimentsRationCanardsFemelles,2,FALSE),0))))))))</f>
        <v>0</v>
      </c>
      <c r="EQ178" s="458">
        <f t="array" ref="EQ178">SUM((IF(QualitéAlimentsCanetonMâle=MAUVAISE,VLOOKUP("Tournesol",AlimentsRationCanardsMâles,4,FALSE),0)+(IF(QualitéAlimentsCanetonFemelle=MAUVAISE,VLOOKUP("Tournesol",AlimentsRationCanardsFemelles,4,FALSE),0)+(IF(QualitéAlimentsJeuneCanard=MAUVAISE,VLOOKUP("Tournesol",AlimentsRationCanardsMâles,3,FALSE),0)+(IF(QualitéAlimentsJeuneCane=MAUVAISE,VLOOKUP("Tournesol",AlimentsRationCanardsFemelles,3,FALSE),0)+(IF(QualitéAlimentsCanard=MAUVAISE,VLOOKUP("Tournesol",AlimentsRationCanardsMâles,2,FALSE),0)+(IF(QualitéAlimentsCane=MAUVAISE,VLOOKUP("Tournesol",AlimentsRationCanardsFemelles,2,FALSE),0))))))))</f>
        <v>0</v>
      </c>
      <c r="EU178" s="457" t="str">
        <f t="shared" si="54"/>
        <v>Tourteau de colza</v>
      </c>
      <c r="EV178" s="458">
        <f t="array" ref="EV178">IF(OR(ChoixRationHivernaleComplèteChevauxSelle=OUI,ChoixRationHivernaleComplèteChevauxSelle="",ChoixChevauxSellePréHiver=NON),0,IFERROR(IF(OR(AND(INDEX(Règles_chevaux_selle[Specificite],MATCH(RationHivernaleAuPréChevauxSelle&amp;$EU178,Règles_chevaux_selle[Ration]&amp;Règles_chevaux_selle[Aliment],0))="s1",IF($EU178=Spécificité1ChevauxSelle,1)),
AND(INDEX(Règles_chevaux_selle[Specificite],MATCH(RationHivernaleAuPréChevauxSelle&amp;$EU178,Règles_chevaux_selle[Ration]&amp;Règles_chevaux_selle[Aliment],0))="s2",IF($EU178=Spécificité2ChevauxSelle,1)),
INDEX(Règles_chevaux_selle[Specificite],MATCH(RationHivernaleAuPréChevauxSelle&amp;$EU178,Règles_chevaux_selle[Ration]&amp;Règles_chevaux_selle[Aliment],0))="c"),
INDEX(Règles_chevaux_selle[Valeur 36 et plus],MATCH(RationHivernaleAuPréChevauxSelle&amp;$EU178,Règles_chevaux_selle[Ration]&amp;Règles_chevaux_selle[Aliment],0)),0),0)*SUM(TotalChevauxSelleAdultes)*21)</f>
        <v>0</v>
      </c>
      <c r="EW178" s="458">
        <f t="array" ref="EW178">IF(OR(ChoixRationHivernaleComplèteChevauxSelle=OUI,ChoixRationHivernaleComplèteChevauxSelle="",ChoixChevauxSellePréHiver=NON),0,IFERROR(IF(OR(AND(INDEX(Règles_chevaux_selle[Specificite],MATCH(RationHivernaleAuPréChevauxSelle&amp;$EU178,Règles_chevaux_selle[Ration]&amp;Règles_chevaux_selle[Aliment],0))="s1",IF($EU178=Spécificité1ChevauxSelle,1)),
AND(INDEX(Règles_chevaux_selle[Specificite],MATCH(RationHivernaleAuPréChevauxSelle&amp;$EU178,Règles_chevaux_selle[Ration]&amp;Règles_chevaux_selle[Aliment],0))="s2",IF($EU178=Spécificité2ChevauxSelle,1)),
INDEX(Règles_chevaux_selle[Specificite],MATCH(RationHivernaleAuPréChevauxSelle&amp;$EU178,Règles_chevaux_selle[Ration]&amp;Règles_chevaux_selle[Aliment],0))="c"),
INDEX(Règles_chevaux_selle[Valeur 24-36],MATCH(RationHivernaleAuPréChevauxSelle&amp;$EU178,Règles_chevaux_selle[Ration]&amp;Règles_chevaux_selle[Aliment],0)),0),0)*SUM(TotalChevauxSelle_24_36mois)*21)</f>
        <v>0</v>
      </c>
      <c r="EX178" s="458">
        <f t="array" ref="EX178">IF(OR(ChoixRationHivernaleComplèteChevauxSelle=OUI,ChoixRationHivernaleComplèteChevauxSelle="",ChoixChevauxSellePréHiver=NON),0,IFERROR(IF(OR(AND(INDEX(Règles_chevaux_selle[Specificite],MATCH(RationHivernaleAuPréChevauxSelle&amp;$EU178,Règles_chevaux_selle[Ration]&amp;Règles_chevaux_selle[Aliment],0))="s1",IF($EU178=Spécificité1ChevauxSelle,1)),
AND(INDEX(Règles_chevaux_selle[Specificite],MATCH(RationHivernaleAuPréChevauxSelle&amp;$EU178,Règles_chevaux_selle[Ration]&amp;Règles_chevaux_selle[Aliment],0))="s2",IF($EU178=Spécificité2ChevauxSelle,1)),
INDEX(Règles_chevaux_selle[Specificite],MATCH(RationHivernaleAuPréChevauxSelle&amp;$EU178,Règles_chevaux_selle[Ration]&amp;Règles_chevaux_selle[Aliment],0))="c"),
INDEX(Règles_chevaux_selle[Valeur 12-24],MATCH(RationHivernaleAuPréChevauxSelle&amp;$EU178,Règles_chevaux_selle[Ration]&amp;Règles_chevaux_selle[Aliment],0)),0),0)*SUM(TotalChevauxSelle_12_24mois)*21)</f>
        <v>0</v>
      </c>
      <c r="EY178" s="460">
        <f t="array" ref="EY178">IF(OR(ChoixRationHivernaleComplèteChevauxSelle=OUI,ChoixRationHivernaleComplèteChevauxSelle="",ChoixChevauxSellePréHiver=NON),0,IFERROR(IF(OR(AND(INDEX(Règles_chevaux_selle[Specificite],MATCH(RationHivernaleAuPréChevauxSelle&amp;$EU178,Règles_chevaux_selle[Ration]&amp;Règles_chevaux_selle[Aliment],0))="s1",IF($EU178=Spécificité1ChevauxSelle,1)),
AND(INDEX(Règles_chevaux_selle[Specificite],MATCH(RationHivernaleAuPréChevauxSelle&amp;$EU178,Règles_chevaux_selle[Ration]&amp;Règles_chevaux_selle[Aliment],0))="s2",IF($EU178=Spécificité2ChevauxSelle,1)),
INDEX(Règles_chevaux_selle[Specificite],MATCH(RationHivernaleAuPréChevauxSelle&amp;$EU178,Règles_chevaux_selle[Ration]&amp;Règles_chevaux_selle[Aliment],0))="c"),
INDEX(Règles_chevaux_selle[Valeur 0-12],MATCH(RationHivernaleAuPréChevauxSelle&amp;$EU178,Règles_chevaux_selle[Ration]&amp;Règles_chevaux_selle[Aliment],0)),0),0)*SUM(TotalPoulainsSelle)*21)</f>
        <v>0</v>
      </c>
      <c r="EZ178" s="460">
        <f t="shared" si="53"/>
        <v>0</v>
      </c>
      <c r="FD178" s="457">
        <f t="shared" si="49"/>
        <v>0</v>
      </c>
      <c r="FE178" s="458">
        <f t="array" ref="FE178">IF(OR(ChoixRationHivernaleComplèteChevauxTrait=OUI,ChoixRationHivernaleComplèteChevauxTrait="",ChoixChevauxTraitPréHiver=NON),0,IFERROR(IF(OR(AND(INDEX(Règles_chevaux_trait[Specificite],MATCH(RationHivernaleAuPréChevauxTrait&amp;$FD178,Règles_chevaux_trait[Ration]&amp;Règles_chevaux_trait[Aliment],0))="s1",IF($FD178=Spécificité1ChevauxTrait,1)),
AND(INDEX(Règles_chevaux_trait[Specificite],MATCH(RationHivernaleAuPréChevauxTrait&amp;$FD178,Règles_chevaux_trait[Ration]&amp;Règles_chevaux_trait[Aliment],0))="s2",IF($FD178=Spécificité2ChevauxTrait,1)),
INDEX(Règles_chevaux_trait[Specificite],MATCH(RationHivernaleAuPréChevauxTrait&amp;$FD178,Règles_chevaux_trait[Ration]&amp;Règles_chevaux_trait[Aliment],0))="c"),
INDEX(Règles_chevaux_trait[Valeur 36 et plus],MATCH(RationHivernaleAuPréChevauxTrait&amp;$FD178,Règles_chevaux_trait[Ration]&amp;Règles_chevaux_trait[Aliment],0)),0),0)*SUM(TotalChevauxTraitAdultes)*21)</f>
        <v>0</v>
      </c>
      <c r="FF178" s="458">
        <f t="array" ref="FF178">IF(OR(ChoixRationHivernaleComplèteChevauxTrait=OUI,ChoixRationHivernaleComplèteChevauxTrait="",ChoixChevauxTraitPréHiver=NON),0,IFERROR(IF(OR(AND(INDEX(Règles_chevaux_trait[Specificite],MATCH(RationHivernaleAuPréChevauxTrait&amp;$FD178,Règles_chevaux_trait[Ration]&amp;Règles_chevaux_trait[Aliment],0))="s1",IF($FD178=Spécificité1ChevauxTrait,1)),
AND(INDEX(Règles_chevaux_trait[Specificite],MATCH(RationHivernaleAuPréChevauxTrait&amp;$FD178,Règles_chevaux_trait[Ration]&amp;Règles_chevaux_trait[Aliment],0))="s2",IF($FD178=Spécificité2ChevauxTrait,1)),
INDEX(Règles_chevaux_trait[Specificite],MATCH(RationHivernaleAuPréChevauxTrait&amp;$FD178,Règles_chevaux_trait[Ration]&amp;Règles_chevaux_trait[Aliment],0))="c"),
INDEX(Règles_chevaux_trait[Valeur 24-36],MATCH(RationHivernaleAuPréChevauxTrait&amp;$FD178,Règles_chevaux_trait[Ration]&amp;Règles_chevaux_trait[Aliment],0)),0),0)*SUM(TotalChevauxTrait_24_36mois)*21)</f>
        <v>0</v>
      </c>
      <c r="FG178" s="458">
        <f t="array" ref="FG178">IF(OR(ChoixRationHivernaleComplèteChevauxTrait=OUI,ChoixRationHivernaleComplèteChevauxTrait="",ChoixChevauxTraitPréHiver=NON),0,IFERROR(IF(OR(AND(INDEX(Règles_chevaux_trait[Specificite],MATCH(RationHivernaleAuPréChevauxTrait&amp;$FD178,Règles_chevaux_trait[Ration]&amp;Règles_chevaux_trait[Aliment],0))="s1",IF($FD178=Spécificité1ChevauxTrait,1)),
AND(INDEX(Règles_chevaux_trait[Specificite],MATCH(RationHivernaleAuPréChevauxTrait&amp;$FD178,Règles_chevaux_trait[Ration]&amp;Règles_chevaux_trait[Aliment],0))="s2",IF($FD178=Spécificité2ChevauxTrait,1)),
INDEX(Règles_chevaux_trait[Specificite],MATCH(RationHivernaleAuPréChevauxTrait&amp;$FD178,Règles_chevaux_trait[Ration]&amp;Règles_chevaux_trait[Aliment],0))="c"),
INDEX(Règles_chevaux_trait[Valeur 12-24],MATCH(RationHivernaleAuPréChevauxTrait&amp;$FD178,Règles_chevaux_trait[Ration]&amp;Règles_chevaux_trait[Aliment],0)),0),0)*SUM(TotalChevauxTrait_12_24mois)*21)</f>
        <v>0</v>
      </c>
      <c r="FH178" s="460">
        <f t="array" ref="FH178">IF(OR(ChoixRationHivernaleComplèteChevauxTrait=OUI,ChoixRationHivernaleComplèteChevauxTrait="",ChoixChevauxTraitPréHiver=NON),0,IFERROR(IF(OR(AND(INDEX(Règles_chevaux_trait[Specificite],MATCH(RationHivernaleAuPréChevauxTrait&amp;$FD178,Règles_chevaux_trait[Ration]&amp;Règles_chevaux_trait[Aliment],0))="s1",IF($FD178=Spécificité1ChevauxTrait,1)),
AND(INDEX(Règles_chevaux_trait[Specificite],MATCH(RationHivernaleAuPréChevauxTrait&amp;$FD178,Règles_chevaux_trait[Ration]&amp;Règles_chevaux_trait[Aliment],0))="s2",IF($FD178=Spécificité2ChevauxTrait,1)),
INDEX(Règles_chevaux_trait[Specificite],MATCH(RationHivernaleAuPréChevauxTrait&amp;$FD178,Règles_chevaux_trait[Ration]&amp;Règles_chevaux_trait[Aliment],0))="c"),
INDEX(Règles_chevaux_trait[Valeur 0-12],MATCH(RationHivernaleAuPréChevauxTrait&amp;$FD178,Règles_chevaux_trait[Ration]&amp;Règles_chevaux_trait[Aliment],0)),0),0)*SUM(TotalPoulainsTrait)*21)</f>
        <v>0</v>
      </c>
      <c r="FI178" s="460">
        <f t="shared" si="47"/>
        <v>0</v>
      </c>
      <c r="FN178" s="457">
        <f t="shared" si="48"/>
        <v>0</v>
      </c>
      <c r="FO178" s="458">
        <f t="array" ref="FO178">IF(OR(ChoixRationHivernaleComplètePoneys=OUI,ChoixRationHivernaleComplètePoneys="",ChoixPoneysPréHiver=NON),0,IFERROR(IF(OR(AND(INDEX(Règles_poneys[Specificite],MATCH(RationHivernaleAuPréPoneys&amp;$FN178,Règles_poneys[Ration]&amp;Règles_poneys[Aliment],0))="s1",IF($FN178=Spécificité1Poneys,1)),
AND(INDEX(Règles_poneys[Specificite],MATCH(RationHivernaleAuPréPoneys&amp;$FN178,Règles_poneys[Ration]&amp;Règles_poneys[Aliment],0))="s2",IF($FN178=Spécificité2Poneys,1)),
INDEX(Règles_poneys[Specificite],MATCH(RationHivernaleAuPréPoneys&amp;$FN178,Règles_poneys[Ration]&amp;Règles_poneys[Aliment],0))="c"),
INDEX(Règles_poneys[Valeur 36 et plus],MATCH(RationHivernaleAuPréPoneys&amp;$FN178,Règles_poneys[Ration]&amp;Règles_poneys[Aliment],0)),0),0)*SUM(TotalPoneysAdultes)*21)</f>
        <v>0</v>
      </c>
      <c r="FP178" s="458">
        <f t="array" ref="FP178">IF(OR(ChoixRationHivernaleComplètePoneys=OUI,ChoixRationHivernaleComplètePoneys="",ChoixPoneysPréHiver=NON),0,IFERROR(IF(OR(AND(INDEX(Règles_poneys[Specificite],MATCH(RationHivernaleAuPréPoneys&amp;$FN178,Règles_poneys[Ration]&amp;Règles_poneys[Aliment],0))="s1",IF($FN178=Spécificité1Poneys,1)),
AND(INDEX(Règles_poneys[Specificite],MATCH(RationHivernaleAuPréPoneys&amp;$FN178,Règles_poneys[Ration]&amp;Règles_poneys[Aliment],0))="s2",IF($FN178=Spécificité2Poneys,1)),
INDEX(Règles_poneys[Specificite],MATCH(RationHivernaleAuPréPoneys&amp;$FN178,Règles_poneys[Ration]&amp;Règles_poneys[Aliment],0))="c"),
INDEX(Règles_poneys[Valeur 24-36],MATCH(RationHivernaleAuPréPoneys&amp;$FN178,Règles_poneys[Ration]&amp;Règles_poneys[Aliment],0)),0),0)*SUM(TotalPoneys_24_36mois)*21)</f>
        <v>0</v>
      </c>
      <c r="FQ178" s="458">
        <f t="array" ref="FQ178">IF(OR(ChoixRationHivernaleComplètePoneys=OUI,ChoixRationHivernaleComplètePoneys="",ChoixPoneysPréHiver=NON),0,IFERROR(IF(OR(AND(INDEX(Règles_poneys[Specificite],MATCH(RationHivernaleAuPréPoneys&amp;$FN178,Règles_poneys[Ration]&amp;Règles_poneys[Aliment],0))="s1",IF($FN178=Spécificité1Poneys,1)),
AND(INDEX(Règles_poneys[Specificite],MATCH(RationHivernaleAuPréPoneys&amp;$FN178,Règles_poneys[Ration]&amp;Règles_poneys[Aliment],0))="s2",IF($FN178=Spécificité2Poneys,1)),
INDEX(Règles_poneys[Specificite],MATCH(RationHivernaleAuPréPoneys&amp;$FN178,Règles_poneys[Ration]&amp;Règles_poneys[Aliment],0))="c"),
INDEX(Règles_poneys[Valeur 12-24],MATCH(RationHivernaleAuPréPoneys&amp;$FN178,Règles_poneys[Ration]&amp;Règles_poneys[Aliment],0)),0),0)*SUM(TotalPoneys_12_24mois)*21)</f>
        <v>0</v>
      </c>
      <c r="FR178" s="460">
        <f t="array" ref="FR178">IF(OR(ChoixRationHivernaleComplètePoneys=OUI,ChoixRationHivernaleComplètePoneys="",ChoixPoneysPréHiver=NON),0,IFERROR(IF(OR(AND(INDEX(Règles_poneys[Specificite],MATCH(RationHivernaleAuPréPoneys&amp;$FN178,Règles_poneys[Ration]&amp;Règles_poneys[Aliment],0))="s1",IF($FN178=Spécificité1Poneys,1)),
AND(INDEX(Règles_poneys[Specificite],MATCH(RationHivernaleAuPréPoneys&amp;$FN178,Règles_poneys[Ration]&amp;Règles_poneys[Aliment],0))="s2",IF($FN178=Spécificité2Poneys,1)),
INDEX(Règles_poneys[Specificite],MATCH(RationHivernaleAuPréPoneys&amp;$FN178,Règles_poneys[Ration]&amp;Règles_poneys[Aliment],0))="c"),
INDEX(Règles_poneys[Valeur 0-12],MATCH(RationHivernaleAuPréPoneys&amp;$FN178,Règles_poneys[Ration]&amp;Règles_poneys[Aliment],0)),0),0)*SUM(TotalPoulainsPoneys)*21)</f>
        <v>0</v>
      </c>
      <c r="FS178" s="460">
        <f t="shared" si="46"/>
        <v>0</v>
      </c>
      <c r="FW178" s="281"/>
      <c r="FX178" s="281"/>
      <c r="FY178" s="281"/>
      <c r="FZ178" s="281"/>
      <c r="GB178" s="281"/>
      <c r="GG178" s="276" t="s">
        <v>955</v>
      </c>
      <c r="GH178" s="276" t="s">
        <v>955</v>
      </c>
      <c r="GI178" s="276" t="s">
        <v>955</v>
      </c>
      <c r="GJ178" s="276" t="s">
        <v>955</v>
      </c>
      <c r="GK178" s="276" t="s">
        <v>955</v>
      </c>
      <c r="GL178" s="276" t="s">
        <v>955</v>
      </c>
      <c r="GM178" s="276" t="s">
        <v>955</v>
      </c>
      <c r="GN178" s="276" t="s">
        <v>955</v>
      </c>
      <c r="GO178" s="276" t="s">
        <v>955</v>
      </c>
      <c r="GP178" s="276" t="s">
        <v>955</v>
      </c>
      <c r="GQ178" s="276" t="s">
        <v>955</v>
      </c>
      <c r="GR178" s="276" t="s">
        <v>955</v>
      </c>
      <c r="GS178" s="276" t="s">
        <v>955</v>
      </c>
      <c r="GT178" s="276" t="s">
        <v>955</v>
      </c>
      <c r="GU178" s="276" t="s">
        <v>955</v>
      </c>
      <c r="GV178" s="276" t="s">
        <v>955</v>
      </c>
    </row>
    <row r="179" spans="1:204" ht="12.75" customHeight="1" x14ac:dyDescent="0.2">
      <c r="A179" s="373"/>
      <c r="B179" s="382"/>
      <c r="BB179" s="387" t="s">
        <v>843</v>
      </c>
      <c r="BC179" s="362" t="s">
        <v>500</v>
      </c>
      <c r="BD179" s="362" t="s">
        <v>888</v>
      </c>
      <c r="BE179" s="388">
        <v>2.2000000000000002</v>
      </c>
      <c r="BF179" s="388">
        <v>1.8</v>
      </c>
      <c r="BG179" s="388">
        <v>1.4</v>
      </c>
      <c r="BH179" s="388">
        <v>1</v>
      </c>
      <c r="BI179" s="388">
        <v>0.8</v>
      </c>
      <c r="BJ179" s="388">
        <v>0.6</v>
      </c>
      <c r="BK179" s="389">
        <v>0</v>
      </c>
      <c r="BL179" s="276"/>
      <c r="CB179" s="281"/>
      <c r="CC179" s="281"/>
      <c r="CH179" s="298"/>
      <c r="CI179" s="277"/>
      <c r="CK179" s="277"/>
      <c r="CL179" s="277"/>
      <c r="CM179" s="277"/>
      <c r="CN179" s="277"/>
      <c r="CO179" s="277"/>
      <c r="CP179" s="277"/>
      <c r="CS179" s="350" t="str">
        <f t="shared" si="59"/>
        <v>Pulpe déshydratée de betterave</v>
      </c>
      <c r="CT179" s="351">
        <f t="array" ref="CT179">SUM((IF(QualitéAlimentsLapereauMâle_0_1_mois=BONNE,VLOOKUP("Pulpe déshydratée de betterave",AlimentsRationLapinsMâles[],4,FALSE),0)+(IF(QualitéAlimentsLapereauFemelle_0_1_mois=BONNE,VLOOKUP("Pulpe déshydratée de betterave",AlimentsRationLapinsFemelles[],4,FALSE),0)+(IF(QualitéAlimentsJeuneLapin=BONNE,VLOOKUP("Pulpe déshydratée de betterave",AlimentsRationLapinsMâles[],3,FALSE),0)+(IF(QualitéAlimentsJeuneLapine=BONNE,VLOOKUP("Pulpe déshydratée de betterave",AlimentsRationLapinsFemelles[],3,FALSE),0)+(IF(QualitéAlimentsLapin=BONNE,VLOOKUP("Pulpe déshydratée de betterave",AlimentsRationLapinsMâles[],2,FALSE),0)+(IF(QualitéAlimentsLapine=BONNE,VLOOKUP("Pulpe déshydratée de betterave",AlimentsRationLapinsFemelles[],2,FALSE),0))))))))</f>
        <v>0</v>
      </c>
      <c r="CU179" s="351">
        <f t="array" ref="CU179">SUM((IF(QualitéAlimentsLapereauMâle_0_1_mois=MOYENNE,VLOOKUP("Pulpe déshydratée de betterave",AlimentsRationLapinsMâles[],4,FALSE),0)+(IF(QualitéAlimentsLapereauFemelle_0_1_mois=MOYENNE,VLOOKUP("Pulpe déshydratée de betterave",AlimentsRationLapinsFemelles[],4,FALSE),0)+(IF(QualitéAlimentsJeuneLapin=MOYENNE,VLOOKUP("Pulpe déshydratée de betterave",AlimentsRationLapinsMâles[],3,FALSE),0)+(IF(QualitéAlimentsJeuneLapine=MOYENNE,VLOOKUP("Pulpe déshydratée de betterave",AlimentsRationLapinsFemelles[],3,FALSE),0)+(IF(QualitéAlimentsLapin=MOYENNE,VLOOKUP("Pulpe déshydratée de betterave",AlimentsRationLapinsMâles[],2,FALSE),0)+(IF(QualitéAlimentsLapine=MOYENNE,VLOOKUP("Pulpe déshydratée de betterave",AlimentsRationLapinsFemelles[],2,FALSE),0))))))))</f>
        <v>0</v>
      </c>
      <c r="CV179" s="351">
        <f t="array" ref="CV179">SUM((IF(QualitéAlimentsLapereauMâle_0_1_mois=MAUVAISE,VLOOKUP("Pulpe déshydratée de betterave",AlimentsRationLapinsMâles[],4,FALSE),0)+(IF(QualitéAlimentsLapereauFemelle_0_1_mois=MAUVAISE,VLOOKUP("Pulpe déshydratée de betterave",AlimentsRationLapinsFemelles[],4,FALSE),0)+(IF(QualitéAlimentsJeuneLapin=MAUVAISE,VLOOKUP("Pulpe déshydratée de betterave",AlimentsRationLapinsMâles[],3,FALSE),0)+(IF(QualitéAlimentsJeuneLapine=MAUVAISE,VLOOKUP("Pulpe déshydratée de betterave",AlimentsRationLapinsFemelles[],3,FALSE),0)+(IF(QualitéAlimentsLapin=MAUVAISE,VLOOKUP("Pulpe déshydratée de betterave",AlimentsRationLapinsMâles[],2,FALSE),0)+(IF(QualitéAlimentsLapine=MAUVAISE,VLOOKUP("Pulpe déshydratée de betterave",AlimentsRationLapinsFemelles[],2,FALSE),0))))))))</f>
        <v>0</v>
      </c>
      <c r="CZ179" s="350" t="str">
        <f t="shared" si="58"/>
        <v>Ration complète</v>
      </c>
      <c r="DA179" s="351">
        <f t="array" ref="DA179">SUM((IF(QualitéAlimentsPoussinMâle_0_1_mois=BONNE,VLOOKUP("Ration complète",AlimentsRationVolaillesMâles[],4,FALSE),0)+(IF(QualitéAlimentsPoussinFemelle_0_1_mois=BONNE,VLOOKUP("Ration complète",AlimentsRationVolaillesFemelles[],4,FALSE),0)+(IF(QualitéAlimentsJeuneCoq=BONNE,VLOOKUP("Ration complète",AlimentsRationVolaillesMâles[],3,FALSE),0)+(IF(QualitéAlimentsJeunePoule=BONNE,VLOOKUP("Ration complète",AlimentsRationVolaillesFemelles[],3,FALSE),0)+(IF(QualitéAlimentsCoq=BONNE,VLOOKUP("Ration complète",AlimentsRationVolaillesMâles[],2,FALSE),0)+(IF(QualitéAlimentsPoule=BONNE,VLOOKUP("Ration complète",AlimentsRationVolaillesFemelles[],2,FALSE),0))))))))</f>
        <v>0</v>
      </c>
      <c r="DB179" s="351">
        <f t="array" ref="DB179">SUM((IF(QualitéAlimentsPoussinMâle_0_1_mois=MOYENNE,VLOOKUP("Ration complète",AlimentsRationVolaillesMâles[],4,FALSE),0)+(IF(QualitéAlimentsPoussinFemelle_0_1_mois=MOYENNE,VLOOKUP("Ration complète",AlimentsRationVolaillesFemelles[],4,FALSE),0)+(IF(QualitéAlimentsJeuneCoq=MOYENNE,VLOOKUP("Ration complète",AlimentsRationVolaillesMâles[],3,FALSE),0)+(IF(QualitéAlimentsJeunePoule=MOYENNE,VLOOKUP("Ration complète",AlimentsRationVolaillesFemelles[],3,FALSE),0)+(IF(QualitéAlimentsCoq=MOYENNE,VLOOKUP("Ration complète",AlimentsRationVolaillesMâles[],2,FALSE),0)+(IF(QualitéAlimentsPoule=MOYENNE,VLOOKUP("Ration complète",AlimentsRationVolaillesFemelles[],2,FALSE),0))))))))</f>
        <v>0</v>
      </c>
      <c r="DC179" s="351">
        <f t="array" ref="DC179">SUM((IF(QualitéAlimentsPoussinMâle_0_1_mois=MAUVAISE,VLOOKUP("Ration complète",AlimentsRationVolaillesMâles[],4,FALSE),0)+(IF(QualitéAlimentsPoussinFemelle_0_1_mois=MAUVAISE,VLOOKUP("Ration complète",AlimentsRationVolaillesFemelles[],4,FALSE),0)+(IF(QualitéAlimentsJeuneCoq=MAUVAISE,VLOOKUP("Ration complète",AlimentsRationVolaillesMâles[],3,FALSE),0)+(IF(QualitéAlimentsJeunePoule=MAUVAISE,VLOOKUP("Ration complète",AlimentsRationVolaillesFemelles[],3,FALSE),0)+(IF(QualitéAlimentsCoq=MAUVAISE,VLOOKUP("Ration complète",AlimentsRationVolaillesMâles[],2,FALSE),0)+(IF(QualitéAlimentsPoule=MAUVAISE,VLOOKUP("Ration complète",AlimentsRationVolaillesFemelles[],2,FALSE),0))))))))</f>
        <v>0</v>
      </c>
      <c r="DG179" s="350">
        <f t="shared" si="52"/>
        <v>0</v>
      </c>
      <c r="DH179" s="351"/>
      <c r="DI179" s="351"/>
      <c r="DJ179" s="351"/>
      <c r="DN179" s="350" t="s">
        <v>231</v>
      </c>
      <c r="DO179" s="351">
        <f t="array" ref="DO179">IF(ChoixRationComplèteOvins=OUI,0,IFERROR(IF(OR(AND(INDEX(Règles_ovins[Specificite],MATCH(ChoixRationOvins&amp;$DN179,Règles_ovins[Ration]&amp;Règles_ovins[Aliment],0))="s1",IF($DN179=Spécificité1Ovins,1)),
AND(INDEX(Règles_ovins[Specificite],MATCH(ChoixRationOvins&amp;$DN179,Règles_ovins[Ration]&amp;Règles_ovins[Aliment],0))="s2",IF($DN179=Spécificité2Ovins,1)),
INDEX(Règles_ovins[Specificite],MATCH(ChoixRationOvins&amp;$DN179,Règles_ovins[Ration]&amp;Règles_ovins[Aliment],0))="c"),
INDEX(Règles_ovins[Valeur 12 et plus],MATCH(ChoixRationOvins&amp;$DN179,Règles_ovins[Ration]&amp;Règles_ovins[Aliment],0)),0),0)*IF(ChoixOvinsPréHiver=OUI,SUM(TotalOvinsAdultesRacesLaitières)*NbreJoursNourrirOvins,TotalBéliers*NbreJoursNourrirOvins))</f>
        <v>0</v>
      </c>
      <c r="DP179" s="351">
        <f t="array" ref="DP179">IF(ChoixRationComplèteOvins=OUI,0,IFERROR(IF(OR(AND(INDEX(Règles_ovins[Specificite],MATCH(ChoixRationOvins&amp;$DN179,Règles_ovins[Ration]&amp;Règles_ovins[Aliment],0))="s1",IF($DN179=Spécificité1Ovins,1)),
AND(INDEX(Règles_ovins[Specificite],MATCH(ChoixRationOvins&amp;$DN179,Règles_ovins[Ration]&amp;Règles_ovins[Aliment],0))="s2",IF($DN179=Spécificité2Ovins,1)),
INDEX(Règles_ovins[Specificite],MATCH(ChoixRationOvins&amp;$DN179,Règles_ovins[Ration]&amp;Règles_ovins[Aliment],0))="c"),
INDEX(Règles_ovins[Valeur 6-12],MATCH(ChoixRationOvins&amp;$DN179,Règles_ovins[Ration]&amp;Règles_ovins[Aliment],0)),0),0)*IF(ChoixOvinsPréHiver=OUI,SUM(TotalJeunesOvinsRacesLaitières)*NbreJoursNourrirOvins,TotalJeune_bélier_6_12_mois*NbreJoursNourrirOvins))</f>
        <v>0</v>
      </c>
      <c r="DQ179" s="351">
        <f t="array" ref="DQ179">IF(ChoixRationComplèteOvins=OUI,0,IFERROR(IF(OR(AND(INDEX(Règles_ovins[Specificite],MATCH(ChoixRationOvins&amp;$DN179,Règles_ovins[Ration]&amp;Règles_ovins[Aliment],0))="s1",IF($DN179=Spécificité1Ovins,1)),
AND(INDEX(Règles_ovins[Specificite],MATCH(ChoixRationOvins&amp;$DN179,Règles_ovins[Ration]&amp;Règles_ovins[Aliment],0))="s2",IF($DN179=Spécificité2Ovins,1)),
INDEX(Règles_ovins[Specificite],MATCH(ChoixRationOvins&amp;$DN179,Règles_ovins[Ration]&amp;Règles_ovins[Aliment],0))="c"),
INDEX(Règles_ovins[Valeur 3-6],MATCH(ChoixRationOvins&amp;$DN179,Règles_ovins[Ration]&amp;Règles_ovins[Aliment],0)),0),0)*IF(ChoixOvinsPréHiver=OUI,SUM(TotalOvins_3_6moisRacesLaitières)*NbreJoursNourrirOvins,TotalAgneau_3_6_mois*NbreJoursNourrirOvins))</f>
        <v>0</v>
      </c>
      <c r="DR179" s="351">
        <f t="array" ref="DR179">IF(ChoixRationComplèteOvins=OUI,0,IFERROR(IF(OR(AND(INDEX(Règles_ovins[Specificite],MATCH(ChoixRationOvins&amp;$DN179,Règles_ovins[Ration]&amp;Règles_ovins[Aliment],0))="s1",IF($DN179=Spécificité1Ovins,1)),
AND(INDEX(Règles_ovins[Specificite],MATCH(ChoixRationOvins&amp;$DN179,Règles_ovins[Ration]&amp;Règles_ovins[Aliment],0))="s2",IF($DN179=Spécificité2Ovins,1)),
INDEX(Règles_ovins[Specificite],MATCH(ChoixRationOvins&amp;$DN179,Règles_ovins[Ration]&amp;Règles_ovins[Aliment],0))="c"),
INDEX(Règles_ovins[Valeur 0-3],MATCH(ChoixRationOvins&amp;$DN179,Règles_ovins[Ration]&amp;Règles_ovins[Aliment],0)),0),0)*IF(ChoixOvinsPréHiver=OUI,SUM(TotalOvins_3_6moisRacesLaitières)*NbreJoursNourrirOvins,TotalAgneau_0_3_mois*NbreJoursNourrirOvins))</f>
        <v>0</v>
      </c>
      <c r="DS179" s="441">
        <f t="shared" si="55"/>
        <v>0</v>
      </c>
      <c r="EG179" s="350" t="str">
        <f t="shared" si="57"/>
        <v>Tournesol</v>
      </c>
      <c r="EH179" s="351">
        <f t="array" ref="EH179">SUM((IF(QualitéAlimentsOisonMâle_0_3_mois=BONNE,VLOOKUP("Tournesol",AlimentsRationOiesMâles[],4,FALSE),0)+(IF(QualitéAlimentsOisonFemelle_0_3_mois=BONNE,VLOOKUP("Tournesol",AlimentsRationOiesFemelles[],4,FALSE),0)+(IF(QualitéAlimentsJeuneJars=BONNE,VLOOKUP("Tournesol",AlimentsRationOiesMâles[],3,FALSE),0)+(IF(QualitéAlimentsJeuneOie=BONNE,VLOOKUP("Tournesol",AlimentsRationOiesFemelles[],3,FALSE),0)+(IF(QualitéAlimentsJars=BONNE,VLOOKUP("Tournesol",AlimentsRationOiesMâles[],2,FALSE),0)+(IF(QualitéAlimentsOie=BONNE,VLOOKUP("Tournesol",AlimentsRationOiesFemelles[],2,FALSE),0))))))))</f>
        <v>0</v>
      </c>
      <c r="EI179" s="351">
        <f t="array" ref="EI179">SUM((IF(QualitéAlimentsOisonMâle_0_3_mois=MOYENNE,VLOOKUP("Tournesol",AlimentsRationOiesMâles[],4,FALSE),0)+(IF(QualitéAlimentsOisonFemelle_0_3_mois=MOYENNE,VLOOKUP("Tournesol",AlimentsRationOiesFemelles[],4,FALSE),0)+(IF(QualitéAlimentsJeuneJars=MOYENNE,VLOOKUP("Tournesol",AlimentsRationOiesMâles[],3,FALSE),0)+(IF(QualitéAlimentsJeuneOie=MOYENNE,VLOOKUP("Tournesol",AlimentsRationOiesFemelles[],3,FALSE),0)+(IF(QualitéAlimentsJars=MOYENNE,VLOOKUP("Tournesol",AlimentsRationOiesMâles[],2,FALSE),0)+(IF(QualitéAlimentsOie=MOYENNE,VLOOKUP("Tournesol",AlimentsRationOiesFemelles[],2,FALSE),0))))))))</f>
        <v>0</v>
      </c>
      <c r="EJ179" s="351">
        <f t="array" ref="EJ179">SUM((IF(QualitéAlimentsOisonMâle_0_3_mois=MAUVAISE,VLOOKUP("Tournesol",AlimentsRationOiesMâles[],4,FALSE),0)+(IF(QualitéAlimentsOisonFemelle_0_3_mois=MAUVAISE,VLOOKUP("Tournesol",AlimentsRationOiesFemelles[],4,FALSE),0)+(IF(QualitéAlimentsJeuneJars=MAUVAISE,VLOOKUP("Tournesol",AlimentsRationOiesMâles[],3,FALSE),0)+(IF(QualitéAlimentsJeuneOie=MAUVAISE,VLOOKUP("Tournesol",AlimentsRationOiesFemelles[],3,FALSE),0)+(IF(QualitéAlimentsJars=MAUVAISE,VLOOKUP("Tournesol",AlimentsRationOiesMâles[],2,FALSE),0)+(IF(QualitéAlimentsOie=MAUVAISE,VLOOKUP("Tournesol",AlimentsRationOiesFemelles[],2,FALSE),0))))))))</f>
        <v>0</v>
      </c>
      <c r="EN179" s="457" t="str">
        <f t="shared" si="56"/>
        <v>Tourteau de colza</v>
      </c>
      <c r="EO179" s="458">
        <f t="array" ref="EO179">SUM((IF(QualitéAlimentsCanetonMâle=BONNE,VLOOKUP("Tournesol de colza",AlimentsRationCanardsMâles,4,FALSE),0)+(IF(QualitéAlimentsCanetonFemelle=BONNE,VLOOKUP("Tournesol de colza",AlimentsRationCanardsFemelles,4,FALSE),0)+(IF(QualitéAlimentsJeuneCanard=BONNE,VLOOKUP("Tournesol de colza",AlimentsRationCanardsMâles,3,FALSE),0)+(IF(QualitéAlimentsJeuneCane=BONNE,VLOOKUP("Tournesol de colza",AlimentsRationCanardsFemelles,3,FALSE),0)+(IF(QualitéAlimentsCanard=BONNE,VLOOKUP("Tournesol de colza",AlimentsRationCanardsMâles,2,FALSE),0)+(IF(QualitéAlimentsCane=BONNE,VLOOKUP("Tournesol de colza",AlimentsRationCanardsFemelles,2,FALSE),0))))))))</f>
        <v>0</v>
      </c>
      <c r="EP179" s="458">
        <f t="array" ref="EP179">SUM((IF(QualitéAlimentsCanetonMâle=MOYENNE,VLOOKUP("Tournesol de colza",AlimentsRationCanardsMâles,4,FALSE),0)+(IF(QualitéAlimentsCanetonFemelle=MOYENNE,VLOOKUP("Tournesol de colza",AlimentsRationCanardsFemelles,4,FALSE),0)+(IF(QualitéAlimentsJeuneCanard=MOYENNE,VLOOKUP("Tournesol de colza",AlimentsRationCanardsMâles,3,FALSE),0)+(IF(QualitéAlimentsJeuneCane=MOYENNE,VLOOKUP("Tournesol de colza",AlimentsRationCanardsFemelles,3,FALSE),0)+(IF(QualitéAlimentsCanard=MOYENNE,VLOOKUP("Tournesol de colza",AlimentsRationCanardsMâles,2,FALSE),0)+(IF(QualitéAlimentsCane=MOYENNE,VLOOKUP("Tournesol de colza",AlimentsRationCanardsFemelles,2,FALSE),0))))))))</f>
        <v>0</v>
      </c>
      <c r="EQ179" s="458">
        <f t="array" ref="EQ179">SUM((IF(QualitéAlimentsCanetonMâle=MAUVAISE,VLOOKUP("Tournesol de colza",AlimentsRationCanardsMâles,4,FALSE),0)+(IF(QualitéAlimentsCanetonFemelle=MAUVAISE,VLOOKUP("Tournesol de colza",AlimentsRationCanardsFemelles,4,FALSE),0)+(IF(QualitéAlimentsJeuneCanard=MAUVAISE,VLOOKUP("Tournesol de colza",AlimentsRationCanardsMâles,3,FALSE),0)+(IF(QualitéAlimentsJeuneCane=MAUVAISE,VLOOKUP("Tournesol de colza",AlimentsRationCanardsFemelles,3,FALSE),0)+(IF(QualitéAlimentsCanard=MAUVAISE,VLOOKUP("Tournesol de colza",AlimentsRationCanardsMâles,2,FALSE),0)+(IF(QualitéAlimentsCane=MAUVAISE,VLOOKUP("Tournesol de colza",AlimentsRationCanardsFemelles,2,FALSE),0))))))))</f>
        <v>0</v>
      </c>
      <c r="EU179" s="457" t="str">
        <f t="shared" si="54"/>
        <v>Tourteau de tournesol</v>
      </c>
      <c r="EV179" s="458">
        <f t="array" ref="EV179">IF(OR(ChoixRationHivernaleComplèteChevauxSelle=OUI,ChoixRationHivernaleComplèteChevauxSelle="",ChoixChevauxSellePréHiver=NON),0,IFERROR(IF(OR(AND(INDEX(Règles_chevaux_selle[Specificite],MATCH(RationHivernaleAuPréChevauxSelle&amp;$EU179,Règles_chevaux_selle[Ration]&amp;Règles_chevaux_selle[Aliment],0))="s1",IF($EU179=Spécificité1ChevauxSelle,1)),
AND(INDEX(Règles_chevaux_selle[Specificite],MATCH(RationHivernaleAuPréChevauxSelle&amp;$EU179,Règles_chevaux_selle[Ration]&amp;Règles_chevaux_selle[Aliment],0))="s2",IF($EU179=Spécificité2ChevauxSelle,1)),
INDEX(Règles_chevaux_selle[Specificite],MATCH(RationHivernaleAuPréChevauxSelle&amp;$EU179,Règles_chevaux_selle[Ration]&amp;Règles_chevaux_selle[Aliment],0))="c"),
INDEX(Règles_chevaux_selle[Valeur 36 et plus],MATCH(RationHivernaleAuPréChevauxSelle&amp;$EU179,Règles_chevaux_selle[Ration]&amp;Règles_chevaux_selle[Aliment],0)),0),0)*SUM(TotalChevauxSelleAdultes)*21)</f>
        <v>0</v>
      </c>
      <c r="EW179" s="458">
        <f t="array" ref="EW179">IF(OR(ChoixRationHivernaleComplèteChevauxSelle=OUI,ChoixRationHivernaleComplèteChevauxSelle="",ChoixChevauxSellePréHiver=NON),0,IFERROR(IF(OR(AND(INDEX(Règles_chevaux_selle[Specificite],MATCH(RationHivernaleAuPréChevauxSelle&amp;$EU179,Règles_chevaux_selle[Ration]&amp;Règles_chevaux_selle[Aliment],0))="s1",IF($EU179=Spécificité1ChevauxSelle,1)),
AND(INDEX(Règles_chevaux_selle[Specificite],MATCH(RationHivernaleAuPréChevauxSelle&amp;$EU179,Règles_chevaux_selle[Ration]&amp;Règles_chevaux_selle[Aliment],0))="s2",IF($EU179=Spécificité2ChevauxSelle,1)),
INDEX(Règles_chevaux_selle[Specificite],MATCH(RationHivernaleAuPréChevauxSelle&amp;$EU179,Règles_chevaux_selle[Ration]&amp;Règles_chevaux_selle[Aliment],0))="c"),
INDEX(Règles_chevaux_selle[Valeur 24-36],MATCH(RationHivernaleAuPréChevauxSelle&amp;$EU179,Règles_chevaux_selle[Ration]&amp;Règles_chevaux_selle[Aliment],0)),0),0)*SUM(TotalChevauxSelle_24_36mois)*21)</f>
        <v>0</v>
      </c>
      <c r="EX179" s="458">
        <f t="array" ref="EX179">IF(OR(ChoixRationHivernaleComplèteChevauxSelle=OUI,ChoixRationHivernaleComplèteChevauxSelle="",ChoixChevauxSellePréHiver=NON),0,IFERROR(IF(OR(AND(INDEX(Règles_chevaux_selle[Specificite],MATCH(RationHivernaleAuPréChevauxSelle&amp;$EU179,Règles_chevaux_selle[Ration]&amp;Règles_chevaux_selle[Aliment],0))="s1",IF($EU179=Spécificité1ChevauxSelle,1)),
AND(INDEX(Règles_chevaux_selle[Specificite],MATCH(RationHivernaleAuPréChevauxSelle&amp;$EU179,Règles_chevaux_selle[Ration]&amp;Règles_chevaux_selle[Aliment],0))="s2",IF($EU179=Spécificité2ChevauxSelle,1)),
INDEX(Règles_chevaux_selle[Specificite],MATCH(RationHivernaleAuPréChevauxSelle&amp;$EU179,Règles_chevaux_selle[Ration]&amp;Règles_chevaux_selle[Aliment],0))="c"),
INDEX(Règles_chevaux_selle[Valeur 12-24],MATCH(RationHivernaleAuPréChevauxSelle&amp;$EU179,Règles_chevaux_selle[Ration]&amp;Règles_chevaux_selle[Aliment],0)),0),0)*SUM(TotalChevauxSelle_12_24mois)*21)</f>
        <v>0</v>
      </c>
      <c r="EY179" s="460">
        <f t="array" ref="EY179">IF(OR(ChoixRationHivernaleComplèteChevauxSelle=OUI,ChoixRationHivernaleComplèteChevauxSelle="",ChoixChevauxSellePréHiver=NON),0,IFERROR(IF(OR(AND(INDEX(Règles_chevaux_selle[Specificite],MATCH(RationHivernaleAuPréChevauxSelle&amp;$EU179,Règles_chevaux_selle[Ration]&amp;Règles_chevaux_selle[Aliment],0))="s1",IF($EU179=Spécificité1ChevauxSelle,1)),
AND(INDEX(Règles_chevaux_selle[Specificite],MATCH(RationHivernaleAuPréChevauxSelle&amp;$EU179,Règles_chevaux_selle[Ration]&amp;Règles_chevaux_selle[Aliment],0))="s2",IF($EU179=Spécificité2ChevauxSelle,1)),
INDEX(Règles_chevaux_selle[Specificite],MATCH(RationHivernaleAuPréChevauxSelle&amp;$EU179,Règles_chevaux_selle[Ration]&amp;Règles_chevaux_selle[Aliment],0))="c"),
INDEX(Règles_chevaux_selle[Valeur 0-12],MATCH(RationHivernaleAuPréChevauxSelle&amp;$EU179,Règles_chevaux_selle[Ration]&amp;Règles_chevaux_selle[Aliment],0)),0),0)*SUM(TotalPoulainsSelle)*21)</f>
        <v>0</v>
      </c>
      <c r="EZ179" s="460">
        <f t="shared" si="53"/>
        <v>0</v>
      </c>
      <c r="FD179" s="457">
        <f t="shared" si="49"/>
        <v>0</v>
      </c>
      <c r="FE179" s="458">
        <f t="array" ref="FE179">IF(OR(ChoixRationHivernaleComplèteChevauxTrait=OUI,ChoixRationHivernaleComplèteChevauxTrait="",ChoixChevauxTraitPréHiver=NON),0,IFERROR(IF(OR(AND(INDEX(Règles_chevaux_trait[Specificite],MATCH(RationHivernaleAuPréChevauxTrait&amp;$FD179,Règles_chevaux_trait[Ration]&amp;Règles_chevaux_trait[Aliment],0))="s1",IF($FD179=Spécificité1ChevauxTrait,1)),
AND(INDEX(Règles_chevaux_trait[Specificite],MATCH(RationHivernaleAuPréChevauxTrait&amp;$FD179,Règles_chevaux_trait[Ration]&amp;Règles_chevaux_trait[Aliment],0))="s2",IF($FD179=Spécificité2ChevauxTrait,1)),
INDEX(Règles_chevaux_trait[Specificite],MATCH(RationHivernaleAuPréChevauxTrait&amp;$FD179,Règles_chevaux_trait[Ration]&amp;Règles_chevaux_trait[Aliment],0))="c"),
INDEX(Règles_chevaux_trait[Valeur 36 et plus],MATCH(RationHivernaleAuPréChevauxTrait&amp;$FD179,Règles_chevaux_trait[Ration]&amp;Règles_chevaux_trait[Aliment],0)),0),0)*SUM(TotalChevauxTraitAdultes)*21)</f>
        <v>0</v>
      </c>
      <c r="FF179" s="458">
        <f t="array" ref="FF179">IF(OR(ChoixRationHivernaleComplèteChevauxTrait=OUI,ChoixRationHivernaleComplèteChevauxTrait="",ChoixChevauxTraitPréHiver=NON),0,IFERROR(IF(OR(AND(INDEX(Règles_chevaux_trait[Specificite],MATCH(RationHivernaleAuPréChevauxTrait&amp;$FD179,Règles_chevaux_trait[Ration]&amp;Règles_chevaux_trait[Aliment],0))="s1",IF($FD179=Spécificité1ChevauxTrait,1)),
AND(INDEX(Règles_chevaux_trait[Specificite],MATCH(RationHivernaleAuPréChevauxTrait&amp;$FD179,Règles_chevaux_trait[Ration]&amp;Règles_chevaux_trait[Aliment],0))="s2",IF($FD179=Spécificité2ChevauxTrait,1)),
INDEX(Règles_chevaux_trait[Specificite],MATCH(RationHivernaleAuPréChevauxTrait&amp;$FD179,Règles_chevaux_trait[Ration]&amp;Règles_chevaux_trait[Aliment],0))="c"),
INDEX(Règles_chevaux_trait[Valeur 24-36],MATCH(RationHivernaleAuPréChevauxTrait&amp;$FD179,Règles_chevaux_trait[Ration]&amp;Règles_chevaux_trait[Aliment],0)),0),0)*SUM(TotalChevauxTrait_24_36mois)*21)</f>
        <v>0</v>
      </c>
      <c r="FG179" s="458">
        <f t="array" ref="FG179">IF(OR(ChoixRationHivernaleComplèteChevauxTrait=OUI,ChoixRationHivernaleComplèteChevauxTrait="",ChoixChevauxTraitPréHiver=NON),0,IFERROR(IF(OR(AND(INDEX(Règles_chevaux_trait[Specificite],MATCH(RationHivernaleAuPréChevauxTrait&amp;$FD179,Règles_chevaux_trait[Ration]&amp;Règles_chevaux_trait[Aliment],0))="s1",IF($FD179=Spécificité1ChevauxTrait,1)),
AND(INDEX(Règles_chevaux_trait[Specificite],MATCH(RationHivernaleAuPréChevauxTrait&amp;$FD179,Règles_chevaux_trait[Ration]&amp;Règles_chevaux_trait[Aliment],0))="s2",IF($FD179=Spécificité2ChevauxTrait,1)),
INDEX(Règles_chevaux_trait[Specificite],MATCH(RationHivernaleAuPréChevauxTrait&amp;$FD179,Règles_chevaux_trait[Ration]&amp;Règles_chevaux_trait[Aliment],0))="c"),
INDEX(Règles_chevaux_trait[Valeur 12-24],MATCH(RationHivernaleAuPréChevauxTrait&amp;$FD179,Règles_chevaux_trait[Ration]&amp;Règles_chevaux_trait[Aliment],0)),0),0)*SUM(TotalChevauxTrait_12_24mois)*21)</f>
        <v>0</v>
      </c>
      <c r="FH179" s="460">
        <f t="array" ref="FH179">IF(OR(ChoixRationHivernaleComplèteChevauxTrait=OUI,ChoixRationHivernaleComplèteChevauxTrait="",ChoixChevauxTraitPréHiver=NON),0,IFERROR(IF(OR(AND(INDEX(Règles_chevaux_trait[Specificite],MATCH(RationHivernaleAuPréChevauxTrait&amp;$FD179,Règles_chevaux_trait[Ration]&amp;Règles_chevaux_trait[Aliment],0))="s1",IF($FD179=Spécificité1ChevauxTrait,1)),
AND(INDEX(Règles_chevaux_trait[Specificite],MATCH(RationHivernaleAuPréChevauxTrait&amp;$FD179,Règles_chevaux_trait[Ration]&amp;Règles_chevaux_trait[Aliment],0))="s2",IF($FD179=Spécificité2ChevauxTrait,1)),
INDEX(Règles_chevaux_trait[Specificite],MATCH(RationHivernaleAuPréChevauxTrait&amp;$FD179,Règles_chevaux_trait[Ration]&amp;Règles_chevaux_trait[Aliment],0))="c"),
INDEX(Règles_chevaux_trait[Valeur 0-12],MATCH(RationHivernaleAuPréChevauxTrait&amp;$FD179,Règles_chevaux_trait[Ration]&amp;Règles_chevaux_trait[Aliment],0)),0),0)*SUM(TotalPoulainsTrait)*21)</f>
        <v>0</v>
      </c>
      <c r="FI179" s="460">
        <f t="shared" si="47"/>
        <v>0</v>
      </c>
      <c r="FN179" s="457">
        <f t="shared" si="48"/>
        <v>0</v>
      </c>
      <c r="FO179" s="458">
        <f t="array" ref="FO179">IF(OR(ChoixRationHivernaleComplètePoneys=OUI,ChoixRationHivernaleComplètePoneys="",ChoixPoneysPréHiver=NON),0,IFERROR(IF(OR(AND(INDEX(Règles_poneys[Specificite],MATCH(RationHivernaleAuPréPoneys&amp;$FN179,Règles_poneys[Ration]&amp;Règles_poneys[Aliment],0))="s1",IF($FN179=Spécificité1Poneys,1)),
AND(INDEX(Règles_poneys[Specificite],MATCH(RationHivernaleAuPréPoneys&amp;$FN179,Règles_poneys[Ration]&amp;Règles_poneys[Aliment],0))="s2",IF($FN179=Spécificité2Poneys,1)),
INDEX(Règles_poneys[Specificite],MATCH(RationHivernaleAuPréPoneys&amp;$FN179,Règles_poneys[Ration]&amp;Règles_poneys[Aliment],0))="c"),
INDEX(Règles_poneys[Valeur 36 et plus],MATCH(RationHivernaleAuPréPoneys&amp;$FN179,Règles_poneys[Ration]&amp;Règles_poneys[Aliment],0)),0),0)*SUM(TotalPoneysAdultes)*21)</f>
        <v>0</v>
      </c>
      <c r="FP179" s="458">
        <f t="array" ref="FP179">IF(OR(ChoixRationHivernaleComplètePoneys=OUI,ChoixRationHivernaleComplètePoneys="",ChoixPoneysPréHiver=NON),0,IFERROR(IF(OR(AND(INDEX(Règles_poneys[Specificite],MATCH(RationHivernaleAuPréPoneys&amp;$FN179,Règles_poneys[Ration]&amp;Règles_poneys[Aliment],0))="s1",IF($FN179=Spécificité1Poneys,1)),
AND(INDEX(Règles_poneys[Specificite],MATCH(RationHivernaleAuPréPoneys&amp;$FN179,Règles_poneys[Ration]&amp;Règles_poneys[Aliment],0))="s2",IF($FN179=Spécificité2Poneys,1)),
INDEX(Règles_poneys[Specificite],MATCH(RationHivernaleAuPréPoneys&amp;$FN179,Règles_poneys[Ration]&amp;Règles_poneys[Aliment],0))="c"),
INDEX(Règles_poneys[Valeur 24-36],MATCH(RationHivernaleAuPréPoneys&amp;$FN179,Règles_poneys[Ration]&amp;Règles_poneys[Aliment],0)),0),0)*SUM(TotalPoneys_24_36mois)*21)</f>
        <v>0</v>
      </c>
      <c r="FQ179" s="458">
        <f t="array" ref="FQ179">IF(OR(ChoixRationHivernaleComplètePoneys=OUI,ChoixRationHivernaleComplètePoneys="",ChoixPoneysPréHiver=NON),0,IFERROR(IF(OR(AND(INDEX(Règles_poneys[Specificite],MATCH(RationHivernaleAuPréPoneys&amp;$FN179,Règles_poneys[Ration]&amp;Règles_poneys[Aliment],0))="s1",IF($FN179=Spécificité1Poneys,1)),
AND(INDEX(Règles_poneys[Specificite],MATCH(RationHivernaleAuPréPoneys&amp;$FN179,Règles_poneys[Ration]&amp;Règles_poneys[Aliment],0))="s2",IF($FN179=Spécificité2Poneys,1)),
INDEX(Règles_poneys[Specificite],MATCH(RationHivernaleAuPréPoneys&amp;$FN179,Règles_poneys[Ration]&amp;Règles_poneys[Aliment],0))="c"),
INDEX(Règles_poneys[Valeur 12-24],MATCH(RationHivernaleAuPréPoneys&amp;$FN179,Règles_poneys[Ration]&amp;Règles_poneys[Aliment],0)),0),0)*SUM(TotalPoneys_12_24mois)*21)</f>
        <v>0</v>
      </c>
      <c r="FR179" s="460">
        <f t="array" ref="FR179">IF(OR(ChoixRationHivernaleComplètePoneys=OUI,ChoixRationHivernaleComplètePoneys="",ChoixPoneysPréHiver=NON),0,IFERROR(IF(OR(AND(INDEX(Règles_poneys[Specificite],MATCH(RationHivernaleAuPréPoneys&amp;$FN179,Règles_poneys[Ration]&amp;Règles_poneys[Aliment],0))="s1",IF($FN179=Spécificité1Poneys,1)),
AND(INDEX(Règles_poneys[Specificite],MATCH(RationHivernaleAuPréPoneys&amp;$FN179,Règles_poneys[Ration]&amp;Règles_poneys[Aliment],0))="s2",IF($FN179=Spécificité2Poneys,1)),
INDEX(Règles_poneys[Specificite],MATCH(RationHivernaleAuPréPoneys&amp;$FN179,Règles_poneys[Ration]&amp;Règles_poneys[Aliment],0))="c"),
INDEX(Règles_poneys[Valeur 0-12],MATCH(RationHivernaleAuPréPoneys&amp;$FN179,Règles_poneys[Ration]&amp;Règles_poneys[Aliment],0)),0),0)*SUM(TotalPoulainsPoneys)*21)</f>
        <v>0</v>
      </c>
      <c r="FS179" s="460">
        <f t="shared" si="46"/>
        <v>0</v>
      </c>
      <c r="FW179" s="281"/>
      <c r="FX179" s="281"/>
      <c r="FY179" s="281"/>
      <c r="FZ179" s="281"/>
      <c r="GB179" s="281"/>
      <c r="GG179" s="276" t="s">
        <v>955</v>
      </c>
      <c r="GH179" s="276" t="s">
        <v>955</v>
      </c>
      <c r="GI179" s="276" t="s">
        <v>955</v>
      </c>
      <c r="GJ179" s="276" t="s">
        <v>955</v>
      </c>
      <c r="GK179" s="276" t="s">
        <v>955</v>
      </c>
      <c r="GL179" s="276" t="s">
        <v>955</v>
      </c>
      <c r="GM179" s="276" t="s">
        <v>955</v>
      </c>
      <c r="GN179" s="276" t="s">
        <v>955</v>
      </c>
      <c r="GO179" s="276" t="s">
        <v>955</v>
      </c>
      <c r="GP179" s="276" t="s">
        <v>955</v>
      </c>
      <c r="GQ179" s="276" t="s">
        <v>955</v>
      </c>
      <c r="GR179" s="276" t="s">
        <v>955</v>
      </c>
      <c r="GS179" s="276" t="s">
        <v>955</v>
      </c>
      <c r="GT179" s="276" t="s">
        <v>955</v>
      </c>
      <c r="GU179" s="276" t="s">
        <v>955</v>
      </c>
      <c r="GV179" s="276" t="s">
        <v>955</v>
      </c>
    </row>
    <row r="180" spans="1:204" ht="12.75" customHeight="1" x14ac:dyDescent="0.2">
      <c r="A180" s="373"/>
      <c r="B180" s="382"/>
      <c r="BB180" s="387" t="s">
        <v>843</v>
      </c>
      <c r="BC180" s="362" t="s">
        <v>57</v>
      </c>
      <c r="BD180" s="362" t="s">
        <v>888</v>
      </c>
      <c r="BE180" s="388">
        <v>2.2000000000000002</v>
      </c>
      <c r="BF180" s="388">
        <v>1.8</v>
      </c>
      <c r="BG180" s="388">
        <v>1.4</v>
      </c>
      <c r="BH180" s="388">
        <v>1</v>
      </c>
      <c r="BI180" s="388">
        <v>0.8</v>
      </c>
      <c r="BJ180" s="388">
        <v>0.6</v>
      </c>
      <c r="BK180" s="389">
        <v>0</v>
      </c>
      <c r="BL180" s="276"/>
      <c r="BX180" s="229" t="s">
        <v>912</v>
      </c>
      <c r="BY180" s="229"/>
      <c r="BZ180" s="229"/>
      <c r="CA180" s="229"/>
      <c r="CB180" s="229"/>
      <c r="CC180" s="229"/>
      <c r="CD180" s="337"/>
      <c r="CE180" s="337"/>
      <c r="CF180" s="337"/>
      <c r="CG180" s="337"/>
      <c r="CH180" s="298"/>
      <c r="CI180" s="277"/>
      <c r="CK180" s="277"/>
      <c r="CL180" s="277"/>
      <c r="CM180" s="277"/>
      <c r="CN180" s="277"/>
      <c r="CO180" s="277"/>
      <c r="CP180" s="277"/>
      <c r="CS180" s="350" t="str">
        <f t="shared" si="59"/>
        <v>Ration complète</v>
      </c>
      <c r="CT180" s="351">
        <f t="array" ref="CT180">SUM((IF(QualitéAlimentsLapereauMâle_0_1_mois=BONNE,VLOOKUP("Ration complète",AlimentsRationLapinsMâles[],4,FALSE),0)+(IF(QualitéAlimentsLapereauFemelle_0_1_mois=BONNE,VLOOKUP("Ration complète",AlimentsRationLapinsFemelles[],4,FALSE),0)+(IF(QualitéAlimentsJeuneLapin=BONNE,VLOOKUP("Ration complète",AlimentsRationLapinsMâles[],3,FALSE),0)+(IF(QualitéAlimentsJeuneLapine=BONNE,VLOOKUP("Ration complète",AlimentsRationLapinsFemelles[],3,FALSE),0)+(IF(QualitéAlimentsLapin=BONNE,VLOOKUP("Ration complète",AlimentsRationLapinsMâles[],2,FALSE),0)+(IF(QualitéAlimentsLapine=BONNE,VLOOKUP("Ration complète",AlimentsRationLapinsFemelles[],2,FALSE),0))))))))</f>
        <v>0</v>
      </c>
      <c r="CU180" s="351">
        <f t="array" ref="CU180">SUM((IF(QualitéAlimentsLapereauMâle_0_1_mois=MOYENNE,VLOOKUP("Ration complète",AlimentsRationLapinsMâles[],4,FALSE),0)+(IF(QualitéAlimentsLapereauFemelle_0_1_mois=MOYENNE,VLOOKUP("Ration complète",AlimentsRationLapinsFemelles[],4,FALSE),0)+(IF(QualitéAlimentsJeuneLapin=MOYENNE,VLOOKUP("Ration complète",AlimentsRationLapinsMâles[],3,FALSE),0)+(IF(QualitéAlimentsJeuneLapine=MOYENNE,VLOOKUP("Ration complète",AlimentsRationLapinsFemelles[],3,FALSE),0)+(IF(QualitéAlimentsLapin=MOYENNE,VLOOKUP("Ration complète",AlimentsRationLapinsMâles[],2,FALSE),0)+(IF(QualitéAlimentsLapine=MOYENNE,VLOOKUP("Ration complète",AlimentsRationLapinsFemelles[],2,FALSE),0))))))))</f>
        <v>0</v>
      </c>
      <c r="CV180" s="351">
        <f t="array" ref="CV180">SUM((IF(QualitéAlimentsLapereauMâle_0_1_mois=MAUVAISE,VLOOKUP("Ration complète",AlimentsRationLapinsMâles[],4,FALSE),0)+(IF(QualitéAlimentsLapereauFemelle_0_1_mois=MAUVAISE,VLOOKUP("Ration complète",AlimentsRationLapinsFemelles[],4,FALSE),0)+(IF(QualitéAlimentsJeuneLapin=MAUVAISE,VLOOKUP("Ration complète",AlimentsRationLapinsMâles[],3,FALSE),0)+(IF(QualitéAlimentsJeuneLapine=MAUVAISE,VLOOKUP("Ration complète",AlimentsRationLapinsFemelles[],3,FALSE),0)+(IF(QualitéAlimentsLapin=MAUVAISE,VLOOKUP("Ration complète",AlimentsRationLapinsMâles[],2,FALSE),0)+(IF(QualitéAlimentsLapine=MAUVAISE,VLOOKUP("Ration complète",AlimentsRationLapinsFemelles[],2,FALSE),0))))))))</f>
        <v>0</v>
      </c>
      <c r="CZ180" s="350" t="str">
        <f t="shared" si="58"/>
        <v>Seigle</v>
      </c>
      <c r="DA180" s="351">
        <f t="array" ref="DA180">SUM((IF(QualitéAlimentsPoussinMâle_0_1_mois=BONNE,VLOOKUP("Seigle",AlimentsRationVolaillesMâles[],4,FALSE),0)+(IF(QualitéAlimentsPoussinFemelle_0_1_mois=BONNE,VLOOKUP("Seigle",AlimentsRationVolaillesFemelles[],4,FALSE),0)+(IF(QualitéAlimentsJeuneCoq=BONNE,VLOOKUP("Seigle",AlimentsRationVolaillesMâles[],3,FALSE),0)+(IF(QualitéAlimentsJeunePoule=BONNE,VLOOKUP("Seigle",AlimentsRationVolaillesFemelles[],3,FALSE),0)+(IF(QualitéAlimentsCoq=BONNE,VLOOKUP("Seigle",AlimentsRationVolaillesMâles[],2,FALSE),0)+(IF(QualitéAlimentsPoule=BONNE,VLOOKUP("Seigle",AlimentsRationVolaillesFemelles[],2,FALSE),0))))))))</f>
        <v>0</v>
      </c>
      <c r="DB180" s="351">
        <f t="array" ref="DB180">SUM((IF(QualitéAlimentsPoussinMâle_0_1_mois=MOYENNE,VLOOKUP("Seigle",AlimentsRationVolaillesMâles[],4,FALSE),0)+(IF(QualitéAlimentsPoussinFemelle_0_1_mois=MOYENNE,VLOOKUP("Seigle",AlimentsRationVolaillesFemelles[],4,FALSE),0)+(IF(QualitéAlimentsJeuneCoq=MOYENNE,VLOOKUP("Seigle",AlimentsRationVolaillesMâles[],3,FALSE),0)+(IF(QualitéAlimentsJeunePoule=MOYENNE,VLOOKUP("Seigle",AlimentsRationVolaillesFemelles[],3,FALSE),0)+(IF(QualitéAlimentsCoq=MOYENNE,VLOOKUP("Seigle",AlimentsRationVolaillesMâles[],2,FALSE),0)+(IF(QualitéAlimentsPoule=MOYENNE,VLOOKUP("Seigle",AlimentsRationVolaillesFemelles[],2,FALSE),0))))))))</f>
        <v>0</v>
      </c>
      <c r="DC180" s="351">
        <f t="array" ref="DC180">SUM((IF(QualitéAlimentsPoussinMâle_0_1_mois=MAUVAISE,VLOOKUP("Seigle",AlimentsRationVolaillesMâles[],4,FALSE),0)+(IF(QualitéAlimentsPoussinFemelle_0_1_mois=MAUVAISE,VLOOKUP("Seigle",AlimentsRationVolaillesFemelles[],4,FALSE),0)+(IF(QualitéAlimentsJeuneCoq=MAUVAISE,VLOOKUP("Seigle",AlimentsRationVolaillesMâles[],3,FALSE),0)+(IF(QualitéAlimentsJeunePoule=MAUVAISE,VLOOKUP("Seigle",AlimentsRationVolaillesFemelles[],3,FALSE),0)+(IF(QualitéAlimentsCoq=MAUVAISE,VLOOKUP("Seigle",AlimentsRationVolaillesMâles[],2,FALSE),0)+(IF(QualitéAlimentsPoule=MAUVAISE,VLOOKUP("Seigle",AlimentsRationVolaillesFemelles[],2,FALSE),0))))))))</f>
        <v>0</v>
      </c>
      <c r="DG180" s="350">
        <f t="shared" si="52"/>
        <v>0</v>
      </c>
      <c r="DH180" s="351"/>
      <c r="DI180" s="351"/>
      <c r="DJ180" s="351"/>
      <c r="DN180" s="350" t="s">
        <v>907</v>
      </c>
      <c r="DO180" s="351">
        <f t="array" ref="DO180">IF(ChoixRationComplèteOvins=OUI,0,IFERROR(IF(OR(AND(INDEX(Règles_ovins[Specificite],MATCH(ChoixRationOvins&amp;$DN180,Règles_ovins[Ration]&amp;Règles_ovins[Aliment],0))="s1",IF($DN180=Spécificité1Ovins,1)),
AND(INDEX(Règles_ovins[Specificite],MATCH(ChoixRationOvins&amp;$DN180,Règles_ovins[Ration]&amp;Règles_ovins[Aliment],0))="s2",IF($DN180=Spécificité2Ovins,1)),
INDEX(Règles_ovins[Specificite],MATCH(ChoixRationOvins&amp;$DN180,Règles_ovins[Ration]&amp;Règles_ovins[Aliment],0))="c"),
INDEX(Règles_ovins[Valeur 12 et plus],MATCH(ChoixRationOvins&amp;$DN180,Règles_ovins[Ration]&amp;Règles_ovins[Aliment],0)),0),0)*IF(ChoixOvinsPréHiver=OUI,SUM(TotalOvinsAdultesRacesLaitières)*NbreJoursNourrirOvins,TotalBéliers*NbreJoursNourrirOvins))</f>
        <v>0</v>
      </c>
      <c r="DP180" s="351">
        <f t="array" ref="DP180">IF(ChoixRationComplèteOvins=OUI,0,IFERROR(IF(OR(AND(INDEX(Règles_ovins[Specificite],MATCH(ChoixRationOvins&amp;$DN180,Règles_ovins[Ration]&amp;Règles_ovins[Aliment],0))="s1",IF($DN180=Spécificité1Ovins,1)),
AND(INDEX(Règles_ovins[Specificite],MATCH(ChoixRationOvins&amp;$DN180,Règles_ovins[Ration]&amp;Règles_ovins[Aliment],0))="s2",IF($DN180=Spécificité2Ovins,1)),
INDEX(Règles_ovins[Specificite],MATCH(ChoixRationOvins&amp;$DN180,Règles_ovins[Ration]&amp;Règles_ovins[Aliment],0))="c"),
INDEX(Règles_ovins[Valeur 6-12],MATCH(ChoixRationOvins&amp;$DN180,Règles_ovins[Ration]&amp;Règles_ovins[Aliment],0)),0),0)*IF(ChoixOvinsPréHiver=OUI,SUM(TotalJeunesOvinsRacesLaitières)*NbreJoursNourrirOvins,TotalJeune_bélier_6_12_mois*NbreJoursNourrirOvins))</f>
        <v>0</v>
      </c>
      <c r="DQ180" s="351">
        <f t="array" ref="DQ180">IF(ChoixRationComplèteOvins=OUI,0,IFERROR(IF(OR(AND(INDEX(Règles_ovins[Specificite],MATCH(ChoixRationOvins&amp;$DN180,Règles_ovins[Ration]&amp;Règles_ovins[Aliment],0))="s1",IF($DN180=Spécificité1Ovins,1)),
AND(INDEX(Règles_ovins[Specificite],MATCH(ChoixRationOvins&amp;$DN180,Règles_ovins[Ration]&amp;Règles_ovins[Aliment],0))="s2",IF($DN180=Spécificité2Ovins,1)),
INDEX(Règles_ovins[Specificite],MATCH(ChoixRationOvins&amp;$DN180,Règles_ovins[Ration]&amp;Règles_ovins[Aliment],0))="c"),
INDEX(Règles_ovins[Valeur 3-6],MATCH(ChoixRationOvins&amp;$DN180,Règles_ovins[Ration]&amp;Règles_ovins[Aliment],0)),0),0)*IF(ChoixOvinsPréHiver=OUI,SUM(TotalOvins_3_6moisRacesLaitières)*NbreJoursNourrirOvins,TotalAgneau_3_6_mois*NbreJoursNourrirOvins))</f>
        <v>0</v>
      </c>
      <c r="DR180" s="351">
        <f t="array" ref="DR180">IF(ChoixRationComplèteOvins=OUI,0,IFERROR(IF(OR(AND(INDEX(Règles_ovins[Specificite],MATCH(ChoixRationOvins&amp;$DN180,Règles_ovins[Ration]&amp;Règles_ovins[Aliment],0))="s1",IF($DN180=Spécificité1Ovins,1)),
AND(INDEX(Règles_ovins[Specificite],MATCH(ChoixRationOvins&amp;$DN180,Règles_ovins[Ration]&amp;Règles_ovins[Aliment],0))="s2",IF($DN180=Spécificité2Ovins,1)),
INDEX(Règles_ovins[Specificite],MATCH(ChoixRationOvins&amp;$DN180,Règles_ovins[Ration]&amp;Règles_ovins[Aliment],0))="c"),
INDEX(Règles_ovins[Valeur 0-3],MATCH(ChoixRationOvins&amp;$DN180,Règles_ovins[Ration]&amp;Règles_ovins[Aliment],0)),0),0)*IF(ChoixOvinsPréHiver=OUI,SUM(TotalOvins_3_6moisRacesLaitières)*NbreJoursNourrirOvins,TotalAgneau_0_3_mois*NbreJoursNourrirOvins))</f>
        <v>0</v>
      </c>
      <c r="DS180" s="441">
        <f t="shared" si="55"/>
        <v>0</v>
      </c>
      <c r="EG180" s="350" t="str">
        <f t="shared" si="57"/>
        <v>Tourteau de colza</v>
      </c>
      <c r="EH180" s="351">
        <f t="array" ref="EH180">SUM((IF(QualitéAlimentsOisonMâle_0_3_mois=BONNE,VLOOKUP("Tournesol de colza",AlimentsRationOiesMâles[],4,FALSE),0)+(IF(QualitéAlimentsOisonFemelle_0_3_mois=BONNE,VLOOKUP("Tournesol de colza",AlimentsRationOiesFemelles[],4,FALSE),0)+(IF(QualitéAlimentsJeuneJars=BONNE,VLOOKUP("Tournesol de colza",AlimentsRationOiesMâles[],3,FALSE),0)+(IF(QualitéAlimentsJeuneOie=BONNE,VLOOKUP("Tournesol de colza",AlimentsRationOiesFemelles[],3,FALSE),0)+(IF(QualitéAlimentsJars=BONNE,VLOOKUP("Tournesol de colza",AlimentsRationOiesMâles[],2,FALSE),0)+(IF(QualitéAlimentsOie=BONNE,VLOOKUP("Tournesol de colza",AlimentsRationOiesFemelles[],2,FALSE),0))))))))</f>
        <v>0</v>
      </c>
      <c r="EI180" s="351">
        <f t="array" ref="EI180">SUM((IF(QualitéAlimentsOisonMâle_0_3_mois=MOYENNE,VLOOKUP("Tournesol de colza",AlimentsRationOiesMâles[],4,FALSE),0)+(IF(QualitéAlimentsOisonFemelle_0_3_mois=MOYENNE,VLOOKUP("Tournesol de colza",AlimentsRationOiesFemelles[],4,FALSE),0)+(IF(QualitéAlimentsJeuneJars=MOYENNE,VLOOKUP("Tournesol de colza",AlimentsRationOiesMâles[],3,FALSE),0)+(IF(QualitéAlimentsJeuneOie=MOYENNE,VLOOKUP("Tournesol de colza",AlimentsRationOiesFemelles[],3,FALSE),0)+(IF(QualitéAlimentsJars=MOYENNE,VLOOKUP("Tournesol de colza",AlimentsRationOiesMâles[],2,FALSE),0)+(IF(QualitéAlimentsOie=MOYENNE,VLOOKUP("Tournesol de colza",AlimentsRationOiesFemelles[],2,FALSE),0))))))))</f>
        <v>0</v>
      </c>
      <c r="EJ180" s="351">
        <f t="array" ref="EJ180">SUM((IF(QualitéAlimentsOisonMâle_0_3_mois=MAUVAISE,VLOOKUP("Tournesol de colza",AlimentsRationOiesMâles[],4,FALSE),0)+(IF(QualitéAlimentsOisonFemelle_0_3_mois=MAUVAISE,VLOOKUP("Tournesol de colza",AlimentsRationOiesFemelles[],4,FALSE),0)+(IF(QualitéAlimentsJeuneJars=MAUVAISE,VLOOKUP("Tournesol de colza",AlimentsRationOiesMâles[],3,FALSE),0)+(IF(QualitéAlimentsJeuneOie=MAUVAISE,VLOOKUP("Tournesol de colza",AlimentsRationOiesFemelles[],3,FALSE),0)+(IF(QualitéAlimentsJars=MAUVAISE,VLOOKUP("Tournesol de colza",AlimentsRationOiesMâles[],2,FALSE),0)+(IF(QualitéAlimentsOie=MAUVAISE,VLOOKUP("Tournesol de colza",AlimentsRationOiesFemelles[],2,FALSE),0))))))))</f>
        <v>0</v>
      </c>
      <c r="EN180" s="457" t="str">
        <f t="shared" si="56"/>
        <v>Tourteau de tournesol</v>
      </c>
      <c r="EO180" s="458">
        <f t="array" ref="EO180">SUM((IF(QualitéAlimentsCanetonMâle=BONNE,VLOOKUP("Tournesol de tournesol",AlimentsRationCanardsMâles,4,FALSE),0)+(IF(QualitéAlimentsCanetonFemelle=BONNE,VLOOKUP("Tournesol de tournesol",AlimentsRationCanardsFemelles,4,FALSE),0)+(IF(QualitéAlimentsJeuneCanard=BONNE,VLOOKUP("Tournesol de tournesol",AlimentsRationCanardsMâles,3,FALSE),0)+(IF(QualitéAlimentsJeuneCane=BONNE,VLOOKUP("Tournesol de tournesol",AlimentsRationCanardsFemelles,3,FALSE),0)+(IF(QualitéAlimentsCanard=BONNE,VLOOKUP("Tournesol de tournesol",AlimentsRationCanardsMâles,2,FALSE),0)+(IF(QualitéAlimentsCane=BONNE,VLOOKUP("Tournesol de tournesol",AlimentsRationCanardsFemelles,2,FALSE),0))))))))</f>
        <v>0</v>
      </c>
      <c r="EP180" s="458">
        <f t="array" ref="EP180">SUM((IF(QualitéAlimentsCanetonMâle=MOYENNE,VLOOKUP("Tournesol de tournesol",AlimentsRationCanardsMâles,4,FALSE),0)+(IF(QualitéAlimentsCanetonFemelle=MOYENNE,VLOOKUP("Tournesol de tournesol",AlimentsRationCanardsFemelles,4,FALSE),0)+(IF(QualitéAlimentsJeuneCanard=MOYENNE,VLOOKUP("Tournesol de tournesol",AlimentsRationCanardsMâles,3,FALSE),0)+(IF(QualitéAlimentsJeuneCane=MOYENNE,VLOOKUP("Tournesol de tournesol",AlimentsRationCanardsFemelles,3,FALSE),0)+(IF(QualitéAlimentsCanard=MOYENNE,VLOOKUP("Tournesol de tournesol",AlimentsRationCanardsMâles,2,FALSE),0)+(IF(QualitéAlimentsCane=MOYENNE,VLOOKUP("Tournesol de tournesol",AlimentsRationCanardsFemelles,2,FALSE),0))))))))</f>
        <v>0</v>
      </c>
      <c r="EQ180" s="458">
        <f t="array" ref="EQ180">SUM((IF(QualitéAlimentsCanetonMâle=MAUVAISE,VLOOKUP("Tournesol de tournesol",AlimentsRationCanardsMâles,4,FALSE),0)+(IF(QualitéAlimentsCanetonFemelle=MAUVAISE,VLOOKUP("Tournesol de tournesol",AlimentsRationCanardsFemelles,4,FALSE),0)+(IF(QualitéAlimentsJeuneCanard=MAUVAISE,VLOOKUP("Tournesol de tournesol",AlimentsRationCanardsMâles,3,FALSE),0)+(IF(QualitéAlimentsJeuneCane=MAUVAISE,VLOOKUP("Tournesol de tournesol",AlimentsRationCanardsFemelles,3,FALSE),0)+(IF(QualitéAlimentsCanard=MAUVAISE,VLOOKUP("Tournesol de tournesol",AlimentsRationCanardsMâles,2,FALSE),0)+(IF(QualitéAlimentsCane=MAUVAISE,VLOOKUP("Tournesol de tournesol",AlimentsRationCanardsFemelles,2,FALSE),0))))))))</f>
        <v>0</v>
      </c>
      <c r="EU180" s="457" t="str">
        <f t="shared" si="54"/>
        <v>Triticale</v>
      </c>
      <c r="EV180" s="458">
        <f t="array" ref="EV180">IF(OR(ChoixRationHivernaleComplèteChevauxSelle=OUI,ChoixRationHivernaleComplèteChevauxSelle="",ChoixChevauxSellePréHiver=NON),0,IFERROR(IF(OR(AND(INDEX(Règles_chevaux_selle[Specificite],MATCH(RationHivernaleAuPréChevauxSelle&amp;$EU180,Règles_chevaux_selle[Ration]&amp;Règles_chevaux_selle[Aliment],0))="s1",IF($EU180=Spécificité1ChevauxSelle,1)),
AND(INDEX(Règles_chevaux_selle[Specificite],MATCH(RationHivernaleAuPréChevauxSelle&amp;$EU180,Règles_chevaux_selle[Ration]&amp;Règles_chevaux_selle[Aliment],0))="s2",IF($EU180=Spécificité2ChevauxSelle,1)),
INDEX(Règles_chevaux_selle[Specificite],MATCH(RationHivernaleAuPréChevauxSelle&amp;$EU180,Règles_chevaux_selle[Ration]&amp;Règles_chevaux_selle[Aliment],0))="c"),
INDEX(Règles_chevaux_selle[Valeur 36 et plus],MATCH(RationHivernaleAuPréChevauxSelle&amp;$EU180,Règles_chevaux_selle[Ration]&amp;Règles_chevaux_selle[Aliment],0)),0),0)*SUM(TotalChevauxSelleAdultes)*21)</f>
        <v>0</v>
      </c>
      <c r="EW180" s="458">
        <f t="array" ref="EW180">IF(OR(ChoixRationHivernaleComplèteChevauxSelle=OUI,ChoixRationHivernaleComplèteChevauxSelle="",ChoixChevauxSellePréHiver=NON),0,IFERROR(IF(OR(AND(INDEX(Règles_chevaux_selle[Specificite],MATCH(RationHivernaleAuPréChevauxSelle&amp;$EU180,Règles_chevaux_selle[Ration]&amp;Règles_chevaux_selle[Aliment],0))="s1",IF($EU180=Spécificité1ChevauxSelle,1)),
AND(INDEX(Règles_chevaux_selle[Specificite],MATCH(RationHivernaleAuPréChevauxSelle&amp;$EU180,Règles_chevaux_selle[Ration]&amp;Règles_chevaux_selle[Aliment],0))="s2",IF($EU180=Spécificité2ChevauxSelle,1)),
INDEX(Règles_chevaux_selle[Specificite],MATCH(RationHivernaleAuPréChevauxSelle&amp;$EU180,Règles_chevaux_selle[Ration]&amp;Règles_chevaux_selle[Aliment],0))="c"),
INDEX(Règles_chevaux_selle[Valeur 24-36],MATCH(RationHivernaleAuPréChevauxSelle&amp;$EU180,Règles_chevaux_selle[Ration]&amp;Règles_chevaux_selle[Aliment],0)),0),0)*SUM(TotalChevauxSelle_24_36mois)*21)</f>
        <v>0</v>
      </c>
      <c r="EX180" s="458">
        <f t="array" ref="EX180">IF(OR(ChoixRationHivernaleComplèteChevauxSelle=OUI,ChoixRationHivernaleComplèteChevauxSelle="",ChoixChevauxSellePréHiver=NON),0,IFERROR(IF(OR(AND(INDEX(Règles_chevaux_selle[Specificite],MATCH(RationHivernaleAuPréChevauxSelle&amp;$EU180,Règles_chevaux_selle[Ration]&amp;Règles_chevaux_selle[Aliment],0))="s1",IF($EU180=Spécificité1ChevauxSelle,1)),
AND(INDEX(Règles_chevaux_selle[Specificite],MATCH(RationHivernaleAuPréChevauxSelle&amp;$EU180,Règles_chevaux_selle[Ration]&amp;Règles_chevaux_selle[Aliment],0))="s2",IF($EU180=Spécificité2ChevauxSelle,1)),
INDEX(Règles_chevaux_selle[Specificite],MATCH(RationHivernaleAuPréChevauxSelle&amp;$EU180,Règles_chevaux_selle[Ration]&amp;Règles_chevaux_selle[Aliment],0))="c"),
INDEX(Règles_chevaux_selle[Valeur 12-24],MATCH(RationHivernaleAuPréChevauxSelle&amp;$EU180,Règles_chevaux_selle[Ration]&amp;Règles_chevaux_selle[Aliment],0)),0),0)*SUM(TotalChevauxSelle_12_24mois)*21)</f>
        <v>0</v>
      </c>
      <c r="EY180" s="460">
        <f t="array" ref="EY180">IF(OR(ChoixRationHivernaleComplèteChevauxSelle=OUI,ChoixRationHivernaleComplèteChevauxSelle="",ChoixChevauxSellePréHiver=NON),0,IFERROR(IF(OR(AND(INDEX(Règles_chevaux_selle[Specificite],MATCH(RationHivernaleAuPréChevauxSelle&amp;$EU180,Règles_chevaux_selle[Ration]&amp;Règles_chevaux_selle[Aliment],0))="s1",IF($EU180=Spécificité1ChevauxSelle,1)),
AND(INDEX(Règles_chevaux_selle[Specificite],MATCH(RationHivernaleAuPréChevauxSelle&amp;$EU180,Règles_chevaux_selle[Ration]&amp;Règles_chevaux_selle[Aliment],0))="s2",IF($EU180=Spécificité2ChevauxSelle,1)),
INDEX(Règles_chevaux_selle[Specificite],MATCH(RationHivernaleAuPréChevauxSelle&amp;$EU180,Règles_chevaux_selle[Ration]&amp;Règles_chevaux_selle[Aliment],0))="c"),
INDEX(Règles_chevaux_selle[Valeur 0-12],MATCH(RationHivernaleAuPréChevauxSelle&amp;$EU180,Règles_chevaux_selle[Ration]&amp;Règles_chevaux_selle[Aliment],0)),0),0)*SUM(TotalPoulainsSelle)*21)</f>
        <v>0</v>
      </c>
      <c r="EZ180" s="460">
        <f t="shared" si="53"/>
        <v>0</v>
      </c>
      <c r="FD180" s="457">
        <f t="shared" si="49"/>
        <v>0</v>
      </c>
      <c r="FE180" s="458">
        <f t="array" ref="FE180">IF(OR(ChoixRationHivernaleComplèteChevauxTrait=OUI,ChoixRationHivernaleComplèteChevauxTrait="",ChoixChevauxTraitPréHiver=NON),0,IFERROR(IF(OR(AND(INDEX(Règles_chevaux_trait[Specificite],MATCH(RationHivernaleAuPréChevauxTrait&amp;$FD180,Règles_chevaux_trait[Ration]&amp;Règles_chevaux_trait[Aliment],0))="s1",IF($FD180=Spécificité1ChevauxTrait,1)),
AND(INDEX(Règles_chevaux_trait[Specificite],MATCH(RationHivernaleAuPréChevauxTrait&amp;$FD180,Règles_chevaux_trait[Ration]&amp;Règles_chevaux_trait[Aliment],0))="s2",IF($FD180=Spécificité2ChevauxTrait,1)),
INDEX(Règles_chevaux_trait[Specificite],MATCH(RationHivernaleAuPréChevauxTrait&amp;$FD180,Règles_chevaux_trait[Ration]&amp;Règles_chevaux_trait[Aliment],0))="c"),
INDEX(Règles_chevaux_trait[Valeur 36 et plus],MATCH(RationHivernaleAuPréChevauxTrait&amp;$FD180,Règles_chevaux_trait[Ration]&amp;Règles_chevaux_trait[Aliment],0)),0),0)*SUM(TotalChevauxTraitAdultes)*21)</f>
        <v>0</v>
      </c>
      <c r="FF180" s="458">
        <f t="array" ref="FF180">IF(OR(ChoixRationHivernaleComplèteChevauxTrait=OUI,ChoixRationHivernaleComplèteChevauxTrait="",ChoixChevauxTraitPréHiver=NON),0,IFERROR(IF(OR(AND(INDEX(Règles_chevaux_trait[Specificite],MATCH(RationHivernaleAuPréChevauxTrait&amp;$FD180,Règles_chevaux_trait[Ration]&amp;Règles_chevaux_trait[Aliment],0))="s1",IF($FD180=Spécificité1ChevauxTrait,1)),
AND(INDEX(Règles_chevaux_trait[Specificite],MATCH(RationHivernaleAuPréChevauxTrait&amp;$FD180,Règles_chevaux_trait[Ration]&amp;Règles_chevaux_trait[Aliment],0))="s2",IF($FD180=Spécificité2ChevauxTrait,1)),
INDEX(Règles_chevaux_trait[Specificite],MATCH(RationHivernaleAuPréChevauxTrait&amp;$FD180,Règles_chevaux_trait[Ration]&amp;Règles_chevaux_trait[Aliment],0))="c"),
INDEX(Règles_chevaux_trait[Valeur 24-36],MATCH(RationHivernaleAuPréChevauxTrait&amp;$FD180,Règles_chevaux_trait[Ration]&amp;Règles_chevaux_trait[Aliment],0)),0),0)*SUM(TotalChevauxTrait_24_36mois)*21)</f>
        <v>0</v>
      </c>
      <c r="FG180" s="458">
        <f t="array" ref="FG180">IF(OR(ChoixRationHivernaleComplèteChevauxTrait=OUI,ChoixRationHivernaleComplèteChevauxTrait="",ChoixChevauxTraitPréHiver=NON),0,IFERROR(IF(OR(AND(INDEX(Règles_chevaux_trait[Specificite],MATCH(RationHivernaleAuPréChevauxTrait&amp;$FD180,Règles_chevaux_trait[Ration]&amp;Règles_chevaux_trait[Aliment],0))="s1",IF($FD180=Spécificité1ChevauxTrait,1)),
AND(INDEX(Règles_chevaux_trait[Specificite],MATCH(RationHivernaleAuPréChevauxTrait&amp;$FD180,Règles_chevaux_trait[Ration]&amp;Règles_chevaux_trait[Aliment],0))="s2",IF($FD180=Spécificité2ChevauxTrait,1)),
INDEX(Règles_chevaux_trait[Specificite],MATCH(RationHivernaleAuPréChevauxTrait&amp;$FD180,Règles_chevaux_trait[Ration]&amp;Règles_chevaux_trait[Aliment],0))="c"),
INDEX(Règles_chevaux_trait[Valeur 12-24],MATCH(RationHivernaleAuPréChevauxTrait&amp;$FD180,Règles_chevaux_trait[Ration]&amp;Règles_chevaux_trait[Aliment],0)),0),0)*SUM(TotalChevauxTrait_12_24mois)*21)</f>
        <v>0</v>
      </c>
      <c r="FH180" s="460">
        <f t="array" ref="FH180">IF(OR(ChoixRationHivernaleComplèteChevauxTrait=OUI,ChoixRationHivernaleComplèteChevauxTrait="",ChoixChevauxTraitPréHiver=NON),0,IFERROR(IF(OR(AND(INDEX(Règles_chevaux_trait[Specificite],MATCH(RationHivernaleAuPréChevauxTrait&amp;$FD180,Règles_chevaux_trait[Ration]&amp;Règles_chevaux_trait[Aliment],0))="s1",IF($FD180=Spécificité1ChevauxTrait,1)),
AND(INDEX(Règles_chevaux_trait[Specificite],MATCH(RationHivernaleAuPréChevauxTrait&amp;$FD180,Règles_chevaux_trait[Ration]&amp;Règles_chevaux_trait[Aliment],0))="s2",IF($FD180=Spécificité2ChevauxTrait,1)),
INDEX(Règles_chevaux_trait[Specificite],MATCH(RationHivernaleAuPréChevauxTrait&amp;$FD180,Règles_chevaux_trait[Ration]&amp;Règles_chevaux_trait[Aliment],0))="c"),
INDEX(Règles_chevaux_trait[Valeur 0-12],MATCH(RationHivernaleAuPréChevauxTrait&amp;$FD180,Règles_chevaux_trait[Ration]&amp;Règles_chevaux_trait[Aliment],0)),0),0)*SUM(TotalPoulainsTrait)*21)</f>
        <v>0</v>
      </c>
      <c r="FI180" s="460">
        <f t="shared" si="47"/>
        <v>0</v>
      </c>
      <c r="FS180" s="276"/>
      <c r="FW180" s="281"/>
      <c r="FX180" s="281"/>
      <c r="FY180" s="281"/>
      <c r="FZ180" s="281"/>
      <c r="GB180" s="281"/>
      <c r="GG180" s="276" t="s">
        <v>955</v>
      </c>
      <c r="GH180" s="276" t="s">
        <v>955</v>
      </c>
      <c r="GI180" s="276" t="s">
        <v>955</v>
      </c>
      <c r="GJ180" s="276" t="s">
        <v>955</v>
      </c>
      <c r="GK180" s="276" t="s">
        <v>955</v>
      </c>
      <c r="GL180" s="276" t="s">
        <v>955</v>
      </c>
      <c r="GM180" s="276" t="s">
        <v>955</v>
      </c>
      <c r="GN180" s="276" t="s">
        <v>955</v>
      </c>
      <c r="GO180" s="276" t="s">
        <v>955</v>
      </c>
      <c r="GP180" s="276" t="s">
        <v>955</v>
      </c>
      <c r="GQ180" s="276" t="s">
        <v>955</v>
      </c>
      <c r="GR180" s="276" t="s">
        <v>955</v>
      </c>
      <c r="GS180" s="276" t="s">
        <v>955</v>
      </c>
      <c r="GT180" s="276" t="s">
        <v>955</v>
      </c>
      <c r="GU180" s="276" t="s">
        <v>955</v>
      </c>
      <c r="GV180" s="276" t="s">
        <v>955</v>
      </c>
    </row>
    <row r="181" spans="1:204" ht="12.75" customHeight="1" x14ac:dyDescent="0.2">
      <c r="A181" s="373"/>
      <c r="B181" s="382"/>
      <c r="BB181" s="387" t="s">
        <v>843</v>
      </c>
      <c r="BC181" s="362" t="s">
        <v>905</v>
      </c>
      <c r="BD181" s="362" t="s">
        <v>886</v>
      </c>
      <c r="BE181" s="388">
        <v>1</v>
      </c>
      <c r="BF181" s="388">
        <v>0.8</v>
      </c>
      <c r="BG181" s="388">
        <v>0.7</v>
      </c>
      <c r="BH181" s="388">
        <v>0.5</v>
      </c>
      <c r="BI181" s="388">
        <v>0.4</v>
      </c>
      <c r="BJ181" s="388">
        <v>0.3</v>
      </c>
      <c r="BK181" s="389">
        <v>0</v>
      </c>
      <c r="BL181" s="276"/>
      <c r="BX181" s="394" t="s">
        <v>910</v>
      </c>
      <c r="BY181" s="415" t="s">
        <v>1141</v>
      </c>
      <c r="BZ181" s="415" t="s">
        <v>1142</v>
      </c>
      <c r="CA181" s="415" t="s">
        <v>1143</v>
      </c>
      <c r="CB181" s="415" t="s">
        <v>1144</v>
      </c>
      <c r="CC181" s="415" t="s">
        <v>1145</v>
      </c>
      <c r="CD181" s="415" t="s">
        <v>1146</v>
      </c>
      <c r="CE181" s="415" t="s">
        <v>1147</v>
      </c>
      <c r="CF181" s="415" t="s">
        <v>1148</v>
      </c>
      <c r="CG181" s="416" t="s">
        <v>903</v>
      </c>
      <c r="CH181" s="298"/>
      <c r="CI181" s="277"/>
      <c r="CK181" s="277"/>
      <c r="CL181" s="277"/>
      <c r="CM181" s="277"/>
      <c r="CN181" s="277"/>
      <c r="CO181" s="277"/>
      <c r="CP181" s="277"/>
      <c r="CS181" s="350" t="str">
        <f t="shared" si="59"/>
        <v>Seigle</v>
      </c>
      <c r="CT181" s="351">
        <f t="array" ref="CT181">SUM((IF(QualitéAlimentsLapereauMâle_0_1_mois=BONNE,VLOOKUP("Seigle",AlimentsRationLapinsMâles[],4,FALSE),0)+(IF(QualitéAlimentsLapereauFemelle_0_1_mois=BONNE,VLOOKUP("Seigle",AlimentsRationLapinsFemelles[],4,FALSE),0)+(IF(QualitéAlimentsJeuneLapin=BONNE,VLOOKUP("Seigle",AlimentsRationLapinsMâles[],3,FALSE),0)+(IF(QualitéAlimentsJeuneLapine=BONNE,VLOOKUP("Seigle",AlimentsRationLapinsFemelles[],3,FALSE),0)+(IF(QualitéAlimentsLapin=BONNE,VLOOKUP("Seigle",AlimentsRationLapinsMâles[],2,FALSE),0)+(IF(QualitéAlimentsLapine=BONNE,VLOOKUP("Seigle",AlimentsRationLapinsFemelles[],2,FALSE),0))))))))</f>
        <v>0</v>
      </c>
      <c r="CU181" s="351">
        <f t="array" ref="CU181">SUM((IF(QualitéAlimentsLapereauMâle_0_1_mois=MOYENNE,VLOOKUP("Seigle",AlimentsRationLapinsMâles[],4,FALSE),0)+(IF(QualitéAlimentsLapereauFemelle_0_1_mois=MOYENNE,VLOOKUP("Seigle",AlimentsRationLapinsFemelles[],4,FALSE),0)+(IF(QualitéAlimentsJeuneLapin=MOYENNE,VLOOKUP("Seigle",AlimentsRationLapinsMâles[],3,FALSE),0)+(IF(QualitéAlimentsJeuneLapine=MOYENNE,VLOOKUP("Seigle",AlimentsRationLapinsFemelles[],3,FALSE),0)+(IF(QualitéAlimentsLapin=MOYENNE,VLOOKUP("Seigle",AlimentsRationLapinsMâles[],2,FALSE),0)+(IF(QualitéAlimentsLapine=MOYENNE,VLOOKUP("Seigle",AlimentsRationLapinsFemelles[],2,FALSE),0))))))))</f>
        <v>0</v>
      </c>
      <c r="CV181" s="351">
        <f t="array" ref="CV181">SUM((IF(QualitéAlimentsLapereauMâle_0_1_mois=MAUVAISE,VLOOKUP("Seigle",AlimentsRationLapinsMâles[],4,FALSE),0)+(IF(QualitéAlimentsLapereauFemelle_0_1_mois=MAUVAISE,VLOOKUP("Seigle",AlimentsRationLapinsFemelles[],4,FALSE),0)+(IF(QualitéAlimentsJeuneLapin=MAUVAISE,VLOOKUP("Seigle",AlimentsRationLapinsMâles[],3,FALSE),0)+(IF(QualitéAlimentsJeuneLapine=MAUVAISE,VLOOKUP("Seigle",AlimentsRationLapinsFemelles[],3,FALSE),0)+(IF(QualitéAlimentsLapin=MAUVAISE,VLOOKUP("Seigle",AlimentsRationLapinsMâles[],2,FALSE),0)+(IF(QualitéAlimentsLapine=MAUVAISE,VLOOKUP("Seigle",AlimentsRationLapinsFemelles[],2,FALSE),0))))))))</f>
        <v>0</v>
      </c>
      <c r="CZ181" s="350" t="str">
        <f t="shared" si="58"/>
        <v>Soja</v>
      </c>
      <c r="DA181" s="351">
        <f t="array" ref="DA181">SUM((IF(QualitéAlimentsPoussinMâle_0_1_mois=BONNE,VLOOKUP("Soja",AlimentsRationVolaillesMâles[],4,FALSE),0)+(IF(QualitéAlimentsPoussinFemelle_0_1_mois=BONNE,VLOOKUP("Soja",AlimentsRationVolaillesFemelles[],4,FALSE),0)+(IF(QualitéAlimentsJeuneCoq=BONNE,VLOOKUP("Soja",AlimentsRationVolaillesMâles[],3,FALSE),0)+(IF(QualitéAlimentsJeunePoule=BONNE,VLOOKUP("Soja",AlimentsRationVolaillesFemelles[],3,FALSE),0)+(IF(QualitéAlimentsCoq=BONNE,VLOOKUP("Soja",AlimentsRationVolaillesMâles[],2,FALSE),0)+(IF(QualitéAlimentsPoule=BONNE,VLOOKUP("Soja",AlimentsRationVolaillesFemelles[],2,FALSE),0))))))))</f>
        <v>0</v>
      </c>
      <c r="DB181" s="351">
        <f t="array" ref="DB181">SUM((IF(QualitéAlimentsPoussinMâle_0_1_mois=MOYENNE,VLOOKUP("Soja",AlimentsRationVolaillesMâles[],4,FALSE),0)+(IF(QualitéAlimentsPoussinFemelle_0_1_mois=MOYENNE,VLOOKUP("Soja",AlimentsRationVolaillesFemelles[],4,FALSE),0)+(IF(QualitéAlimentsJeuneCoq=MOYENNE,VLOOKUP("Soja",AlimentsRationVolaillesMâles[],3,FALSE),0)+(IF(QualitéAlimentsJeunePoule=MOYENNE,VLOOKUP("Soja",AlimentsRationVolaillesFemelles[],3,FALSE),0)+(IF(QualitéAlimentsCoq=MOYENNE,VLOOKUP("Soja",AlimentsRationVolaillesMâles[],2,FALSE),0)+(IF(QualitéAlimentsPoule=MOYENNE,VLOOKUP("Soja",AlimentsRationVolaillesFemelles[],2,FALSE),0))))))))</f>
        <v>0</v>
      </c>
      <c r="DC181" s="351">
        <f t="array" ref="DC181">SUM((IF(QualitéAlimentsPoussinMâle_0_1_mois=MAUVAISE,VLOOKUP("Soja",AlimentsRationVolaillesMâles[],4,FALSE),0)+(IF(QualitéAlimentsPoussinFemelle_0_1_mois=MAUVAISE,VLOOKUP("Soja",AlimentsRationVolaillesFemelles[],4,FALSE),0)+(IF(QualitéAlimentsJeuneCoq=MAUVAISE,VLOOKUP("Soja",AlimentsRationVolaillesMâles[],3,FALSE),0)+(IF(QualitéAlimentsJeunePoule=MAUVAISE,VLOOKUP("Soja",AlimentsRationVolaillesFemelles[],3,FALSE),0)+(IF(QualitéAlimentsCoq=MAUVAISE,VLOOKUP("Soja",AlimentsRationVolaillesMâles[],2,FALSE),0)+(IF(QualitéAlimentsPoule=MAUVAISE,VLOOKUP("Soja",AlimentsRationVolaillesFemelles[],2,FALSE),0))))))))</f>
        <v>0</v>
      </c>
      <c r="DG181" s="350">
        <f t="shared" si="52"/>
        <v>0</v>
      </c>
      <c r="DH181" s="351"/>
      <c r="DI181" s="351"/>
      <c r="DJ181" s="351"/>
      <c r="DN181" s="350" t="s">
        <v>908</v>
      </c>
      <c r="DO181" s="351">
        <f t="array" ref="DO181">IF(ChoixRationComplèteOvins=OUI,0,IFERROR(IF(OR(AND(INDEX(Règles_ovins[Specificite],MATCH(ChoixRationOvins&amp;$DN181,Règles_ovins[Ration]&amp;Règles_ovins[Aliment],0))="s1",IF($DN181=Spécificité1Ovins,1)),
AND(INDEX(Règles_ovins[Specificite],MATCH(ChoixRationOvins&amp;$DN181,Règles_ovins[Ration]&amp;Règles_ovins[Aliment],0))="s2",IF($DN181=Spécificité2Ovins,1)),
INDEX(Règles_ovins[Specificite],MATCH(ChoixRationOvins&amp;$DN181,Règles_ovins[Ration]&amp;Règles_ovins[Aliment],0))="c"),
INDEX(Règles_ovins[Valeur 12 et plus],MATCH(ChoixRationOvins&amp;$DN181,Règles_ovins[Ration]&amp;Règles_ovins[Aliment],0)),0),0)*IF(ChoixOvinsPréHiver=OUI,SUM(TotalOvinsAdultesRacesLaitières)*NbreJoursNourrirOvins,TotalBéliers*NbreJoursNourrirOvins))</f>
        <v>0</v>
      </c>
      <c r="DP181" s="351">
        <f t="array" ref="DP181">IF(ChoixRationComplèteOvins=OUI,0,IFERROR(IF(OR(AND(INDEX(Règles_ovins[Specificite],MATCH(ChoixRationOvins&amp;$DN181,Règles_ovins[Ration]&amp;Règles_ovins[Aliment],0))="s1",IF($DN181=Spécificité1Ovins,1)),
AND(INDEX(Règles_ovins[Specificite],MATCH(ChoixRationOvins&amp;$DN181,Règles_ovins[Ration]&amp;Règles_ovins[Aliment],0))="s2",IF($DN181=Spécificité2Ovins,1)),
INDEX(Règles_ovins[Specificite],MATCH(ChoixRationOvins&amp;$DN181,Règles_ovins[Ration]&amp;Règles_ovins[Aliment],0))="c"),
INDEX(Règles_ovins[Valeur 6-12],MATCH(ChoixRationOvins&amp;$DN181,Règles_ovins[Ration]&amp;Règles_ovins[Aliment],0)),0),0)*IF(ChoixOvinsPréHiver=OUI,SUM(TotalJeunesOvinsRacesLaitières)*NbreJoursNourrirOvins,TotalJeune_bélier_6_12_mois*NbreJoursNourrirOvins))</f>
        <v>0</v>
      </c>
      <c r="DQ181" s="351">
        <f t="array" ref="DQ181">IF(ChoixRationComplèteOvins=OUI,0,IFERROR(IF(OR(AND(INDEX(Règles_ovins[Specificite],MATCH(ChoixRationOvins&amp;$DN181,Règles_ovins[Ration]&amp;Règles_ovins[Aliment],0))="s1",IF($DN181=Spécificité1Ovins,1)),
AND(INDEX(Règles_ovins[Specificite],MATCH(ChoixRationOvins&amp;$DN181,Règles_ovins[Ration]&amp;Règles_ovins[Aliment],0))="s2",IF($DN181=Spécificité2Ovins,1)),
INDEX(Règles_ovins[Specificite],MATCH(ChoixRationOvins&amp;$DN181,Règles_ovins[Ration]&amp;Règles_ovins[Aliment],0))="c"),
INDEX(Règles_ovins[Valeur 3-6],MATCH(ChoixRationOvins&amp;$DN181,Règles_ovins[Ration]&amp;Règles_ovins[Aliment],0)),0),0)*IF(ChoixOvinsPréHiver=OUI,SUM(TotalOvins_3_6moisRacesLaitières)*NbreJoursNourrirOvins,TotalAgneau_3_6_mois*NbreJoursNourrirOvins))</f>
        <v>0</v>
      </c>
      <c r="DR181" s="351">
        <f t="array" ref="DR181">IF(ChoixRationComplèteOvins=OUI,0,IFERROR(IF(OR(AND(INDEX(Règles_ovins[Specificite],MATCH(ChoixRationOvins&amp;$DN181,Règles_ovins[Ration]&amp;Règles_ovins[Aliment],0))="s1",IF($DN181=Spécificité1Ovins,1)),
AND(INDEX(Règles_ovins[Specificite],MATCH(ChoixRationOvins&amp;$DN181,Règles_ovins[Ration]&amp;Règles_ovins[Aliment],0))="s2",IF($DN181=Spécificité2Ovins,1)),
INDEX(Règles_ovins[Specificite],MATCH(ChoixRationOvins&amp;$DN181,Règles_ovins[Ration]&amp;Règles_ovins[Aliment],0))="c"),
INDEX(Règles_ovins[Valeur 0-3],MATCH(ChoixRationOvins&amp;$DN181,Règles_ovins[Ration]&amp;Règles_ovins[Aliment],0)),0),0)*IF(ChoixOvinsPréHiver=OUI,SUM(TotalOvins_3_6moisRacesLaitières)*NbreJoursNourrirOvins,TotalAgneau_0_3_mois*NbreJoursNourrirOvins))</f>
        <v>0</v>
      </c>
      <c r="DS181" s="441">
        <f t="shared" si="55"/>
        <v>0</v>
      </c>
      <c r="EG181" s="350" t="str">
        <f t="shared" si="57"/>
        <v>Tourteau de tournesol</v>
      </c>
      <c r="EH181" s="351">
        <f t="array" ref="EH181">SUM((IF(QualitéAlimentsOisonMâle_0_3_mois=BONNE,VLOOKUP("Tournesol de tournesol",AlimentsRationOiesMâles[],4,FALSE),0)+(IF(QualitéAlimentsOisonFemelle_0_3_mois=BONNE,VLOOKUP("Tournesol de tournesol",AlimentsRationOiesFemelles[],4,FALSE),0)+(IF(QualitéAlimentsJeuneJars=BONNE,VLOOKUP("Tournesol de tournesol",AlimentsRationOiesMâles[],3,FALSE),0)+(IF(QualitéAlimentsJeuneOie=BONNE,VLOOKUP("Tournesol de tournesol",AlimentsRationOiesFemelles[],3,FALSE),0)+(IF(QualitéAlimentsJars=BONNE,VLOOKUP("Tournesol de tournesol",AlimentsRationOiesMâles[],2,FALSE),0)+(IF(QualitéAlimentsOie=BONNE,VLOOKUP("Tournesol de tournesol",AlimentsRationOiesFemelles[],2,FALSE),0))))))))</f>
        <v>0</v>
      </c>
      <c r="EI181" s="351">
        <f t="array" ref="EI181">SUM((IF(QualitéAlimentsOisonMâle_0_3_mois=MOYENNE,VLOOKUP("Tournesol de tournesol",AlimentsRationOiesMâles[],4,FALSE),0)+(IF(QualitéAlimentsOisonFemelle_0_3_mois=MOYENNE,VLOOKUP("Tournesol de tournesol",AlimentsRationOiesFemelles[],4,FALSE),0)+(IF(QualitéAlimentsJeuneJars=MOYENNE,VLOOKUP("Tournesol de tournesol",AlimentsRationOiesMâles[],3,FALSE),0)+(IF(QualitéAlimentsJeuneOie=MOYENNE,VLOOKUP("Tournesol de tournesol",AlimentsRationOiesFemelles[],3,FALSE),0)+(IF(QualitéAlimentsJars=MOYENNE,VLOOKUP("Tournesol de tournesol",AlimentsRationOiesMâles[],2,FALSE),0)+(IF(QualitéAlimentsOie=MOYENNE,VLOOKUP("Tournesol de tournesol",AlimentsRationOiesFemelles[],2,FALSE),0))))))))</f>
        <v>0</v>
      </c>
      <c r="EJ181" s="351">
        <f t="array" ref="EJ181">SUM((IF(QualitéAlimentsOisonMâle_0_3_mois=MAUVAISE,VLOOKUP("Tournesol de tournesol",AlimentsRationOiesMâles[],4,FALSE),0)+(IF(QualitéAlimentsOisonFemelle_0_3_mois=MAUVAISE,VLOOKUP("Tournesol de tournesol",AlimentsRationOiesFemelles[],4,FALSE),0)+(IF(QualitéAlimentsJeuneJars=MAUVAISE,VLOOKUP("Tournesol de tournesol",AlimentsRationOiesMâles[],3,FALSE),0)+(IF(QualitéAlimentsJeuneOie=MAUVAISE,VLOOKUP("Tournesol de tournesol",AlimentsRationOiesFemelles[],3,FALSE),0)+(IF(QualitéAlimentsJars=MAUVAISE,VLOOKUP("Tournesol de tournesol",AlimentsRationOiesMâles[],2,FALSE),0)+(IF(QualitéAlimentsOie=MAUVAISE,VLOOKUP("Tournesol de tournesol",AlimentsRationOiesFemelles[],2,FALSE),0))))))))</f>
        <v>0</v>
      </c>
      <c r="EN181" s="457" t="str">
        <f t="shared" si="56"/>
        <v>Triticale</v>
      </c>
      <c r="EO181" s="458">
        <f t="array" ref="EO181">SUM((IF(QualitéAlimentsCanetonMâle=BONNE,VLOOKUP("Triticale",AlimentsRationCanardsMâles,4,FALSE),0)+(IF(QualitéAlimentsCanetonFemelle=BONNE,VLOOKUP("Triticale",AlimentsRationCanardsFemelles,4,FALSE),0)+(IF(QualitéAlimentsJeuneCanard=BONNE,VLOOKUP("Triticale",AlimentsRationCanardsMâles,3,FALSE),0)+(IF(QualitéAlimentsJeuneCane=BONNE,VLOOKUP("Triticale",AlimentsRationCanardsFemelles,3,FALSE),0)+(IF(QualitéAlimentsCanard=BONNE,VLOOKUP("Triticale",AlimentsRationCanardsMâles,2,FALSE),0)+(IF(QualitéAlimentsCane=BONNE,VLOOKUP("Triticale",AlimentsRationCanardsFemelles,2,FALSE),0))))))))</f>
        <v>0</v>
      </c>
      <c r="EP181" s="458">
        <f t="array" ref="EP181">SUM((IF(QualitéAlimentsCanetonMâle=MOYENNE,VLOOKUP("Triticale",AlimentsRationCanardsMâles,4,FALSE),0)+(IF(QualitéAlimentsCanetonFemelle=MOYENNE,VLOOKUP("Triticale",AlimentsRationCanardsFemelles,4,FALSE),0)+(IF(QualitéAlimentsJeuneCanard=MOYENNE,VLOOKUP("Triticale",AlimentsRationCanardsMâles,3,FALSE),0)+(IF(QualitéAlimentsJeuneCane=MOYENNE,VLOOKUP("Triticale",AlimentsRationCanardsFemelles,3,FALSE),0)+(IF(QualitéAlimentsCanard=MOYENNE,VLOOKUP("Triticale",AlimentsRationCanardsMâles,2,FALSE),0)+(IF(QualitéAlimentsCane=MOYENNE,VLOOKUP("Triticale",AlimentsRationCanardsFemelles,2,FALSE),0))))))))</f>
        <v>0</v>
      </c>
      <c r="EQ181" s="458">
        <f t="array" ref="EQ181">SUM((IF(QualitéAlimentsCanetonMâle=MAUVAISE,VLOOKUP("Triticale",AlimentsRationCanardsMâles,4,FALSE),0)+(IF(QualitéAlimentsCanetonFemelle=MAUVAISE,VLOOKUP("Triticale",AlimentsRationCanardsFemelles,4,FALSE),0)+(IF(QualitéAlimentsJeuneCanard=MAUVAISE,VLOOKUP("Triticale",AlimentsRationCanardsMâles,3,FALSE),0)+(IF(QualitéAlimentsJeuneCane=MAUVAISE,VLOOKUP("Triticale",AlimentsRationCanardsFemelles,3,FALSE),0)+(IF(QualitéAlimentsCanard=MAUVAISE,VLOOKUP("Triticale",AlimentsRationCanardsMâles,2,FALSE),0)+(IF(QualitéAlimentsCane=MAUVAISE,VLOOKUP("Triticale",AlimentsRationCanardsFemelles,2,FALSE),0))))))))</f>
        <v>0</v>
      </c>
      <c r="EU181" s="457">
        <f t="shared" si="54"/>
        <v>0</v>
      </c>
      <c r="EV181" s="458">
        <f t="array" ref="EV181">IF(OR(ChoixRationHivernaleComplèteChevauxSelle=OUI,ChoixRationHivernaleComplèteChevauxSelle="",ChoixChevauxSellePréHiver=NON),0,IFERROR(IF(OR(AND(INDEX(Règles_chevaux_selle[Specificite],MATCH(RationHivernaleAuPréChevauxSelle&amp;$EU181,Règles_chevaux_selle[Ration]&amp;Règles_chevaux_selle[Aliment],0))="s1",IF($EU181=Spécificité1ChevauxSelle,1)),
AND(INDEX(Règles_chevaux_selle[Specificite],MATCH(RationHivernaleAuPréChevauxSelle&amp;$EU181,Règles_chevaux_selle[Ration]&amp;Règles_chevaux_selle[Aliment],0))="s2",IF($EU181=Spécificité2ChevauxSelle,1)),
INDEX(Règles_chevaux_selle[Specificite],MATCH(RationHivernaleAuPréChevauxSelle&amp;$EU181,Règles_chevaux_selle[Ration]&amp;Règles_chevaux_selle[Aliment],0))="c"),
INDEX(Règles_chevaux_selle[Valeur 36 et plus],MATCH(RationHivernaleAuPréChevauxSelle&amp;$EU181,Règles_chevaux_selle[Ration]&amp;Règles_chevaux_selle[Aliment],0)),0),0)*SUM(TotalChevauxSelleAdultes)*21)</f>
        <v>0</v>
      </c>
      <c r="EW181" s="458">
        <f t="array" ref="EW181">IF(OR(ChoixRationHivernaleComplèteChevauxSelle=OUI,ChoixRationHivernaleComplèteChevauxSelle="",ChoixChevauxSellePréHiver=NON),0,IFERROR(IF(OR(AND(INDEX(Règles_chevaux_selle[Specificite],MATCH(RationHivernaleAuPréChevauxSelle&amp;$EU181,Règles_chevaux_selle[Ration]&amp;Règles_chevaux_selle[Aliment],0))="s1",IF($EU181=Spécificité1ChevauxSelle,1)),
AND(INDEX(Règles_chevaux_selle[Specificite],MATCH(RationHivernaleAuPréChevauxSelle&amp;$EU181,Règles_chevaux_selle[Ration]&amp;Règles_chevaux_selle[Aliment],0))="s2",IF($EU181=Spécificité2ChevauxSelle,1)),
INDEX(Règles_chevaux_selle[Specificite],MATCH(RationHivernaleAuPréChevauxSelle&amp;$EU181,Règles_chevaux_selle[Ration]&amp;Règles_chevaux_selle[Aliment],0))="c"),
INDEX(Règles_chevaux_selle[Valeur 24-36],MATCH(RationHivernaleAuPréChevauxSelle&amp;$EU181,Règles_chevaux_selle[Ration]&amp;Règles_chevaux_selle[Aliment],0)),0),0)*SUM(TotalChevauxSelle_24_36mois)*21)</f>
        <v>0</v>
      </c>
      <c r="EX181" s="458">
        <f t="array" ref="EX181">IF(OR(ChoixRationHivernaleComplèteChevauxSelle=OUI,ChoixRationHivernaleComplèteChevauxSelle="",ChoixChevauxSellePréHiver=NON),0,IFERROR(IF(OR(AND(INDEX(Règles_chevaux_selle[Specificite],MATCH(RationHivernaleAuPréChevauxSelle&amp;$EU181,Règles_chevaux_selle[Ration]&amp;Règles_chevaux_selle[Aliment],0))="s1",IF($EU181=Spécificité1ChevauxSelle,1)),
AND(INDEX(Règles_chevaux_selle[Specificite],MATCH(RationHivernaleAuPréChevauxSelle&amp;$EU181,Règles_chevaux_selle[Ration]&amp;Règles_chevaux_selle[Aliment],0))="s2",IF($EU181=Spécificité2ChevauxSelle,1)),
INDEX(Règles_chevaux_selle[Specificite],MATCH(RationHivernaleAuPréChevauxSelle&amp;$EU181,Règles_chevaux_selle[Ration]&amp;Règles_chevaux_selle[Aliment],0))="c"),
INDEX(Règles_chevaux_selle[Valeur 12-24],MATCH(RationHivernaleAuPréChevauxSelle&amp;$EU181,Règles_chevaux_selle[Ration]&amp;Règles_chevaux_selle[Aliment],0)),0),0)*SUM(TotalChevauxSelle_12_24mois)*21)</f>
        <v>0</v>
      </c>
      <c r="EY181" s="460">
        <f t="array" ref="EY181">IF(OR(ChoixRationHivernaleComplèteChevauxSelle=OUI,ChoixRationHivernaleComplèteChevauxSelle="",ChoixChevauxSellePréHiver=NON),0,IFERROR(IF(OR(AND(INDEX(Règles_chevaux_selle[Specificite],MATCH(RationHivernaleAuPréChevauxSelle&amp;$EU181,Règles_chevaux_selle[Ration]&amp;Règles_chevaux_selle[Aliment],0))="s1",IF($EU181=Spécificité1ChevauxSelle,1)),
AND(INDEX(Règles_chevaux_selle[Specificite],MATCH(RationHivernaleAuPréChevauxSelle&amp;$EU181,Règles_chevaux_selle[Ration]&amp;Règles_chevaux_selle[Aliment],0))="s2",IF($EU181=Spécificité2ChevauxSelle,1)),
INDEX(Règles_chevaux_selle[Specificite],MATCH(RationHivernaleAuPréChevauxSelle&amp;$EU181,Règles_chevaux_selle[Ration]&amp;Règles_chevaux_selle[Aliment],0))="c"),
INDEX(Règles_chevaux_selle[Valeur 0-12],MATCH(RationHivernaleAuPréChevauxSelle&amp;$EU181,Règles_chevaux_selle[Ration]&amp;Règles_chevaux_selle[Aliment],0)),0),0)*SUM(TotalPoulainsSelle)*21)</f>
        <v>0</v>
      </c>
      <c r="EZ181" s="460">
        <f t="shared" si="53"/>
        <v>0</v>
      </c>
      <c r="FI181" s="276"/>
      <c r="FN181" s="335" t="s">
        <v>1032</v>
      </c>
      <c r="FO181" s="343"/>
      <c r="FP181" s="343"/>
      <c r="FQ181" s="343"/>
      <c r="FR181" s="335"/>
      <c r="FS181" s="335"/>
      <c r="FW181" s="281"/>
      <c r="FX181" s="281"/>
      <c r="FY181" s="281"/>
      <c r="FZ181" s="281"/>
      <c r="GB181" s="281"/>
      <c r="GG181" s="276" t="s">
        <v>955</v>
      </c>
      <c r="GH181" s="276" t="s">
        <v>955</v>
      </c>
      <c r="GI181" s="276" t="s">
        <v>955</v>
      </c>
      <c r="GJ181" s="276" t="s">
        <v>955</v>
      </c>
      <c r="GK181" s="276" t="s">
        <v>955</v>
      </c>
      <c r="GL181" s="276" t="s">
        <v>955</v>
      </c>
      <c r="GM181" s="276" t="s">
        <v>955</v>
      </c>
      <c r="GN181" s="276" t="s">
        <v>955</v>
      </c>
      <c r="GO181" s="276" t="s">
        <v>955</v>
      </c>
      <c r="GP181" s="276" t="s">
        <v>955</v>
      </c>
      <c r="GQ181" s="276" t="s">
        <v>955</v>
      </c>
      <c r="GR181" s="276" t="s">
        <v>955</v>
      </c>
      <c r="GS181" s="276" t="s">
        <v>955</v>
      </c>
      <c r="GT181" s="276" t="s">
        <v>955</v>
      </c>
      <c r="GU181" s="276" t="s">
        <v>955</v>
      </c>
      <c r="GV181" s="276" t="s">
        <v>955</v>
      </c>
    </row>
    <row r="182" spans="1:204" ht="12.75" customHeight="1" x14ac:dyDescent="0.2">
      <c r="A182" s="373"/>
      <c r="B182" s="382"/>
      <c r="BB182" s="387" t="s">
        <v>843</v>
      </c>
      <c r="BC182" s="362" t="s">
        <v>518</v>
      </c>
      <c r="BD182" s="362" t="s">
        <v>886</v>
      </c>
      <c r="BE182" s="388">
        <v>200</v>
      </c>
      <c r="BF182" s="388">
        <v>100</v>
      </c>
      <c r="BG182" s="388">
        <v>80</v>
      </c>
      <c r="BH182" s="388">
        <v>60</v>
      </c>
      <c r="BI182" s="388">
        <v>40</v>
      </c>
      <c r="BJ182" s="388">
        <v>28</v>
      </c>
      <c r="BK182" s="389">
        <v>12</v>
      </c>
      <c r="BL182" s="276"/>
      <c r="BX182" s="397" t="s">
        <v>508</v>
      </c>
      <c r="BY182" s="417">
        <f t="array" ref="BY182">IF(ChoixRationComplèteCaprins=NON,0,IFERROR(IF(OR(AND(INDEX(Règles_caprins[Specificite],MATCH(ChoixRationCaprins&amp;Ration_complète_caprins[[#This Row],[aliment]],Règles_caprins[Ration]&amp;Règles_caprins[Aliment],0))="s1",IF(Ration_complète_caprins[[#This Row],[aliment]]=Spécificité1Caprins,1)),
AND(INDEX(Règles_caprins[Specificite],MATCH(ChoixRationCaprins&amp;Ration_complète_caprins[[#This Row],[aliment]],Règles_caprins[Ration]&amp;Règles_caprins[Aliment],0))="s2",IF(Ration_complète_caprins[[#This Row],[aliment]]=Spécificité1Caprins,1)),
INDEX(Règles_caprins[Specificite],MATCH(ChoixRationCaprins&amp;Ration_complète_caprins[[#This Row],[aliment]],Règles_caprins[Ration]&amp;Règles_caprins[Aliment],0))="c",INDEX(Règles_caprins[Specificite],MATCH(ChoixRationCaprins&amp;Ration_complète_caprins[[#This Row],[aliment]],Règles_caprins[Ration]&amp;Règles_caprins[Aliment],0))="complet"),
INDEX(Règles_caprins[Valeur 12 et plus],MATCH(ChoixRationCaprins&amp;Ration_complète_caprins[[#This Row],[aliment]],Règles_caprins[Ration]&amp;Règles_caprins[Aliment],0)),0),0)*SUM(TotalBoucs)*SUM(AC76:AC100))</f>
        <v>0</v>
      </c>
      <c r="BZ182" s="417">
        <f t="array" ref="BZ182">IF(ChoixRationComplèteCaprins=NON,0,IFERROR(IF(OR(AND(INDEX(Règles_caprins[Specificite],MATCH(ChoixRationCaprins&amp;Ration_complète_caprins[[#This Row],[aliment]],Règles_caprins[Ration]&amp;Règles_caprins[Aliment],0))="s1",IF(Ration_complète_caprins[[#This Row],[aliment]]=Spécificité1Caprins,1)),
AND(INDEX(Règles_caprins[Specificite],MATCH(ChoixRationCaprins&amp;Ration_complète_caprins[[#This Row],[aliment]],Règles_caprins[Ration]&amp;Règles_caprins[Aliment],0))="s2",IF(Ration_complète_caprins[[#This Row],[aliment]]=Spécificité1Caprins,1)),
INDEX(Règles_caprins[Specificite],MATCH(ChoixRationCaprins&amp;Ration_complète_caprins[[#This Row],[aliment]],Règles_caprins[Ration]&amp;Règles_caprins[Aliment],0))="c",INDEX(Règles_caprins[Specificite],MATCH(ChoixRationCaprins&amp;Ration_complète_caprins[[#This Row],[aliment]],Règles_caprins[Ration]&amp;Règles_caprins[Aliment],0))="complet"),
INDEX(Règles_caprins[Valeur 12 et plus],MATCH(ChoixRationCaprins&amp;Ration_complète_caprins[[#This Row],[aliment]],Règles_caprins[Ration]&amp;Règles_caprins[Aliment],0)),0),0)*SUM(TotalChèvres)*SUM(AC76:AC100))</f>
        <v>0</v>
      </c>
      <c r="CA182" s="417">
        <f t="array" ref="CA182">IF(ChoixRationComplèteCaprins=NON,0,IFERROR(IF(OR(AND(INDEX(Règles_caprins[Specificite],MATCH(ChoixRationCaprins&amp;Ration_complète_caprins[[#This Row],[aliment]],Règles_caprins[Ration]&amp;Règles_caprins[Aliment],0))="s1",IF(Ration_complète_caprins[[#This Row],[aliment]]=Spécificité1Caprins,1)),
AND(INDEX(Règles_caprins[Specificite],MATCH(ChoixRationCaprins&amp;Ration_complète_caprins[[#This Row],[aliment]],Règles_caprins[Ration]&amp;Règles_caprins[Aliment],0))="s2",IF(Ration_complète_caprins[[#This Row],[aliment]]=Spécificité1Caprins,1)),
INDEX(Règles_caprins[Specificite],MATCH(ChoixRationCaprins&amp;Ration_complète_caprins[[#This Row],[aliment]],Règles_caprins[Ration]&amp;Règles_caprins[Aliment],0))="c",INDEX(Règles_caprins[Specificite],MATCH(ChoixRationCaprins&amp;Ration_complète_caprins[[#This Row],[aliment]],Règles_caprins[Ration]&amp;Règles_caprins[Aliment],0))="complet"),
INDEX(Règles_caprins[Valeur 6-12],MATCH(ChoixRationCaprins&amp;Ration_complète_caprins[[#This Row],[aliment]],Règles_caprins[Ration]&amp;Règles_caprins[Aliment],0)),0),0)*SUM(jeune_bouc_6_12_mois)*SUM(AC76:AC100))</f>
        <v>0</v>
      </c>
      <c r="CB182" s="417">
        <f t="array" ref="CB182">IF(ChoixRationComplèteCaprins=NON,0,IFERROR(IF(OR(AND(INDEX(Règles_caprins[Specificite],MATCH(ChoixRationCaprins&amp;Ration_complète_caprins[[#This Row],[aliment]],Règles_caprins[Ration]&amp;Règles_caprins[Aliment],0))="s1",IF(Ration_complète_caprins[[#This Row],[aliment]]=Spécificité1Caprins,1)),
AND(INDEX(Règles_caprins[Specificite],MATCH(ChoixRationCaprins&amp;Ration_complète_caprins[[#This Row],[aliment]],Règles_caprins[Ration]&amp;Règles_caprins[Aliment],0))="s2",IF(Ration_complète_caprins[[#This Row],[aliment]]=Spécificité1Caprins,1)),
INDEX(Règles_caprins[Specificite],MATCH(ChoixRationCaprins&amp;Ration_complète_caprins[[#This Row],[aliment]],Règles_caprins[Ration]&amp;Règles_caprins[Aliment],0))="c",INDEX(Règles_caprins[Specificite],MATCH(ChoixRationCaprins&amp;Ration_complète_caprins[[#This Row],[aliment]],Règles_caprins[Ration]&amp;Règles_caprins[Aliment],0))="complet"),
INDEX(Règles_caprins[Valeur 6-12],MATCH(ChoixRationCaprins&amp;Ration_complète_caprins[[#This Row],[aliment]],Règles_caprins[Ration]&amp;Règles_caprins[Aliment],0)),0),0)*SUM(jeune_chèvre_6_12_mois)*SUM(AC76:AC100))</f>
        <v>0</v>
      </c>
      <c r="CC182" s="417">
        <f t="array" ref="CC182">IF(ChoixRationComplèteCaprins=NON,0,IFERROR(IF(OR(AND(INDEX(Règles_caprins[Specificite],MATCH(ChoixRationCaprins&amp;Ration_complète_caprins[[#This Row],[aliment]],Règles_caprins[Ration]&amp;Règles_caprins[Aliment],0))="s1",IF(Ration_complète_caprins[[#This Row],[aliment]]=Spécificité1Caprins,1)),
AND(INDEX(Règles_caprins[Specificite],MATCH(ChoixRationCaprins&amp;Ration_complète_caprins[[#This Row],[aliment]],Règles_caprins[Ration]&amp;Règles_caprins[Aliment],0))="s2",IF(Ration_complète_caprins[[#This Row],[aliment]]=Spécificité1Caprins,1)),
INDEX(Règles_caprins[Specificite],MATCH(ChoixRationCaprins&amp;Ration_complète_caprins[[#This Row],[aliment]],Règles_caprins[Ration]&amp;Règles_caprins[Aliment],0))="c",INDEX(Règles_caprins[Specificite],MATCH(ChoixRationCaprins&amp;Ration_complète_caprins[[#This Row],[aliment]],Règles_caprins[Ration]&amp;Règles_caprins[Aliment],0))="complet"),
INDEX(Règles_caprins[Valeur 3-6],MATCH(ChoixRationCaprins&amp;Ration_complète_caprins[[#This Row],[aliment]],Règles_caprins[Ration]&amp;Règles_caprins[Aliment],0)),0),0)*SUM(chevreau_3_6_mois)*SUM(AC76:AC100))</f>
        <v>0</v>
      </c>
      <c r="CD182" s="418">
        <f t="array" ref="CD182">IF(ChoixRationComplèteCaprins=NON,0,IFERROR(IF(OR(AND(INDEX(Règles_caprins[Specificite],MATCH(ChoixRationCaprins&amp;Ration_complète_caprins[[#This Row],[aliment]],Règles_caprins[Ration]&amp;Règles_caprins[Aliment],0))="s1",IF(Ration_complète_caprins[[#This Row],[aliment]]=Spécificité1Caprins,1)),
AND(INDEX(Règles_caprins[Specificite],MATCH(ChoixRationCaprins&amp;Ration_complète_caprins[[#This Row],[aliment]],Règles_caprins[Ration]&amp;Règles_caprins[Aliment],0))="s2",IF(Ration_complète_caprins[[#This Row],[aliment]]=Spécificité1Caprins,1)),
INDEX(Règles_caprins[Specificite],MATCH(ChoixRationCaprins&amp;Ration_complète_caprins[[#This Row],[aliment]],Règles_caprins[Ration]&amp;Règles_caprins[Aliment],0))="c",INDEX(Règles_caprins[Specificite],MATCH(ChoixRationCaprins&amp;Ration_complète_caprins[[#This Row],[aliment]],Règles_caprins[Ration]&amp;Règles_caprins[Aliment],0))="complet"),
INDEX(Règles_caprins[Valeur 3-6],MATCH(ChoixRationCaprins&amp;Ration_complète_caprins[[#This Row],[aliment]],Règles_caprins[Ration]&amp;Règles_caprins[Aliment],0)),0),0)*SUM(chevrette_3_6_mois)*SUM(AC76:AC100))</f>
        <v>0</v>
      </c>
      <c r="CE182" s="418">
        <f t="array" ref="CE182">IF(ChoixRationComplèteCaprins=NON,0,IFERROR(IF(OR(AND(INDEX(Règles_caprins[Specificite],MATCH(ChoixRationCaprins&amp;Ration_complète_caprins[[#This Row],[aliment]],Règles_caprins[Ration]&amp;Règles_caprins[Aliment],0))="s1",IF(Ration_complète_caprins[[#This Row],[aliment]]=Spécificité1Caprins,1)),
AND(INDEX(Règles_caprins[Specificite],MATCH(ChoixRationCaprins&amp;Ration_complète_caprins[[#This Row],[aliment]],Règles_caprins[Ration]&amp;Règles_caprins[Aliment],0))="s2",IF(Ration_complète_caprins[[#This Row],[aliment]]=Spécificité1Caprins,1)),
INDEX(Règles_caprins[Specificite],MATCH(ChoixRationCaprins&amp;Ration_complète_caprins[[#This Row],[aliment]],Règles_caprins[Ration]&amp;Règles_caprins[Aliment],0))="c",INDEX(Règles_caprins[Specificite],MATCH(ChoixRationCaprins&amp;Ration_complète_caprins[[#This Row],[aliment]],Règles_caprins[Ration]&amp;Règles_caprins[Aliment],0))="complet"),
INDEX(Règles_caprins[Valeur 0-3],MATCH(ChoixRationCaprins&amp;Ration_complète_caprins[[#This Row],[aliment]],Règles_caprins[Ration]&amp;Règles_caprins[Aliment],0)),0),0)*SUM(chevreau_0_3_mois)*SUM(AC76:AC100))</f>
        <v>0</v>
      </c>
      <c r="CF182" s="418">
        <f t="array" ref="CF182">IF(ChoixRationComplèteCaprins=NON,0,IFERROR(IF(OR(AND(INDEX(Règles_caprins[Specificite],MATCH(ChoixRationCaprins&amp;Ration_complète_caprins[[#This Row],[aliment]],Règles_caprins[Ration]&amp;Règles_caprins[Aliment],0))="s1",IF(Ration_complète_caprins[[#This Row],[aliment]]=Spécificité1Caprins,1)),
AND(INDEX(Règles_caprins[Specificite],MATCH(ChoixRationCaprins&amp;Ration_complète_caprins[[#This Row],[aliment]],Règles_caprins[Ration]&amp;Règles_caprins[Aliment],0))="s2",IF(Ration_complète_caprins[[#This Row],[aliment]]=Spécificité1Caprins,1)),
INDEX(Règles_caprins[Specificite],MATCH(ChoixRationCaprins&amp;Ration_complète_caprins[[#This Row],[aliment]],Règles_caprins[Ration]&amp;Règles_caprins[Aliment],0))="c",INDEX(Règles_caprins[Specificite],MATCH(ChoixRationCaprins&amp;Ration_complète_caprins[[#This Row],[aliment]],Règles_caprins[Ration]&amp;Règles_caprins[Aliment],0))="complet"),
INDEX(Règles_caprins[Valeur 0-3],MATCH(ChoixRationCaprins&amp;Ration_complète_caprins[[#This Row],[aliment]],Règles_caprins[Ration]&amp;Règles_caprins[Aliment],0)),0),0)*SUM(chevrette_0_3_mois)*SUM(AC76:AC100))</f>
        <v>0</v>
      </c>
      <c r="CG182" s="419">
        <f>SUM(Ration_complète_caprins[[Valeur 12 et plus (M)]:[Valeur 0-3 (F)]])</f>
        <v>0</v>
      </c>
      <c r="CH182" s="298"/>
      <c r="CI182" s="277"/>
      <c r="CK182" s="277"/>
      <c r="CL182" s="277"/>
      <c r="CM182" s="277"/>
      <c r="CN182" s="277"/>
      <c r="CO182" s="277"/>
      <c r="CP182" s="277"/>
      <c r="CS182" s="350" t="str">
        <f t="shared" si="59"/>
        <v>Soja</v>
      </c>
      <c r="CT182" s="351">
        <f t="array" ref="CT182">SUM((IF(QualitéAlimentsLapereauMâle_0_1_mois=BONNE,VLOOKUP("Soja",AlimentsRationLapinsMâles[],4,FALSE),0)+(IF(QualitéAlimentsLapereauFemelle_0_1_mois=BONNE,VLOOKUP("Soja",AlimentsRationLapinsFemelles[],4,FALSE),0)+(IF(QualitéAlimentsJeuneLapin=BONNE,VLOOKUP("Soja",AlimentsRationLapinsMâles[],3,FALSE),0)+(IF(QualitéAlimentsJeuneLapine=BONNE,VLOOKUP("Soja",AlimentsRationLapinsFemelles[],3,FALSE),0)+(IF(QualitéAlimentsLapin=BONNE,VLOOKUP("Soja",AlimentsRationLapinsMâles[],2,FALSE),0)+(IF(QualitéAlimentsLapine=BONNE,VLOOKUP("Soja",AlimentsRationLapinsFemelles[],2,FALSE),0))))))))</f>
        <v>0</v>
      </c>
      <c r="CU182" s="351">
        <f t="array" ref="CU182">SUM((IF(QualitéAlimentsLapereauMâle_0_1_mois=MOYENNE,VLOOKUP("Soja",AlimentsRationLapinsMâles[],4,FALSE),0)+(IF(QualitéAlimentsLapereauFemelle_0_1_mois=MOYENNE,VLOOKUP("Soja",AlimentsRationLapinsFemelles[],4,FALSE),0)+(IF(QualitéAlimentsJeuneLapin=MOYENNE,VLOOKUP("Soja",AlimentsRationLapinsMâles[],3,FALSE),0)+(IF(QualitéAlimentsJeuneLapine=MOYENNE,VLOOKUP("Soja",AlimentsRationLapinsFemelles[],3,FALSE),0)+(IF(QualitéAlimentsLapin=MOYENNE,VLOOKUP("Soja",AlimentsRationLapinsMâles[],2,FALSE),0)+(IF(QualitéAlimentsLapine=MOYENNE,VLOOKUP("Soja",AlimentsRationLapinsFemelles[],2,FALSE),0))))))))</f>
        <v>0</v>
      </c>
      <c r="CV182" s="351">
        <f t="array" ref="CV182">SUM((IF(QualitéAlimentsLapereauMâle_0_1_mois=MAUVAISE,VLOOKUP("Soja",AlimentsRationLapinsMâles[],4,FALSE),0)+(IF(QualitéAlimentsLapereauFemelle_0_1_mois=MAUVAISE,VLOOKUP("Soja",AlimentsRationLapinsFemelles[],4,FALSE),0)+(IF(QualitéAlimentsJeuneLapin=MAUVAISE,VLOOKUP("Soja",AlimentsRationLapinsMâles[],3,FALSE),0)+(IF(QualitéAlimentsJeuneLapine=MAUVAISE,VLOOKUP("Soja",AlimentsRationLapinsFemelles[],3,FALSE),0)+(IF(QualitéAlimentsLapin=MAUVAISE,VLOOKUP("Soja",AlimentsRationLapinsMâles[],2,FALSE),0)+(IF(QualitéAlimentsLapine=MAUVAISE,VLOOKUP("Soja",AlimentsRationLapinsFemelles[],2,FALSE),0))))))))</f>
        <v>0</v>
      </c>
      <c r="CZ182" s="350" t="str">
        <f t="shared" si="58"/>
        <v>Sorgho ensilé</v>
      </c>
      <c r="DA182" s="351">
        <f t="array" ref="DA182">SUM((IF(QualitéAlimentsPoussinMâle_0_1_mois=BONNE,VLOOKUP("Sorho ensilé",AlimentsRationVolaillesMâles[],4,FALSE),0)+(IF(QualitéAlimentsPoussinFemelle_0_1_mois=BONNE,VLOOKUP("Sorho ensilé",AlimentsRationVolaillesFemelles[],4,FALSE),0)+(IF(QualitéAlimentsJeuneCoq=BONNE,VLOOKUP("Sorho ensilé",AlimentsRationVolaillesMâles[],3,FALSE),0)+(IF(QualitéAlimentsJeunePoule=BONNE,VLOOKUP("Sorho ensilé",AlimentsRationVolaillesFemelles[],3,FALSE),0)+(IF(QualitéAlimentsCoq=BONNE,VLOOKUP("Sorho ensilé",AlimentsRationVolaillesMâles[],2,FALSE),0)+(IF(QualitéAlimentsPoule=BONNE,VLOOKUP("Sorho ensilé",AlimentsRationVolaillesFemelles[],2,FALSE),0))))))))</f>
        <v>0</v>
      </c>
      <c r="DB182" s="351">
        <f t="array" ref="DB182">SUM((IF(QualitéAlimentsPoussinMâle_0_1_mois=MOYENNE,VLOOKUP("Sorho ensilé",AlimentsRationVolaillesMâles[],4,FALSE),0)+(IF(QualitéAlimentsPoussinFemelle_0_1_mois=MOYENNE,VLOOKUP("Sorho ensilé",AlimentsRationVolaillesFemelles[],4,FALSE),0)+(IF(QualitéAlimentsJeuneCoq=MOYENNE,VLOOKUP("Sorho ensilé",AlimentsRationVolaillesMâles[],3,FALSE),0)+(IF(QualitéAlimentsJeunePoule=MOYENNE,VLOOKUP("Sorho ensilé",AlimentsRationVolaillesFemelles[],3,FALSE),0)+(IF(QualitéAlimentsCoq=MOYENNE,VLOOKUP("Sorho ensilé",AlimentsRationVolaillesMâles[],2,FALSE),0)+(IF(QualitéAlimentsPoule=MOYENNE,VLOOKUP("Sorho ensilé",AlimentsRationVolaillesFemelles[],2,FALSE),0))))))))</f>
        <v>0</v>
      </c>
      <c r="DC182" s="351">
        <f t="array" ref="DC182">SUM((IF(QualitéAlimentsPoussinMâle_0_1_mois=MAUVAISE,VLOOKUP("Sorho ensilé",AlimentsRationVolaillesMâles[],4,FALSE),0)+(IF(QualitéAlimentsPoussinFemelle_0_1_mois=MAUVAISE,VLOOKUP("Sorho ensilé",AlimentsRationVolaillesFemelles[],4,FALSE),0)+(IF(QualitéAlimentsJeuneCoq=MAUVAISE,VLOOKUP("Sorho ensilé",AlimentsRationVolaillesMâles[],3,FALSE),0)+(IF(QualitéAlimentsJeunePoule=MAUVAISE,VLOOKUP("Sorho ensilé",AlimentsRationVolaillesFemelles[],3,FALSE),0)+(IF(QualitéAlimentsCoq=MAUVAISE,VLOOKUP("Sorho ensilé",AlimentsRationVolaillesMâles[],2,FALSE),0)+(IF(QualitéAlimentsPoule=MAUVAISE,VLOOKUP("Sorho ensilé",AlimentsRationVolaillesFemelles[],2,FALSE),0))))))))</f>
        <v>0</v>
      </c>
      <c r="DG182" s="350">
        <f t="shared" si="52"/>
        <v>0</v>
      </c>
      <c r="DH182" s="351"/>
      <c r="DI182" s="351"/>
      <c r="DJ182" s="351"/>
      <c r="DN182" s="350" t="s">
        <v>70</v>
      </c>
      <c r="DO182" s="351">
        <f t="array" ref="DO182">IF(ChoixRationComplèteOvins=OUI,0,IFERROR(IF(OR(AND(INDEX(Règles_ovins[Specificite],MATCH(ChoixRationOvins&amp;$DN182,Règles_ovins[Ration]&amp;Règles_ovins[Aliment],0))="s1",IF($DN182=Spécificité1Ovins,1)),
AND(INDEX(Règles_ovins[Specificite],MATCH(ChoixRationOvins&amp;$DN182,Règles_ovins[Ration]&amp;Règles_ovins[Aliment],0))="s2",IF($DN182=Spécificité2Ovins,1)),
INDEX(Règles_ovins[Specificite],MATCH(ChoixRationOvins&amp;$DN182,Règles_ovins[Ration]&amp;Règles_ovins[Aliment],0))="c"),
INDEX(Règles_ovins[Valeur 12 et plus],MATCH(ChoixRationOvins&amp;$DN182,Règles_ovins[Ration]&amp;Règles_ovins[Aliment],0)),0),0)*IF(ChoixOvinsPréHiver=OUI,SUM(TotalOvinsAdultesRacesLaitières)*NbreJoursNourrirOvins,TotalBéliers*NbreJoursNourrirOvins))</f>
        <v>0</v>
      </c>
      <c r="DP182" s="351">
        <f t="array" ref="DP182">IF(ChoixRationComplèteOvins=OUI,0,IFERROR(IF(OR(AND(INDEX(Règles_ovins[Specificite],MATCH(ChoixRationOvins&amp;$DN182,Règles_ovins[Ration]&amp;Règles_ovins[Aliment],0))="s1",IF($DN182=Spécificité1Ovins,1)),
AND(INDEX(Règles_ovins[Specificite],MATCH(ChoixRationOvins&amp;$DN182,Règles_ovins[Ration]&amp;Règles_ovins[Aliment],0))="s2",IF($DN182=Spécificité2Ovins,1)),
INDEX(Règles_ovins[Specificite],MATCH(ChoixRationOvins&amp;$DN182,Règles_ovins[Ration]&amp;Règles_ovins[Aliment],0))="c"),
INDEX(Règles_ovins[Valeur 6-12],MATCH(ChoixRationOvins&amp;$DN182,Règles_ovins[Ration]&amp;Règles_ovins[Aliment],0)),0),0)*IF(ChoixOvinsPréHiver=OUI,SUM(TotalJeunesOvinsRacesLaitières)*NbreJoursNourrirOvins,TotalJeune_bélier_6_12_mois*NbreJoursNourrirOvins))</f>
        <v>0</v>
      </c>
      <c r="DQ182" s="351">
        <f t="array" ref="DQ182">IF(ChoixRationComplèteOvins=OUI,0,IFERROR(IF(OR(AND(INDEX(Règles_ovins[Specificite],MATCH(ChoixRationOvins&amp;$DN182,Règles_ovins[Ration]&amp;Règles_ovins[Aliment],0))="s1",IF($DN182=Spécificité1Ovins,1)),
AND(INDEX(Règles_ovins[Specificite],MATCH(ChoixRationOvins&amp;$DN182,Règles_ovins[Ration]&amp;Règles_ovins[Aliment],0))="s2",IF($DN182=Spécificité2Ovins,1)),
INDEX(Règles_ovins[Specificite],MATCH(ChoixRationOvins&amp;$DN182,Règles_ovins[Ration]&amp;Règles_ovins[Aliment],0))="c"),
INDEX(Règles_ovins[Valeur 3-6],MATCH(ChoixRationOvins&amp;$DN182,Règles_ovins[Ration]&amp;Règles_ovins[Aliment],0)),0),0)*IF(ChoixOvinsPréHiver=OUI,SUM(TotalOvins_3_6moisRacesLaitières)*NbreJoursNourrirOvins,TotalAgneau_3_6_mois*NbreJoursNourrirOvins))</f>
        <v>0</v>
      </c>
      <c r="DR182" s="351">
        <f t="array" ref="DR182">IF(ChoixRationComplèteOvins=OUI,0,IFERROR(IF(OR(AND(INDEX(Règles_ovins[Specificite],MATCH(ChoixRationOvins&amp;$DN182,Règles_ovins[Ration]&amp;Règles_ovins[Aliment],0))="s1",IF($DN182=Spécificité1Ovins,1)),
AND(INDEX(Règles_ovins[Specificite],MATCH(ChoixRationOvins&amp;$DN182,Règles_ovins[Ration]&amp;Règles_ovins[Aliment],0))="s2",IF($DN182=Spécificité2Ovins,1)),
INDEX(Règles_ovins[Specificite],MATCH(ChoixRationOvins&amp;$DN182,Règles_ovins[Ration]&amp;Règles_ovins[Aliment],0))="c"),
INDEX(Règles_ovins[Valeur 0-3],MATCH(ChoixRationOvins&amp;$DN182,Règles_ovins[Ration]&amp;Règles_ovins[Aliment],0)),0),0)*IF(ChoixOvinsPréHiver=OUI,SUM(TotalOvins_3_6moisRacesLaitières)*NbreJoursNourrirOvins,TotalAgneau_0_3_mois*NbreJoursNourrirOvins))</f>
        <v>0</v>
      </c>
      <c r="DS182" s="441">
        <f t="shared" si="55"/>
        <v>0</v>
      </c>
      <c r="EG182" s="350" t="str">
        <f t="shared" si="57"/>
        <v>Triticale</v>
      </c>
      <c r="EH182" s="351">
        <f t="array" ref="EH182">SUM((IF(QualitéAlimentsOisonMâle_0_3_mois=BONNE,VLOOKUP("Triticale",AlimentsRationOiesMâles[],4,FALSE),0)+(IF(QualitéAlimentsOisonFemelle_0_3_mois=BONNE,VLOOKUP("Triticale",AlimentsRationOiesFemelles[],4,FALSE),0)+(IF(QualitéAlimentsJeuneJars=BONNE,VLOOKUP("Triticale",AlimentsRationOiesMâles[],3,FALSE),0)+(IF(QualitéAlimentsJeuneOie=BONNE,VLOOKUP("Triticale",AlimentsRationOiesFemelles[],3,FALSE),0)+(IF(QualitéAlimentsJars=BONNE,VLOOKUP("Triticale",AlimentsRationOiesMâles[],2,FALSE),0)+(IF(QualitéAlimentsOie=BONNE,VLOOKUP("Triticale",AlimentsRationOiesFemelles[],2,FALSE),0))))))))</f>
        <v>0</v>
      </c>
      <c r="EI182" s="351">
        <f t="array" ref="EI182">SUM((IF(QualitéAlimentsOisonMâle_0_3_mois=MOYENNE,VLOOKUP("Triticale",AlimentsRationOiesMâles[],4,FALSE),0)+(IF(QualitéAlimentsOisonFemelle_0_3_mois=MOYENNE,VLOOKUP("Triticale",AlimentsRationOiesFemelles[],4,FALSE),0)+(IF(QualitéAlimentsJeuneJars=MOYENNE,VLOOKUP("Triticale",AlimentsRationOiesMâles[],3,FALSE),0)+(IF(QualitéAlimentsJeuneOie=MOYENNE,VLOOKUP("Triticale",AlimentsRationOiesFemelles[],3,FALSE),0)+(IF(QualitéAlimentsJars=MOYENNE,VLOOKUP("Triticale",AlimentsRationOiesMâles[],2,FALSE),0)+(IF(QualitéAlimentsOie=MOYENNE,VLOOKUP("Triticale",AlimentsRationOiesFemelles[],2,FALSE),0))))))))</f>
        <v>0</v>
      </c>
      <c r="EJ182" s="351">
        <f t="array" ref="EJ182">SUM((IF(QualitéAlimentsOisonMâle_0_3_mois=MAUVAISE,VLOOKUP("Triticale",AlimentsRationOiesMâles[],4,FALSE),0)+(IF(QualitéAlimentsOisonFemelle_0_3_mois=MAUVAISE,VLOOKUP("Triticale",AlimentsRationOiesFemelles[],4,FALSE),0)+(IF(QualitéAlimentsJeuneJars=MAUVAISE,VLOOKUP("Triticale",AlimentsRationOiesMâles[],3,FALSE),0)+(IF(QualitéAlimentsJeuneOie=MAUVAISE,VLOOKUP("Triticale",AlimentsRationOiesFemelles[],3,FALSE),0)+(IF(QualitéAlimentsJars=MAUVAISE,VLOOKUP("Triticale",AlimentsRationOiesMâles[],2,FALSE),0)+(IF(QualitéAlimentsOie=MAUVAISE,VLOOKUP("Triticale",AlimentsRationOiesFemelles[],2,FALSE),0))))))))</f>
        <v>0</v>
      </c>
      <c r="EN182" s="457">
        <f t="shared" si="56"/>
        <v>0</v>
      </c>
      <c r="EO182" s="458"/>
      <c r="EP182" s="458"/>
      <c r="EQ182" s="458"/>
      <c r="EU182" s="457">
        <f t="shared" si="54"/>
        <v>0</v>
      </c>
      <c r="EV182" s="458">
        <f t="array" ref="EV182">IF(OR(ChoixRationHivernaleComplèteChevauxSelle=OUI,ChoixRationHivernaleComplèteChevauxSelle="",ChoixChevauxSellePréHiver=NON),0,IFERROR(IF(OR(AND(INDEX(Règles_chevaux_selle[Specificite],MATCH(RationHivernaleAuPréChevauxSelle&amp;$EU182,Règles_chevaux_selle[Ration]&amp;Règles_chevaux_selle[Aliment],0))="s1",IF($EU182=Spécificité1ChevauxSelle,1)),
AND(INDEX(Règles_chevaux_selle[Specificite],MATCH(RationHivernaleAuPréChevauxSelle&amp;$EU182,Règles_chevaux_selle[Ration]&amp;Règles_chevaux_selle[Aliment],0))="s2",IF($EU182=Spécificité2ChevauxSelle,1)),
INDEX(Règles_chevaux_selle[Specificite],MATCH(RationHivernaleAuPréChevauxSelle&amp;$EU182,Règles_chevaux_selle[Ration]&amp;Règles_chevaux_selle[Aliment],0))="c"),
INDEX(Règles_chevaux_selle[Valeur 36 et plus],MATCH(RationHivernaleAuPréChevauxSelle&amp;$EU182,Règles_chevaux_selle[Ration]&amp;Règles_chevaux_selle[Aliment],0)),0),0)*SUM(TotalChevauxSelleAdultes)*21)</f>
        <v>0</v>
      </c>
      <c r="EW182" s="458">
        <f t="array" ref="EW182">IF(OR(ChoixRationHivernaleComplèteChevauxSelle=OUI,ChoixRationHivernaleComplèteChevauxSelle="",ChoixChevauxSellePréHiver=NON),0,IFERROR(IF(OR(AND(INDEX(Règles_chevaux_selle[Specificite],MATCH(RationHivernaleAuPréChevauxSelle&amp;$EU182,Règles_chevaux_selle[Ration]&amp;Règles_chevaux_selle[Aliment],0))="s1",IF($EU182=Spécificité1ChevauxSelle,1)),
AND(INDEX(Règles_chevaux_selle[Specificite],MATCH(RationHivernaleAuPréChevauxSelle&amp;$EU182,Règles_chevaux_selle[Ration]&amp;Règles_chevaux_selle[Aliment],0))="s2",IF($EU182=Spécificité2ChevauxSelle,1)),
INDEX(Règles_chevaux_selle[Specificite],MATCH(RationHivernaleAuPréChevauxSelle&amp;$EU182,Règles_chevaux_selle[Ration]&amp;Règles_chevaux_selle[Aliment],0))="c"),
INDEX(Règles_chevaux_selle[Valeur 24-36],MATCH(RationHivernaleAuPréChevauxSelle&amp;$EU182,Règles_chevaux_selle[Ration]&amp;Règles_chevaux_selle[Aliment],0)),0),0)*SUM(TotalChevauxSelle_24_36mois)*21)</f>
        <v>0</v>
      </c>
      <c r="EX182" s="458">
        <f t="array" ref="EX182">IF(OR(ChoixRationHivernaleComplèteChevauxSelle=OUI,ChoixRationHivernaleComplèteChevauxSelle="",ChoixChevauxSellePréHiver=NON),0,IFERROR(IF(OR(AND(INDEX(Règles_chevaux_selle[Specificite],MATCH(RationHivernaleAuPréChevauxSelle&amp;$EU182,Règles_chevaux_selle[Ration]&amp;Règles_chevaux_selle[Aliment],0))="s1",IF($EU182=Spécificité1ChevauxSelle,1)),
AND(INDEX(Règles_chevaux_selle[Specificite],MATCH(RationHivernaleAuPréChevauxSelle&amp;$EU182,Règles_chevaux_selle[Ration]&amp;Règles_chevaux_selle[Aliment],0))="s2",IF($EU182=Spécificité2ChevauxSelle,1)),
INDEX(Règles_chevaux_selle[Specificite],MATCH(RationHivernaleAuPréChevauxSelle&amp;$EU182,Règles_chevaux_selle[Ration]&amp;Règles_chevaux_selle[Aliment],0))="c"),
INDEX(Règles_chevaux_selle[Valeur 12-24],MATCH(RationHivernaleAuPréChevauxSelle&amp;$EU182,Règles_chevaux_selle[Ration]&amp;Règles_chevaux_selle[Aliment],0)),0),0)*SUM(TotalChevauxSelle_12_24mois)*21)</f>
        <v>0</v>
      </c>
      <c r="EY182" s="460">
        <f t="array" ref="EY182">IF(OR(ChoixRationHivernaleComplèteChevauxSelle=OUI,ChoixRationHivernaleComplèteChevauxSelle="",ChoixChevauxSellePréHiver=NON),0,IFERROR(IF(OR(AND(INDEX(Règles_chevaux_selle[Specificite],MATCH(RationHivernaleAuPréChevauxSelle&amp;$EU182,Règles_chevaux_selle[Ration]&amp;Règles_chevaux_selle[Aliment],0))="s1",IF($EU182=Spécificité1ChevauxSelle,1)),
AND(INDEX(Règles_chevaux_selle[Specificite],MATCH(RationHivernaleAuPréChevauxSelle&amp;$EU182,Règles_chevaux_selle[Ration]&amp;Règles_chevaux_selle[Aliment],0))="s2",IF($EU182=Spécificité2ChevauxSelle,1)),
INDEX(Règles_chevaux_selle[Specificite],MATCH(RationHivernaleAuPréChevauxSelle&amp;$EU182,Règles_chevaux_selle[Ration]&amp;Règles_chevaux_selle[Aliment],0))="c"),
INDEX(Règles_chevaux_selle[Valeur 0-12],MATCH(RationHivernaleAuPréChevauxSelle&amp;$EU182,Règles_chevaux_selle[Ration]&amp;Règles_chevaux_selle[Aliment],0)),0),0)*SUM(TotalPoulainsSelle)*21)</f>
        <v>0</v>
      </c>
      <c r="EZ182" s="460">
        <f t="shared" si="53"/>
        <v>0</v>
      </c>
      <c r="FD182" s="335" t="s">
        <v>1032</v>
      </c>
      <c r="FE182" s="343"/>
      <c r="FF182" s="343"/>
      <c r="FG182" s="343"/>
      <c r="FH182" s="335"/>
      <c r="FI182" s="335"/>
      <c r="FN182" s="394" t="s">
        <v>910</v>
      </c>
      <c r="FO182" s="395" t="s">
        <v>895</v>
      </c>
      <c r="FP182" s="395" t="s">
        <v>894</v>
      </c>
      <c r="FQ182" s="395" t="s">
        <v>938</v>
      </c>
      <c r="FR182" s="449" t="s">
        <v>937</v>
      </c>
      <c r="FS182" s="396" t="s">
        <v>903</v>
      </c>
      <c r="FW182" s="281"/>
      <c r="FX182" s="281"/>
      <c r="FY182" s="281"/>
      <c r="FZ182" s="281"/>
      <c r="GB182" s="281"/>
      <c r="GG182" s="276" t="s">
        <v>955</v>
      </c>
      <c r="GH182" s="276" t="s">
        <v>955</v>
      </c>
      <c r="GI182" s="276" t="s">
        <v>955</v>
      </c>
      <c r="GJ182" s="276" t="s">
        <v>955</v>
      </c>
      <c r="GK182" s="276" t="s">
        <v>955</v>
      </c>
      <c r="GL182" s="276" t="s">
        <v>955</v>
      </c>
      <c r="GM182" s="276" t="s">
        <v>955</v>
      </c>
      <c r="GN182" s="276" t="s">
        <v>955</v>
      </c>
      <c r="GO182" s="276" t="s">
        <v>955</v>
      </c>
      <c r="GP182" s="276" t="s">
        <v>955</v>
      </c>
      <c r="GQ182" s="276" t="s">
        <v>955</v>
      </c>
      <c r="GR182" s="276" t="s">
        <v>955</v>
      </c>
      <c r="GS182" s="276" t="s">
        <v>955</v>
      </c>
      <c r="GT182" s="276" t="s">
        <v>955</v>
      </c>
      <c r="GU182" s="276" t="s">
        <v>955</v>
      </c>
      <c r="GV182" s="276" t="s">
        <v>955</v>
      </c>
    </row>
    <row r="183" spans="1:204" ht="12.75" customHeight="1" x14ac:dyDescent="0.2">
      <c r="A183" s="373"/>
      <c r="B183" s="382"/>
      <c r="BB183" s="387"/>
      <c r="BC183" s="362"/>
      <c r="BD183" s="362"/>
      <c r="BE183" s="388"/>
      <c r="BF183" s="388"/>
      <c r="BG183" s="388"/>
      <c r="BH183" s="388"/>
      <c r="BI183" s="388"/>
      <c r="BJ183" s="388"/>
      <c r="BK183" s="389"/>
      <c r="BL183" s="276"/>
      <c r="CH183" s="298"/>
      <c r="CI183" s="277"/>
      <c r="CK183" s="277"/>
      <c r="CL183" s="277"/>
      <c r="CM183" s="277"/>
      <c r="CN183" s="277"/>
      <c r="CO183" s="277"/>
      <c r="CP183" s="277"/>
      <c r="CS183" s="350" t="str">
        <f t="shared" si="59"/>
        <v>Sorgho ensilé</v>
      </c>
      <c r="CT183" s="351">
        <f t="array" ref="CT183">SUM((IF(QualitéAlimentsLapereauMâle_0_1_mois=BONNE,VLOOKUP("Sorho ensilé",AlimentsRationLapinsMâles[],4,FALSE),0)+(IF(QualitéAlimentsLapereauFemelle_0_1_mois=BONNE,VLOOKUP("Sorho ensilé",AlimentsRationLapinsFemelles[],4,FALSE),0)+(IF(QualitéAlimentsJeuneLapin=BONNE,VLOOKUP("Sorho ensilé",AlimentsRationLapinsMâles[],3,FALSE),0)+(IF(QualitéAlimentsJeuneLapine=BONNE,VLOOKUP("Sorho ensilé",AlimentsRationLapinsFemelles[],3,FALSE),0)+(IF(QualitéAlimentsLapin=BONNE,VLOOKUP("Sorho ensilé",AlimentsRationLapinsMâles[],2,FALSE),0)+(IF(QualitéAlimentsLapine=BONNE,VLOOKUP("Sorho ensilé",AlimentsRationLapinsFemelles[],2,FALSE),0))))))))</f>
        <v>0</v>
      </c>
      <c r="CU183" s="351">
        <f t="array" ref="CU183">SUM((IF(QualitéAlimentsLapereauMâle_0_1_mois=MOYENNE,VLOOKUP("Sorho ensilé",AlimentsRationLapinsMâles[],4,FALSE),0)+(IF(QualitéAlimentsLapereauFemelle_0_1_mois=MOYENNE,VLOOKUP("Sorho ensilé",AlimentsRationLapinsFemelles[],4,FALSE),0)+(IF(QualitéAlimentsJeuneLapin=MOYENNE,VLOOKUP("Sorho ensilé",AlimentsRationLapinsMâles[],3,FALSE),0)+(IF(QualitéAlimentsJeuneLapine=MOYENNE,VLOOKUP("Sorho ensilé",AlimentsRationLapinsFemelles[],3,FALSE),0)+(IF(QualitéAlimentsLapin=MOYENNE,VLOOKUP("Sorho ensilé",AlimentsRationLapinsMâles[],2,FALSE),0)+(IF(QualitéAlimentsLapine=MOYENNE,VLOOKUP("Sorho ensilé",AlimentsRationLapinsFemelles[],2,FALSE),0))))))))</f>
        <v>0</v>
      </c>
      <c r="CV183" s="351">
        <f t="array" ref="CV183">SUM((IF(QualitéAlimentsLapereauMâle_0_1_mois=MAUVAISE,VLOOKUP("Sorho ensilé",AlimentsRationLapinsMâles[],4,FALSE),0)+(IF(QualitéAlimentsLapereauFemelle_0_1_mois=MAUVAISE,VLOOKUP("Sorho ensilé",AlimentsRationLapinsFemelles[],4,FALSE),0)+(IF(QualitéAlimentsJeuneLapin=MAUVAISE,VLOOKUP("Sorho ensilé",AlimentsRationLapinsMâles[],3,FALSE),0)+(IF(QualitéAlimentsJeuneLapine=MAUVAISE,VLOOKUP("Sorho ensilé",AlimentsRationLapinsFemelles[],3,FALSE),0)+(IF(QualitéAlimentsLapin=MAUVAISE,VLOOKUP("Sorho ensilé",AlimentsRationLapinsMâles[],2,FALSE),0)+(IF(QualitéAlimentsLapine=MAUVAISE,VLOOKUP("Sorho ensilé",AlimentsRationLapinsFemelles[],2,FALSE),0))))))))</f>
        <v>0</v>
      </c>
      <c r="CZ183" s="350" t="str">
        <f t="shared" si="58"/>
        <v>Tournesol</v>
      </c>
      <c r="DA183" s="351">
        <f t="array" ref="DA183">SUM((IF(QualitéAlimentsPoussinMâle_0_1_mois=BONNE,VLOOKUP("Tournesol",AlimentsRationVolaillesMâles[],4,FALSE),0)+(IF(QualitéAlimentsPoussinFemelle_0_1_mois=BONNE,VLOOKUP("Tournesol",AlimentsRationVolaillesFemelles[],4,FALSE),0)+(IF(QualitéAlimentsJeuneCoq=BONNE,VLOOKUP("Tournesol",AlimentsRationVolaillesMâles[],3,FALSE),0)+(IF(QualitéAlimentsJeunePoule=BONNE,VLOOKUP("Tournesol",AlimentsRationVolaillesFemelles[],3,FALSE),0)+(IF(QualitéAlimentsCoq=BONNE,VLOOKUP("Tournesol",AlimentsRationVolaillesMâles[],2,FALSE),0)+(IF(QualitéAlimentsPoule=BONNE,VLOOKUP("Tournesol",AlimentsRationVolaillesFemelles[],2,FALSE),0))))))))</f>
        <v>0</v>
      </c>
      <c r="DB183" s="351">
        <f t="array" ref="DB183">SUM((IF(QualitéAlimentsPoussinMâle_0_1_mois=MOYENNE,VLOOKUP("Tournesol",AlimentsRationVolaillesMâles[],4,FALSE),0)+(IF(QualitéAlimentsPoussinFemelle_0_1_mois=MOYENNE,VLOOKUP("Tournesol",AlimentsRationVolaillesFemelles[],4,FALSE),0)+(IF(QualitéAlimentsJeuneCoq=MOYENNE,VLOOKUP("Tournesol",AlimentsRationVolaillesMâles[],3,FALSE),0)+(IF(QualitéAlimentsJeunePoule=MOYENNE,VLOOKUP("Tournesol",AlimentsRationVolaillesFemelles[],3,FALSE),0)+(IF(QualitéAlimentsCoq=MOYENNE,VLOOKUP("Tournesol",AlimentsRationVolaillesMâles[],2,FALSE),0)+(IF(QualitéAlimentsPoule=MOYENNE,VLOOKUP("Tournesol",AlimentsRationVolaillesFemelles[],2,FALSE),0))))))))</f>
        <v>0</v>
      </c>
      <c r="DC183" s="351">
        <f t="array" ref="DC183">SUM((IF(QualitéAlimentsPoussinMâle_0_1_mois=MAUVAISE,VLOOKUP("Tournesol",AlimentsRationVolaillesMâles[],4,FALSE),0)+(IF(QualitéAlimentsPoussinFemelle_0_1_mois=MAUVAISE,VLOOKUP("Tournesol",AlimentsRationVolaillesFemelles[],4,FALSE),0)+(IF(QualitéAlimentsJeuneCoq=MAUVAISE,VLOOKUP("Tournesol",AlimentsRationVolaillesMâles[],3,FALSE),0)+(IF(QualitéAlimentsJeunePoule=MAUVAISE,VLOOKUP("Tournesol",AlimentsRationVolaillesFemelles[],3,FALSE),0)+(IF(QualitéAlimentsCoq=MAUVAISE,VLOOKUP("Tournesol",AlimentsRationVolaillesMâles[],2,FALSE),0)+(IF(QualitéAlimentsPoule=MAUVAISE,VLOOKUP("Tournesol",AlimentsRationVolaillesFemelles[],2,FALSE),0))))))))</f>
        <v>0</v>
      </c>
      <c r="DN183" s="350"/>
      <c r="DO183" s="351">
        <f t="array" ref="DO183">IF(ChoixRationComplèteOvins=OUI,0,IFERROR(IF(OR(AND(INDEX(Règles_ovins[Specificite],MATCH(ChoixRationOvins&amp;$DN183,Règles_ovins[Ration]&amp;Règles_ovins[Aliment],0))="s1",IF($DN183=Spécificité1Ovins,1)),
AND(INDEX(Règles_ovins[Specificite],MATCH(ChoixRationOvins&amp;$DN183,Règles_ovins[Ration]&amp;Règles_ovins[Aliment],0))="s2",IF($DN183=Spécificité2Ovins,1)),
INDEX(Règles_ovins[Specificite],MATCH(ChoixRationOvins&amp;$DN183,Règles_ovins[Ration]&amp;Règles_ovins[Aliment],0))="c"),
INDEX(Règles_ovins[Valeur 12 et plus],MATCH(ChoixRationOvins&amp;$DN183,Règles_ovins[Ration]&amp;Règles_ovins[Aliment],0)),0),0)*IF(ChoixOvinsPréHiver=OUI,SUM(TotalOvinsAdultesRacesLaitières)*NbreJoursNourrirOvins,TotalBéliers*NbreJoursNourrirOvins))</f>
        <v>0</v>
      </c>
      <c r="DP183" s="351">
        <f t="array" ref="DP183">IF(ChoixRationComplèteOvins=OUI,0,IFERROR(IF(OR(AND(INDEX(Règles_ovins[Specificite],MATCH(ChoixRationOvins&amp;$DN183,Règles_ovins[Ration]&amp;Règles_ovins[Aliment],0))="s1",IF($DN183=Spécificité1Ovins,1)),
AND(INDEX(Règles_ovins[Specificite],MATCH(ChoixRationOvins&amp;$DN183,Règles_ovins[Ration]&amp;Règles_ovins[Aliment],0))="s2",IF($DN183=Spécificité2Ovins,1)),
INDEX(Règles_ovins[Specificite],MATCH(ChoixRationOvins&amp;$DN183,Règles_ovins[Ration]&amp;Règles_ovins[Aliment],0))="c"),
INDEX(Règles_ovins[Valeur 6-12],MATCH(ChoixRationOvins&amp;$DN183,Règles_ovins[Ration]&amp;Règles_ovins[Aliment],0)),0),0)*IF(ChoixOvinsPréHiver=OUI,SUM(TotalJeunesOvinsRacesLaitières)*NbreJoursNourrirOvins,TotalJeune_bélier_6_12_mois*NbreJoursNourrirOvins))</f>
        <v>0</v>
      </c>
      <c r="DQ183" s="351">
        <f t="array" ref="DQ183">IF(ChoixRationComplèteOvins=OUI,0,IFERROR(IF(OR(AND(INDEX(Règles_ovins[Specificite],MATCH(ChoixRationOvins&amp;$DN183,Règles_ovins[Ration]&amp;Règles_ovins[Aliment],0))="s1",IF($DN183=Spécificité1Ovins,1)),
AND(INDEX(Règles_ovins[Specificite],MATCH(ChoixRationOvins&amp;$DN183,Règles_ovins[Ration]&amp;Règles_ovins[Aliment],0))="s2",IF($DN183=Spécificité2Ovins,1)),
INDEX(Règles_ovins[Specificite],MATCH(ChoixRationOvins&amp;$DN183,Règles_ovins[Ration]&amp;Règles_ovins[Aliment],0))="c"),
INDEX(Règles_ovins[Valeur 3-6],MATCH(ChoixRationOvins&amp;$DN183,Règles_ovins[Ration]&amp;Règles_ovins[Aliment],0)),0),0)*IF(ChoixOvinsPréHiver=OUI,SUM(TotalOvins_3_6moisRacesLaitières)*NbreJoursNourrirOvins,TotalAgneau_3_6_mois*NbreJoursNourrirOvins))</f>
        <v>0</v>
      </c>
      <c r="DR183" s="351">
        <f t="array" ref="DR183">IF(ChoixRationComplèteOvins=OUI,0,IFERROR(IF(OR(AND(INDEX(Règles_ovins[Specificite],MATCH(ChoixRationOvins&amp;$DN183,Règles_ovins[Ration]&amp;Règles_ovins[Aliment],0))="s1",IF($DN183=Spécificité1Ovins,1)),
AND(INDEX(Règles_ovins[Specificite],MATCH(ChoixRationOvins&amp;$DN183,Règles_ovins[Ration]&amp;Règles_ovins[Aliment],0))="s2",IF($DN183=Spécificité2Ovins,1)),
INDEX(Règles_ovins[Specificite],MATCH(ChoixRationOvins&amp;$DN183,Règles_ovins[Ration]&amp;Règles_ovins[Aliment],0))="c"),
INDEX(Règles_ovins[Valeur 0-3],MATCH(ChoixRationOvins&amp;$DN183,Règles_ovins[Ration]&amp;Règles_ovins[Aliment],0)),0),0)*IF(ChoixOvinsPréHiver=OUI,SUM(TotalOvins_3_6moisRacesLaitières)*NbreJoursNourrirOvins,TotalAgneau_0_3_mois*NbreJoursNourrirOvins))</f>
        <v>0</v>
      </c>
      <c r="DS183" s="441">
        <f t="shared" si="55"/>
        <v>0</v>
      </c>
      <c r="EG183" s="350">
        <f t="shared" si="57"/>
        <v>0</v>
      </c>
      <c r="EH183" s="351"/>
      <c r="EI183" s="351"/>
      <c r="EJ183" s="351"/>
      <c r="EN183" s="457">
        <f t="shared" si="56"/>
        <v>0</v>
      </c>
      <c r="EO183" s="458"/>
      <c r="EP183" s="458"/>
      <c r="EQ183" s="458"/>
      <c r="EU183" s="457">
        <f t="shared" si="54"/>
        <v>0</v>
      </c>
      <c r="EV183" s="458">
        <f t="array" ref="EV183">IF(OR(ChoixRationHivernaleComplèteChevauxSelle=OUI,ChoixRationHivernaleComplèteChevauxSelle="",ChoixChevauxSellePréHiver=NON),0,IFERROR(IF(OR(AND(INDEX(Règles_chevaux_selle[Specificite],MATCH(RationHivernaleAuPréChevauxSelle&amp;$EU183,Règles_chevaux_selle[Ration]&amp;Règles_chevaux_selle[Aliment],0))="s1",IF($EU183=Spécificité1ChevauxSelle,1)),
AND(INDEX(Règles_chevaux_selle[Specificite],MATCH(RationHivernaleAuPréChevauxSelle&amp;$EU183,Règles_chevaux_selle[Ration]&amp;Règles_chevaux_selle[Aliment],0))="s2",IF($EU183=Spécificité2ChevauxSelle,1)),
INDEX(Règles_chevaux_selle[Specificite],MATCH(RationHivernaleAuPréChevauxSelle&amp;$EU183,Règles_chevaux_selle[Ration]&amp;Règles_chevaux_selle[Aliment],0))="c"),
INDEX(Règles_chevaux_selle[Valeur 36 et plus],MATCH(RationHivernaleAuPréChevauxSelle&amp;$EU183,Règles_chevaux_selle[Ration]&amp;Règles_chevaux_selle[Aliment],0)),0),0)*SUM(TotalChevauxSelleAdultes)*21)</f>
        <v>0</v>
      </c>
      <c r="EW183" s="458">
        <f t="array" ref="EW183">IF(OR(ChoixRationHivernaleComplèteChevauxSelle=OUI,ChoixRationHivernaleComplèteChevauxSelle="",ChoixChevauxSellePréHiver=NON),0,IFERROR(IF(OR(AND(INDEX(Règles_chevaux_selle[Specificite],MATCH(RationHivernaleAuPréChevauxSelle&amp;$EU183,Règles_chevaux_selle[Ration]&amp;Règles_chevaux_selle[Aliment],0))="s1",IF($EU183=Spécificité1ChevauxSelle,1)),
AND(INDEX(Règles_chevaux_selle[Specificite],MATCH(RationHivernaleAuPréChevauxSelle&amp;$EU183,Règles_chevaux_selle[Ration]&amp;Règles_chevaux_selle[Aliment],0))="s2",IF($EU183=Spécificité2ChevauxSelle,1)),
INDEX(Règles_chevaux_selle[Specificite],MATCH(RationHivernaleAuPréChevauxSelle&amp;$EU183,Règles_chevaux_selle[Ration]&amp;Règles_chevaux_selle[Aliment],0))="c"),
INDEX(Règles_chevaux_selle[Valeur 24-36],MATCH(RationHivernaleAuPréChevauxSelle&amp;$EU183,Règles_chevaux_selle[Ration]&amp;Règles_chevaux_selle[Aliment],0)),0),0)*SUM(TotalChevauxSelle_24_36mois)*21)</f>
        <v>0</v>
      </c>
      <c r="EX183" s="458">
        <f t="array" ref="EX183">IF(OR(ChoixRationHivernaleComplèteChevauxSelle=OUI,ChoixRationHivernaleComplèteChevauxSelle="",ChoixChevauxSellePréHiver=NON),0,IFERROR(IF(OR(AND(INDEX(Règles_chevaux_selle[Specificite],MATCH(RationHivernaleAuPréChevauxSelle&amp;$EU183,Règles_chevaux_selle[Ration]&amp;Règles_chevaux_selle[Aliment],0))="s1",IF($EU183=Spécificité1ChevauxSelle,1)),
AND(INDEX(Règles_chevaux_selle[Specificite],MATCH(RationHivernaleAuPréChevauxSelle&amp;$EU183,Règles_chevaux_selle[Ration]&amp;Règles_chevaux_selle[Aliment],0))="s2",IF($EU183=Spécificité2ChevauxSelle,1)),
INDEX(Règles_chevaux_selle[Specificite],MATCH(RationHivernaleAuPréChevauxSelle&amp;$EU183,Règles_chevaux_selle[Ration]&amp;Règles_chevaux_selle[Aliment],0))="c"),
INDEX(Règles_chevaux_selle[Valeur 12-24],MATCH(RationHivernaleAuPréChevauxSelle&amp;$EU183,Règles_chevaux_selle[Ration]&amp;Règles_chevaux_selle[Aliment],0)),0),0)*SUM(TotalChevauxSelle_12_24mois)*21)</f>
        <v>0</v>
      </c>
      <c r="EY183" s="460">
        <f t="array" ref="EY183">IF(OR(ChoixRationHivernaleComplèteChevauxSelle=OUI,ChoixRationHivernaleComplèteChevauxSelle="",ChoixChevauxSellePréHiver=NON),0,IFERROR(IF(OR(AND(INDEX(Règles_chevaux_selle[Specificite],MATCH(RationHivernaleAuPréChevauxSelle&amp;$EU183,Règles_chevaux_selle[Ration]&amp;Règles_chevaux_selle[Aliment],0))="s1",IF($EU183=Spécificité1ChevauxSelle,1)),
AND(INDEX(Règles_chevaux_selle[Specificite],MATCH(RationHivernaleAuPréChevauxSelle&amp;$EU183,Règles_chevaux_selle[Ration]&amp;Règles_chevaux_selle[Aliment],0))="s2",IF($EU183=Spécificité2ChevauxSelle,1)),
INDEX(Règles_chevaux_selle[Specificite],MATCH(RationHivernaleAuPréChevauxSelle&amp;$EU183,Règles_chevaux_selle[Ration]&amp;Règles_chevaux_selle[Aliment],0))="c"),
INDEX(Règles_chevaux_selle[Valeur 0-12],MATCH(RationHivernaleAuPréChevauxSelle&amp;$EU183,Règles_chevaux_selle[Ration]&amp;Règles_chevaux_selle[Aliment],0)),0),0)*SUM(TotalPoulainsSelle)*21)</f>
        <v>0</v>
      </c>
      <c r="EZ183" s="460">
        <f t="shared" si="53"/>
        <v>0</v>
      </c>
      <c r="FD183" s="394" t="s">
        <v>910</v>
      </c>
      <c r="FE183" s="395" t="s">
        <v>895</v>
      </c>
      <c r="FF183" s="395" t="s">
        <v>894</v>
      </c>
      <c r="FG183" s="395" t="s">
        <v>938</v>
      </c>
      <c r="FH183" s="449" t="s">
        <v>937</v>
      </c>
      <c r="FI183" s="396" t="s">
        <v>903</v>
      </c>
      <c r="FN183" s="421" t="s">
        <v>508</v>
      </c>
      <c r="FO183" s="452">
        <f t="array" ref="FO183">IF(ChoixRationHivernaleComplètePoneys=NON,0,IFERROR(IF(OR(AND(INDEX(Règles_poneys[Specificite],MATCH(RationHivernaleAuPréPoneys&amp;Ration_complète_poneys[aliment],Règles_poneys[Ration]&amp;Règles_poneys[Aliment],0))="s1",IF(Ration_complète_poneys[aliment]=Spécificité1Poneys,1)),
AND(INDEX(Règles_poneys[Specificite],MATCH(RationHivernaleAuPréPoneys&amp;Ration_complète_poneys[aliment],Règles_poneys[Ration]&amp;Règles_poneys[Aliment],0))="s2",IF(Ration_complète_poneys[aliment]=Spécificité2Poneys,1)),
INDEX(Règles_poneys[Specificite],MATCH(RationHivernaleAuPréPoneys&amp;Ration_complète_poneys[aliment],Règles_poneys[Ration]&amp;Règles_poneys[Aliment],0))="c",INDEX(Règles_poneys[Specificite],MATCH(RationHivernaleAuPréPoneys&amp;Ration_complète_poneys[aliment],Règles_poneys[Ration]&amp;Règles_poneys[Aliment],0))="complet"),
INDEX(Règles_poneys[Valeur 36 et plus],MATCH(RationHivernaleAuPréPoneys&amp;Ration_complète_poneys[aliment],Règles_poneys[Ration]&amp;Règles_poneys[Aliment],0)),0),0)*SUM(TotalPoneysAdultes)*21)</f>
        <v>0</v>
      </c>
      <c r="FP183" s="452">
        <f t="array" ref="FP183">IF(ChoixRationHivernaleComplètePoneys=NON,0,IFERROR(IF(OR(AND(INDEX(Règles_poneys[Specificite],MATCH(RationHivernaleAuPréPoneys&amp;Ration_complète_poneys[aliment],Règles_poneys[Ration]&amp;Règles_poneys[Aliment],0))="s1",IF(Ration_complète_poneys[aliment]=Spécificité1Poneys,1)),
AND(INDEX(Règles_poneys[Specificite],MATCH(RationHivernaleAuPréPoneys&amp;Ration_complète_poneys[aliment],Règles_poneys[Ration]&amp;Règles_poneys[Aliment],0))="s2",IF(Ration_complète_poneys[aliment]=Spécificité2Poneys,1)),
INDEX(Règles_poneys[Specificite],MATCH(RationHivernaleAuPréPoneys&amp;Ration_complète_poneys[aliment],Règles_poneys[Ration]&amp;Règles_poneys[Aliment],0))="c",INDEX(Règles_poneys[Specificite],MATCH(RationHivernaleAuPréPoneys&amp;Ration_complète_poneys[aliment],Règles_poneys[Ration]&amp;Règles_poneys[Aliment],0))="complet"),
INDEX(Règles_poneys[Valeur 24-36],MATCH(RationHivernaleAuPréPoneys&amp;Ration_complète_poneys[aliment],Règles_poneys[Ration]&amp;Règles_poneys[Aliment],0)),0),0)*SUM(TotalPoneys_24_36mois)*SUM(AE76:AE100))</f>
        <v>0</v>
      </c>
      <c r="FQ183" s="452">
        <f t="array" ref="FQ183">IF(ChoixRationHivernaleComplètePoneys=NON,0,IFERROR(IF(OR(AND(INDEX(Règles_poneys[Specificite],MATCH(RationHivernaleAuPréPoneys&amp;Ration_complète_poneys[aliment],Règles_poneys[Ration]&amp;Règles_poneys[Aliment],0))="s1",IF(Ration_complète_poneys[aliment]=Spécificité1Poneys,1)),
AND(INDEX(Règles_poneys[Specificite],MATCH(RationHivernaleAuPréPoneys&amp;Ration_complète_poneys[aliment],Règles_poneys[Ration]&amp;Règles_poneys[Aliment],0))="s2",IF(Ration_complète_poneys[aliment]=Spécificité2Poneys,1)),
INDEX(Règles_poneys[Specificite],MATCH(RationHivernaleAuPréPoneys&amp;Ration_complète_poneys[aliment],Règles_poneys[Ration]&amp;Règles_poneys[Aliment],0))="c",INDEX(Règles_poneys[Specificite],MATCH(RationHivernaleAuPréPoneys&amp;Ration_complète_poneys[aliment],Règles_poneys[Ration]&amp;Règles_poneys[Aliment],0))="complet"),
INDEX(Règles_poneys[Valeur 12-24],MATCH(RationHivernaleAuPréPoneys&amp;Ration_complète_poneys[aliment],Règles_poneys[Ration]&amp;Règles_poneys[Aliment],0)),0),0)*SUM(TotalPoneys_12_24mois)*SUM(AE76:AE100))</f>
        <v>0</v>
      </c>
      <c r="FR183" s="452">
        <f t="array" ref="FR183">IF(ChoixRationHivernaleComplètePoneys=NON,0,IFERROR(IF(OR(AND(INDEX(Règles_poneys[Specificite],MATCH(RationHivernaleAuPréPoneys&amp;Ration_complète_poneys[aliment],Règles_poneys[Ration]&amp;Règles_poneys[Aliment],0))="s1",IF(Ration_complète_poneys[aliment]=Spécificité1Poneys,1)),
AND(INDEX(Règles_poneys[Specificite],MATCH(RationHivernaleAuPréPoneys&amp;Ration_complète_poneys[aliment],Règles_poneys[Ration]&amp;Règles_poneys[Aliment],0))="s2",IF(Ration_complète_poneys[aliment]=Spécificité2Poneys,1)),
INDEX(Règles_poneys[Specificite],MATCH(RationHivernaleAuPréPoneys&amp;Ration_complète_poneys[aliment],Règles_poneys[Ration]&amp;Règles_poneys[Aliment],0))="c",INDEX(Règles_poneys[Specificite],MATCH(RationHivernaleAuPréPoneys&amp;Ration_complète_poneys[aliment],Règles_poneys[Ration]&amp;Règles_poneys[Aliment],0))="complet"),
INDEX(Règles_poneys[Valeur 0-12],MATCH(RationHivernaleAuPréPoneys&amp;Ration_complète_poneys[aliment],Règles_poneys[Ration]&amp;Règles_poneys[Aliment],0)),0),0)*SUM(TotalPoulainsPoneys)*SUM(AE76:AE100))</f>
        <v>0</v>
      </c>
      <c r="FS183" s="454">
        <f>SUM(Ration_complète_poneys[[Valeur 36 et plus]:[Valeur 0-12]])</f>
        <v>0</v>
      </c>
      <c r="FW183" s="281"/>
      <c r="FX183" s="281"/>
      <c r="FY183" s="281"/>
      <c r="FZ183" s="281"/>
      <c r="GB183" s="281"/>
      <c r="GG183" s="276" t="s">
        <v>955</v>
      </c>
      <c r="GH183" s="276" t="s">
        <v>955</v>
      </c>
      <c r="GI183" s="276" t="s">
        <v>955</v>
      </c>
      <c r="GJ183" s="276" t="s">
        <v>955</v>
      </c>
      <c r="GK183" s="276" t="s">
        <v>955</v>
      </c>
      <c r="GL183" s="276" t="s">
        <v>955</v>
      </c>
      <c r="GM183" s="276" t="s">
        <v>955</v>
      </c>
      <c r="GN183" s="276" t="s">
        <v>955</v>
      </c>
      <c r="GO183" s="276" t="s">
        <v>955</v>
      </c>
      <c r="GP183" s="276" t="s">
        <v>955</v>
      </c>
      <c r="GQ183" s="276" t="s">
        <v>955</v>
      </c>
      <c r="GR183" s="276" t="s">
        <v>955</v>
      </c>
      <c r="GS183" s="276" t="s">
        <v>955</v>
      </c>
      <c r="GT183" s="276" t="s">
        <v>955</v>
      </c>
      <c r="GU183" s="276" t="s">
        <v>955</v>
      </c>
      <c r="GV183" s="276" t="s">
        <v>955</v>
      </c>
    </row>
    <row r="184" spans="1:204" ht="12.75" customHeight="1" x14ac:dyDescent="0.2">
      <c r="A184" s="373"/>
      <c r="B184" s="382"/>
      <c r="BB184" s="387"/>
      <c r="BC184" s="362"/>
      <c r="BD184" s="362"/>
      <c r="BE184" s="388"/>
      <c r="BF184" s="388"/>
      <c r="BG184" s="388"/>
      <c r="BH184" s="388"/>
      <c r="BI184" s="388"/>
      <c r="BJ184" s="388"/>
      <c r="BK184" s="389"/>
      <c r="BL184" s="276"/>
      <c r="BX184" s="277"/>
      <c r="BY184" s="277"/>
      <c r="BZ184" s="277"/>
      <c r="CA184" s="277"/>
      <c r="CB184" s="277"/>
      <c r="CC184" s="277"/>
      <c r="CD184" s="298"/>
      <c r="CE184" s="298"/>
      <c r="CF184" s="298"/>
      <c r="CG184" s="298"/>
      <c r="CH184" s="298"/>
      <c r="CI184" s="277"/>
      <c r="CK184" s="277"/>
      <c r="CL184" s="277"/>
      <c r="CM184" s="277"/>
      <c r="CN184" s="277"/>
      <c r="CO184" s="277"/>
      <c r="CP184" s="277"/>
      <c r="CS184" s="350" t="str">
        <f t="shared" si="59"/>
        <v>Tournesol</v>
      </c>
      <c r="CT184" s="351">
        <f t="array" ref="CT184">SUM((IF(QualitéAlimentsLapereauMâle_0_1_mois=BONNE,VLOOKUP("Tournesol",AlimentsRationLapinsMâles[],4,FALSE),0)+(IF(QualitéAlimentsLapereauFemelle_0_1_mois=BONNE,VLOOKUP("Tournesol",AlimentsRationLapinsFemelles[],4,FALSE),0)+(IF(QualitéAlimentsJeuneLapin=BONNE,VLOOKUP("Tournesol",AlimentsRationLapinsMâles[],3,FALSE),0)+(IF(QualitéAlimentsJeuneLapine=BONNE,VLOOKUP("Tournesol",AlimentsRationLapinsFemelles[],3,FALSE),0)+(IF(QualitéAlimentsLapin=BONNE,VLOOKUP("Tournesol",AlimentsRationLapinsMâles[],2,FALSE),0)+(IF(QualitéAlimentsLapine=BONNE,VLOOKUP("Tournesol",AlimentsRationLapinsFemelles[],2,FALSE),0))))))))</f>
        <v>0</v>
      </c>
      <c r="CU184" s="351">
        <f t="array" ref="CU184">SUM((IF(QualitéAlimentsLapereauMâle_0_1_mois=MOYENNE,VLOOKUP("Tournesol",AlimentsRationLapinsMâles[],4,FALSE),0)+(IF(QualitéAlimentsLapereauFemelle_0_1_mois=MOYENNE,VLOOKUP("Tournesol",AlimentsRationLapinsFemelles[],4,FALSE),0)+(IF(QualitéAlimentsJeuneLapin=MOYENNE,VLOOKUP("Tournesol",AlimentsRationLapinsMâles[],3,FALSE),0)+(IF(QualitéAlimentsJeuneLapine=MOYENNE,VLOOKUP("Tournesol",AlimentsRationLapinsFemelles[],3,FALSE),0)+(IF(QualitéAlimentsLapin=MOYENNE,VLOOKUP("Tournesol",AlimentsRationLapinsMâles[],2,FALSE),0)+(IF(QualitéAlimentsLapine=MOYENNE,VLOOKUP("Tournesol",AlimentsRationLapinsFemelles[],2,FALSE),0))))))))</f>
        <v>0</v>
      </c>
      <c r="CV184" s="351">
        <f t="array" ref="CV184">SUM((IF(QualitéAlimentsLapereauMâle_0_1_mois=MAUVAISE,VLOOKUP("Tournesol",AlimentsRationLapinsMâles[],4,FALSE),0)+(IF(QualitéAlimentsLapereauFemelle_0_1_mois=MAUVAISE,VLOOKUP("Tournesol",AlimentsRationLapinsFemelles[],4,FALSE),0)+(IF(QualitéAlimentsJeuneLapin=MAUVAISE,VLOOKUP("Tournesol",AlimentsRationLapinsMâles[],3,FALSE),0)+(IF(QualitéAlimentsJeuneLapine=MAUVAISE,VLOOKUP("Tournesol",AlimentsRationLapinsFemelles[],3,FALSE),0)+(IF(QualitéAlimentsLapin=MAUVAISE,VLOOKUP("Tournesol",AlimentsRationLapinsMâles[],2,FALSE),0)+(IF(QualitéAlimentsLapine=MAUVAISE,VLOOKUP("Tournesol",AlimentsRationLapinsFemelles[],2,FALSE),0))))))))</f>
        <v>0</v>
      </c>
      <c r="CZ184" s="350" t="str">
        <f t="shared" si="58"/>
        <v>Tourteau de colza</v>
      </c>
      <c r="DA184" s="351">
        <f t="array" ref="DA184">SUM((IF(QualitéAlimentsPoussinMâle_0_1_mois=BONNE,VLOOKUP("Tournesol de colza",AlimentsRationVolaillesMâles[],4,FALSE),0)+(IF(QualitéAlimentsPoussinFemelle_0_1_mois=BONNE,VLOOKUP("Tournesol de colza",AlimentsRationVolaillesFemelles[],4,FALSE),0)+(IF(QualitéAlimentsJeuneCoq=BONNE,VLOOKUP("Tournesol de colza",AlimentsRationVolaillesMâles[],3,FALSE),0)+(IF(QualitéAlimentsJeunePoule=BONNE,VLOOKUP("Tournesol de colza",AlimentsRationVolaillesFemelles[],3,FALSE),0)+(IF(QualitéAlimentsCoq=BONNE,VLOOKUP("Tournesol de colza",AlimentsRationVolaillesMâles[],2,FALSE),0)+(IF(QualitéAlimentsPoule=BONNE,VLOOKUP("Tournesol de colza",AlimentsRationVolaillesFemelles[],2,FALSE),0))))))))</f>
        <v>0</v>
      </c>
      <c r="DB184" s="351">
        <f t="array" ref="DB184">SUM((IF(QualitéAlimentsPoussinMâle_0_1_mois=MOYENNE,VLOOKUP("Tournesol de colza",AlimentsRationVolaillesMâles[],4,FALSE),0)+(IF(QualitéAlimentsPoussinFemelle_0_1_mois=MOYENNE,VLOOKUP("Tournesol de colza",AlimentsRationVolaillesFemelles[],4,FALSE),0)+(IF(QualitéAlimentsJeuneCoq=MOYENNE,VLOOKUP("Tournesol de colza",AlimentsRationVolaillesMâles[],3,FALSE),0)+(IF(QualitéAlimentsJeunePoule=MOYENNE,VLOOKUP("Tournesol de colza",AlimentsRationVolaillesFemelles[],3,FALSE),0)+(IF(QualitéAlimentsCoq=MOYENNE,VLOOKUP("Tournesol de colza",AlimentsRationVolaillesMâles[],2,FALSE),0)+(IF(QualitéAlimentsPoule=MOYENNE,VLOOKUP("Tournesol de colza",AlimentsRationVolaillesFemelles[],2,FALSE),0))))))))</f>
        <v>0</v>
      </c>
      <c r="DC184" s="351">
        <f t="array" ref="DC184">SUM((IF(QualitéAlimentsPoussinMâle_0_1_mois=MAUVAISE,VLOOKUP("Tournesol de colza",AlimentsRationVolaillesMâles[],4,FALSE),0)+(IF(QualitéAlimentsPoussinFemelle_0_1_mois=MAUVAISE,VLOOKUP("Tournesol de colza",AlimentsRationVolaillesFemelles[],4,FALSE),0)+(IF(QualitéAlimentsJeuneCoq=MAUVAISE,VLOOKUP("Tournesol de colza",AlimentsRationVolaillesMâles[],3,FALSE),0)+(IF(QualitéAlimentsJeunePoule=MAUVAISE,VLOOKUP("Tournesol de colza",AlimentsRationVolaillesFemelles[],3,FALSE),0)+(IF(QualitéAlimentsCoq=MAUVAISE,VLOOKUP("Tournesol de colza",AlimentsRationVolaillesMâles[],2,FALSE),0)+(IF(QualitéAlimentsPoule=MAUVAISE,VLOOKUP("Tournesol de colza",AlimentsRationVolaillesFemelles[],2,FALSE),0))))))))</f>
        <v>0</v>
      </c>
      <c r="DN184" s="350"/>
      <c r="DO184" s="351">
        <f t="array" ref="DO184">IF(ChoixRationComplèteOvins=OUI,0,IFERROR(IF(OR(AND(INDEX(Règles_ovins[Specificite],MATCH(ChoixRationOvins&amp;$DN184,Règles_ovins[Ration]&amp;Règles_ovins[Aliment],0))="s1",IF($DN184=Spécificité1Ovins,1)),
AND(INDEX(Règles_ovins[Specificite],MATCH(ChoixRationOvins&amp;$DN184,Règles_ovins[Ration]&amp;Règles_ovins[Aliment],0))="s2",IF($DN184=Spécificité2Ovins,1)),
INDEX(Règles_ovins[Specificite],MATCH(ChoixRationOvins&amp;$DN184,Règles_ovins[Ration]&amp;Règles_ovins[Aliment],0))="c"),
INDEX(Règles_ovins[Valeur 12 et plus],MATCH(ChoixRationOvins&amp;$DN184,Règles_ovins[Ration]&amp;Règles_ovins[Aliment],0)),0),0)*IF(ChoixOvinsPréHiver=OUI,SUM(TotalOvinsAdultesRacesLaitières)*NbreJoursNourrirOvins,TotalBéliers*NbreJoursNourrirOvins))</f>
        <v>0</v>
      </c>
      <c r="DP184" s="351">
        <f t="array" ref="DP184">IF(ChoixRationComplèteOvins=OUI,0,IFERROR(IF(OR(AND(INDEX(Règles_ovins[Specificite],MATCH(ChoixRationOvins&amp;$DN184,Règles_ovins[Ration]&amp;Règles_ovins[Aliment],0))="s1",IF($DN184=Spécificité1Ovins,1)),
AND(INDEX(Règles_ovins[Specificite],MATCH(ChoixRationOvins&amp;$DN184,Règles_ovins[Ration]&amp;Règles_ovins[Aliment],0))="s2",IF($DN184=Spécificité2Ovins,1)),
INDEX(Règles_ovins[Specificite],MATCH(ChoixRationOvins&amp;$DN184,Règles_ovins[Ration]&amp;Règles_ovins[Aliment],0))="c"),
INDEX(Règles_ovins[Valeur 6-12],MATCH(ChoixRationOvins&amp;$DN184,Règles_ovins[Ration]&amp;Règles_ovins[Aliment],0)),0),0)*IF(ChoixOvinsPréHiver=OUI,SUM(TotalJeunesOvinsRacesLaitières)*NbreJoursNourrirOvins,TotalJeune_bélier_6_12_mois*NbreJoursNourrirOvins))</f>
        <v>0</v>
      </c>
      <c r="DQ184" s="351">
        <f t="array" ref="DQ184">IF(ChoixRationComplèteOvins=OUI,0,IFERROR(IF(OR(AND(INDEX(Règles_ovins[Specificite],MATCH(ChoixRationOvins&amp;$DN184,Règles_ovins[Ration]&amp;Règles_ovins[Aliment],0))="s1",IF($DN184=Spécificité1Ovins,1)),
AND(INDEX(Règles_ovins[Specificite],MATCH(ChoixRationOvins&amp;$DN184,Règles_ovins[Ration]&amp;Règles_ovins[Aliment],0))="s2",IF($DN184=Spécificité2Ovins,1)),
INDEX(Règles_ovins[Specificite],MATCH(ChoixRationOvins&amp;$DN184,Règles_ovins[Ration]&amp;Règles_ovins[Aliment],0))="c"),
INDEX(Règles_ovins[Valeur 3-6],MATCH(ChoixRationOvins&amp;$DN184,Règles_ovins[Ration]&amp;Règles_ovins[Aliment],0)),0),0)*IF(ChoixOvinsPréHiver=OUI,SUM(TotalOvins_3_6moisRacesLaitières)*NbreJoursNourrirOvins,TotalAgneau_3_6_mois*NbreJoursNourrirOvins))</f>
        <v>0</v>
      </c>
      <c r="DR184" s="351">
        <f t="array" ref="DR184">IF(ChoixRationComplèteOvins=OUI,0,IFERROR(IF(OR(AND(INDEX(Règles_ovins[Specificite],MATCH(ChoixRationOvins&amp;$DN184,Règles_ovins[Ration]&amp;Règles_ovins[Aliment],0))="s1",IF($DN184=Spécificité1Ovins,1)),
AND(INDEX(Règles_ovins[Specificite],MATCH(ChoixRationOvins&amp;$DN184,Règles_ovins[Ration]&amp;Règles_ovins[Aliment],0))="s2",IF($DN184=Spécificité2Ovins,1)),
INDEX(Règles_ovins[Specificite],MATCH(ChoixRationOvins&amp;$DN184,Règles_ovins[Ration]&amp;Règles_ovins[Aliment],0))="c"),
INDEX(Règles_ovins[Valeur 0-3],MATCH(ChoixRationOvins&amp;$DN184,Règles_ovins[Ration]&amp;Règles_ovins[Aliment],0)),0),0)*IF(ChoixOvinsPréHiver=OUI,SUM(TotalOvins_3_6moisRacesLaitières)*NbreJoursNourrirOvins,TotalAgneau_0_3_mois*NbreJoursNourrirOvins))</f>
        <v>0</v>
      </c>
      <c r="DS184" s="441">
        <f t="shared" si="55"/>
        <v>0</v>
      </c>
      <c r="EG184" s="350">
        <f t="shared" si="57"/>
        <v>0</v>
      </c>
      <c r="EH184" s="351"/>
      <c r="EI184" s="351"/>
      <c r="EJ184" s="351"/>
      <c r="EN184" s="457">
        <f t="shared" si="56"/>
        <v>0</v>
      </c>
      <c r="EO184" s="458"/>
      <c r="EP184" s="458"/>
      <c r="EQ184" s="458"/>
      <c r="EU184" s="457">
        <f t="shared" si="54"/>
        <v>0</v>
      </c>
      <c r="EV184" s="458">
        <f t="array" ref="EV184">IF(OR(ChoixRationHivernaleComplèteChevauxSelle=OUI,ChoixRationHivernaleComplèteChevauxSelle="",ChoixChevauxSellePréHiver=NON),0,IFERROR(IF(OR(AND(INDEX(Règles_chevaux_selle[Specificite],MATCH(RationHivernaleAuPréChevauxSelle&amp;$EU184,Règles_chevaux_selle[Ration]&amp;Règles_chevaux_selle[Aliment],0))="s1",IF($EU184=Spécificité1ChevauxSelle,1)),
AND(INDEX(Règles_chevaux_selle[Specificite],MATCH(RationHivernaleAuPréChevauxSelle&amp;$EU184,Règles_chevaux_selle[Ration]&amp;Règles_chevaux_selle[Aliment],0))="s2",IF($EU184=Spécificité2ChevauxSelle,1)),
INDEX(Règles_chevaux_selle[Specificite],MATCH(RationHivernaleAuPréChevauxSelle&amp;$EU184,Règles_chevaux_selle[Ration]&amp;Règles_chevaux_selle[Aliment],0))="c"),
INDEX(Règles_chevaux_selle[Valeur 36 et plus],MATCH(RationHivernaleAuPréChevauxSelle&amp;$EU184,Règles_chevaux_selle[Ration]&amp;Règles_chevaux_selle[Aliment],0)),0),0)*SUM(TotalChevauxSelleAdultes)*21)</f>
        <v>0</v>
      </c>
      <c r="EW184" s="458">
        <f t="array" ref="EW184">IF(OR(ChoixRationHivernaleComplèteChevauxSelle=OUI,ChoixRationHivernaleComplèteChevauxSelle="",ChoixChevauxSellePréHiver=NON),0,IFERROR(IF(OR(AND(INDEX(Règles_chevaux_selle[Specificite],MATCH(RationHivernaleAuPréChevauxSelle&amp;$EU184,Règles_chevaux_selle[Ration]&amp;Règles_chevaux_selle[Aliment],0))="s1",IF($EU184=Spécificité1ChevauxSelle,1)),
AND(INDEX(Règles_chevaux_selle[Specificite],MATCH(RationHivernaleAuPréChevauxSelle&amp;$EU184,Règles_chevaux_selle[Ration]&amp;Règles_chevaux_selle[Aliment],0))="s2",IF($EU184=Spécificité2ChevauxSelle,1)),
INDEX(Règles_chevaux_selle[Specificite],MATCH(RationHivernaleAuPréChevauxSelle&amp;$EU184,Règles_chevaux_selle[Ration]&amp;Règles_chevaux_selle[Aliment],0))="c"),
INDEX(Règles_chevaux_selle[Valeur 24-36],MATCH(RationHivernaleAuPréChevauxSelle&amp;$EU184,Règles_chevaux_selle[Ration]&amp;Règles_chevaux_selle[Aliment],0)),0),0)*SUM(TotalChevauxSelle_24_36mois)*21)</f>
        <v>0</v>
      </c>
      <c r="EX184" s="458">
        <f t="array" ref="EX184">IF(OR(ChoixRationHivernaleComplèteChevauxSelle=OUI,ChoixRationHivernaleComplèteChevauxSelle="",ChoixChevauxSellePréHiver=NON),0,IFERROR(IF(OR(AND(INDEX(Règles_chevaux_selle[Specificite],MATCH(RationHivernaleAuPréChevauxSelle&amp;$EU184,Règles_chevaux_selle[Ration]&amp;Règles_chevaux_selle[Aliment],0))="s1",IF($EU184=Spécificité1ChevauxSelle,1)),
AND(INDEX(Règles_chevaux_selle[Specificite],MATCH(RationHivernaleAuPréChevauxSelle&amp;$EU184,Règles_chevaux_selle[Ration]&amp;Règles_chevaux_selle[Aliment],0))="s2",IF($EU184=Spécificité2ChevauxSelle,1)),
INDEX(Règles_chevaux_selle[Specificite],MATCH(RationHivernaleAuPréChevauxSelle&amp;$EU184,Règles_chevaux_selle[Ration]&amp;Règles_chevaux_selle[Aliment],0))="c"),
INDEX(Règles_chevaux_selle[Valeur 12-24],MATCH(RationHivernaleAuPréChevauxSelle&amp;$EU184,Règles_chevaux_selle[Ration]&amp;Règles_chevaux_selle[Aliment],0)),0),0)*SUM(TotalChevauxSelle_12_24mois)*21)</f>
        <v>0</v>
      </c>
      <c r="EY184" s="460">
        <f t="array" ref="EY184">IF(OR(ChoixRationHivernaleComplèteChevauxSelle=OUI,ChoixRationHivernaleComplèteChevauxSelle="",ChoixChevauxSellePréHiver=NON),0,IFERROR(IF(OR(AND(INDEX(Règles_chevaux_selle[Specificite],MATCH(RationHivernaleAuPréChevauxSelle&amp;$EU184,Règles_chevaux_selle[Ration]&amp;Règles_chevaux_selle[Aliment],0))="s1",IF($EU184=Spécificité1ChevauxSelle,1)),
AND(INDEX(Règles_chevaux_selle[Specificite],MATCH(RationHivernaleAuPréChevauxSelle&amp;$EU184,Règles_chevaux_selle[Ration]&amp;Règles_chevaux_selle[Aliment],0))="s2",IF($EU184=Spécificité2ChevauxSelle,1)),
INDEX(Règles_chevaux_selle[Specificite],MATCH(RationHivernaleAuPréChevauxSelle&amp;$EU184,Règles_chevaux_selle[Ration]&amp;Règles_chevaux_selle[Aliment],0))="c"),
INDEX(Règles_chevaux_selle[Valeur 0-12],MATCH(RationHivernaleAuPréChevauxSelle&amp;$EU184,Règles_chevaux_selle[Ration]&amp;Règles_chevaux_selle[Aliment],0)),0),0)*SUM(TotalPoulainsSelle)*21)</f>
        <v>0</v>
      </c>
      <c r="EZ184" s="460">
        <f t="shared" si="53"/>
        <v>0</v>
      </c>
      <c r="FD184" s="421" t="s">
        <v>508</v>
      </c>
      <c r="FE184" s="452">
        <f t="array" ref="FE184">IF(ChoixRationHivernaleComplèteChevauxTrait=NON,0,IFERROR(IF(OR(AND(INDEX(Règles_chevaux_trait[Specificite],MATCH(RationHivernaleAuPréChevauxTrait&amp;Ration_complète_chevaux_trait6[aliment],Règles_chevaux_trait[Ration]&amp;Règles_chevaux_trait[Aliment],0))="s1",IF(Ration_complète_chevaux_trait6[aliment]=Spécificité1ChevauxTrait,1)),
AND(INDEX(Règles_chevaux_trait[Specificite],MATCH(RationHivernaleAuPréChevauxTrait&amp;Ration_complète_chevaux_trait6[aliment],Règles_chevaux_trait[Ration]&amp;Règles_chevaux_trait[Aliment],0))="s2",IF(Ration_complète_chevaux_trait6[aliment]=Spécificité2ChevauxTrait,1)),
INDEX(Règles_chevaux_trait[Specificite],MATCH(RationHivernaleAuPréChevauxTrait&amp;Ration_complète_chevaux_trait6[aliment],Règles_chevaux_trait[Ration]&amp;Règles_chevaux_trait[Aliment],0))="c",INDEX(Règles_chevaux_trait[Specificite],MATCH(RationHivernaleAuPréChevauxTrait&amp;Ration_complète_chevaux_trait6[aliment],Règles_chevaux_trait[Ration]&amp;Règles_chevaux_trait[Aliment],0))="complet"),
INDEX(Règles_chevaux_trait[Valeur 36 et plus],MATCH(RationHivernaleAuPréChevauxTrait&amp;Ration_complète_chevaux_trait6[aliment],Règles_chevaux_trait[Ration]&amp;Règles_chevaux_trait[Aliment],0)),0),0)*SUM(TotalChevauxTraitAdultes)*21)</f>
        <v>0</v>
      </c>
      <c r="FF184" s="452">
        <f t="array" ref="FF184">IF(ChoixRationHivernaleComplèteChevauxTrait=NON,0,IFERROR(IF(OR(AND(INDEX(Règles_chevaux_trait[Specificite],MATCH(RationHivernaleAuPréChevauxTrait&amp;Ration_complète_chevaux_trait6[aliment],Règles_chevaux_trait[Ration]&amp;Règles_chevaux_trait[Aliment],0))="s1",IF(Ration_complète_chevaux_trait6[aliment]=Spécificité1ChevauxTrait,1)),
AND(INDEX(Règles_chevaux_trait[Specificite],MATCH(RationHivernaleAuPréChevauxTrait&amp;Ration_complète_chevaux_trait6[aliment],Règles_chevaux_trait[Ration]&amp;Règles_chevaux_trait[Aliment],0))="s2",IF(Ration_complète_chevaux_trait6[aliment]=Spécificité2ChevauxTrait,1)),
INDEX(Règles_chevaux_trait[Specificite],MATCH(RationHivernaleAuPréChevauxTrait&amp;Ration_complète_chevaux_trait6[aliment],Règles_chevaux_trait[Ration]&amp;Règles_chevaux_trait[Aliment],0))="c",INDEX(Règles_chevaux_trait[Specificite],MATCH(RationHivernaleAuPréChevauxTrait&amp;Ration_complète_chevaux_trait6[aliment],Règles_chevaux_trait[Ration]&amp;Règles_chevaux_trait[Aliment],0))="complet"),
INDEX(Règles_chevaux_trait[Valeur 24-36],MATCH(RationHivernaleAuPréChevauxTrait&amp;Ration_complète_chevaux_trait6[aliment],Règles_chevaux_trait[Ration]&amp;Règles_chevaux_trait[Aliment],0)),0),0)*SUM(TotalChevauxTrait_24_36mois)*21)</f>
        <v>0</v>
      </c>
      <c r="FG184" s="452">
        <f t="array" ref="FG184">IF(ChoixRationHivernaleComplèteChevauxTrait=NON,0,IFERROR(IF(OR(AND(INDEX(Règles_chevaux_trait[Specificite],MATCH(RationHivernaleAuPréChevauxTrait&amp;Ration_complète_chevaux_trait6[aliment],Règles_chevaux_trait[Ration]&amp;Règles_chevaux_trait[Aliment],0))="s1",IF(Ration_complète_chevaux_trait6[aliment]=Spécificité1ChevauxTrait,1)),
AND(INDEX(Règles_chevaux_trait[Specificite],MATCH(RationHivernaleAuPréChevauxTrait&amp;Ration_complète_chevaux_trait6[aliment],Règles_chevaux_trait[Ration]&amp;Règles_chevaux_trait[Aliment],0))="s2",IF(Ration_complète_chevaux_trait6[aliment]=Spécificité2ChevauxTrait,1)),
INDEX(Règles_chevaux_trait[Specificite],MATCH(RationHivernaleAuPréChevauxTrait&amp;Ration_complète_chevaux_trait6[aliment],Règles_chevaux_trait[Ration]&amp;Règles_chevaux_trait[Aliment],0))="c",INDEX(Règles_chevaux_trait[Specificite],MATCH(RationHivernaleAuPréChevauxTrait&amp;Ration_complète_chevaux_trait6[aliment],Règles_chevaux_trait[Ration]&amp;Règles_chevaux_trait[Aliment],0))="complet"),
INDEX(Règles_chevaux_trait[Valeur 12-24],MATCH(RationHivernaleAuPréChevauxTrait&amp;Ration_complète_chevaux_trait6[aliment],Règles_chevaux_trait[Ration]&amp;Règles_chevaux_trait[Aliment],0)),0),0)*SUM(TotalChevauxTrait_12_24mois)*21)</f>
        <v>0</v>
      </c>
      <c r="FH184" s="452">
        <f t="array" ref="FH184">IF(ChoixRationHivernaleComplèteChevauxTrait=NON,0,IFERROR(IF(OR(AND(INDEX(Règles_chevaux_trait[Specificite],MATCH(RationHivernaleAuPréChevauxTrait&amp;Ration_complète_chevaux_trait6[aliment],Règles_chevaux_trait[Ration]&amp;Règles_chevaux_trait[Aliment],0))="s1",IF(Ration_complète_chevaux_trait6[aliment]=Spécificité1ChevauxTrait,1)),
AND(INDEX(Règles_chevaux_trait[Specificite],MATCH(RationHivernaleAuPréChevauxTrait&amp;Ration_complète_chevaux_trait6[aliment],Règles_chevaux_trait[Ration]&amp;Règles_chevaux_trait[Aliment],0))="s2",IF(Ration_complète_chevaux_trait6[aliment]=Spécificité2ChevauxTrait,1)),
INDEX(Règles_chevaux_trait[Specificite],MATCH(RationHivernaleAuPréChevauxTrait&amp;Ration_complète_chevaux_trait6[aliment],Règles_chevaux_trait[Ration]&amp;Règles_chevaux_trait[Aliment],0))="c",INDEX(Règles_chevaux_trait[Specificite],MATCH(RationHivernaleAuPréChevauxTrait&amp;Ration_complète_chevaux_trait6[aliment],Règles_chevaux_trait[Ration]&amp;Règles_chevaux_trait[Aliment],0))="complet"),
INDEX(Règles_chevaux_trait[Valeur 0-12],MATCH(RationHivernaleAuPréChevauxTrait&amp;Ration_complète_chevaux_trait6[aliment],Règles_chevaux_trait[Ration]&amp;Règles_chevaux_trait[Aliment],0)),0),0)*SUM(TotalPoulainsTrait)*21)</f>
        <v>0</v>
      </c>
      <c r="FI184" s="454">
        <f>SUM(Ration_complète_chevaux_trait6[[Valeur 36 et plus]:[Valeur 0-12]])</f>
        <v>0</v>
      </c>
      <c r="FW184" s="281"/>
      <c r="FX184" s="281"/>
      <c r="FY184" s="281"/>
      <c r="FZ184" s="281"/>
      <c r="GB184" s="281"/>
      <c r="GG184" s="276" t="s">
        <v>955</v>
      </c>
      <c r="GH184" s="276" t="s">
        <v>955</v>
      </c>
      <c r="GI184" s="276" t="s">
        <v>955</v>
      </c>
      <c r="GJ184" s="276" t="s">
        <v>955</v>
      </c>
      <c r="GK184" s="276" t="s">
        <v>955</v>
      </c>
      <c r="GL184" s="276" t="s">
        <v>955</v>
      </c>
      <c r="GM184" s="276" t="s">
        <v>955</v>
      </c>
      <c r="GN184" s="276" t="s">
        <v>955</v>
      </c>
      <c r="GO184" s="276" t="s">
        <v>955</v>
      </c>
      <c r="GP184" s="276" t="s">
        <v>955</v>
      </c>
      <c r="GQ184" s="276" t="s">
        <v>955</v>
      </c>
      <c r="GR184" s="276" t="s">
        <v>955</v>
      </c>
      <c r="GS184" s="276" t="s">
        <v>955</v>
      </c>
      <c r="GT184" s="276" t="s">
        <v>955</v>
      </c>
      <c r="GU184" s="276" t="s">
        <v>955</v>
      </c>
      <c r="GV184" s="276" t="s">
        <v>955</v>
      </c>
    </row>
    <row r="185" spans="1:204" ht="12.75" customHeight="1" x14ac:dyDescent="0.2">
      <c r="A185" s="373"/>
      <c r="B185" s="382"/>
      <c r="BB185" s="387"/>
      <c r="BC185" s="362"/>
      <c r="BD185" s="362"/>
      <c r="BE185" s="388"/>
      <c r="BF185" s="388"/>
      <c r="BG185" s="388"/>
      <c r="BH185" s="388"/>
      <c r="BI185" s="388"/>
      <c r="BJ185" s="388"/>
      <c r="BK185" s="389"/>
      <c r="BL185" s="276"/>
      <c r="BX185" s="347" t="s">
        <v>1019</v>
      </c>
      <c r="BY185" s="229"/>
      <c r="BZ185" s="277"/>
      <c r="CA185" s="277"/>
      <c r="CB185" s="277"/>
      <c r="CC185" s="277"/>
      <c r="CD185" s="298"/>
      <c r="CE185" s="298"/>
      <c r="CF185" s="298"/>
      <c r="CG185" s="298"/>
      <c r="CH185" s="298"/>
      <c r="CI185" s="277"/>
      <c r="CK185" s="277"/>
      <c r="CL185" s="277"/>
      <c r="CM185" s="277"/>
      <c r="CN185" s="277"/>
      <c r="CO185" s="277"/>
      <c r="CP185" s="277"/>
      <c r="CS185" s="350" t="str">
        <f t="shared" si="59"/>
        <v>Tourteau de colza</v>
      </c>
      <c r="CT185" s="351">
        <f t="array" ref="CT185">SUM((IF(QualitéAlimentsLapereauMâle_0_1_mois=BONNE,VLOOKUP("Tournesol de colza",AlimentsRationLapinsMâles[],4,FALSE),0)+(IF(QualitéAlimentsLapereauFemelle_0_1_mois=BONNE,VLOOKUP("Tournesol de colza",AlimentsRationLapinsFemelles[],4,FALSE),0)+(IF(QualitéAlimentsJeuneLapin=BONNE,VLOOKUP("Tournesol de colza",AlimentsRationLapinsMâles[],3,FALSE),0)+(IF(QualitéAlimentsJeuneLapine=BONNE,VLOOKUP("Tournesol de colza",AlimentsRationLapinsFemelles[],3,FALSE),0)+(IF(QualitéAlimentsLapin=BONNE,VLOOKUP("Tournesol de colza",AlimentsRationLapinsMâles[],2,FALSE),0)+(IF(QualitéAlimentsLapine=BONNE,VLOOKUP("Tournesol de colza",AlimentsRationLapinsFemelles[],2,FALSE),0))))))))</f>
        <v>0</v>
      </c>
      <c r="CU185" s="351">
        <f t="array" ref="CU185">SUM((IF(QualitéAlimentsLapereauMâle_0_1_mois=MOYENNE,VLOOKUP("Tournesol de colza",AlimentsRationLapinsMâles[],4,FALSE),0)+(IF(QualitéAlimentsLapereauFemelle_0_1_mois=MOYENNE,VLOOKUP("Tournesol de colza",AlimentsRationLapinsFemelles[],4,FALSE),0)+(IF(QualitéAlimentsJeuneLapin=MOYENNE,VLOOKUP("Tournesol de colza",AlimentsRationLapinsMâles[],3,FALSE),0)+(IF(QualitéAlimentsJeuneLapine=MOYENNE,VLOOKUP("Tournesol de colza",AlimentsRationLapinsFemelles[],3,FALSE),0)+(IF(QualitéAlimentsLapin=MOYENNE,VLOOKUP("Tournesol de colza",AlimentsRationLapinsMâles[],2,FALSE),0)+(IF(QualitéAlimentsLapine=MOYENNE,VLOOKUP("Tournesol de colza",AlimentsRationLapinsFemelles[],2,FALSE),0))))))))</f>
        <v>0</v>
      </c>
      <c r="CV185" s="351">
        <f t="array" ref="CV185">SUM((IF(QualitéAlimentsLapereauMâle_0_1_mois=MAUVAISE,VLOOKUP("Tournesol de colza",AlimentsRationLapinsMâles[],4,FALSE),0)+(IF(QualitéAlimentsLapereauFemelle_0_1_mois=MAUVAISE,VLOOKUP("Tournesol de colza",AlimentsRationLapinsFemelles[],4,FALSE),0)+(IF(QualitéAlimentsJeuneLapin=MAUVAISE,VLOOKUP("Tournesol de colza",AlimentsRationLapinsMâles[],3,FALSE),0)+(IF(QualitéAlimentsJeuneLapine=MAUVAISE,VLOOKUP("Tournesol de colza",AlimentsRationLapinsFemelles[],3,FALSE),0)+(IF(QualitéAlimentsLapin=MAUVAISE,VLOOKUP("Tournesol de colza",AlimentsRationLapinsMâles[],2,FALSE),0)+(IF(QualitéAlimentsLapine=MAUVAISE,VLOOKUP("Tournesol de colza",AlimentsRationLapinsFemelles[],2,FALSE),0))))))))</f>
        <v>0</v>
      </c>
      <c r="CZ185" s="350" t="str">
        <f t="shared" si="58"/>
        <v>Tourteau de tournesol</v>
      </c>
      <c r="DA185" s="351">
        <f t="array" ref="DA185">SUM((IF(QualitéAlimentsPoussinMâle_0_1_mois=BONNE,VLOOKUP("Tournesol de tournesol",AlimentsRationVolaillesMâles[],4,FALSE),0)+(IF(QualitéAlimentsPoussinFemelle_0_1_mois=BONNE,VLOOKUP("Tournesol de tournesol",AlimentsRationVolaillesFemelles[],4,FALSE),0)+(IF(QualitéAlimentsJeuneCoq=BONNE,VLOOKUP("Tournesol de tournesol",AlimentsRationVolaillesMâles[],3,FALSE),0)+(IF(QualitéAlimentsJeunePoule=BONNE,VLOOKUP("Tournesol de tournesol",AlimentsRationVolaillesFemelles[],3,FALSE),0)+(IF(QualitéAlimentsCoq=BONNE,VLOOKUP("Tournesol de tournesol",AlimentsRationVolaillesMâles[],2,FALSE),0)+(IF(QualitéAlimentsPoule=BONNE,VLOOKUP("Tournesol de tournesol",AlimentsRationVolaillesFemelles[],2,FALSE),0))))))))</f>
        <v>0</v>
      </c>
      <c r="DB185" s="351">
        <f t="array" ref="DB185">SUM((IF(QualitéAlimentsPoussinMâle_0_1_mois=MOYENNE,VLOOKUP("Tournesol de tournesol",AlimentsRationVolaillesMâles[],4,FALSE),0)+(IF(QualitéAlimentsPoussinFemelle_0_1_mois=MOYENNE,VLOOKUP("Tournesol de tournesol",AlimentsRationVolaillesFemelles[],4,FALSE),0)+(IF(QualitéAlimentsJeuneCoq=MOYENNE,VLOOKUP("Tournesol de tournesol",AlimentsRationVolaillesMâles[],3,FALSE),0)+(IF(QualitéAlimentsJeunePoule=MOYENNE,VLOOKUP("Tournesol de tournesol",AlimentsRationVolaillesFemelles[],3,FALSE),0)+(IF(QualitéAlimentsCoq=MOYENNE,VLOOKUP("Tournesol de tournesol",AlimentsRationVolaillesMâles[],2,FALSE),0)+(IF(QualitéAlimentsPoule=MOYENNE,VLOOKUP("Tournesol de tournesol",AlimentsRationVolaillesFemelles[],2,FALSE),0))))))))</f>
        <v>0</v>
      </c>
      <c r="DC185" s="351">
        <f t="array" ref="DC185">SUM((IF(QualitéAlimentsPoussinMâle_0_1_mois=MAUVAISE,VLOOKUP("Tournesol de tournesol",AlimentsRationVolaillesMâles[],4,FALSE),0)+(IF(QualitéAlimentsPoussinFemelle_0_1_mois=MAUVAISE,VLOOKUP("Tournesol de tournesol",AlimentsRationVolaillesFemelles[],4,FALSE),0)+(IF(QualitéAlimentsJeuneCoq=MAUVAISE,VLOOKUP("Tournesol de tournesol",AlimentsRationVolaillesMâles[],3,FALSE),0)+(IF(QualitéAlimentsJeunePoule=MAUVAISE,VLOOKUP("Tournesol de tournesol",AlimentsRationVolaillesFemelles[],3,FALSE),0)+(IF(QualitéAlimentsCoq=MAUVAISE,VLOOKUP("Tournesol de tournesol",AlimentsRationVolaillesMâles[],2,FALSE),0)+(IF(QualitéAlimentsPoule=MAUVAISE,VLOOKUP("Tournesol de tournesol",AlimentsRationVolaillesFemelles[],2,FALSE),0))))))))</f>
        <v>0</v>
      </c>
      <c r="DN185" s="350"/>
      <c r="DO185" s="351">
        <f t="array" ref="DO185">IF(ChoixRationComplèteOvins=OUI,0,IFERROR(IF(OR(AND(INDEX(Règles_ovins[Specificite],MATCH(ChoixRationOvins&amp;$DN185,Règles_ovins[Ration]&amp;Règles_ovins[Aliment],0))="s1",IF($DN185=Spécificité1Ovins,1)),
AND(INDEX(Règles_ovins[Specificite],MATCH(ChoixRationOvins&amp;$DN185,Règles_ovins[Ration]&amp;Règles_ovins[Aliment],0))="s2",IF($DN185=Spécificité2Ovins,1)),
INDEX(Règles_ovins[Specificite],MATCH(ChoixRationOvins&amp;$DN185,Règles_ovins[Ration]&amp;Règles_ovins[Aliment],0))="c"),
INDEX(Règles_ovins[Valeur 12 et plus],MATCH(ChoixRationOvins&amp;$DN185,Règles_ovins[Ration]&amp;Règles_ovins[Aliment],0)),0),0)*IF(ChoixOvinsPréHiver=OUI,SUM(TotalOvinsAdultesRacesLaitières)*NbreJoursNourrirOvins,TotalBéliers*NbreJoursNourrirOvins))</f>
        <v>0</v>
      </c>
      <c r="DP185" s="351">
        <f t="array" ref="DP185">IF(ChoixRationComplèteOvins=OUI,0,IFERROR(IF(OR(AND(INDEX(Règles_ovins[Specificite],MATCH(ChoixRationOvins&amp;$DN185,Règles_ovins[Ration]&amp;Règles_ovins[Aliment],0))="s1",IF($DN185=Spécificité1Ovins,1)),
AND(INDEX(Règles_ovins[Specificite],MATCH(ChoixRationOvins&amp;$DN185,Règles_ovins[Ration]&amp;Règles_ovins[Aliment],0))="s2",IF($DN185=Spécificité2Ovins,1)),
INDEX(Règles_ovins[Specificite],MATCH(ChoixRationOvins&amp;$DN185,Règles_ovins[Ration]&amp;Règles_ovins[Aliment],0))="c"),
INDEX(Règles_ovins[Valeur 6-12],MATCH(ChoixRationOvins&amp;$DN185,Règles_ovins[Ration]&amp;Règles_ovins[Aliment],0)),0),0)*IF(ChoixOvinsPréHiver=OUI,SUM(TotalJeunesOvinsRacesLaitières)*NbreJoursNourrirOvins,TotalJeune_bélier_6_12_mois*NbreJoursNourrirOvins))</f>
        <v>0</v>
      </c>
      <c r="DQ185" s="351">
        <f t="array" ref="DQ185">IF(ChoixRationComplèteOvins=OUI,0,IFERROR(IF(OR(AND(INDEX(Règles_ovins[Specificite],MATCH(ChoixRationOvins&amp;$DN185,Règles_ovins[Ration]&amp;Règles_ovins[Aliment],0))="s1",IF($DN185=Spécificité1Ovins,1)),
AND(INDEX(Règles_ovins[Specificite],MATCH(ChoixRationOvins&amp;$DN185,Règles_ovins[Ration]&amp;Règles_ovins[Aliment],0))="s2",IF($DN185=Spécificité2Ovins,1)),
INDEX(Règles_ovins[Specificite],MATCH(ChoixRationOvins&amp;$DN185,Règles_ovins[Ration]&amp;Règles_ovins[Aliment],0))="c"),
INDEX(Règles_ovins[Valeur 3-6],MATCH(ChoixRationOvins&amp;$DN185,Règles_ovins[Ration]&amp;Règles_ovins[Aliment],0)),0),0)*IF(ChoixOvinsPréHiver=OUI,SUM(TotalOvins_3_6moisRacesLaitières)*NbreJoursNourrirOvins,TotalAgneau_3_6_mois*NbreJoursNourrirOvins))</f>
        <v>0</v>
      </c>
      <c r="DR185" s="351">
        <f t="array" ref="DR185">IF(ChoixRationComplèteOvins=OUI,0,IFERROR(IF(OR(AND(INDEX(Règles_ovins[Specificite],MATCH(ChoixRationOvins&amp;$DN185,Règles_ovins[Ration]&amp;Règles_ovins[Aliment],0))="s1",IF($DN185=Spécificité1Ovins,1)),
AND(INDEX(Règles_ovins[Specificite],MATCH(ChoixRationOvins&amp;$DN185,Règles_ovins[Ration]&amp;Règles_ovins[Aliment],0))="s2",IF($DN185=Spécificité2Ovins,1)),
INDEX(Règles_ovins[Specificite],MATCH(ChoixRationOvins&amp;$DN185,Règles_ovins[Ration]&amp;Règles_ovins[Aliment],0))="c"),
INDEX(Règles_ovins[Valeur 0-3],MATCH(ChoixRationOvins&amp;$DN185,Règles_ovins[Ration]&amp;Règles_ovins[Aliment],0)),0),0)*IF(ChoixOvinsPréHiver=OUI,SUM(TotalOvins_3_6moisRacesLaitières)*NbreJoursNourrirOvins,TotalAgneau_0_3_mois*NbreJoursNourrirOvins))</f>
        <v>0</v>
      </c>
      <c r="DS185" s="441">
        <f t="shared" si="55"/>
        <v>0</v>
      </c>
      <c r="EG185" s="350">
        <f t="shared" si="57"/>
        <v>0</v>
      </c>
      <c r="EH185" s="351"/>
      <c r="EI185" s="351"/>
      <c r="EJ185" s="351"/>
      <c r="EN185" s="457">
        <f t="shared" si="56"/>
        <v>0</v>
      </c>
      <c r="EO185" s="458"/>
      <c r="EP185" s="458"/>
      <c r="EQ185" s="458"/>
      <c r="EU185" s="457">
        <f t="shared" si="54"/>
        <v>0</v>
      </c>
      <c r="EV185" s="458">
        <f t="array" ref="EV185">IF(OR(ChoixRationHivernaleComplèteChevauxSelle=OUI,ChoixRationHivernaleComplèteChevauxSelle="",ChoixChevauxSellePréHiver=NON),0,IFERROR(IF(OR(AND(INDEX(Règles_chevaux_selle[Specificite],MATCH(RationHivernaleAuPréChevauxSelle&amp;$EU185,Règles_chevaux_selle[Ration]&amp;Règles_chevaux_selle[Aliment],0))="s1",IF($EU185=Spécificité1ChevauxSelle,1)),
AND(INDEX(Règles_chevaux_selle[Specificite],MATCH(RationHivernaleAuPréChevauxSelle&amp;$EU185,Règles_chevaux_selle[Ration]&amp;Règles_chevaux_selle[Aliment],0))="s2",IF($EU185=Spécificité2ChevauxSelle,1)),
INDEX(Règles_chevaux_selle[Specificite],MATCH(RationHivernaleAuPréChevauxSelle&amp;$EU185,Règles_chevaux_selle[Ration]&amp;Règles_chevaux_selle[Aliment],0))="c"),
INDEX(Règles_chevaux_selle[Valeur 36 et plus],MATCH(RationHivernaleAuPréChevauxSelle&amp;$EU185,Règles_chevaux_selle[Ration]&amp;Règles_chevaux_selle[Aliment],0)),0),0)*SUM(TotalChevauxSelleAdultes)*21)</f>
        <v>0</v>
      </c>
      <c r="EW185" s="458">
        <f t="array" ref="EW185">IF(OR(ChoixRationHivernaleComplèteChevauxSelle=OUI,ChoixRationHivernaleComplèteChevauxSelle="",ChoixChevauxSellePréHiver=NON),0,IFERROR(IF(OR(AND(INDEX(Règles_chevaux_selle[Specificite],MATCH(RationHivernaleAuPréChevauxSelle&amp;$EU185,Règles_chevaux_selle[Ration]&amp;Règles_chevaux_selle[Aliment],0))="s1",IF($EU185=Spécificité1ChevauxSelle,1)),
AND(INDEX(Règles_chevaux_selle[Specificite],MATCH(RationHivernaleAuPréChevauxSelle&amp;$EU185,Règles_chevaux_selle[Ration]&amp;Règles_chevaux_selle[Aliment],0))="s2",IF($EU185=Spécificité2ChevauxSelle,1)),
INDEX(Règles_chevaux_selle[Specificite],MATCH(RationHivernaleAuPréChevauxSelle&amp;$EU185,Règles_chevaux_selle[Ration]&amp;Règles_chevaux_selle[Aliment],0))="c"),
INDEX(Règles_chevaux_selle[Valeur 24-36],MATCH(RationHivernaleAuPréChevauxSelle&amp;$EU185,Règles_chevaux_selle[Ration]&amp;Règles_chevaux_selle[Aliment],0)),0),0)*SUM(TotalChevauxSelle_24_36mois)*21)</f>
        <v>0</v>
      </c>
      <c r="EX185" s="458">
        <f t="array" ref="EX185">IF(OR(ChoixRationHivernaleComplèteChevauxSelle=OUI,ChoixRationHivernaleComplèteChevauxSelle="",ChoixChevauxSellePréHiver=NON),0,IFERROR(IF(OR(AND(INDEX(Règles_chevaux_selle[Specificite],MATCH(RationHivernaleAuPréChevauxSelle&amp;$EU185,Règles_chevaux_selle[Ration]&amp;Règles_chevaux_selle[Aliment],0))="s1",IF($EU185=Spécificité1ChevauxSelle,1)),
AND(INDEX(Règles_chevaux_selle[Specificite],MATCH(RationHivernaleAuPréChevauxSelle&amp;$EU185,Règles_chevaux_selle[Ration]&amp;Règles_chevaux_selle[Aliment],0))="s2",IF($EU185=Spécificité2ChevauxSelle,1)),
INDEX(Règles_chevaux_selle[Specificite],MATCH(RationHivernaleAuPréChevauxSelle&amp;$EU185,Règles_chevaux_selle[Ration]&amp;Règles_chevaux_selle[Aliment],0))="c"),
INDEX(Règles_chevaux_selle[Valeur 12-24],MATCH(RationHivernaleAuPréChevauxSelle&amp;$EU185,Règles_chevaux_selle[Ration]&amp;Règles_chevaux_selle[Aliment],0)),0),0)*SUM(TotalChevauxSelle_12_24mois)*21)</f>
        <v>0</v>
      </c>
      <c r="EY185" s="460">
        <f t="array" ref="EY185">IF(OR(ChoixRationHivernaleComplèteChevauxSelle=OUI,ChoixRationHivernaleComplèteChevauxSelle="",ChoixChevauxSellePréHiver=NON),0,IFERROR(IF(OR(AND(INDEX(Règles_chevaux_selle[Specificite],MATCH(RationHivernaleAuPréChevauxSelle&amp;$EU185,Règles_chevaux_selle[Ration]&amp;Règles_chevaux_selle[Aliment],0))="s1",IF($EU185=Spécificité1ChevauxSelle,1)),
AND(INDEX(Règles_chevaux_selle[Specificite],MATCH(RationHivernaleAuPréChevauxSelle&amp;$EU185,Règles_chevaux_selle[Ration]&amp;Règles_chevaux_selle[Aliment],0))="s2",IF($EU185=Spécificité2ChevauxSelle,1)),
INDEX(Règles_chevaux_selle[Specificite],MATCH(RationHivernaleAuPréChevauxSelle&amp;$EU185,Règles_chevaux_selle[Ration]&amp;Règles_chevaux_selle[Aliment],0))="c"),
INDEX(Règles_chevaux_selle[Valeur 0-12],MATCH(RationHivernaleAuPréChevauxSelle&amp;$EU185,Règles_chevaux_selle[Ration]&amp;Règles_chevaux_selle[Aliment],0)),0),0)*SUM(TotalPoulainsSelle)*21)</f>
        <v>0</v>
      </c>
      <c r="EZ185" s="460">
        <f t="shared" si="53"/>
        <v>0</v>
      </c>
      <c r="FS185" s="276"/>
      <c r="FW185" s="281"/>
      <c r="FX185" s="281"/>
      <c r="FY185" s="281"/>
      <c r="FZ185" s="281"/>
      <c r="GB185" s="281"/>
      <c r="GG185" s="276" t="s">
        <v>955</v>
      </c>
      <c r="GH185" s="276" t="s">
        <v>955</v>
      </c>
      <c r="GI185" s="276" t="s">
        <v>955</v>
      </c>
      <c r="GJ185" s="276" t="s">
        <v>955</v>
      </c>
      <c r="GK185" s="276" t="s">
        <v>955</v>
      </c>
      <c r="GL185" s="276" t="s">
        <v>955</v>
      </c>
      <c r="GM185" s="276" t="s">
        <v>955</v>
      </c>
      <c r="GN185" s="276" t="s">
        <v>955</v>
      </c>
      <c r="GO185" s="276" t="s">
        <v>955</v>
      </c>
      <c r="GP185" s="276" t="s">
        <v>955</v>
      </c>
      <c r="GQ185" s="276" t="s">
        <v>955</v>
      </c>
      <c r="GR185" s="276" t="s">
        <v>955</v>
      </c>
      <c r="GS185" s="276" t="s">
        <v>955</v>
      </c>
      <c r="GT185" s="276" t="s">
        <v>955</v>
      </c>
      <c r="GU185" s="276" t="s">
        <v>955</v>
      </c>
      <c r="GV185" s="276" t="s">
        <v>955</v>
      </c>
    </row>
    <row r="186" spans="1:204" ht="12.75" customHeight="1" x14ac:dyDescent="0.2">
      <c r="A186" s="373"/>
      <c r="B186" s="382"/>
      <c r="BB186" s="387"/>
      <c r="BC186" s="362"/>
      <c r="BD186" s="362"/>
      <c r="BE186" s="388"/>
      <c r="BF186" s="388"/>
      <c r="BG186" s="388"/>
      <c r="BH186" s="388"/>
      <c r="BI186" s="388"/>
      <c r="BJ186" s="388"/>
      <c r="BK186" s="389"/>
      <c r="BL186" s="276"/>
      <c r="BX186" s="394" t="s">
        <v>970</v>
      </c>
      <c r="BY186" s="396" t="s">
        <v>972</v>
      </c>
      <c r="BZ186" s="277"/>
      <c r="CA186" s="277"/>
      <c r="CB186" s="277"/>
      <c r="CC186" s="277"/>
      <c r="CD186" s="298"/>
      <c r="CE186" s="298"/>
      <c r="CF186" s="298"/>
      <c r="CG186" s="298"/>
      <c r="CH186" s="298"/>
      <c r="CI186" s="277"/>
      <c r="CK186" s="277"/>
      <c r="CL186" s="277"/>
      <c r="CM186" s="277"/>
      <c r="CN186" s="277"/>
      <c r="CO186" s="277"/>
      <c r="CP186" s="277"/>
      <c r="CS186" s="350" t="str">
        <f t="shared" si="59"/>
        <v>Tourteau de tournesol</v>
      </c>
      <c r="CT186" s="351">
        <f t="array" ref="CT186">SUM((IF(QualitéAlimentsLapereauMâle_0_1_mois=BONNE,VLOOKUP("Tournesol de tournesol",AlimentsRationLapinsMâles[],4,FALSE),0)+(IF(QualitéAlimentsLapereauFemelle_0_1_mois=BONNE,VLOOKUP("Tournesol de tournesol",AlimentsRationLapinsFemelles[],4,FALSE),0)+(IF(QualitéAlimentsJeuneLapin=BONNE,VLOOKUP("Tournesol de tournesol",AlimentsRationLapinsMâles[],3,FALSE),0)+(IF(QualitéAlimentsJeuneLapine=BONNE,VLOOKUP("Tournesol de tournesol",AlimentsRationLapinsFemelles[],3,FALSE),0)+(IF(QualitéAlimentsLapin=BONNE,VLOOKUP("Tournesol de tournesol",AlimentsRationLapinsMâles[],2,FALSE),0)+(IF(QualitéAlimentsLapine=BONNE,VLOOKUP("Tournesol de tournesol",AlimentsRationLapinsFemelles[],2,FALSE),0))))))))</f>
        <v>0</v>
      </c>
      <c r="CU186" s="351">
        <f t="array" ref="CU186">SUM((IF(QualitéAlimentsLapereauMâle_0_1_mois=MOYENNE,VLOOKUP("Tournesol de tournesol",AlimentsRationLapinsMâles[],4,FALSE),0)+(IF(QualitéAlimentsLapereauFemelle_0_1_mois=MOYENNE,VLOOKUP("Tournesol de tournesol",AlimentsRationLapinsFemelles[],4,FALSE),0)+(IF(QualitéAlimentsJeuneLapin=MOYENNE,VLOOKUP("Tournesol de tournesol",AlimentsRationLapinsMâles[],3,FALSE),0)+(IF(QualitéAlimentsJeuneLapine=MOYENNE,VLOOKUP("Tournesol de tournesol",AlimentsRationLapinsFemelles[],3,FALSE),0)+(IF(QualitéAlimentsLapin=MOYENNE,VLOOKUP("Tournesol de tournesol",AlimentsRationLapinsMâles[],2,FALSE),0)+(IF(QualitéAlimentsLapine=MOYENNE,VLOOKUP("Tournesol de tournesol",AlimentsRationLapinsFemelles[],2,FALSE),0))))))))</f>
        <v>0</v>
      </c>
      <c r="CV186" s="351">
        <f t="array" ref="CV186">SUM((IF(QualitéAlimentsLapereauMâle_0_1_mois=MAUVAISE,VLOOKUP("Tournesol de tournesol",AlimentsRationLapinsMâles[],4,FALSE),0)+(IF(QualitéAlimentsLapereauFemelle_0_1_mois=MAUVAISE,VLOOKUP("Tournesol de tournesol",AlimentsRationLapinsFemelles[],4,FALSE),0)+(IF(QualitéAlimentsJeuneLapin=MAUVAISE,VLOOKUP("Tournesol de tournesol",AlimentsRationLapinsMâles[],3,FALSE),0)+(IF(QualitéAlimentsJeuneLapine=MAUVAISE,VLOOKUP("Tournesol de tournesol",AlimentsRationLapinsFemelles[],3,FALSE),0)+(IF(QualitéAlimentsLapin=MAUVAISE,VLOOKUP("Tournesol de tournesol",AlimentsRationLapinsMâles[],2,FALSE),0)+(IF(QualitéAlimentsLapine=MAUVAISE,VLOOKUP("Tournesol de tournesol",AlimentsRationLapinsFemelles[],2,FALSE),0))))))))</f>
        <v>0</v>
      </c>
      <c r="CZ186" s="350" t="str">
        <f t="shared" si="58"/>
        <v>Triticale</v>
      </c>
      <c r="DA186" s="351">
        <f t="array" ref="DA186">SUM((IF(QualitéAlimentsPoussinMâle_0_1_mois=BONNE,VLOOKUP("Triticale",AlimentsRationVolaillesMâles[],4,FALSE),0)+(IF(QualitéAlimentsPoussinFemelle_0_1_mois=BONNE,VLOOKUP("Triticale",AlimentsRationVolaillesFemelles[],4,FALSE),0)+(IF(QualitéAlimentsJeuneCoq=BONNE,VLOOKUP("Triticale",AlimentsRationVolaillesMâles[],3,FALSE),0)+(IF(QualitéAlimentsJeunePoule=BONNE,VLOOKUP("Triticale",AlimentsRationVolaillesFemelles[],3,FALSE),0)+(IF(QualitéAlimentsCoq=BONNE,VLOOKUP("Triticale",AlimentsRationVolaillesMâles[],2,FALSE),0)+(IF(QualitéAlimentsPoule=BONNE,VLOOKUP("Triticale",AlimentsRationVolaillesFemelles[],2,FALSE),0))))))))</f>
        <v>0</v>
      </c>
      <c r="DB186" s="351">
        <f t="array" ref="DB186">SUM((IF(QualitéAlimentsPoussinMâle_0_1_mois=MOYENNE,VLOOKUP("Triticale",AlimentsRationVolaillesMâles[],4,FALSE),0)+(IF(QualitéAlimentsPoussinFemelle_0_1_mois=MOYENNE,VLOOKUP("Triticale",AlimentsRationVolaillesFemelles[],4,FALSE),0)+(IF(QualitéAlimentsJeuneCoq=MOYENNE,VLOOKUP("Triticale",AlimentsRationVolaillesMâles[],3,FALSE),0)+(IF(QualitéAlimentsJeunePoule=MOYENNE,VLOOKUP("Triticale",AlimentsRationVolaillesFemelles[],3,FALSE),0)+(IF(QualitéAlimentsCoq=MOYENNE,VLOOKUP("Triticale",AlimentsRationVolaillesMâles[],2,FALSE),0)+(IF(QualitéAlimentsPoule=MOYENNE,VLOOKUP("Triticale",AlimentsRationVolaillesFemelles[],2,FALSE),0))))))))</f>
        <v>0</v>
      </c>
      <c r="DC186" s="351">
        <f t="array" ref="DC186">SUM((IF(QualitéAlimentsPoussinMâle_0_1_mois=MAUVAISE,VLOOKUP("Triticale",AlimentsRationVolaillesMâles[],4,FALSE),0)+(IF(QualitéAlimentsPoussinFemelle_0_1_mois=MAUVAISE,VLOOKUP("Triticale",AlimentsRationVolaillesFemelles[],4,FALSE),0)+(IF(QualitéAlimentsJeuneCoq=MAUVAISE,VLOOKUP("Triticale",AlimentsRationVolaillesMâles[],3,FALSE),0)+(IF(QualitéAlimentsJeunePoule=MAUVAISE,VLOOKUP("Triticale",AlimentsRationVolaillesFemelles[],3,FALSE),0)+(IF(QualitéAlimentsCoq=MAUVAISE,VLOOKUP("Triticale",AlimentsRationVolaillesMâles[],2,FALSE),0)+(IF(QualitéAlimentsPoule=MAUVAISE,VLOOKUP("Triticale",AlimentsRationVolaillesFemelles[],2,FALSE),0))))))))</f>
        <v>0</v>
      </c>
      <c r="DN186" s="350"/>
      <c r="DO186" s="351">
        <f t="array" ref="DO186">IF(ChoixRationComplèteOvins=OUI,0,IFERROR(IF(OR(AND(INDEX(Règles_ovins[Specificite],MATCH(ChoixRationOvins&amp;$DN186,Règles_ovins[Ration]&amp;Règles_ovins[Aliment],0))="s1",IF($DN186=Spécificité1Ovins,1)),
AND(INDEX(Règles_ovins[Specificite],MATCH(ChoixRationOvins&amp;$DN186,Règles_ovins[Ration]&amp;Règles_ovins[Aliment],0))="s2",IF($DN186=Spécificité2Ovins,1)),
INDEX(Règles_ovins[Specificite],MATCH(ChoixRationOvins&amp;$DN186,Règles_ovins[Ration]&amp;Règles_ovins[Aliment],0))="c"),
INDEX(Règles_ovins[Valeur 12 et plus],MATCH(ChoixRationOvins&amp;$DN186,Règles_ovins[Ration]&amp;Règles_ovins[Aliment],0)),0),0)*IF(ChoixOvinsPréHiver=OUI,SUM(TotalOvinsAdultesRacesLaitières)*NbreJoursNourrirOvins,TotalBéliers*NbreJoursNourrirOvins))</f>
        <v>0</v>
      </c>
      <c r="DP186" s="351">
        <f t="array" ref="DP186">IF(ChoixRationComplèteOvins=OUI,0,IFERROR(IF(OR(AND(INDEX(Règles_ovins[Specificite],MATCH(ChoixRationOvins&amp;$DN186,Règles_ovins[Ration]&amp;Règles_ovins[Aliment],0))="s1",IF($DN186=Spécificité1Ovins,1)),
AND(INDEX(Règles_ovins[Specificite],MATCH(ChoixRationOvins&amp;$DN186,Règles_ovins[Ration]&amp;Règles_ovins[Aliment],0))="s2",IF($DN186=Spécificité2Ovins,1)),
INDEX(Règles_ovins[Specificite],MATCH(ChoixRationOvins&amp;$DN186,Règles_ovins[Ration]&amp;Règles_ovins[Aliment],0))="c"),
INDEX(Règles_ovins[Valeur 6-12],MATCH(ChoixRationOvins&amp;$DN186,Règles_ovins[Ration]&amp;Règles_ovins[Aliment],0)),0),0)*IF(ChoixOvinsPréHiver=OUI,SUM(TotalJeunesOvinsRacesLaitières)*NbreJoursNourrirOvins,TotalJeune_bélier_6_12_mois*NbreJoursNourrirOvins))</f>
        <v>0</v>
      </c>
      <c r="DQ186" s="351">
        <f t="array" ref="DQ186">IF(ChoixRationComplèteOvins=OUI,0,IFERROR(IF(OR(AND(INDEX(Règles_ovins[Specificite],MATCH(ChoixRationOvins&amp;$DN186,Règles_ovins[Ration]&amp;Règles_ovins[Aliment],0))="s1",IF($DN186=Spécificité1Ovins,1)),
AND(INDEX(Règles_ovins[Specificite],MATCH(ChoixRationOvins&amp;$DN186,Règles_ovins[Ration]&amp;Règles_ovins[Aliment],0))="s2",IF($DN186=Spécificité2Ovins,1)),
INDEX(Règles_ovins[Specificite],MATCH(ChoixRationOvins&amp;$DN186,Règles_ovins[Ration]&amp;Règles_ovins[Aliment],0))="c"),
INDEX(Règles_ovins[Valeur 3-6],MATCH(ChoixRationOvins&amp;$DN186,Règles_ovins[Ration]&amp;Règles_ovins[Aliment],0)),0),0)*IF(ChoixOvinsPréHiver=OUI,SUM(TotalOvins_3_6moisRacesLaitières)*NbreJoursNourrirOvins,TotalAgneau_3_6_mois*NbreJoursNourrirOvins))</f>
        <v>0</v>
      </c>
      <c r="DR186" s="351">
        <f t="array" ref="DR186">IF(ChoixRationComplèteOvins=OUI,0,IFERROR(IF(OR(AND(INDEX(Règles_ovins[Specificite],MATCH(ChoixRationOvins&amp;$DN186,Règles_ovins[Ration]&amp;Règles_ovins[Aliment],0))="s1",IF($DN186=Spécificité1Ovins,1)),
AND(INDEX(Règles_ovins[Specificite],MATCH(ChoixRationOvins&amp;$DN186,Règles_ovins[Ration]&amp;Règles_ovins[Aliment],0))="s2",IF($DN186=Spécificité2Ovins,1)),
INDEX(Règles_ovins[Specificite],MATCH(ChoixRationOvins&amp;$DN186,Règles_ovins[Ration]&amp;Règles_ovins[Aliment],0))="c"),
INDEX(Règles_ovins[Valeur 0-3],MATCH(ChoixRationOvins&amp;$DN186,Règles_ovins[Ration]&amp;Règles_ovins[Aliment],0)),0),0)*IF(ChoixOvinsPréHiver=OUI,SUM(TotalOvins_3_6moisRacesLaitières)*NbreJoursNourrirOvins,TotalAgneau_0_3_mois*NbreJoursNourrirOvins))</f>
        <v>0</v>
      </c>
      <c r="DS186" s="441">
        <f t="shared" si="55"/>
        <v>0</v>
      </c>
      <c r="EG186" s="350">
        <f t="shared" si="57"/>
        <v>0</v>
      </c>
      <c r="EH186" s="351"/>
      <c r="EI186" s="351"/>
      <c r="EJ186" s="351"/>
      <c r="EN186" s="457">
        <f t="shared" si="56"/>
        <v>0</v>
      </c>
      <c r="EO186" s="458"/>
      <c r="EP186" s="458"/>
      <c r="EQ186" s="458"/>
      <c r="EU186" s="457">
        <f t="shared" si="54"/>
        <v>0</v>
      </c>
      <c r="EV186" s="458">
        <f t="array" ref="EV186">IF(OR(ChoixRationHivernaleComplèteChevauxSelle=OUI,ChoixRationHivernaleComplèteChevauxSelle="",ChoixChevauxSellePréHiver=NON),0,IFERROR(IF(OR(AND(INDEX(Règles_chevaux_selle[Specificite],MATCH(RationHivernaleAuPréChevauxSelle&amp;$EU186,Règles_chevaux_selle[Ration]&amp;Règles_chevaux_selle[Aliment],0))="s1",IF($EU186=Spécificité1ChevauxSelle,1)),
AND(INDEX(Règles_chevaux_selle[Specificite],MATCH(RationHivernaleAuPréChevauxSelle&amp;$EU186,Règles_chevaux_selle[Ration]&amp;Règles_chevaux_selle[Aliment],0))="s2",IF($EU186=Spécificité2ChevauxSelle,1)),
INDEX(Règles_chevaux_selle[Specificite],MATCH(RationHivernaleAuPréChevauxSelle&amp;$EU186,Règles_chevaux_selle[Ration]&amp;Règles_chevaux_selle[Aliment],0))="c"),
INDEX(Règles_chevaux_selle[Valeur 36 et plus],MATCH(RationHivernaleAuPréChevauxSelle&amp;$EU186,Règles_chevaux_selle[Ration]&amp;Règles_chevaux_selle[Aliment],0)),0),0)*SUM(TotalChevauxSelleAdultes)*21)</f>
        <v>0</v>
      </c>
      <c r="EW186" s="458">
        <f t="array" ref="EW186">IF(OR(ChoixRationHivernaleComplèteChevauxSelle=OUI,ChoixRationHivernaleComplèteChevauxSelle="",ChoixChevauxSellePréHiver=NON),0,IFERROR(IF(OR(AND(INDEX(Règles_chevaux_selle[Specificite],MATCH(RationHivernaleAuPréChevauxSelle&amp;$EU186,Règles_chevaux_selle[Ration]&amp;Règles_chevaux_selle[Aliment],0))="s1",IF($EU186=Spécificité1ChevauxSelle,1)),
AND(INDEX(Règles_chevaux_selle[Specificite],MATCH(RationHivernaleAuPréChevauxSelle&amp;$EU186,Règles_chevaux_selle[Ration]&amp;Règles_chevaux_selle[Aliment],0))="s2",IF($EU186=Spécificité2ChevauxSelle,1)),
INDEX(Règles_chevaux_selle[Specificite],MATCH(RationHivernaleAuPréChevauxSelle&amp;$EU186,Règles_chevaux_selle[Ration]&amp;Règles_chevaux_selle[Aliment],0))="c"),
INDEX(Règles_chevaux_selle[Valeur 24-36],MATCH(RationHivernaleAuPréChevauxSelle&amp;$EU186,Règles_chevaux_selle[Ration]&amp;Règles_chevaux_selle[Aliment],0)),0),0)*SUM(TotalChevauxSelle_24_36mois)*21)</f>
        <v>0</v>
      </c>
      <c r="EX186" s="458">
        <f t="array" ref="EX186">IF(OR(ChoixRationHivernaleComplèteChevauxSelle=OUI,ChoixRationHivernaleComplèteChevauxSelle="",ChoixChevauxSellePréHiver=NON),0,IFERROR(IF(OR(AND(INDEX(Règles_chevaux_selle[Specificite],MATCH(RationHivernaleAuPréChevauxSelle&amp;$EU186,Règles_chevaux_selle[Ration]&amp;Règles_chevaux_selle[Aliment],0))="s1",IF($EU186=Spécificité1ChevauxSelle,1)),
AND(INDEX(Règles_chevaux_selle[Specificite],MATCH(RationHivernaleAuPréChevauxSelle&amp;$EU186,Règles_chevaux_selle[Ration]&amp;Règles_chevaux_selle[Aliment],0))="s2",IF($EU186=Spécificité2ChevauxSelle,1)),
INDEX(Règles_chevaux_selle[Specificite],MATCH(RationHivernaleAuPréChevauxSelle&amp;$EU186,Règles_chevaux_selle[Ration]&amp;Règles_chevaux_selle[Aliment],0))="c"),
INDEX(Règles_chevaux_selle[Valeur 12-24],MATCH(RationHivernaleAuPréChevauxSelle&amp;$EU186,Règles_chevaux_selle[Ration]&amp;Règles_chevaux_selle[Aliment],0)),0),0)*SUM(TotalChevauxSelle_12_24mois)*21)</f>
        <v>0</v>
      </c>
      <c r="EY186" s="460">
        <f t="array" ref="EY186">IF(OR(ChoixRationHivernaleComplèteChevauxSelle=OUI,ChoixRationHivernaleComplèteChevauxSelle="",ChoixChevauxSellePréHiver=NON),0,IFERROR(IF(OR(AND(INDEX(Règles_chevaux_selle[Specificite],MATCH(RationHivernaleAuPréChevauxSelle&amp;$EU186,Règles_chevaux_selle[Ration]&amp;Règles_chevaux_selle[Aliment],0))="s1",IF($EU186=Spécificité1ChevauxSelle,1)),
AND(INDEX(Règles_chevaux_selle[Specificite],MATCH(RationHivernaleAuPréChevauxSelle&amp;$EU186,Règles_chevaux_selle[Ration]&amp;Règles_chevaux_selle[Aliment],0))="s2",IF($EU186=Spécificité2ChevauxSelle,1)),
INDEX(Règles_chevaux_selle[Specificite],MATCH(RationHivernaleAuPréChevauxSelle&amp;$EU186,Règles_chevaux_selle[Ration]&amp;Règles_chevaux_selle[Aliment],0))="c"),
INDEX(Règles_chevaux_selle[Valeur 0-12],MATCH(RationHivernaleAuPréChevauxSelle&amp;$EU186,Règles_chevaux_selle[Ration]&amp;Règles_chevaux_selle[Aliment],0)),0),0)*SUM(TotalPoulainsSelle)*21)</f>
        <v>0</v>
      </c>
      <c r="EZ186" s="460">
        <f t="shared" si="53"/>
        <v>0</v>
      </c>
      <c r="FI186" s="276"/>
      <c r="FN186" s="340" t="s">
        <v>1019</v>
      </c>
      <c r="FO186" s="335"/>
      <c r="FP186" s="335"/>
      <c r="FQ186" s="281"/>
      <c r="FR186" s="281"/>
      <c r="FW186" s="281"/>
      <c r="FX186" s="281"/>
      <c r="FY186" s="281"/>
      <c r="FZ186" s="281"/>
      <c r="GB186" s="281"/>
      <c r="GG186" s="276" t="s">
        <v>955</v>
      </c>
      <c r="GH186" s="276" t="s">
        <v>955</v>
      </c>
      <c r="GI186" s="276" t="s">
        <v>955</v>
      </c>
      <c r="GJ186" s="276" t="s">
        <v>955</v>
      </c>
      <c r="GK186" s="276" t="s">
        <v>955</v>
      </c>
      <c r="GL186" s="276" t="s">
        <v>955</v>
      </c>
      <c r="GM186" s="276" t="s">
        <v>955</v>
      </c>
      <c r="GN186" s="276" t="s">
        <v>955</v>
      </c>
      <c r="GO186" s="276" t="s">
        <v>955</v>
      </c>
      <c r="GP186" s="276" t="s">
        <v>955</v>
      </c>
      <c r="GQ186" s="276" t="s">
        <v>955</v>
      </c>
      <c r="GR186" s="276" t="s">
        <v>955</v>
      </c>
      <c r="GS186" s="276" t="s">
        <v>955</v>
      </c>
      <c r="GT186" s="276" t="s">
        <v>955</v>
      </c>
      <c r="GU186" s="276" t="s">
        <v>955</v>
      </c>
      <c r="GV186" s="276" t="s">
        <v>955</v>
      </c>
    </row>
    <row r="187" spans="1:204" ht="12.75" customHeight="1" x14ac:dyDescent="0.2">
      <c r="A187" s="373"/>
      <c r="B187" s="382"/>
      <c r="BB187" s="387"/>
      <c r="BC187" s="362"/>
      <c r="BD187" s="362"/>
      <c r="BE187" s="388"/>
      <c r="BF187" s="388"/>
      <c r="BG187" s="388"/>
      <c r="BH187" s="388"/>
      <c r="BI187" s="388"/>
      <c r="BJ187" s="388"/>
      <c r="BK187" s="389"/>
      <c r="BL187" s="276"/>
      <c r="BX187" s="420" t="s">
        <v>553</v>
      </c>
      <c r="BY187" s="408">
        <f>BZ25*TotalBoucs*SUM(AC76:AC100)</f>
        <v>260</v>
      </c>
      <c r="BZ187" s="277"/>
      <c r="CA187" s="277"/>
      <c r="CB187" s="277"/>
      <c r="CC187" s="277"/>
      <c r="CD187" s="298"/>
      <c r="CE187" s="298"/>
      <c r="CF187" s="298"/>
      <c r="CG187" s="298"/>
      <c r="CH187" s="298"/>
      <c r="CI187" s="277"/>
      <c r="CK187" s="277"/>
      <c r="CL187" s="277"/>
      <c r="CM187" s="277"/>
      <c r="CN187" s="277"/>
      <c r="CO187" s="277"/>
      <c r="CP187" s="277"/>
      <c r="CS187" s="350" t="str">
        <f t="shared" si="59"/>
        <v>Triticale</v>
      </c>
      <c r="CT187" s="351">
        <f t="array" ref="CT187">SUM((IF(QualitéAlimentsLapereauMâle_0_1_mois=BONNE,VLOOKUP("Triticale",AlimentsRationLapinsMâles[],4,FALSE),0)+(IF(QualitéAlimentsLapereauFemelle_0_1_mois=BONNE,VLOOKUP("Triticale",AlimentsRationLapinsFemelles[],4,FALSE),0)+(IF(QualitéAlimentsJeuneLapin=BONNE,VLOOKUP("Triticale",AlimentsRationLapinsMâles[],3,FALSE),0)+(IF(QualitéAlimentsJeuneLapine=BONNE,VLOOKUP("Triticale",AlimentsRationLapinsFemelles[],3,FALSE),0)+(IF(QualitéAlimentsLapin=BONNE,VLOOKUP("Triticale",AlimentsRationLapinsMâles[],2,FALSE),0)+(IF(QualitéAlimentsLapine=BONNE,VLOOKUP("Triticale",AlimentsRationLapinsFemelles[],2,FALSE),0))))))))</f>
        <v>0</v>
      </c>
      <c r="CU187" s="351">
        <f t="array" ref="CU187">SUM((IF(QualitéAlimentsLapereauMâle_0_1_mois=MOYENNE,VLOOKUP("Triticale",AlimentsRationLapinsMâles[],4,FALSE),0)+(IF(QualitéAlimentsLapereauFemelle_0_1_mois=MOYENNE,VLOOKUP("Triticale",AlimentsRationLapinsFemelles[],4,FALSE),0)+(IF(QualitéAlimentsJeuneLapin=MOYENNE,VLOOKUP("Triticale",AlimentsRationLapinsMâles[],3,FALSE),0)+(IF(QualitéAlimentsJeuneLapine=MOYENNE,VLOOKUP("Triticale",AlimentsRationLapinsFemelles[],3,FALSE),0)+(IF(QualitéAlimentsLapin=MOYENNE,VLOOKUP("Triticale",AlimentsRationLapinsMâles[],2,FALSE),0)+(IF(QualitéAlimentsLapine=MOYENNE,VLOOKUP("Triticale",AlimentsRationLapinsFemelles[],2,FALSE),0))))))))</f>
        <v>0</v>
      </c>
      <c r="CV187" s="351">
        <f t="array" ref="CV187">SUM((IF(QualitéAlimentsLapereauMâle_0_1_mois=MAUVAISE,VLOOKUP("Triticale",AlimentsRationLapinsMâles[],4,FALSE),0)+(IF(QualitéAlimentsLapereauFemelle_0_1_mois=MAUVAISE,VLOOKUP("Triticale",AlimentsRationLapinsFemelles[],4,FALSE),0)+(IF(QualitéAlimentsJeuneLapin=MAUVAISE,VLOOKUP("Triticale",AlimentsRationLapinsMâles[],3,FALSE),0)+(IF(QualitéAlimentsJeuneLapine=MAUVAISE,VLOOKUP("Triticale",AlimentsRationLapinsFemelles[],3,FALSE),0)+(IF(QualitéAlimentsLapin=MAUVAISE,VLOOKUP("Triticale",AlimentsRationLapinsMâles[],2,FALSE),0)+(IF(QualitéAlimentsLapine=MAUVAISE,VLOOKUP("Triticale",AlimentsRationLapinsFemelles[],2,FALSE),0))))))))</f>
        <v>0</v>
      </c>
      <c r="CZ187" s="350">
        <f t="shared" si="58"/>
        <v>0</v>
      </c>
      <c r="DA187" s="351"/>
      <c r="DB187" s="351"/>
      <c r="DC187" s="351"/>
      <c r="DN187" s="350"/>
      <c r="DO187" s="351">
        <f t="array" ref="DO187">IF(ChoixRationComplèteOvins=OUI,0,IFERROR(IF(OR(AND(INDEX(Règles_ovins[Specificite],MATCH(ChoixRationOvins&amp;$DN187,Règles_ovins[Ration]&amp;Règles_ovins[Aliment],0))="s1",IF($DN187=Spécificité1Ovins,1)),
AND(INDEX(Règles_ovins[Specificite],MATCH(ChoixRationOvins&amp;$DN187,Règles_ovins[Ration]&amp;Règles_ovins[Aliment],0))="s2",IF($DN187=Spécificité2Ovins,1)),
INDEX(Règles_ovins[Specificite],MATCH(ChoixRationOvins&amp;$DN187,Règles_ovins[Ration]&amp;Règles_ovins[Aliment],0))="c"),
INDEX(Règles_ovins[Valeur 12 et plus],MATCH(ChoixRationOvins&amp;$DN187,Règles_ovins[Ration]&amp;Règles_ovins[Aliment],0)),0),0)*IF(ChoixOvinsPréHiver=OUI,SUM(TotalOvinsAdultesRacesLaitières)*NbreJoursNourrirOvins,TotalBéliers*NbreJoursNourrirOvins))</f>
        <v>0</v>
      </c>
      <c r="DP187" s="351">
        <f t="array" ref="DP187">IF(ChoixRationComplèteOvins=OUI,0,IFERROR(IF(OR(AND(INDEX(Règles_ovins[Specificite],MATCH(ChoixRationOvins&amp;$DN187,Règles_ovins[Ration]&amp;Règles_ovins[Aliment],0))="s1",IF($DN187=Spécificité1Ovins,1)),
AND(INDEX(Règles_ovins[Specificite],MATCH(ChoixRationOvins&amp;$DN187,Règles_ovins[Ration]&amp;Règles_ovins[Aliment],0))="s2",IF($DN187=Spécificité2Ovins,1)),
INDEX(Règles_ovins[Specificite],MATCH(ChoixRationOvins&amp;$DN187,Règles_ovins[Ration]&amp;Règles_ovins[Aliment],0))="c"),
INDEX(Règles_ovins[Valeur 6-12],MATCH(ChoixRationOvins&amp;$DN187,Règles_ovins[Ration]&amp;Règles_ovins[Aliment],0)),0),0)*IF(ChoixOvinsPréHiver=OUI,SUM(TotalJeunesOvinsRacesLaitières)*NbreJoursNourrirOvins,TotalJeune_bélier_6_12_mois*NbreJoursNourrirOvins))</f>
        <v>0</v>
      </c>
      <c r="DQ187" s="351">
        <f t="array" ref="DQ187">IF(ChoixRationComplèteOvins=OUI,0,IFERROR(IF(OR(AND(INDEX(Règles_ovins[Specificite],MATCH(ChoixRationOvins&amp;$DN187,Règles_ovins[Ration]&amp;Règles_ovins[Aliment],0))="s1",IF($DN187=Spécificité1Ovins,1)),
AND(INDEX(Règles_ovins[Specificite],MATCH(ChoixRationOvins&amp;$DN187,Règles_ovins[Ration]&amp;Règles_ovins[Aliment],0))="s2",IF($DN187=Spécificité2Ovins,1)),
INDEX(Règles_ovins[Specificite],MATCH(ChoixRationOvins&amp;$DN187,Règles_ovins[Ration]&amp;Règles_ovins[Aliment],0))="c"),
INDEX(Règles_ovins[Valeur 3-6],MATCH(ChoixRationOvins&amp;$DN187,Règles_ovins[Ration]&amp;Règles_ovins[Aliment],0)),0),0)*IF(ChoixOvinsPréHiver=OUI,SUM(TotalOvins_3_6moisRacesLaitières)*NbreJoursNourrirOvins,TotalAgneau_3_6_mois*NbreJoursNourrirOvins))</f>
        <v>0</v>
      </c>
      <c r="DR187" s="351">
        <f t="array" ref="DR187">IF(ChoixRationComplèteOvins=OUI,0,IFERROR(IF(OR(AND(INDEX(Règles_ovins[Specificite],MATCH(ChoixRationOvins&amp;$DN187,Règles_ovins[Ration]&amp;Règles_ovins[Aliment],0))="s1",IF($DN187=Spécificité1Ovins,1)),
AND(INDEX(Règles_ovins[Specificite],MATCH(ChoixRationOvins&amp;$DN187,Règles_ovins[Ration]&amp;Règles_ovins[Aliment],0))="s2",IF($DN187=Spécificité2Ovins,1)),
INDEX(Règles_ovins[Specificite],MATCH(ChoixRationOvins&amp;$DN187,Règles_ovins[Ration]&amp;Règles_ovins[Aliment],0))="c"),
INDEX(Règles_ovins[Valeur 0-3],MATCH(ChoixRationOvins&amp;$DN187,Règles_ovins[Ration]&amp;Règles_ovins[Aliment],0)),0),0)*IF(ChoixOvinsPréHiver=OUI,SUM(TotalOvins_3_6moisRacesLaitières)*NbreJoursNourrirOvins,TotalAgneau_0_3_mois*NbreJoursNourrirOvins))</f>
        <v>0</v>
      </c>
      <c r="DS187" s="441">
        <f t="shared" si="55"/>
        <v>0</v>
      </c>
      <c r="EG187" s="350">
        <f t="shared" si="57"/>
        <v>0</v>
      </c>
      <c r="EH187" s="351"/>
      <c r="EI187" s="351"/>
      <c r="EJ187" s="351"/>
      <c r="EN187" s="457">
        <f t="shared" si="56"/>
        <v>0</v>
      </c>
      <c r="EO187" s="458"/>
      <c r="EP187" s="458"/>
      <c r="EQ187" s="458"/>
      <c r="EZ187" s="276"/>
      <c r="FD187" s="340" t="s">
        <v>1019</v>
      </c>
      <c r="FE187" s="335"/>
      <c r="FF187" s="335"/>
      <c r="FI187" s="276"/>
      <c r="FN187" s="394" t="s">
        <v>976</v>
      </c>
      <c r="FO187" s="395" t="s">
        <v>978</v>
      </c>
      <c r="FP187" s="396" t="s">
        <v>979</v>
      </c>
      <c r="FQ187" s="281"/>
      <c r="FR187" s="281"/>
      <c r="FW187" s="281"/>
      <c r="FX187" s="281"/>
      <c r="FY187" s="281"/>
      <c r="FZ187" s="281"/>
      <c r="GB187" s="281"/>
      <c r="GG187" s="276" t="s">
        <v>955</v>
      </c>
      <c r="GH187" s="276" t="s">
        <v>955</v>
      </c>
      <c r="GI187" s="276" t="s">
        <v>955</v>
      </c>
      <c r="GJ187" s="276" t="s">
        <v>955</v>
      </c>
      <c r="GK187" s="276" t="s">
        <v>955</v>
      </c>
      <c r="GL187" s="276" t="s">
        <v>955</v>
      </c>
      <c r="GM187" s="276" t="s">
        <v>955</v>
      </c>
      <c r="GN187" s="276" t="s">
        <v>955</v>
      </c>
      <c r="GO187" s="276" t="s">
        <v>955</v>
      </c>
      <c r="GP187" s="276" t="s">
        <v>955</v>
      </c>
      <c r="GQ187" s="276" t="s">
        <v>955</v>
      </c>
      <c r="GR187" s="276" t="s">
        <v>955</v>
      </c>
      <c r="GS187" s="276" t="s">
        <v>955</v>
      </c>
      <c r="GT187" s="276" t="s">
        <v>955</v>
      </c>
      <c r="GU187" s="276" t="s">
        <v>955</v>
      </c>
      <c r="GV187" s="276" t="s">
        <v>955</v>
      </c>
    </row>
    <row r="188" spans="1:204" ht="12.75" customHeight="1" x14ac:dyDescent="0.2">
      <c r="A188" s="373"/>
      <c r="B188" s="382"/>
      <c r="BB188" s="387"/>
      <c r="BC188" s="362"/>
      <c r="BD188" s="362"/>
      <c r="BE188" s="388"/>
      <c r="BF188" s="388"/>
      <c r="BG188" s="388"/>
      <c r="BH188" s="388"/>
      <c r="BI188" s="388"/>
      <c r="BJ188" s="388"/>
      <c r="BK188" s="389"/>
      <c r="BL188" s="276"/>
      <c r="BX188" s="420" t="s">
        <v>554</v>
      </c>
      <c r="BY188" s="408">
        <f>BZ26*TotalChèvres*SUM(AC76:AC100)</f>
        <v>3855</v>
      </c>
      <c r="BZ188" s="297"/>
      <c r="CA188" s="297"/>
      <c r="CB188" s="297"/>
      <c r="CC188" s="297"/>
      <c r="CD188" s="298"/>
      <c r="CE188" s="298"/>
      <c r="CF188" s="298"/>
      <c r="CG188" s="298"/>
      <c r="CH188" s="298"/>
      <c r="CI188" s="277"/>
      <c r="CK188" s="277"/>
      <c r="CL188" s="277"/>
      <c r="CM188" s="277"/>
      <c r="CN188" s="277"/>
      <c r="CO188" s="277"/>
      <c r="CP188" s="277"/>
      <c r="CS188" s="350">
        <f t="shared" si="59"/>
        <v>0</v>
      </c>
      <c r="CT188" s="351"/>
      <c r="CU188" s="351"/>
      <c r="CV188" s="351"/>
      <c r="CZ188" s="350">
        <f t="shared" si="58"/>
        <v>0</v>
      </c>
      <c r="DA188" s="351"/>
      <c r="DB188" s="351"/>
      <c r="DC188" s="351"/>
      <c r="DN188" s="350"/>
      <c r="DO188" s="351">
        <f t="array" ref="DO188">IF(ChoixRationComplèteOvins=OUI,0,IFERROR(IF(OR(AND(INDEX(Règles_ovins[Specificite],MATCH(ChoixRationOvins&amp;$DN188,Règles_ovins[Ration]&amp;Règles_ovins[Aliment],0))="s1",IF($DN188=Spécificité1Ovins,1)),
AND(INDEX(Règles_ovins[Specificite],MATCH(ChoixRationOvins&amp;$DN188,Règles_ovins[Ration]&amp;Règles_ovins[Aliment],0))="s2",IF($DN188=Spécificité2Ovins,1)),
INDEX(Règles_ovins[Specificite],MATCH(ChoixRationOvins&amp;$DN188,Règles_ovins[Ration]&amp;Règles_ovins[Aliment],0))="c"),
INDEX(Règles_ovins[Valeur 12 et plus],MATCH(ChoixRationOvins&amp;$DN188,Règles_ovins[Ration]&amp;Règles_ovins[Aliment],0)),0),0)*IF(ChoixOvinsPréHiver=OUI,SUM(TotalOvinsAdultesRacesLaitières)*NbreJoursNourrirOvins,TotalBéliers*NbreJoursNourrirOvins))</f>
        <v>0</v>
      </c>
      <c r="DP188" s="351">
        <f t="array" ref="DP188">IF(ChoixRationComplèteOvins=OUI,0,IFERROR(IF(OR(AND(INDEX(Règles_ovins[Specificite],MATCH(ChoixRationOvins&amp;$DN188,Règles_ovins[Ration]&amp;Règles_ovins[Aliment],0))="s1",IF($DN188=Spécificité1Ovins,1)),
AND(INDEX(Règles_ovins[Specificite],MATCH(ChoixRationOvins&amp;$DN188,Règles_ovins[Ration]&amp;Règles_ovins[Aliment],0))="s2",IF($DN188=Spécificité2Ovins,1)),
INDEX(Règles_ovins[Specificite],MATCH(ChoixRationOvins&amp;$DN188,Règles_ovins[Ration]&amp;Règles_ovins[Aliment],0))="c"),
INDEX(Règles_ovins[Valeur 6-12],MATCH(ChoixRationOvins&amp;$DN188,Règles_ovins[Ration]&amp;Règles_ovins[Aliment],0)),0),0)*IF(ChoixOvinsPréHiver=OUI,SUM(TotalJeunesOvinsRacesLaitières)*NbreJoursNourrirOvins,TotalJeune_bélier_6_12_mois*NbreJoursNourrirOvins))</f>
        <v>0</v>
      </c>
      <c r="DQ188" s="351">
        <f t="array" ref="DQ188">IF(ChoixRationComplèteOvins=OUI,0,IFERROR(IF(OR(AND(INDEX(Règles_ovins[Specificite],MATCH(ChoixRationOvins&amp;$DN188,Règles_ovins[Ration]&amp;Règles_ovins[Aliment],0))="s1",IF($DN188=Spécificité1Ovins,1)),
AND(INDEX(Règles_ovins[Specificite],MATCH(ChoixRationOvins&amp;$DN188,Règles_ovins[Ration]&amp;Règles_ovins[Aliment],0))="s2",IF($DN188=Spécificité2Ovins,1)),
INDEX(Règles_ovins[Specificite],MATCH(ChoixRationOvins&amp;$DN188,Règles_ovins[Ration]&amp;Règles_ovins[Aliment],0))="c"),
INDEX(Règles_ovins[Valeur 3-6],MATCH(ChoixRationOvins&amp;$DN188,Règles_ovins[Ration]&amp;Règles_ovins[Aliment],0)),0),0)*IF(ChoixOvinsPréHiver=OUI,SUM(TotalOvins_3_6moisRacesLaitières)*NbreJoursNourrirOvins,TotalAgneau_3_6_mois*NbreJoursNourrirOvins))</f>
        <v>0</v>
      </c>
      <c r="DR188" s="351">
        <f t="array" ref="DR188">IF(ChoixRationComplèteOvins=OUI,0,IFERROR(IF(OR(AND(INDEX(Règles_ovins[Specificite],MATCH(ChoixRationOvins&amp;$DN188,Règles_ovins[Ration]&amp;Règles_ovins[Aliment],0))="s1",IF($DN188=Spécificité1Ovins,1)),
AND(INDEX(Règles_ovins[Specificite],MATCH(ChoixRationOvins&amp;$DN188,Règles_ovins[Ration]&amp;Règles_ovins[Aliment],0))="s2",IF($DN188=Spécificité2Ovins,1)),
INDEX(Règles_ovins[Specificite],MATCH(ChoixRationOvins&amp;$DN188,Règles_ovins[Ration]&amp;Règles_ovins[Aliment],0))="c"),
INDEX(Règles_ovins[Valeur 0-3],MATCH(ChoixRationOvins&amp;$DN188,Règles_ovins[Ration]&amp;Règles_ovins[Aliment],0)),0),0)*IF(ChoixOvinsPréHiver=OUI,SUM(TotalOvins_3_6moisRacesLaitières)*NbreJoursNourrirOvins,TotalAgneau_0_3_mois*NbreJoursNourrirOvins))</f>
        <v>0</v>
      </c>
      <c r="DS188" s="441">
        <f t="shared" si="55"/>
        <v>0</v>
      </c>
      <c r="EG188" s="350">
        <f t="shared" si="57"/>
        <v>0</v>
      </c>
      <c r="EH188" s="351"/>
      <c r="EI188" s="351"/>
      <c r="EJ188" s="351"/>
      <c r="EU188" s="335" t="s">
        <v>1032</v>
      </c>
      <c r="EV188" s="343"/>
      <c r="EW188" s="343"/>
      <c r="EX188" s="343"/>
      <c r="EY188" s="335"/>
      <c r="EZ188" s="335"/>
      <c r="FD188" s="394" t="s">
        <v>976</v>
      </c>
      <c r="FE188" s="395" t="s">
        <v>978</v>
      </c>
      <c r="FF188" s="396" t="s">
        <v>979</v>
      </c>
      <c r="FI188" s="276"/>
      <c r="FN188" s="443" t="s">
        <v>787</v>
      </c>
      <c r="FO188" s="444">
        <f>FR24*SUM(TotalPoulainsPoneys)*SUM(AG76:AG100)</f>
        <v>0</v>
      </c>
      <c r="FP188" s="445">
        <v>0</v>
      </c>
      <c r="FQ188" s="281"/>
      <c r="FR188" s="281"/>
      <c r="FW188" s="281"/>
      <c r="FX188" s="281"/>
      <c r="FY188" s="281"/>
      <c r="FZ188" s="281"/>
      <c r="GB188" s="281"/>
      <c r="GG188" s="276" t="s">
        <v>955</v>
      </c>
      <c r="GH188" s="276" t="s">
        <v>955</v>
      </c>
      <c r="GI188" s="276" t="s">
        <v>955</v>
      </c>
      <c r="GJ188" s="276" t="s">
        <v>955</v>
      </c>
      <c r="GK188" s="276" t="s">
        <v>955</v>
      </c>
      <c r="GL188" s="276" t="s">
        <v>955</v>
      </c>
      <c r="GM188" s="276" t="s">
        <v>955</v>
      </c>
      <c r="GN188" s="276" t="s">
        <v>955</v>
      </c>
      <c r="GO188" s="276" t="s">
        <v>955</v>
      </c>
      <c r="GP188" s="276" t="s">
        <v>955</v>
      </c>
      <c r="GQ188" s="276" t="s">
        <v>955</v>
      </c>
      <c r="GR188" s="276" t="s">
        <v>955</v>
      </c>
      <c r="GS188" s="276" t="s">
        <v>955</v>
      </c>
      <c r="GT188" s="276" t="s">
        <v>955</v>
      </c>
      <c r="GU188" s="276" t="s">
        <v>955</v>
      </c>
      <c r="GV188" s="276" t="s">
        <v>955</v>
      </c>
    </row>
    <row r="189" spans="1:204" ht="12.75" customHeight="1" x14ac:dyDescent="0.2">
      <c r="A189" s="373"/>
      <c r="B189" s="382"/>
      <c r="BB189" s="387"/>
      <c r="BC189" s="362"/>
      <c r="BD189" s="362"/>
      <c r="BE189" s="388"/>
      <c r="BF189" s="388"/>
      <c r="BG189" s="388"/>
      <c r="BH189" s="388"/>
      <c r="BI189" s="388"/>
      <c r="BJ189" s="388"/>
      <c r="BK189" s="389"/>
      <c r="BL189" s="276"/>
      <c r="BX189" s="420" t="s">
        <v>555</v>
      </c>
      <c r="BY189" s="408">
        <f>BZ27*SUM(TotalJeunesCaprins)*SUM(AC76:AC100)</f>
        <v>1450</v>
      </c>
      <c r="BZ189" s="277"/>
      <c r="CA189" s="277"/>
      <c r="CB189" s="277"/>
      <c r="CC189" s="277"/>
      <c r="CD189" s="298"/>
      <c r="CE189" s="298"/>
      <c r="CF189" s="298"/>
      <c r="CG189" s="298"/>
      <c r="CH189" s="298"/>
      <c r="CI189" s="277"/>
      <c r="CK189" s="277"/>
      <c r="CL189" s="277"/>
      <c r="CM189" s="277"/>
      <c r="CN189" s="277"/>
      <c r="CO189" s="277"/>
      <c r="CP189" s="277"/>
      <c r="CS189" s="350">
        <f t="shared" si="59"/>
        <v>0</v>
      </c>
      <c r="CT189" s="351"/>
      <c r="CU189" s="351"/>
      <c r="CV189" s="351"/>
      <c r="CZ189" s="350">
        <f t="shared" si="58"/>
        <v>0</v>
      </c>
      <c r="DA189" s="351"/>
      <c r="DB189" s="351"/>
      <c r="DC189" s="351"/>
      <c r="EU189" s="394" t="s">
        <v>910</v>
      </c>
      <c r="EV189" s="395" t="s">
        <v>895</v>
      </c>
      <c r="EW189" s="395" t="s">
        <v>894</v>
      </c>
      <c r="EX189" s="395" t="s">
        <v>938</v>
      </c>
      <c r="EY189" s="449" t="s">
        <v>937</v>
      </c>
      <c r="EZ189" s="396" t="s">
        <v>903</v>
      </c>
      <c r="FD189" s="443" t="s">
        <v>787</v>
      </c>
      <c r="FE189" s="444">
        <f>FH25*SUM(TotalPoulainsTrait)*SUM(AF76:AF100)</f>
        <v>0</v>
      </c>
      <c r="FF189" s="445">
        <v>0</v>
      </c>
      <c r="FI189" s="276"/>
      <c r="FN189" s="443" t="s">
        <v>781</v>
      </c>
      <c r="FO189" s="444"/>
      <c r="FP189" s="445"/>
      <c r="FQ189" s="281"/>
      <c r="FR189" s="281"/>
      <c r="FW189" s="281"/>
      <c r="FX189" s="281"/>
      <c r="FY189" s="281"/>
      <c r="FZ189" s="281"/>
      <c r="GB189" s="281"/>
      <c r="GG189" s="276" t="s">
        <v>955</v>
      </c>
      <c r="GH189" s="276" t="s">
        <v>955</v>
      </c>
      <c r="GI189" s="276" t="s">
        <v>955</v>
      </c>
      <c r="GJ189" s="276" t="s">
        <v>955</v>
      </c>
      <c r="GK189" s="276" t="s">
        <v>955</v>
      </c>
      <c r="GL189" s="276" t="s">
        <v>955</v>
      </c>
      <c r="GM189" s="276" t="s">
        <v>955</v>
      </c>
      <c r="GN189" s="276" t="s">
        <v>955</v>
      </c>
      <c r="GO189" s="276" t="s">
        <v>955</v>
      </c>
      <c r="GP189" s="276" t="s">
        <v>955</v>
      </c>
      <c r="GQ189" s="276" t="s">
        <v>955</v>
      </c>
      <c r="GR189" s="276" t="s">
        <v>955</v>
      </c>
      <c r="GS189" s="276" t="s">
        <v>955</v>
      </c>
      <c r="GT189" s="276" t="s">
        <v>955</v>
      </c>
      <c r="GU189" s="276" t="s">
        <v>955</v>
      </c>
      <c r="GV189" s="276" t="s">
        <v>955</v>
      </c>
    </row>
    <row r="190" spans="1:204" ht="12.75" customHeight="1" x14ac:dyDescent="0.2">
      <c r="A190" s="376"/>
      <c r="B190" s="383"/>
      <c r="BB190" s="390"/>
      <c r="BC190" s="391"/>
      <c r="BD190" s="391"/>
      <c r="BE190" s="392"/>
      <c r="BF190" s="392"/>
      <c r="BG190" s="392"/>
      <c r="BH190" s="392"/>
      <c r="BI190" s="392"/>
      <c r="BJ190" s="392"/>
      <c r="BK190" s="393"/>
      <c r="BL190" s="276"/>
      <c r="BX190" s="420" t="s">
        <v>556</v>
      </c>
      <c r="BY190" s="408"/>
      <c r="BZ190" s="277"/>
      <c r="CA190" s="277"/>
      <c r="CB190" s="277"/>
      <c r="CC190" s="277"/>
      <c r="CD190" s="298"/>
      <c r="CE190" s="298"/>
      <c r="CF190" s="298"/>
      <c r="CG190" s="298"/>
      <c r="CH190" s="298"/>
      <c r="CI190" s="277"/>
      <c r="CK190" s="277"/>
      <c r="CL190" s="277"/>
      <c r="CM190" s="277"/>
      <c r="CN190" s="277"/>
      <c r="CO190" s="277"/>
      <c r="CP190" s="277"/>
      <c r="CS190" s="350">
        <f t="shared" si="59"/>
        <v>0</v>
      </c>
      <c r="CT190" s="351"/>
      <c r="CU190" s="351"/>
      <c r="CV190" s="351"/>
      <c r="CZ190" s="350">
        <f t="shared" si="58"/>
        <v>0</v>
      </c>
      <c r="DA190" s="351"/>
      <c r="DB190" s="351"/>
      <c r="DC190" s="351"/>
      <c r="DN190" s="229" t="s">
        <v>1158</v>
      </c>
      <c r="DO190" s="229"/>
      <c r="DP190" s="229"/>
      <c r="DQ190" s="229"/>
      <c r="DR190" s="229"/>
      <c r="DS190" s="337"/>
      <c r="EU190" s="421" t="s">
        <v>508</v>
      </c>
      <c r="EV190" s="452">
        <f t="array" ref="EV190">IF(ChoixRationHivernaleComplèteChevauxSelle=NON,0,IFERROR(IF(OR(AND(INDEX(Règles_chevaux_selle[Specificite],MATCH(RationHivernaleAuPréChevauxSelle&amp;Ration_complète_chevaux_selle5[aliment],Règles_chevaux_selle[Ration]&amp;Règles_chevaux_selle[Aliment],0))="s1",IF(Ration_complète_chevaux_selle5[aliment]=Spécificité1ChevauxSelle,1)),
AND(INDEX(Règles_chevaux_selle[Specificite],MATCH(RationHivernaleAuPréChevauxSelle&amp;Ration_complète_chevaux_selle5[aliment],Règles_chevaux_selle[Ration]&amp;Règles_chevaux_selle[Aliment],0))="s2",IF(Ration_complète_chevaux_selle5[aliment]=Spécificité2ChevauxSelle,1)),
INDEX(Règles_chevaux_selle[Specificite],MATCH(RationHivernaleAuPréChevauxSelle&amp;Ration_complète_chevaux_selle5[aliment],Règles_chevaux_selle[Ration]&amp;Règles_chevaux_selle[Aliment],0))="c",INDEX(Règles_chevaux_selle[Specificite],MATCH(RationHivernaleAuPréChevauxSelle&amp;Ration_complète_chevaux_selle5[aliment],Règles_chevaux_selle[Ration]&amp;Règles_chevaux_selle[Aliment],0))="complet"),
INDEX(Règles_chevaux_selle[Valeur 36 et plus],MATCH(RationHivernaleAuPréChevauxSelle&amp;Ration_complète_chevaux_selle5[aliment],Règles_chevaux_selle[Ration]&amp;Règles_chevaux_selle[Aliment],0)),0),0)*SUM(TotalChevauxSelleAdultes)*21)</f>
        <v>0</v>
      </c>
      <c r="EW190" s="452">
        <f t="array" ref="EW190">IF(ChoixRationHivernaleComplèteChevauxSelle=NON,0,IFERROR(IF(OR(AND(INDEX(Règles_chevaux_selle[Specificite],MATCH(RationHivernaleAuPréChevauxSelle&amp;Ration_complète_chevaux_selle5[aliment],Règles_chevaux_selle[Ration]&amp;Règles_chevaux_selle[Aliment],0))="s1",IF(Ration_complète_chevaux_selle5[aliment]=Spécificité1ChevauxSelle,1)),
AND(INDEX(Règles_chevaux_selle[Specificite],MATCH(RationHivernaleAuPréChevauxSelle&amp;Ration_complète_chevaux_selle5[aliment],Règles_chevaux_selle[Ration]&amp;Règles_chevaux_selle[Aliment],0))="s2",IF(Ration_complète_chevaux_selle5[aliment]=Spécificité2ChevauxSelle,1)),
INDEX(Règles_chevaux_selle[Specificite],MATCH(RationHivernaleAuPréChevauxSelle&amp;Ration_complète_chevaux_selle5[aliment],Règles_chevaux_selle[Ration]&amp;Règles_chevaux_selle[Aliment],0))="c",INDEX(Règles_chevaux_selle[Specificite],MATCH(RationHivernaleAuPréChevauxSelle&amp;Ration_complète_chevaux_selle5[aliment],Règles_chevaux_selle[Ration]&amp;Règles_chevaux_selle[Aliment],0))="complet"),
INDEX(Règles_chevaux_selle[Valeur 24-36],MATCH(RationHivernaleAuPréChevauxSelle&amp;Ration_complète_chevaux_selle5[aliment],Règles_chevaux_selle[Ration]&amp;Règles_chevaux_selle[Aliment],0)),0),0)*SUM(TotalChevauxSelle_24_36mois)*21)</f>
        <v>0</v>
      </c>
      <c r="EX190" s="452">
        <f t="array" ref="EX190">IF(ChoixRationHivernaleComplèteChevauxSelle=NON,0,IFERROR(IF(OR(AND(INDEX(Règles_chevaux_selle[Specificite],MATCH(RationHivernaleAuPréChevauxSelle&amp;Ration_complète_chevaux_selle5[aliment],Règles_chevaux_selle[Ration]&amp;Règles_chevaux_selle[Aliment],0))="s1",IF(Ration_complète_chevaux_selle5[aliment]=Spécificité1ChevauxSelle,1)),
AND(INDEX(Règles_chevaux_selle[Specificite],MATCH(RationHivernaleAuPréChevauxSelle&amp;Ration_complète_chevaux_selle5[aliment],Règles_chevaux_selle[Ration]&amp;Règles_chevaux_selle[Aliment],0))="s2",IF(Ration_complète_chevaux_selle5[aliment]=Spécificité2ChevauxSelle,1)),
INDEX(Règles_chevaux_selle[Specificite],MATCH(RationHivernaleAuPréChevauxSelle&amp;Ration_complète_chevaux_selle5[aliment],Règles_chevaux_selle[Ration]&amp;Règles_chevaux_selle[Aliment],0))="c",INDEX(Règles_chevaux_selle[Specificite],MATCH(RationHivernaleAuPréChevauxSelle&amp;Ration_complète_chevaux_selle5[aliment],Règles_chevaux_selle[Ration]&amp;Règles_chevaux_selle[Aliment],0))="complet"),
INDEX(Règles_chevaux_selle[Valeur 12-24],MATCH(RationHivernaleAuPréChevauxSelle&amp;Ration_complète_chevaux_selle5[aliment],Règles_chevaux_selle[Ration]&amp;Règles_chevaux_selle[Aliment],0)),0),0)*SUM(TotalChevauxSelle_12_24mois)*21)</f>
        <v>0</v>
      </c>
      <c r="EY190" s="452">
        <f t="array" ref="EY190">IF(ChoixRationHivernaleComplèteChevauxSelle=NON,0,IFERROR(IF(OR(AND(INDEX(Règles_chevaux_selle[Specificite],MATCH(RationHivernaleAuPréChevauxSelle&amp;Ration_complète_chevaux_selle5[aliment],Règles_chevaux_selle[Ration]&amp;Règles_chevaux_selle[Aliment],0))="s1",IF(Ration_complète_chevaux_selle5[aliment]=Spécificité1ChevauxSelle,1)),
AND(INDEX(Règles_chevaux_selle[Specificite],MATCH(RationHivernaleAuPréChevauxSelle&amp;Ration_complète_chevaux_selle5[aliment],Règles_chevaux_selle[Ration]&amp;Règles_chevaux_selle[Aliment],0))="s2",IF(Ration_complète_chevaux_selle5[aliment]=Spécificité2ChevauxSelle,1)),
INDEX(Règles_chevaux_selle[Specificite],MATCH(RationHivernaleAuPréChevauxSelle&amp;Ration_complète_chevaux_selle5[aliment],Règles_chevaux_selle[Ration]&amp;Règles_chevaux_selle[Aliment],0))="c",INDEX(Règles_chevaux_selle[Specificite],MATCH(RationHivernaleAuPréChevauxSelle&amp;Ration_complète_chevaux_selle5[aliment],Règles_chevaux_selle[Ration]&amp;Règles_chevaux_selle[Aliment],0))="complet"),
INDEX(Règles_chevaux_selle[Valeur 0-12],MATCH(RationHivernaleAuPréChevauxSelle&amp;Ration_complète_chevaux_selle5[aliment],Règles_chevaux_selle[Ration]&amp;Règles_chevaux_selle[Aliment],0)),0),0)*SUM(TotalPoulainsSelle)*21)</f>
        <v>0</v>
      </c>
      <c r="EZ190" s="454">
        <f>SUM(Ration_complète_chevaux_selle5[[Valeur 36 et plus]:[Valeur 0-12]])</f>
        <v>0</v>
      </c>
      <c r="FD190" s="443" t="s">
        <v>781</v>
      </c>
      <c r="FE190" s="444"/>
      <c r="FF190" s="445"/>
      <c r="FI190" s="276"/>
      <c r="FN190" s="443" t="s">
        <v>782</v>
      </c>
      <c r="FO190" s="444">
        <f>FO26*SUM(TotalJeunesPoneys)*SUM(AG76:AG100)</f>
        <v>0</v>
      </c>
      <c r="FP190" s="445">
        <v>0</v>
      </c>
      <c r="FQ190" s="281"/>
      <c r="FR190" s="281"/>
      <c r="FW190" s="281"/>
      <c r="FX190" s="281"/>
      <c r="FY190" s="281"/>
      <c r="FZ190" s="281"/>
      <c r="GB190" s="281"/>
      <c r="GG190" s="276" t="s">
        <v>955</v>
      </c>
      <c r="GH190" s="276" t="s">
        <v>955</v>
      </c>
      <c r="GI190" s="276" t="s">
        <v>955</v>
      </c>
      <c r="GJ190" s="276" t="s">
        <v>955</v>
      </c>
      <c r="GK190" s="276" t="s">
        <v>955</v>
      </c>
      <c r="GL190" s="276" t="s">
        <v>955</v>
      </c>
      <c r="GM190" s="276" t="s">
        <v>955</v>
      </c>
      <c r="GN190" s="276" t="s">
        <v>955</v>
      </c>
      <c r="GO190" s="276" t="s">
        <v>955</v>
      </c>
      <c r="GP190" s="276" t="s">
        <v>955</v>
      </c>
      <c r="GQ190" s="276" t="s">
        <v>955</v>
      </c>
      <c r="GR190" s="276" t="s">
        <v>955</v>
      </c>
      <c r="GS190" s="276" t="s">
        <v>955</v>
      </c>
      <c r="GT190" s="276" t="s">
        <v>955</v>
      </c>
      <c r="GU190" s="276" t="s">
        <v>955</v>
      </c>
      <c r="GV190" s="276" t="s">
        <v>955</v>
      </c>
    </row>
    <row r="191" spans="1:204" ht="12.75" customHeight="1" x14ac:dyDescent="0.2">
      <c r="BK191" s="276"/>
      <c r="BL191" s="276"/>
      <c r="BX191" s="420" t="s">
        <v>557</v>
      </c>
      <c r="BY191" s="408">
        <f>BZ29*SUM(TotalChevreaux)*SUM(AC76:AC100)</f>
        <v>915</v>
      </c>
      <c r="BZ191" s="277"/>
      <c r="CA191" s="277"/>
      <c r="CB191" s="277"/>
      <c r="CC191" s="277"/>
      <c r="CD191" s="298"/>
      <c r="CE191" s="298"/>
      <c r="CF191" s="298"/>
      <c r="CG191" s="298"/>
      <c r="CH191" s="298"/>
      <c r="CI191" s="277"/>
      <c r="CK191" s="277"/>
      <c r="CL191" s="277"/>
      <c r="CM191" s="277"/>
      <c r="CN191" s="277"/>
      <c r="CO191" s="277"/>
      <c r="CP191" s="277"/>
      <c r="CS191" s="350">
        <f t="shared" si="59"/>
        <v>0</v>
      </c>
      <c r="CT191" s="351"/>
      <c r="CU191" s="351"/>
      <c r="CV191" s="351"/>
      <c r="CZ191" s="350">
        <f t="shared" si="58"/>
        <v>0</v>
      </c>
      <c r="DA191" s="351"/>
      <c r="DB191" s="351"/>
      <c r="DC191" s="351"/>
      <c r="DN191" s="349" t="s">
        <v>910</v>
      </c>
      <c r="DO191" s="349" t="s">
        <v>914</v>
      </c>
      <c r="DP191" s="349" t="s">
        <v>891</v>
      </c>
      <c r="DQ191" s="349" t="s">
        <v>890</v>
      </c>
      <c r="DR191" s="440" t="s">
        <v>889</v>
      </c>
      <c r="DS191" s="349" t="s">
        <v>903</v>
      </c>
      <c r="FD191" s="443" t="s">
        <v>782</v>
      </c>
      <c r="FE191" s="444">
        <f>FH27*SUM(TotalJeunesChevauxTrait)*SUM(AF76:AF100)</f>
        <v>0</v>
      </c>
      <c r="FF191" s="445">
        <v>0</v>
      </c>
      <c r="FI191" s="276"/>
      <c r="FN191" s="443" t="s">
        <v>783</v>
      </c>
      <c r="FO191" s="444"/>
      <c r="FP191" s="445"/>
      <c r="FQ191" s="281"/>
      <c r="FR191" s="281"/>
      <c r="FW191" s="281"/>
      <c r="FX191" s="281"/>
      <c r="FY191" s="281"/>
      <c r="FZ191" s="281"/>
      <c r="GB191" s="281"/>
      <c r="GG191" s="276" t="s">
        <v>955</v>
      </c>
      <c r="GH191" s="276" t="s">
        <v>955</v>
      </c>
      <c r="GI191" s="276" t="s">
        <v>955</v>
      </c>
      <c r="GJ191" s="276" t="s">
        <v>955</v>
      </c>
      <c r="GK191" s="276" t="s">
        <v>955</v>
      </c>
      <c r="GL191" s="276" t="s">
        <v>955</v>
      </c>
      <c r="GM191" s="276" t="s">
        <v>955</v>
      </c>
      <c r="GN191" s="276" t="s">
        <v>955</v>
      </c>
      <c r="GO191" s="276" t="s">
        <v>955</v>
      </c>
      <c r="GP191" s="276" t="s">
        <v>955</v>
      </c>
      <c r="GQ191" s="276" t="s">
        <v>955</v>
      </c>
      <c r="GR191" s="276" t="s">
        <v>955</v>
      </c>
      <c r="GS191" s="276" t="s">
        <v>955</v>
      </c>
      <c r="GT191" s="276" t="s">
        <v>955</v>
      </c>
      <c r="GU191" s="276" t="s">
        <v>955</v>
      </c>
      <c r="GV191" s="276" t="s">
        <v>955</v>
      </c>
    </row>
    <row r="192" spans="1:204" ht="12.75" customHeight="1" x14ac:dyDescent="0.2">
      <c r="BB192" s="229" t="s">
        <v>1157</v>
      </c>
      <c r="BC192" s="229"/>
      <c r="BD192" s="229"/>
      <c r="BE192" s="229"/>
      <c r="BF192" s="229"/>
      <c r="BG192" s="229"/>
      <c r="BH192" s="229"/>
      <c r="BI192" s="229"/>
      <c r="BJ192" s="229"/>
      <c r="BK192" s="276"/>
      <c r="BL192" s="276"/>
      <c r="BX192" s="421" t="s">
        <v>973</v>
      </c>
      <c r="BY192" s="422">
        <f>IF(ChoixPaillageCaprins=OUI,SUBTOTAL(109,LitièreCaprins[Litière]),0)</f>
        <v>6480</v>
      </c>
      <c r="BZ192" s="277"/>
      <c r="CA192" s="277"/>
      <c r="CB192" s="277"/>
      <c r="CC192" s="277"/>
      <c r="CD192" s="298"/>
      <c r="CE192" s="298"/>
      <c r="CF192" s="298"/>
      <c r="CG192" s="298"/>
      <c r="CH192" s="298"/>
      <c r="CI192" s="277"/>
      <c r="CK192" s="277"/>
      <c r="CL192" s="277"/>
      <c r="CM192" s="277"/>
      <c r="CN192" s="277"/>
      <c r="CO192" s="277"/>
      <c r="CP192" s="277"/>
      <c r="CS192" s="350">
        <f t="shared" si="59"/>
        <v>0</v>
      </c>
      <c r="CT192" s="351"/>
      <c r="CU192" s="351"/>
      <c r="CV192" s="351"/>
      <c r="CZ192" s="350">
        <f t="shared" si="58"/>
        <v>0</v>
      </c>
      <c r="DA192" s="351"/>
      <c r="DB192" s="351"/>
      <c r="DC192" s="351"/>
      <c r="DN192" s="350" t="str">
        <f>DN150</f>
        <v>Avoine</v>
      </c>
      <c r="DO192" s="351">
        <f t="array" ref="DO192">IF(ChoixRationComplèteOvins=OUI,0,IFERROR(IF(OR(AND(INDEX(Règles_ovins[Specificite],MATCH(ChoixRationOvins&amp;$DN192,Règles_ovins[Ration]&amp;Règles_ovins[Aliment],0))="s1",IF($DN192=Spécificité1Ovins,1)),
AND(INDEX(Règles_ovins[Specificite],MATCH(ChoixRationOvins&amp;$DN192,Règles_ovins[Ration]&amp;Règles_ovins[Aliment],0))="s2",IF($DN192=Spécificité2Ovins,1)),
INDEX(Règles_ovins[Specificite],MATCH(ChoixRationOvins&amp;$DN192,Règles_ovins[Ration]&amp;Règles_ovins[Aliment],0))="c"),
INDEX(Règles_ovins[Valeur 12 et plus],MATCH(ChoixRationOvins&amp;$DN192,Règles_ovins[Ration]&amp;Règles_ovins[Aliment],0)),0),0)*IF(ChoixOvinsPréHiver=OUI,SUM(TotalOvinsAdultesRacesLaitières)*NbreJoursNourrirOvins,TotalBrebis*NbreJoursNourrirOvins))</f>
        <v>0</v>
      </c>
      <c r="DP192" s="351">
        <f t="array" ref="DP192">IF(ChoixRationComplèteOvins=OUI,0,IFERROR(IF(OR(AND(INDEX(Règles_ovins[Specificite],MATCH(ChoixRationOvins&amp;$DN192,Règles_ovins[Ration]&amp;Règles_ovins[Aliment],0))="s1",IF($DN192=Spécificité1Ovins,1)),
AND(INDEX(Règles_ovins[Specificite],MATCH(ChoixRationOvins&amp;$DN192,Règles_ovins[Ration]&amp;Règles_ovins[Aliment],0))="s2",IF($DN192=Spécificité2Ovins,1)),
INDEX(Règles_ovins[Specificite],MATCH(ChoixRationOvins&amp;$DN192,Règles_ovins[Ration]&amp;Règles_ovins[Aliment],0))="c"),
INDEX(Règles_ovins[Valeur 6-12],MATCH(ChoixRationOvins&amp;$DN192,Règles_ovins[Ration]&amp;Règles_ovins[Aliment],0)),0),0)*IF(ChoixOvinsPréHiver=OUI,SUM(TotalJeunesOvinsRacesLaitières)*NbreJoursNourrirOvins,TotalJeune_brebis_6_12_mois*NbreJoursNourrirOvins))</f>
        <v>0</v>
      </c>
      <c r="DQ192" s="351">
        <f t="array" ref="DQ192">IF(ChoixRationComplèteOvins=OUI,0,IFERROR(IF(OR(AND(INDEX(Règles_ovins[Specificite],MATCH(ChoixRationOvins&amp;$DN192,Règles_ovins[Ration]&amp;Règles_ovins[Aliment],0))="s1",IF($DN192=Spécificité1Ovins,1)),
AND(INDEX(Règles_ovins[Specificite],MATCH(ChoixRationOvins&amp;$DN192,Règles_ovins[Ration]&amp;Règles_ovins[Aliment],0))="s2",IF($DN192=Spécificité2Ovins,1)),
INDEX(Règles_ovins[Specificite],MATCH(ChoixRationOvins&amp;$DN192,Règles_ovins[Ration]&amp;Règles_ovins[Aliment],0))="c"),
INDEX(Règles_ovins[Valeur 3-6],MATCH(ChoixRationOvins&amp;$DN192,Règles_ovins[Ration]&amp;Règles_ovins[Aliment],0)),0),0)*IF(ChoixOvinsPréHiver=OUI,SUM(TotalOvins_3_6moisRacesLaitières)*NbreJoursNourrirOvins,TotalAgnelle_3_6_mois*NbreJoursNourrirOvins))</f>
        <v>0</v>
      </c>
      <c r="DR192" s="351">
        <f t="array" ref="DR192">IF(ChoixRationComplèteOvins=OUI,0,IFERROR(IF(OR(AND(INDEX(Règles_ovins[Specificite],MATCH(ChoixRationOvins&amp;$DN192,Règles_ovins[Ration]&amp;Règles_ovins[Aliment],0))="s1",IF($DN192=Spécificité1Ovins,1)),
AND(INDEX(Règles_ovins[Specificite],MATCH(ChoixRationOvins&amp;$DN192,Règles_ovins[Ration]&amp;Règles_ovins[Aliment],0))="s2",IF($DN192=Spécificité2Ovins,1)),
INDEX(Règles_ovins[Specificite],MATCH(ChoixRationOvins&amp;$DN192,Règles_ovins[Ration]&amp;Règles_ovins[Aliment],0))="c"),
INDEX(Règles_ovins[Valeur 0-3],MATCH(ChoixRationOvins&amp;$DN192,Règles_ovins[Ration]&amp;Règles_ovins[Aliment],0)),0),0)*IF(ChoixOvinsPréHiver=OUI,SUM(TotalOvins_3_6moisRacesLaitières)*NbreJoursNourrirOvins,TotalAgnelle_0_3_mois*NbreJoursNourrirOvins))</f>
        <v>0</v>
      </c>
      <c r="DS192" s="441">
        <f t="shared" ref="DS192:DS230" si="60">SUM($DO192:$DR192)</f>
        <v>0</v>
      </c>
      <c r="EU192" s="340" t="s">
        <v>1019</v>
      </c>
      <c r="EV192" s="335"/>
      <c r="EW192" s="335"/>
      <c r="FD192" s="443" t="s">
        <v>783</v>
      </c>
      <c r="FE192" s="444"/>
      <c r="FF192" s="445"/>
      <c r="FI192" s="276"/>
      <c r="FN192" s="443" t="s">
        <v>784</v>
      </c>
      <c r="FO192" s="444">
        <f>FR27*SUM(TotalPoneysAdultes)*SUM(AG76:AG100)</f>
        <v>0</v>
      </c>
      <c r="FP192" s="445">
        <v>0</v>
      </c>
      <c r="FQ192" s="281"/>
      <c r="FR192" s="281"/>
      <c r="FW192" s="281"/>
      <c r="FX192" s="281"/>
      <c r="FY192" s="281"/>
      <c r="FZ192" s="281"/>
      <c r="GB192" s="281"/>
      <c r="GG192" s="276" t="s">
        <v>955</v>
      </c>
      <c r="GH192" s="276" t="s">
        <v>955</v>
      </c>
      <c r="GI192" s="276" t="s">
        <v>955</v>
      </c>
      <c r="GJ192" s="276" t="s">
        <v>955</v>
      </c>
      <c r="GK192" s="276" t="s">
        <v>955</v>
      </c>
      <c r="GL192" s="276" t="s">
        <v>955</v>
      </c>
      <c r="GM192" s="276" t="s">
        <v>955</v>
      </c>
      <c r="GN192" s="276" t="s">
        <v>955</v>
      </c>
      <c r="GO192" s="276" t="s">
        <v>955</v>
      </c>
      <c r="GP192" s="276" t="s">
        <v>955</v>
      </c>
      <c r="GQ192" s="276" t="s">
        <v>955</v>
      </c>
      <c r="GR192" s="276" t="s">
        <v>955</v>
      </c>
      <c r="GS192" s="276" t="s">
        <v>955</v>
      </c>
      <c r="GT192" s="276" t="s">
        <v>955</v>
      </c>
      <c r="GU192" s="276" t="s">
        <v>955</v>
      </c>
      <c r="GV192" s="276" t="s">
        <v>955</v>
      </c>
    </row>
    <row r="193" spans="1:204" ht="12.75" customHeight="1" x14ac:dyDescent="0.2">
      <c r="BB193" s="349" t="s">
        <v>910</v>
      </c>
      <c r="BC193" s="349" t="s">
        <v>902</v>
      </c>
      <c r="BD193" s="349" t="s">
        <v>901</v>
      </c>
      <c r="BE193" s="349" t="s">
        <v>900</v>
      </c>
      <c r="BF193" s="349" t="s">
        <v>899</v>
      </c>
      <c r="BG193" s="349" t="s">
        <v>898</v>
      </c>
      <c r="BH193" s="349" t="s">
        <v>897</v>
      </c>
      <c r="BI193" s="349" t="s">
        <v>896</v>
      </c>
      <c r="BJ193" s="349" t="s">
        <v>903</v>
      </c>
      <c r="BK193" s="276"/>
      <c r="BL193" s="276"/>
      <c r="BX193" s="277"/>
      <c r="BY193" s="277"/>
      <c r="BZ193" s="277"/>
      <c r="CA193" s="277"/>
      <c r="CB193" s="277"/>
      <c r="CC193" s="277"/>
      <c r="CD193" s="298"/>
      <c r="CE193" s="298"/>
      <c r="CF193" s="298"/>
      <c r="CG193" s="298"/>
      <c r="CH193" s="298"/>
      <c r="CI193" s="277"/>
      <c r="CK193" s="277"/>
      <c r="CL193" s="277"/>
      <c r="CM193" s="277"/>
      <c r="CN193" s="277"/>
      <c r="CO193" s="277"/>
      <c r="CP193" s="277"/>
      <c r="CS193" s="350">
        <f t="shared" si="59"/>
        <v>0</v>
      </c>
      <c r="CT193" s="351"/>
      <c r="CU193" s="351"/>
      <c r="CV193" s="351"/>
      <c r="DN193" s="350" t="str">
        <f t="shared" ref="DN193:DN230" si="61">DN151</f>
        <v>Betterave</v>
      </c>
      <c r="DO193" s="351">
        <f t="array" ref="DO193">IF(ChoixRationComplèteOvins=OUI,0,IFERROR(IF(OR(AND(INDEX(Règles_ovins[Specificite],MATCH(ChoixRationOvins&amp;$DN193,Règles_ovins[Ration]&amp;Règles_ovins[Aliment],0))="s1",IF($DN193=Spécificité1Ovins,1)),
AND(INDEX(Règles_ovins[Specificite],MATCH(ChoixRationOvins&amp;$DN193,Règles_ovins[Ration]&amp;Règles_ovins[Aliment],0))="s2",IF($DN193=Spécificité2Ovins,1)),
INDEX(Règles_ovins[Specificite],MATCH(ChoixRationOvins&amp;$DN193,Règles_ovins[Ration]&amp;Règles_ovins[Aliment],0))="c"),
INDEX(Règles_ovins[Valeur 12 et plus],MATCH(ChoixRationOvins&amp;$DN193,Règles_ovins[Ration]&amp;Règles_ovins[Aliment],0)),0),0)*IF(ChoixOvinsPréHiver=OUI,SUM(TotalOvinsAdultesRacesLaitières)*NbreJoursNourrirOvins,TotalBrebis*NbreJoursNourrirOvins))</f>
        <v>0</v>
      </c>
      <c r="DP193" s="351">
        <f t="array" ref="DP193">IF(ChoixRationComplèteOvins=OUI,0,IFERROR(IF(OR(AND(INDEX(Règles_ovins[Specificite],MATCH(ChoixRationOvins&amp;$DN193,Règles_ovins[Ration]&amp;Règles_ovins[Aliment],0))="s1",IF($DN193=Spécificité1Ovins,1)),
AND(INDEX(Règles_ovins[Specificite],MATCH(ChoixRationOvins&amp;$DN193,Règles_ovins[Ration]&amp;Règles_ovins[Aliment],0))="s2",IF($DN193=Spécificité2Ovins,1)),
INDEX(Règles_ovins[Specificite],MATCH(ChoixRationOvins&amp;$DN193,Règles_ovins[Ration]&amp;Règles_ovins[Aliment],0))="c"),
INDEX(Règles_ovins[Valeur 6-12],MATCH(ChoixRationOvins&amp;$DN193,Règles_ovins[Ration]&amp;Règles_ovins[Aliment],0)),0),0)*IF(ChoixOvinsPréHiver=OUI,SUM(TotalJeunesOvinsRacesLaitières)*NbreJoursNourrirOvins,TotalJeune_brebis_6_12_mois*NbreJoursNourrirOvins))</f>
        <v>0</v>
      </c>
      <c r="DQ193" s="351">
        <f t="array" ref="DQ193">IF(ChoixRationComplèteOvins=OUI,0,IFERROR(IF(OR(AND(INDEX(Règles_ovins[Specificite],MATCH(ChoixRationOvins&amp;$DN193,Règles_ovins[Ration]&amp;Règles_ovins[Aliment],0))="s1",IF($DN193=Spécificité1Ovins,1)),
AND(INDEX(Règles_ovins[Specificite],MATCH(ChoixRationOvins&amp;$DN193,Règles_ovins[Ration]&amp;Règles_ovins[Aliment],0))="s2",IF($DN193=Spécificité2Ovins,1)),
INDEX(Règles_ovins[Specificite],MATCH(ChoixRationOvins&amp;$DN193,Règles_ovins[Ration]&amp;Règles_ovins[Aliment],0))="c"),
INDEX(Règles_ovins[Valeur 3-6],MATCH(ChoixRationOvins&amp;$DN193,Règles_ovins[Ration]&amp;Règles_ovins[Aliment],0)),0),0)*IF(ChoixOvinsPréHiver=OUI,SUM(TotalOvins_3_6moisRacesLaitières)*NbreJoursNourrirOvins,TotalAgnelle_3_6_mois*NbreJoursNourrirOvins))</f>
        <v>0</v>
      </c>
      <c r="DR193" s="351">
        <f t="array" ref="DR193">IF(ChoixRationComplèteOvins=OUI,0,IFERROR(IF(OR(AND(INDEX(Règles_ovins[Specificite],MATCH(ChoixRationOvins&amp;$DN193,Règles_ovins[Ration]&amp;Règles_ovins[Aliment],0))="s1",IF($DN193=Spécificité1Ovins,1)),
AND(INDEX(Règles_ovins[Specificite],MATCH(ChoixRationOvins&amp;$DN193,Règles_ovins[Ration]&amp;Règles_ovins[Aliment],0))="s2",IF($DN193=Spécificité2Ovins,1)),
INDEX(Règles_ovins[Specificite],MATCH(ChoixRationOvins&amp;$DN193,Règles_ovins[Ration]&amp;Règles_ovins[Aliment],0))="c"),
INDEX(Règles_ovins[Valeur 0-3],MATCH(ChoixRationOvins&amp;$DN193,Règles_ovins[Ration]&amp;Règles_ovins[Aliment],0)),0),0)*IF(ChoixOvinsPréHiver=OUI,SUM(TotalOvins_3_6moisRacesLaitières)*NbreJoursNourrirOvins,TotalAgnelle_0_3_mois*NbreJoursNourrirOvins))</f>
        <v>0</v>
      </c>
      <c r="DS193" s="441">
        <f t="shared" si="60"/>
        <v>0</v>
      </c>
      <c r="EU193" s="394" t="s">
        <v>976</v>
      </c>
      <c r="EV193" s="395" t="s">
        <v>978</v>
      </c>
      <c r="EW193" s="396" t="s">
        <v>979</v>
      </c>
      <c r="FD193" s="443" t="s">
        <v>784</v>
      </c>
      <c r="FE193" s="444">
        <f>FH29*SUM(TotalChevauxTraitAdultes)*SUM(AF76:AF100)</f>
        <v>0</v>
      </c>
      <c r="FF193" s="445">
        <v>0</v>
      </c>
      <c r="FI193" s="276"/>
      <c r="FN193" s="421" t="s">
        <v>973</v>
      </c>
      <c r="FO193" s="446">
        <f>IF(AND(ChoixPoneysPréHiver=NON,ChoixPaillagePoneys=OUI),SUBTOTAL(109,LitièrePoneys[hiver dedans]),0)</f>
        <v>0</v>
      </c>
      <c r="FP193" s="422">
        <f>IF(AND(ChoixPoneysPréHiver=OUI,ChoixPaillagePoneys=OUI),SUBTOTAL(109,LitièrePoneys[hiver dehors]),0)</f>
        <v>0</v>
      </c>
      <c r="FQ193" s="281"/>
      <c r="FR193" s="281"/>
      <c r="FW193" s="281"/>
      <c r="FX193" s="281"/>
      <c r="FY193" s="281"/>
      <c r="FZ193" s="281"/>
      <c r="GB193" s="281"/>
      <c r="GG193" s="276" t="s">
        <v>955</v>
      </c>
      <c r="GH193" s="276" t="s">
        <v>955</v>
      </c>
      <c r="GI193" s="276" t="s">
        <v>955</v>
      </c>
      <c r="GJ193" s="276" t="s">
        <v>955</v>
      </c>
      <c r="GK193" s="276" t="s">
        <v>955</v>
      </c>
      <c r="GL193" s="276" t="s">
        <v>955</v>
      </c>
      <c r="GM193" s="276" t="s">
        <v>955</v>
      </c>
      <c r="GN193" s="276" t="s">
        <v>955</v>
      </c>
      <c r="GO193" s="276" t="s">
        <v>955</v>
      </c>
      <c r="GP193" s="276" t="s">
        <v>955</v>
      </c>
      <c r="GQ193" s="276" t="s">
        <v>955</v>
      </c>
      <c r="GR193" s="276" t="s">
        <v>955</v>
      </c>
      <c r="GS193" s="276" t="s">
        <v>955</v>
      </c>
      <c r="GT193" s="276" t="s">
        <v>955</v>
      </c>
      <c r="GU193" s="276" t="s">
        <v>955</v>
      </c>
      <c r="GV193" s="276" t="s">
        <v>955</v>
      </c>
    </row>
    <row r="194" spans="1:204" ht="12.75" customHeight="1" x14ac:dyDescent="0.2">
      <c r="BB194" s="350" t="s">
        <v>490</v>
      </c>
      <c r="BC194" s="351">
        <f t="array" ref="BC194">IF(Ration_complète_bovins[somme]&gt;0,0,IFERROR(IF(OR(AND(INDEX(Règles_bovins[Specificite],MATCH(ChoixRationBovins&amp;$BB194,Règles_bovins[Ration]&amp;Règles_bovins[Aliment],0))="s1",IF($BB194=Spécificité1Bovins,1)),
AND(INDEX(Règles_bovins[Specificite],MATCH(ChoixRationBovins&amp;$BB194,Règles_bovins[Ration]&amp;Règles_bovins[Aliment],0))="s2",IF($BB194=Spécificité2Bovins,1)),
INDEX(Règles_bovins[Specificite],MATCH(ChoixRationBovins&amp;$BB194,Règles_bovins[Ration]&amp;Règles_bovins[Aliment],0))="c"),
INDEX(Règles_bovins[Valeur 36 et plus],MATCH(ChoixRationBovins&amp;$BB194,Règles_bovins[Ration]&amp;Règles_bovins[Aliment],0)),0),0)*IF(ChoixBovinsPréHiver=OUI,TotalTaureauxRacesLaitières,TotalTaureaux*NbreJoursNourrirBovins))</f>
        <v>0</v>
      </c>
      <c r="BD194" s="351">
        <f t="array" ref="BD194">IF(Ration_complète_bovins[somme]&gt;0,0,IFERROR(IF(OR(AND(INDEX(Règles_bovins[Specificite],MATCH(ChoixRationBovins&amp;$BB194,Règles_bovins[Ration]&amp;Règles_bovins[Aliment],0))="s1",IF($BB194=Spécificité1Bovins,1)),
AND(INDEX(Règles_bovins[Specificite],MATCH(ChoixRationBovins&amp;$BB194,Règles_bovins[Ration]&amp;Règles_bovins[Aliment],0))="s2",IF($BB194=Spécificité2Bovins,1)),
INDEX(Règles_bovins[Specificite],MATCH(ChoixRationBovins&amp;$BB194,Règles_bovins[Ration]&amp;Règles_bovins[Aliment],0))="c"),
INDEX(Règles_bovins[Valeur 24-36],MATCH(ChoixRationBovins&amp;$BB194,Règles_bovins[Ration]&amp;Règles_bovins[Aliment],0)),0),0)*IF(ChoixBovinsPréHiver=OUI,TotalTaurillon_24_36_RacesLaitières,TotalBovinsMâles_24_36mois*NbreJoursNourrirBovins))</f>
        <v>0</v>
      </c>
      <c r="BE194" s="351">
        <f t="array" ref="BE194">IF(Ration_complète_bovins[somme]&gt;0,0,IFERROR(IF(OR(AND(INDEX(Règles_bovins[Specificite],MATCH(ChoixRationBovins&amp;$BB194,Règles_bovins[Ration]&amp;Règles_bovins[Aliment],0))="s1",IF($BB194=Spécificité1Bovins,1)),
AND(INDEX(Règles_bovins[Specificite],MATCH(ChoixRationBovins&amp;$BB194,Règles_bovins[Ration]&amp;Règles_bovins[Aliment],0))="s2",IF($BB194=Spécificité2Bovins,1)),
INDEX(Règles_bovins[Specificite],MATCH(ChoixRationBovins&amp;$BB194,Règles_bovins[Ration]&amp;Règles_bovins[Aliment],0))="c"),
INDEX(Règles_bovins[Valeur 18-24],MATCH(ChoixRationBovins&amp;$BB194,Règles_bovins[Ration]&amp;Règles_bovins[Aliment],0)),0),0)*IF(ChoixBovinsPréHiver=OUI,TotalTaurillon_18_24_RacesLaitières,TotalBovinsMâles_18_24mois*NbreJoursNourrirBovins))</f>
        <v>0</v>
      </c>
      <c r="BF194" s="351">
        <f t="array" ref="BF194">IF(Ration_complète_bovins[somme]&gt;0,0,IFERROR(IF(OR(AND(INDEX(Règles_bovins[Specificite],MATCH(ChoixRationBovins&amp;$BB194,Règles_bovins[Ration]&amp;Règles_bovins[Aliment],0))="s1",IF($BB194=Spécificité1Bovins,1)),
AND(INDEX(Règles_bovins[Specificite],MATCH(ChoixRationBovins&amp;$BB194,Règles_bovins[Ration]&amp;Règles_bovins[Aliment],0))="s2",IF($BB194=Spécificité2Bovins,1)),
INDEX(Règles_bovins[Specificite],MATCH(ChoixRationBovins&amp;$BB194,Règles_bovins[Ration]&amp;Règles_bovins[Aliment],0))="c"),
INDEX(Règles_bovins[Valeur 12-18],MATCH(ChoixRationBovins&amp;$BB194,Règles_bovins[Ration]&amp;Règles_bovins[Aliment],0)),0),0)*IF(ChoixBovinsPréHiver=OUI,animaux!D14,TotalBovinsMâles_12_18mois*NbreJoursNourrirBovins))</f>
        <v>0</v>
      </c>
      <c r="BG194" s="351">
        <f t="array" ref="BG194">IF(Ration_complète_bovins[somme]&gt;0,0,IFERROR(IF(OR(AND(INDEX(Règles_bovins[Specificite],MATCH(ChoixRationBovins&amp;$BB194,Règles_bovins[Ration]&amp;Règles_bovins[Aliment],0))="s1",IF($BB194=Spécificité1Bovins,1)),
AND(INDEX(Règles_bovins[Specificite],MATCH(ChoixRationBovins&amp;$BB194,Règles_bovins[Ration]&amp;Règles_bovins[Aliment],0))="s2",IF($BB194=Spécificité2Bovins,1)),
INDEX(Règles_bovins[Specificite],MATCH(ChoixRationBovins&amp;$BB194,Règles_bovins[Ration]&amp;Règles_bovins[Aliment],0))="c"),
INDEX(Règles_bovins[Valeur 6-12],MATCH(ChoixRationBovins&amp;$BB194,Règles_bovins[Ration]&amp;Règles_bovins[Aliment],0)),0),0)*IF(ChoixBovinsPréHiver=OUI,TotalVeauMâle_6_12_RacesLaitières,TotalBovinsMâles_6_12mois*NbreJoursNourrirBovins))</f>
        <v>0</v>
      </c>
      <c r="BH194" s="351">
        <f t="array" ref="BH194">IF(Ration_complète_bovins[somme]&gt;0,0,IFERROR(IF(OR(AND(INDEX(Règles_bovins[Specificite],MATCH(ChoixRationBovins&amp;$BB194,Règles_bovins[Ration]&amp;Règles_bovins[Aliment],0))="s1",IF($BB194=Spécificité1Bovins,1)),
AND(INDEX(Règles_bovins[Specificite],MATCH(ChoixRationBovins&amp;$BB194,Règles_bovins[Ration]&amp;Règles_bovins[Aliment],0))="s2",IF($BB194=Spécificité2Bovins,1)),
INDEX(Règles_bovins[Specificite],MATCH(ChoixRationBovins&amp;$BB194,Règles_bovins[Ration]&amp;Règles_bovins[Aliment],0))="c"),
INDEX(Règles_bovins[Valeur 3-6],MATCH(ChoixRationBovins&amp;$BB194,Règles_bovins[Ration]&amp;Règles_bovins[Aliment],0)),0),0)*IF(ChoixBovinsPréHiver=OUI,TotalVeauMâle_3_6_RacesLaitières,TotalBovinsMâles_3_6mois*NbreJoursNourrirBovins))</f>
        <v>0</v>
      </c>
      <c r="BI194" s="351">
        <f t="array" ref="BI194">IF(Ration_complète_bovins[somme]&gt;0,0,IFERROR(IF(OR(AND(INDEX(Règles_bovins[Specificite],MATCH(ChoixRationBovins&amp;$BB194,Règles_bovins[Ration]&amp;Règles_bovins[Aliment],0))="s1",IF($BB194=Spécificité1Bovins,1)),
AND(INDEX(Règles_bovins[Specificite],MATCH(ChoixRationBovins&amp;$BB194,Règles_bovins[Ration]&amp;Règles_bovins[Aliment],0))="s2",IF($BB194=Spécificité2Bovins,1)),
INDEX(Règles_bovins[Specificite],MATCH(ChoixRationBovins&amp;$BB194,Règles_bovins[Ration]&amp;Règles_bovins[Aliment],0))="c"),
INDEX(Règles_bovins[Valeur 0-3],MATCH(ChoixRationBovins&amp;$BB194,Règles_bovins[Ration]&amp;Règles_bovins[Aliment],0)),0),0)*IF(ChoixBovinsPréHiver=OUI,TotalVeauMâle_0_3_RacesLaitières,TotalBovinsMâles_0_3mois*NbreJoursNourrirBovins))</f>
        <v>0</v>
      </c>
      <c r="BJ194" s="352">
        <f t="shared" ref="BJ194:BJ232" si="62">SUM($BC194:$BI194)</f>
        <v>0</v>
      </c>
      <c r="BK194" s="276"/>
      <c r="BL194" s="276"/>
      <c r="BX194" s="229" t="s">
        <v>1195</v>
      </c>
      <c r="BY194" s="229"/>
      <c r="BZ194" s="229"/>
      <c r="CA194" s="229"/>
      <c r="CB194" s="277"/>
      <c r="CC194" s="277"/>
      <c r="CD194" s="298"/>
      <c r="CE194" s="298"/>
      <c r="CF194" s="298"/>
      <c r="CG194" s="298"/>
      <c r="CH194" s="298"/>
      <c r="CI194" s="277"/>
      <c r="CK194" s="277"/>
      <c r="CL194" s="277"/>
      <c r="CM194" s="277"/>
      <c r="CN194" s="277"/>
      <c r="CO194" s="277"/>
      <c r="CP194" s="277"/>
      <c r="DN194" s="350" t="str">
        <f t="shared" si="61"/>
        <v>Blé</v>
      </c>
      <c r="DO194" s="351">
        <f t="array" ref="DO194">IF(ChoixRationComplèteOvins=OUI,0,IFERROR(IF(OR(AND(INDEX(Règles_ovins[Specificite],MATCH(ChoixRationOvins&amp;$DN194,Règles_ovins[Ration]&amp;Règles_ovins[Aliment],0))="s1",IF($DN194=Spécificité1Ovins,1)),
AND(INDEX(Règles_ovins[Specificite],MATCH(ChoixRationOvins&amp;$DN194,Règles_ovins[Ration]&amp;Règles_ovins[Aliment],0))="s2",IF($DN194=Spécificité2Ovins,1)),
INDEX(Règles_ovins[Specificite],MATCH(ChoixRationOvins&amp;$DN194,Règles_ovins[Ration]&amp;Règles_ovins[Aliment],0))="c"),
INDEX(Règles_ovins[Valeur 12 et plus],MATCH(ChoixRationOvins&amp;$DN194,Règles_ovins[Ration]&amp;Règles_ovins[Aliment],0)),0),0)*IF(ChoixOvinsPréHiver=OUI,SUM(TotalOvinsAdultesRacesLaitières)*NbreJoursNourrirOvins,TotalBrebis*NbreJoursNourrirOvins))</f>
        <v>0</v>
      </c>
      <c r="DP194" s="351">
        <f t="array" ref="DP194">IF(ChoixRationComplèteOvins=OUI,0,IFERROR(IF(OR(AND(INDEX(Règles_ovins[Specificite],MATCH(ChoixRationOvins&amp;$DN194,Règles_ovins[Ration]&amp;Règles_ovins[Aliment],0))="s1",IF($DN194=Spécificité1Ovins,1)),
AND(INDEX(Règles_ovins[Specificite],MATCH(ChoixRationOvins&amp;$DN194,Règles_ovins[Ration]&amp;Règles_ovins[Aliment],0))="s2",IF($DN194=Spécificité2Ovins,1)),
INDEX(Règles_ovins[Specificite],MATCH(ChoixRationOvins&amp;$DN194,Règles_ovins[Ration]&amp;Règles_ovins[Aliment],0))="c"),
INDEX(Règles_ovins[Valeur 6-12],MATCH(ChoixRationOvins&amp;$DN194,Règles_ovins[Ration]&amp;Règles_ovins[Aliment],0)),0),0)*IF(ChoixOvinsPréHiver=OUI,SUM(TotalJeunesOvinsRacesLaitières)*NbreJoursNourrirOvins,TotalJeune_brebis_6_12_mois*NbreJoursNourrirOvins))</f>
        <v>0</v>
      </c>
      <c r="DQ194" s="351">
        <f t="array" ref="DQ194">IF(ChoixRationComplèteOvins=OUI,0,IFERROR(IF(OR(AND(INDEX(Règles_ovins[Specificite],MATCH(ChoixRationOvins&amp;$DN194,Règles_ovins[Ration]&amp;Règles_ovins[Aliment],0))="s1",IF($DN194=Spécificité1Ovins,1)),
AND(INDEX(Règles_ovins[Specificite],MATCH(ChoixRationOvins&amp;$DN194,Règles_ovins[Ration]&amp;Règles_ovins[Aliment],0))="s2",IF($DN194=Spécificité2Ovins,1)),
INDEX(Règles_ovins[Specificite],MATCH(ChoixRationOvins&amp;$DN194,Règles_ovins[Ration]&amp;Règles_ovins[Aliment],0))="c"),
INDEX(Règles_ovins[Valeur 3-6],MATCH(ChoixRationOvins&amp;$DN194,Règles_ovins[Ration]&amp;Règles_ovins[Aliment],0)),0),0)*IF(ChoixOvinsPréHiver=OUI,SUM(TotalOvins_3_6moisRacesLaitières)*NbreJoursNourrirOvins,TotalAgnelle_3_6_mois*NbreJoursNourrirOvins))</f>
        <v>0</v>
      </c>
      <c r="DR194" s="351">
        <f t="array" ref="DR194">IF(ChoixRationComplèteOvins=OUI,0,IFERROR(IF(OR(AND(INDEX(Règles_ovins[Specificite],MATCH(ChoixRationOvins&amp;$DN194,Règles_ovins[Ration]&amp;Règles_ovins[Aliment],0))="s1",IF($DN194=Spécificité1Ovins,1)),
AND(INDEX(Règles_ovins[Specificite],MATCH(ChoixRationOvins&amp;$DN194,Règles_ovins[Ration]&amp;Règles_ovins[Aliment],0))="s2",IF($DN194=Spécificité2Ovins,1)),
INDEX(Règles_ovins[Specificite],MATCH(ChoixRationOvins&amp;$DN194,Règles_ovins[Ration]&amp;Règles_ovins[Aliment],0))="c"),
INDEX(Règles_ovins[Valeur 0-3],MATCH(ChoixRationOvins&amp;$DN194,Règles_ovins[Ration]&amp;Règles_ovins[Aliment],0)),0),0)*IF(ChoixOvinsPréHiver=OUI,SUM(TotalOvins_3_6moisRacesLaitières)*NbreJoursNourrirOvins,TotalAgnelle_0_3_mois*NbreJoursNourrirOvins))</f>
        <v>0</v>
      </c>
      <c r="DS194" s="441">
        <f t="shared" si="60"/>
        <v>0</v>
      </c>
      <c r="EU194" s="443" t="s">
        <v>787</v>
      </c>
      <c r="EV194" s="444">
        <f>EY31*SUM(TotalPoulainsSelle)*SUM(AE76:AE100)</f>
        <v>0</v>
      </c>
      <c r="EW194" s="445">
        <v>0</v>
      </c>
      <c r="FD194" s="421" t="s">
        <v>973</v>
      </c>
      <c r="FE194" s="446">
        <f>IF(AND(ChoixChevauxTraitPréEté=NON,ChoixPaillageChevauxTrait=OUI),SUBTOTAL(109,LitièreChevauxTrait[hiver dedans]),0)</f>
        <v>0</v>
      </c>
      <c r="FF194" s="422">
        <f>IF(AND(ChoixChevauxTraitPréHiver=OUI,ChoixPaillageChevauxTrait=OUI),SUBTOTAL(109,LitièreChevauxTrait[hiver dehors]),0)</f>
        <v>0</v>
      </c>
      <c r="FI194" s="276"/>
      <c r="FN194" s="281"/>
      <c r="FO194" s="281"/>
      <c r="FP194" s="281"/>
      <c r="FQ194" s="281"/>
      <c r="FR194" s="281"/>
      <c r="FW194" s="281"/>
      <c r="FX194" s="281"/>
      <c r="FY194" s="281"/>
      <c r="FZ194" s="281"/>
      <c r="GB194" s="281"/>
      <c r="GG194" s="276" t="s">
        <v>955</v>
      </c>
      <c r="GH194" s="276" t="s">
        <v>955</v>
      </c>
      <c r="GI194" s="276" t="s">
        <v>955</v>
      </c>
      <c r="GJ194" s="276" t="s">
        <v>955</v>
      </c>
      <c r="GK194" s="276" t="s">
        <v>955</v>
      </c>
      <c r="GL194" s="276" t="s">
        <v>955</v>
      </c>
      <c r="GM194" s="276" t="s">
        <v>955</v>
      </c>
      <c r="GN194" s="276" t="s">
        <v>955</v>
      </c>
      <c r="GO194" s="276" t="s">
        <v>955</v>
      </c>
      <c r="GP194" s="276" t="s">
        <v>955</v>
      </c>
      <c r="GQ194" s="276" t="s">
        <v>955</v>
      </c>
      <c r="GR194" s="276" t="s">
        <v>955</v>
      </c>
      <c r="GS194" s="276" t="s">
        <v>955</v>
      </c>
      <c r="GT194" s="276" t="s">
        <v>955</v>
      </c>
      <c r="GU194" s="276" t="s">
        <v>955</v>
      </c>
      <c r="GV194" s="276" t="s">
        <v>955</v>
      </c>
    </row>
    <row r="195" spans="1:204" ht="12.75" customHeight="1" x14ac:dyDescent="0.2">
      <c r="BB195" s="350" t="s">
        <v>392</v>
      </c>
      <c r="BC195" s="351">
        <f t="array" ref="BC195">IF(Ration_complète_bovins[somme]&gt;0,0,IFERROR(IF(OR(AND(INDEX(Règles_bovins[Specificite],MATCH(ChoixRationBovins&amp;$BB195,Règles_bovins[Ration]&amp;Règles_bovins[Aliment],0))="s1",IF($BB195=Spécificité1Bovins,1)),
AND(INDEX(Règles_bovins[Specificite],MATCH(ChoixRationBovins&amp;$BB195,Règles_bovins[Ration]&amp;Règles_bovins[Aliment],0))="s2",IF($BB195=Spécificité2Bovins,1)),
INDEX(Règles_bovins[Specificite],MATCH(ChoixRationBovins&amp;$BB195,Règles_bovins[Ration]&amp;Règles_bovins[Aliment],0))="c"),
INDEX(Règles_bovins[Valeur 36 et plus],MATCH(ChoixRationBovins&amp;$BB195,Règles_bovins[Ration]&amp;Règles_bovins[Aliment],0)),0),0)*IF(ChoixBovinsPréHiver=OUI,TotalTaureauxRacesLaitières,TotalTaureaux*NbreJoursNourrirBovins))</f>
        <v>0</v>
      </c>
      <c r="BD195" s="351">
        <f t="array" ref="BD195">IF(Ration_complète_bovins[somme]&gt;0,0,IFERROR(IF(OR(AND(INDEX(Règles_bovins[Specificite],MATCH(ChoixRationBovins&amp;$BB195,Règles_bovins[Ration]&amp;Règles_bovins[Aliment],0))="s1",IF($BB195=Spécificité1Bovins,1)),
AND(INDEX(Règles_bovins[Specificite],MATCH(ChoixRationBovins&amp;$BB195,Règles_bovins[Ration]&amp;Règles_bovins[Aliment],0))="s2",IF($BB195=Spécificité2Bovins,1)),
INDEX(Règles_bovins[Specificite],MATCH(ChoixRationBovins&amp;$BB195,Règles_bovins[Ration]&amp;Règles_bovins[Aliment],0))="c"),
INDEX(Règles_bovins[Valeur 24-36],MATCH(ChoixRationBovins&amp;$BB195,Règles_bovins[Ration]&amp;Règles_bovins[Aliment],0)),0),0)*IF(ChoixBovinsPréHiver=OUI,TotalTaurillon_24_36_RacesLaitières,TotalBovinsMâles_24_36mois*NbreJoursNourrirBovins))</f>
        <v>0</v>
      </c>
      <c r="BE195" s="351">
        <f t="array" ref="BE195">IF(Ration_complète_bovins[somme]&gt;0,0,IFERROR(IF(OR(AND(INDEX(Règles_bovins[Specificite],MATCH(ChoixRationBovins&amp;$BB195,Règles_bovins[Ration]&amp;Règles_bovins[Aliment],0))="s1",IF($BB195=Spécificité1Bovins,1)),
AND(INDEX(Règles_bovins[Specificite],MATCH(ChoixRationBovins&amp;$BB195,Règles_bovins[Ration]&amp;Règles_bovins[Aliment],0))="s2",IF($BB195=Spécificité2Bovins,1)),
INDEX(Règles_bovins[Specificite],MATCH(ChoixRationBovins&amp;$BB195,Règles_bovins[Ration]&amp;Règles_bovins[Aliment],0))="c"),
INDEX(Règles_bovins[Valeur 18-24],MATCH(ChoixRationBovins&amp;$BB195,Règles_bovins[Ration]&amp;Règles_bovins[Aliment],0)),0),0)*IF(ChoixBovinsPréHiver=OUI,TotalTaurillon_18_24_RacesLaitières,TotalBovinsMâles_18_24mois*NbreJoursNourrirBovins))</f>
        <v>0</v>
      </c>
      <c r="BF195" s="351">
        <f t="array" ref="BF195">IF(Ration_complète_bovins[somme]&gt;0,0,IFERROR(IF(OR(AND(INDEX(Règles_bovins[Specificite],MATCH(ChoixRationBovins&amp;$BB195,Règles_bovins[Ration]&amp;Règles_bovins[Aliment],0))="s1",IF($BB195=Spécificité1Bovins,1)),
AND(INDEX(Règles_bovins[Specificite],MATCH(ChoixRationBovins&amp;$BB195,Règles_bovins[Ration]&amp;Règles_bovins[Aliment],0))="s2",IF($BB195=Spécificité2Bovins,1)),
INDEX(Règles_bovins[Specificite],MATCH(ChoixRationBovins&amp;$BB195,Règles_bovins[Ration]&amp;Règles_bovins[Aliment],0))="c"),
INDEX(Règles_bovins[Valeur 12-18],MATCH(ChoixRationBovins&amp;$BB195,Règles_bovins[Ration]&amp;Règles_bovins[Aliment],0)),0),0)*IF(ChoixBovinsPréHiver=OUI,animaux!D15,TotalBovinsMâles_12_18mois*NbreJoursNourrirBovins))</f>
        <v>0</v>
      </c>
      <c r="BG195" s="351">
        <f t="array" ref="BG195">IF(Ration_complète_bovins[somme]&gt;0,0,IFERROR(IF(OR(AND(INDEX(Règles_bovins[Specificite],MATCH(ChoixRationBovins&amp;$BB195,Règles_bovins[Ration]&amp;Règles_bovins[Aliment],0))="s1",IF($BB195=Spécificité1Bovins,1)),
AND(INDEX(Règles_bovins[Specificite],MATCH(ChoixRationBovins&amp;$BB195,Règles_bovins[Ration]&amp;Règles_bovins[Aliment],0))="s2",IF($BB195=Spécificité2Bovins,1)),
INDEX(Règles_bovins[Specificite],MATCH(ChoixRationBovins&amp;$BB195,Règles_bovins[Ration]&amp;Règles_bovins[Aliment],0))="c"),
INDEX(Règles_bovins[Valeur 6-12],MATCH(ChoixRationBovins&amp;$BB195,Règles_bovins[Ration]&amp;Règles_bovins[Aliment],0)),0),0)*IF(ChoixBovinsPréHiver=OUI,TotalVeauMâle_6_12_RacesLaitières,TotalBovinsMâles_6_12mois*NbreJoursNourrirBovins))</f>
        <v>0</v>
      </c>
      <c r="BH195" s="351">
        <f t="array" ref="BH195">IF(Ration_complète_bovins[somme]&gt;0,0,IFERROR(IF(OR(AND(INDEX(Règles_bovins[Specificite],MATCH(ChoixRationBovins&amp;$BB195,Règles_bovins[Ration]&amp;Règles_bovins[Aliment],0))="s1",IF($BB195=Spécificité1Bovins,1)),
AND(INDEX(Règles_bovins[Specificite],MATCH(ChoixRationBovins&amp;$BB195,Règles_bovins[Ration]&amp;Règles_bovins[Aliment],0))="s2",IF($BB195=Spécificité2Bovins,1)),
INDEX(Règles_bovins[Specificite],MATCH(ChoixRationBovins&amp;$BB195,Règles_bovins[Ration]&amp;Règles_bovins[Aliment],0))="c"),
INDEX(Règles_bovins[Valeur 3-6],MATCH(ChoixRationBovins&amp;$BB195,Règles_bovins[Ration]&amp;Règles_bovins[Aliment],0)),0),0)*IF(ChoixBovinsPréHiver=OUI,TotalVeauMâle_3_6_RacesLaitières,TotalBovinsMâles_3_6mois*NbreJoursNourrirBovins))</f>
        <v>0</v>
      </c>
      <c r="BI195" s="351">
        <f t="array" ref="BI195">IF(Ration_complète_bovins[somme]&gt;0,0,IFERROR(IF(OR(AND(INDEX(Règles_bovins[Specificite],MATCH(ChoixRationBovins&amp;$BB195,Règles_bovins[Ration]&amp;Règles_bovins[Aliment],0))="s1",IF($BB195=Spécificité1Bovins,1)),
AND(INDEX(Règles_bovins[Specificite],MATCH(ChoixRationBovins&amp;$BB195,Règles_bovins[Ration]&amp;Règles_bovins[Aliment],0))="s2",IF($BB195=Spécificité2Bovins,1)),
INDEX(Règles_bovins[Specificite],MATCH(ChoixRationBovins&amp;$BB195,Règles_bovins[Ration]&amp;Règles_bovins[Aliment],0))="c"),
INDEX(Règles_bovins[Valeur 0-3],MATCH(ChoixRationBovins&amp;$BB195,Règles_bovins[Ration]&amp;Règles_bovins[Aliment],0)),0),0)*IF(ChoixBovinsPréHiver=OUI,TotalVeauMâle_0_3_RacesLaitières,TotalBovinsMâles_0_3mois*NbreJoursNourrirBovins))</f>
        <v>0</v>
      </c>
      <c r="BJ195" s="352">
        <f t="shared" si="62"/>
        <v>0</v>
      </c>
      <c r="BK195" s="276"/>
      <c r="BL195" s="276"/>
      <c r="BX195" s="349" t="s">
        <v>910</v>
      </c>
      <c r="BY195" s="353" t="s">
        <v>1192</v>
      </c>
      <c r="BZ195" s="353" t="s">
        <v>1193</v>
      </c>
      <c r="CA195" s="353" t="s">
        <v>1194</v>
      </c>
      <c r="CB195" s="277"/>
      <c r="CC195" s="277"/>
      <c r="CD195" s="298"/>
      <c r="CE195" s="298"/>
      <c r="CF195" s="298"/>
      <c r="CG195" s="298"/>
      <c r="CH195" s="298"/>
      <c r="CI195" s="277"/>
      <c r="CK195" s="277"/>
      <c r="CL195" s="277"/>
      <c r="CM195" s="277"/>
      <c r="CN195" s="277"/>
      <c r="CO195" s="277"/>
      <c r="CP195" s="277"/>
      <c r="DN195" s="350" t="str">
        <f t="shared" si="61"/>
        <v>Bouchons luzerne</v>
      </c>
      <c r="DO195" s="351">
        <f t="array" ref="DO195">IF(ChoixRationComplèteOvins=OUI,0,IFERROR(IF(OR(AND(INDEX(Règles_ovins[Specificite],MATCH(ChoixRationOvins&amp;$DN195,Règles_ovins[Ration]&amp;Règles_ovins[Aliment],0))="s1",IF($DN195=Spécificité1Ovins,1)),
AND(INDEX(Règles_ovins[Specificite],MATCH(ChoixRationOvins&amp;$DN195,Règles_ovins[Ration]&amp;Règles_ovins[Aliment],0))="s2",IF($DN195=Spécificité2Ovins,1)),
INDEX(Règles_ovins[Specificite],MATCH(ChoixRationOvins&amp;$DN195,Règles_ovins[Ration]&amp;Règles_ovins[Aliment],0))="c"),
INDEX(Règles_ovins[Valeur 12 et plus],MATCH(ChoixRationOvins&amp;$DN195,Règles_ovins[Ration]&amp;Règles_ovins[Aliment],0)),0),0)*IF(ChoixOvinsPréHiver=OUI,SUM(TotalOvinsAdultesRacesLaitières)*NbreJoursNourrirOvins,TotalBrebis*NbreJoursNourrirOvins))</f>
        <v>0</v>
      </c>
      <c r="DP195" s="351">
        <f t="array" ref="DP195">IF(ChoixRationComplèteOvins=OUI,0,IFERROR(IF(OR(AND(INDEX(Règles_ovins[Specificite],MATCH(ChoixRationOvins&amp;$DN195,Règles_ovins[Ration]&amp;Règles_ovins[Aliment],0))="s1",IF($DN195=Spécificité1Ovins,1)),
AND(INDEX(Règles_ovins[Specificite],MATCH(ChoixRationOvins&amp;$DN195,Règles_ovins[Ration]&amp;Règles_ovins[Aliment],0))="s2",IF($DN195=Spécificité2Ovins,1)),
INDEX(Règles_ovins[Specificite],MATCH(ChoixRationOvins&amp;$DN195,Règles_ovins[Ration]&amp;Règles_ovins[Aliment],0))="c"),
INDEX(Règles_ovins[Valeur 6-12],MATCH(ChoixRationOvins&amp;$DN195,Règles_ovins[Ration]&amp;Règles_ovins[Aliment],0)),0),0)*IF(ChoixOvinsPréHiver=OUI,SUM(TotalJeunesOvinsRacesLaitières)*NbreJoursNourrirOvins,TotalJeune_brebis_6_12_mois*NbreJoursNourrirOvins))</f>
        <v>0</v>
      </c>
      <c r="DQ195" s="351">
        <f t="array" ref="DQ195">IF(ChoixRationComplèteOvins=OUI,0,IFERROR(IF(OR(AND(INDEX(Règles_ovins[Specificite],MATCH(ChoixRationOvins&amp;$DN195,Règles_ovins[Ration]&amp;Règles_ovins[Aliment],0))="s1",IF($DN195=Spécificité1Ovins,1)),
AND(INDEX(Règles_ovins[Specificite],MATCH(ChoixRationOvins&amp;$DN195,Règles_ovins[Ration]&amp;Règles_ovins[Aliment],0))="s2",IF($DN195=Spécificité2Ovins,1)),
INDEX(Règles_ovins[Specificite],MATCH(ChoixRationOvins&amp;$DN195,Règles_ovins[Ration]&amp;Règles_ovins[Aliment],0))="c"),
INDEX(Règles_ovins[Valeur 3-6],MATCH(ChoixRationOvins&amp;$DN195,Règles_ovins[Ration]&amp;Règles_ovins[Aliment],0)),0),0)*IF(ChoixOvinsPréHiver=OUI,SUM(TotalOvins_3_6moisRacesLaitières)*NbreJoursNourrirOvins,TotalAgnelle_3_6_mois*NbreJoursNourrirOvins))</f>
        <v>0</v>
      </c>
      <c r="DR195" s="351">
        <f t="array" ref="DR195">IF(ChoixRationComplèteOvins=OUI,0,IFERROR(IF(OR(AND(INDEX(Règles_ovins[Specificite],MATCH(ChoixRationOvins&amp;$DN195,Règles_ovins[Ration]&amp;Règles_ovins[Aliment],0))="s1",IF($DN195=Spécificité1Ovins,1)),
AND(INDEX(Règles_ovins[Specificite],MATCH(ChoixRationOvins&amp;$DN195,Règles_ovins[Ration]&amp;Règles_ovins[Aliment],0))="s2",IF($DN195=Spécificité2Ovins,1)),
INDEX(Règles_ovins[Specificite],MATCH(ChoixRationOvins&amp;$DN195,Règles_ovins[Ration]&amp;Règles_ovins[Aliment],0))="c"),
INDEX(Règles_ovins[Valeur 0-3],MATCH(ChoixRationOvins&amp;$DN195,Règles_ovins[Ration]&amp;Règles_ovins[Aliment],0)),0),0)*IF(ChoixOvinsPréHiver=OUI,SUM(TotalOvins_3_6moisRacesLaitières)*NbreJoursNourrirOvins,TotalAgnelle_0_3_mois*NbreJoursNourrirOvins))</f>
        <v>0</v>
      </c>
      <c r="DS195" s="441">
        <f t="shared" si="60"/>
        <v>0</v>
      </c>
      <c r="EU195" s="443" t="s">
        <v>781</v>
      </c>
      <c r="EV195" s="444"/>
      <c r="EW195" s="445"/>
      <c r="FI195" s="276"/>
      <c r="FN195" s="335" t="s">
        <v>1195</v>
      </c>
      <c r="FO195" s="335"/>
      <c r="FP195" s="335"/>
      <c r="FQ195" s="335"/>
      <c r="FR195" s="281"/>
      <c r="FW195" s="281"/>
      <c r="FX195" s="281"/>
      <c r="FY195" s="281"/>
      <c r="FZ195" s="281"/>
      <c r="GB195" s="281"/>
      <c r="GG195" s="276" t="s">
        <v>955</v>
      </c>
      <c r="GH195" s="276" t="s">
        <v>955</v>
      </c>
      <c r="GI195" s="276" t="s">
        <v>955</v>
      </c>
      <c r="GJ195" s="276" t="s">
        <v>955</v>
      </c>
      <c r="GK195" s="276" t="s">
        <v>955</v>
      </c>
      <c r="GL195" s="276" t="s">
        <v>955</v>
      </c>
      <c r="GM195" s="276" t="s">
        <v>955</v>
      </c>
      <c r="GN195" s="276" t="s">
        <v>955</v>
      </c>
      <c r="GO195" s="276" t="s">
        <v>955</v>
      </c>
      <c r="GP195" s="276" t="s">
        <v>955</v>
      </c>
      <c r="GQ195" s="276" t="s">
        <v>955</v>
      </c>
      <c r="GR195" s="276" t="s">
        <v>955</v>
      </c>
      <c r="GS195" s="276" t="s">
        <v>955</v>
      </c>
      <c r="GT195" s="276" t="s">
        <v>955</v>
      </c>
      <c r="GU195" s="276" t="s">
        <v>955</v>
      </c>
      <c r="GV195" s="276" t="s">
        <v>955</v>
      </c>
    </row>
    <row r="196" spans="1:204" ht="12.75" customHeight="1" x14ac:dyDescent="0.2">
      <c r="BB196" s="350" t="s">
        <v>220</v>
      </c>
      <c r="BC196" s="351">
        <f t="array" ref="BC196">IF(Ration_complète_bovins[somme]&gt;0,0,IFERROR(IF(OR(AND(INDEX(Règles_bovins[Specificite],MATCH(ChoixRationBovins&amp;$BB196,Règles_bovins[Ration]&amp;Règles_bovins[Aliment],0))="s1",IF($BB196=Spécificité1Bovins,1)),
AND(INDEX(Règles_bovins[Specificite],MATCH(ChoixRationBovins&amp;$BB196,Règles_bovins[Ration]&amp;Règles_bovins[Aliment],0))="s2",IF($BB196=Spécificité2Bovins,1)),
INDEX(Règles_bovins[Specificite],MATCH(ChoixRationBovins&amp;$BB196,Règles_bovins[Ration]&amp;Règles_bovins[Aliment],0))="c"),
INDEX(Règles_bovins[Valeur 36 et plus],MATCH(ChoixRationBovins&amp;$BB196,Règles_bovins[Ration]&amp;Règles_bovins[Aliment],0)),0),0)*IF(ChoixBovinsPréHiver=OUI,TotalTaureauxRacesLaitières,TotalTaureaux*NbreJoursNourrirBovins))</f>
        <v>0</v>
      </c>
      <c r="BD196" s="351">
        <f t="array" ref="BD196">IF(Ration_complète_bovins[somme]&gt;0,0,IFERROR(IF(OR(AND(INDEX(Règles_bovins[Specificite],MATCH(ChoixRationBovins&amp;$BB196,Règles_bovins[Ration]&amp;Règles_bovins[Aliment],0))="s1",IF($BB196=Spécificité1Bovins,1)),
AND(INDEX(Règles_bovins[Specificite],MATCH(ChoixRationBovins&amp;$BB196,Règles_bovins[Ration]&amp;Règles_bovins[Aliment],0))="s2",IF($BB196=Spécificité2Bovins,1)),
INDEX(Règles_bovins[Specificite],MATCH(ChoixRationBovins&amp;$BB196,Règles_bovins[Ration]&amp;Règles_bovins[Aliment],0))="c"),
INDEX(Règles_bovins[Valeur 24-36],MATCH(ChoixRationBovins&amp;$BB196,Règles_bovins[Ration]&amp;Règles_bovins[Aliment],0)),0),0)*IF(ChoixBovinsPréHiver=OUI,TotalTaurillon_24_36_RacesLaitières,TotalBovinsMâles_24_36mois*NbreJoursNourrirBovins))</f>
        <v>0</v>
      </c>
      <c r="BE196" s="351">
        <f t="array" ref="BE196">IF(Ration_complète_bovins[somme]&gt;0,0,IFERROR(IF(OR(AND(INDEX(Règles_bovins[Specificite],MATCH(ChoixRationBovins&amp;$BB196,Règles_bovins[Ration]&amp;Règles_bovins[Aliment],0))="s1",IF($BB196=Spécificité1Bovins,1)),
AND(INDEX(Règles_bovins[Specificite],MATCH(ChoixRationBovins&amp;$BB196,Règles_bovins[Ration]&amp;Règles_bovins[Aliment],0))="s2",IF($BB196=Spécificité2Bovins,1)),
INDEX(Règles_bovins[Specificite],MATCH(ChoixRationBovins&amp;$BB196,Règles_bovins[Ration]&amp;Règles_bovins[Aliment],0))="c"),
INDEX(Règles_bovins[Valeur 18-24],MATCH(ChoixRationBovins&amp;$BB196,Règles_bovins[Ration]&amp;Règles_bovins[Aliment],0)),0),0)*IF(ChoixBovinsPréHiver=OUI,TotalTaurillon_18_24_RacesLaitières,TotalBovinsMâles_18_24mois*NbreJoursNourrirBovins))</f>
        <v>0</v>
      </c>
      <c r="BF196" s="351">
        <f t="array" ref="BF196">IF(Ration_complète_bovins[somme]&gt;0,0,IFERROR(IF(OR(AND(INDEX(Règles_bovins[Specificite],MATCH(ChoixRationBovins&amp;$BB196,Règles_bovins[Ration]&amp;Règles_bovins[Aliment],0))="s1",IF($BB196=Spécificité1Bovins,1)),
AND(INDEX(Règles_bovins[Specificite],MATCH(ChoixRationBovins&amp;$BB196,Règles_bovins[Ration]&amp;Règles_bovins[Aliment],0))="s2",IF($BB196=Spécificité2Bovins,1)),
INDEX(Règles_bovins[Specificite],MATCH(ChoixRationBovins&amp;$BB196,Règles_bovins[Ration]&amp;Règles_bovins[Aliment],0))="c"),
INDEX(Règles_bovins[Valeur 12-18],MATCH(ChoixRationBovins&amp;$BB196,Règles_bovins[Ration]&amp;Règles_bovins[Aliment],0)),0),0)*IF(ChoixBovinsPréHiver=OUI,animaux!D16,TotalBovinsMâles_12_18mois*NbreJoursNourrirBovins))</f>
        <v>0</v>
      </c>
      <c r="BG196" s="351">
        <f t="array" ref="BG196">IF(Ration_complète_bovins[somme]&gt;0,0,IFERROR(IF(OR(AND(INDEX(Règles_bovins[Specificite],MATCH(ChoixRationBovins&amp;$BB196,Règles_bovins[Ration]&amp;Règles_bovins[Aliment],0))="s1",IF($BB196=Spécificité1Bovins,1)),
AND(INDEX(Règles_bovins[Specificite],MATCH(ChoixRationBovins&amp;$BB196,Règles_bovins[Ration]&amp;Règles_bovins[Aliment],0))="s2",IF($BB196=Spécificité2Bovins,1)),
INDEX(Règles_bovins[Specificite],MATCH(ChoixRationBovins&amp;$BB196,Règles_bovins[Ration]&amp;Règles_bovins[Aliment],0))="c"),
INDEX(Règles_bovins[Valeur 6-12],MATCH(ChoixRationBovins&amp;$BB196,Règles_bovins[Ration]&amp;Règles_bovins[Aliment],0)),0),0)*IF(ChoixBovinsPréHiver=OUI,TotalVeauMâle_6_12_RacesLaitières,TotalBovinsMâles_6_12mois*NbreJoursNourrirBovins))</f>
        <v>0</v>
      </c>
      <c r="BH196" s="351">
        <f t="array" ref="BH196">IF(Ration_complète_bovins[somme]&gt;0,0,IFERROR(IF(OR(AND(INDEX(Règles_bovins[Specificite],MATCH(ChoixRationBovins&amp;$BB196,Règles_bovins[Ration]&amp;Règles_bovins[Aliment],0))="s1",IF($BB196=Spécificité1Bovins,1)),
AND(INDEX(Règles_bovins[Specificite],MATCH(ChoixRationBovins&amp;$BB196,Règles_bovins[Ration]&amp;Règles_bovins[Aliment],0))="s2",IF($BB196=Spécificité2Bovins,1)),
INDEX(Règles_bovins[Specificite],MATCH(ChoixRationBovins&amp;$BB196,Règles_bovins[Ration]&amp;Règles_bovins[Aliment],0))="c"),
INDEX(Règles_bovins[Valeur 3-6],MATCH(ChoixRationBovins&amp;$BB196,Règles_bovins[Ration]&amp;Règles_bovins[Aliment],0)),0),0)*IF(ChoixBovinsPréHiver=OUI,TotalVeauMâle_3_6_RacesLaitières,TotalBovinsMâles_3_6mois*NbreJoursNourrirBovins))</f>
        <v>0</v>
      </c>
      <c r="BI196" s="351">
        <f t="array" ref="BI196">IF(Ration_complète_bovins[somme]&gt;0,0,IFERROR(IF(OR(AND(INDEX(Règles_bovins[Specificite],MATCH(ChoixRationBovins&amp;$BB196,Règles_bovins[Ration]&amp;Règles_bovins[Aliment],0))="s1",IF($BB196=Spécificité1Bovins,1)),
AND(INDEX(Règles_bovins[Specificite],MATCH(ChoixRationBovins&amp;$BB196,Règles_bovins[Ration]&amp;Règles_bovins[Aliment],0))="s2",IF($BB196=Spécificité2Bovins,1)),
INDEX(Règles_bovins[Specificite],MATCH(ChoixRationBovins&amp;$BB196,Règles_bovins[Ration]&amp;Règles_bovins[Aliment],0))="c"),
INDEX(Règles_bovins[Valeur 0-3],MATCH(ChoixRationBovins&amp;$BB196,Règles_bovins[Ration]&amp;Règles_bovins[Aliment],0)),0),0)*IF(ChoixBovinsPréHiver=OUI,TotalVeauMâle_0_3_RacesLaitières,TotalBovinsMâles_0_3mois*NbreJoursNourrirBovins))</f>
        <v>0</v>
      </c>
      <c r="BJ196" s="352">
        <f t="shared" si="62"/>
        <v>0</v>
      </c>
      <c r="BK196" s="276"/>
      <c r="BL196" s="276"/>
      <c r="BX196" s="350" t="str">
        <f>BX106</f>
        <v>Avoine</v>
      </c>
      <c r="BY196" s="351">
        <f t="array" ref="BY196">SUM((IF(QualitéAlimentsChevreau_0_3_mois=BONNE,VLOOKUP("Avoine",AlimentsRationCaprinsMâles,5,FALSE),0)+(IF(QualitéAlimentsChevrette_0_3_mois=BONNE,VLOOKUP("Avoine",AlimentsRationCaprinsFemelles,5,FALSE),0)+(IF(QualitéAlimentsChevreau_3_6_mois=BONNE,VLOOKUP("Avoine",AlimentsRationCaprinsMâles,4,FALSE),0)+(IF(QualitéAlimentsChevrette_3_6_mois=BONNE,VLOOKUP("Avoine",AlimentsRationCaprinsFemelles,4,FALSE),0)+(IF(QualitéAlimentsJeuneBouc=BONNE,VLOOKUP("Avoine",AlimentsRationCaprinsMâles,3,FALSE),0)+(IF(QualitéAlimentsJeuneChèvre=BONNE,VLOOKUP("Avoine",AlimentsRationCaprinsFemelles,3,FALSE),0)+(IF(QualitéAlimentsBouc=BONNE,VLOOKUP("Avoine",AlimentsRationCaprinsMâles,2,FALSE),0)+(IF(QualitéAlimentsChèvre=BONNE,VLOOKUP("Avoine",AlimentsRationCaprinsFemelles,2,FALSE),0))))))))))</f>
        <v>0</v>
      </c>
      <c r="BZ196" s="351">
        <f t="array" ref="BZ196">SUM((IF(QualitéAlimentsChevreau_0_3_mois=MOYENNE,VLOOKUP("Avoine",AlimentsRationCaprinsMâles,5,FALSE),0)+(IF(QualitéAlimentsChevrette_0_3_mois=MOYENNE,VLOOKUP("Avoine",AlimentsRationCaprinsFemelles,5,FALSE),0)+(IF(QualitéAlimentsChevreau_3_6_mois=MOYENNE,VLOOKUP("Avoine",AlimentsRationCaprinsMâles,4,FALSE),0)+(IF(QualitéAlimentsChevrette_3_6_mois=MOYENNE,VLOOKUP("Avoine",AlimentsRationCaprinsFemelles,4,FALSE),0)+(IF(QualitéAlimentsJeuneBouc=MOYENNE,VLOOKUP("Avoine",AlimentsRationCaprinsMâles,3,FALSE),0)+(IF(QualitéAlimentsJeuneChèvre=MOYENNE,VLOOKUP("Avoine",AlimentsRationCaprinsFemelles,3,FALSE),0)+(IF(QualitéAlimentsBouc=MOYENNE,VLOOKUP("Avoine",AlimentsRationCaprinsMâles,2,FALSE),0)+(IF(QualitéAlimentsChèvre=MOYENNE,VLOOKUP("Avoine",AlimentsRationCaprinsFemelles,2,FALSE),0))))))))))</f>
        <v>0</v>
      </c>
      <c r="CA196" s="351">
        <f t="array" ref="CA196">SUM((IF(QualitéAlimentsChevreau_0_3_mois=MAUVAISE,VLOOKUP("Avoine",AlimentsRationCaprinsMâles,5,FALSE),0)+(IF(QualitéAlimentsChevrette_0_3_mois=MAUVAISE,VLOOKUP("Avoine",AlimentsRationCaprinsFemelles,5,FALSE),0)+(IF(QualitéAlimentsChevreau_3_6_mois=MAUVAISE,VLOOKUP("Avoine",AlimentsRationCaprinsMâles,4,FALSE),0)+(IF(QualitéAlimentsChevrette_3_6_mois=MAUVAISE,VLOOKUP("Avoine",AlimentsRationCaprinsFemelles,4,FALSE),0)+(IF(QualitéAlimentsJeuneBouc=MAUVAISE,VLOOKUP("Avoine",AlimentsRationCaprinsMâles,3,FALSE),0)+(IF(QualitéAlimentsJeuneChèvre=MAUVAISE,VLOOKUP("Avoine",AlimentsRationCaprinsFemelles,3,FALSE),0)+(IF(QualitéAlimentsBouc=MAUVAISE,VLOOKUP("Avoine",AlimentsRationCaprinsMâles,2,FALSE),0)+(IF(QualitéAlimentsChèvre=MAUVAISE,VLOOKUP("Avoine",AlimentsRationCaprinsFemelles,2,FALSE),0))))))))))</f>
        <v>0</v>
      </c>
      <c r="CB196" s="277"/>
      <c r="CC196" s="277"/>
      <c r="CD196" s="298"/>
      <c r="CE196" s="298"/>
      <c r="CF196" s="298"/>
      <c r="CG196" s="298"/>
      <c r="CH196" s="298"/>
      <c r="CI196" s="277"/>
      <c r="CK196" s="277"/>
      <c r="CL196" s="277"/>
      <c r="CM196" s="277"/>
      <c r="CN196" s="277"/>
      <c r="CO196" s="277"/>
      <c r="CP196" s="277"/>
      <c r="DN196" s="350" t="str">
        <f t="shared" si="61"/>
        <v>Chanvre</v>
      </c>
      <c r="DO196" s="351">
        <f t="array" ref="DO196">IF(ChoixRationComplèteOvins=OUI,0,IFERROR(IF(OR(AND(INDEX(Règles_ovins[Specificite],MATCH(ChoixRationOvins&amp;$DN196,Règles_ovins[Ration]&amp;Règles_ovins[Aliment],0))="s1",IF($DN196=Spécificité1Ovins,1)),
AND(INDEX(Règles_ovins[Specificite],MATCH(ChoixRationOvins&amp;$DN196,Règles_ovins[Ration]&amp;Règles_ovins[Aliment],0))="s2",IF($DN196=Spécificité2Ovins,1)),
INDEX(Règles_ovins[Specificite],MATCH(ChoixRationOvins&amp;$DN196,Règles_ovins[Ration]&amp;Règles_ovins[Aliment],0))="c"),
INDEX(Règles_ovins[Valeur 12 et plus],MATCH(ChoixRationOvins&amp;$DN196,Règles_ovins[Ration]&amp;Règles_ovins[Aliment],0)),0),0)*IF(ChoixOvinsPréHiver=OUI,SUM(TotalOvinsAdultesRacesLaitières)*NbreJoursNourrirOvins,TotalBrebis*NbreJoursNourrirOvins))</f>
        <v>0</v>
      </c>
      <c r="DP196" s="351">
        <f t="array" ref="DP196">IF(ChoixRationComplèteOvins=OUI,0,IFERROR(IF(OR(AND(INDEX(Règles_ovins[Specificite],MATCH(ChoixRationOvins&amp;$DN196,Règles_ovins[Ration]&amp;Règles_ovins[Aliment],0))="s1",IF($DN196=Spécificité1Ovins,1)),
AND(INDEX(Règles_ovins[Specificite],MATCH(ChoixRationOvins&amp;$DN196,Règles_ovins[Ration]&amp;Règles_ovins[Aliment],0))="s2",IF($DN196=Spécificité2Ovins,1)),
INDEX(Règles_ovins[Specificite],MATCH(ChoixRationOvins&amp;$DN196,Règles_ovins[Ration]&amp;Règles_ovins[Aliment],0))="c"),
INDEX(Règles_ovins[Valeur 6-12],MATCH(ChoixRationOvins&amp;$DN196,Règles_ovins[Ration]&amp;Règles_ovins[Aliment],0)),0),0)*IF(ChoixOvinsPréHiver=OUI,SUM(TotalJeunesOvinsRacesLaitières)*NbreJoursNourrirOvins,TotalJeune_brebis_6_12_mois*NbreJoursNourrirOvins))</f>
        <v>0</v>
      </c>
      <c r="DQ196" s="351">
        <f t="array" ref="DQ196">IF(ChoixRationComplèteOvins=OUI,0,IFERROR(IF(OR(AND(INDEX(Règles_ovins[Specificite],MATCH(ChoixRationOvins&amp;$DN196,Règles_ovins[Ration]&amp;Règles_ovins[Aliment],0))="s1",IF($DN196=Spécificité1Ovins,1)),
AND(INDEX(Règles_ovins[Specificite],MATCH(ChoixRationOvins&amp;$DN196,Règles_ovins[Ration]&amp;Règles_ovins[Aliment],0))="s2",IF($DN196=Spécificité2Ovins,1)),
INDEX(Règles_ovins[Specificite],MATCH(ChoixRationOvins&amp;$DN196,Règles_ovins[Ration]&amp;Règles_ovins[Aliment],0))="c"),
INDEX(Règles_ovins[Valeur 3-6],MATCH(ChoixRationOvins&amp;$DN196,Règles_ovins[Ration]&amp;Règles_ovins[Aliment],0)),0),0)*IF(ChoixOvinsPréHiver=OUI,SUM(TotalOvins_3_6moisRacesLaitières)*NbreJoursNourrirOvins,TotalAgnelle_3_6_mois*NbreJoursNourrirOvins))</f>
        <v>0</v>
      </c>
      <c r="DR196" s="351">
        <f t="array" ref="DR196">IF(ChoixRationComplèteOvins=OUI,0,IFERROR(IF(OR(AND(INDEX(Règles_ovins[Specificite],MATCH(ChoixRationOvins&amp;$DN196,Règles_ovins[Ration]&amp;Règles_ovins[Aliment],0))="s1",IF($DN196=Spécificité1Ovins,1)),
AND(INDEX(Règles_ovins[Specificite],MATCH(ChoixRationOvins&amp;$DN196,Règles_ovins[Ration]&amp;Règles_ovins[Aliment],0))="s2",IF($DN196=Spécificité2Ovins,1)),
INDEX(Règles_ovins[Specificite],MATCH(ChoixRationOvins&amp;$DN196,Règles_ovins[Ration]&amp;Règles_ovins[Aliment],0))="c"),
INDEX(Règles_ovins[Valeur 0-3],MATCH(ChoixRationOvins&amp;$DN196,Règles_ovins[Ration]&amp;Règles_ovins[Aliment],0)),0),0)*IF(ChoixOvinsPréHiver=OUI,SUM(TotalOvins_3_6moisRacesLaitières)*NbreJoursNourrirOvins,TotalAgnelle_0_3_mois*NbreJoursNourrirOvins))</f>
        <v>0</v>
      </c>
      <c r="DS196" s="441">
        <f t="shared" si="60"/>
        <v>0</v>
      </c>
      <c r="EU196" s="443" t="s">
        <v>782</v>
      </c>
      <c r="EV196" s="444">
        <f>EY33*SUM(TotalJeunesChevauxSelle)*SUM(AE76:AE100)</f>
        <v>0</v>
      </c>
      <c r="EW196" s="445">
        <v>0</v>
      </c>
      <c r="FD196" s="335" t="s">
        <v>1195</v>
      </c>
      <c r="FE196" s="335"/>
      <c r="FF196" s="335"/>
      <c r="FG196" s="335"/>
      <c r="FI196" s="276"/>
      <c r="FN196" s="455" t="s">
        <v>910</v>
      </c>
      <c r="FO196" s="456" t="s">
        <v>1192</v>
      </c>
      <c r="FP196" s="456" t="s">
        <v>1193</v>
      </c>
      <c r="FQ196" s="456" t="s">
        <v>1194</v>
      </c>
      <c r="FR196" s="281"/>
      <c r="FW196" s="281"/>
      <c r="FX196" s="281"/>
      <c r="FY196" s="281"/>
      <c r="FZ196" s="281"/>
      <c r="GB196" s="281"/>
      <c r="GG196" s="276" t="s">
        <v>955</v>
      </c>
      <c r="GH196" s="276" t="s">
        <v>955</v>
      </c>
      <c r="GI196" s="276" t="s">
        <v>955</v>
      </c>
      <c r="GJ196" s="276" t="s">
        <v>955</v>
      </c>
      <c r="GK196" s="276" t="s">
        <v>955</v>
      </c>
      <c r="GL196" s="276" t="s">
        <v>955</v>
      </c>
      <c r="GM196" s="276" t="s">
        <v>955</v>
      </c>
      <c r="GN196" s="276" t="s">
        <v>955</v>
      </c>
      <c r="GO196" s="276" t="s">
        <v>955</v>
      </c>
      <c r="GP196" s="276" t="s">
        <v>955</v>
      </c>
      <c r="GQ196" s="276" t="s">
        <v>955</v>
      </c>
      <c r="GR196" s="276" t="s">
        <v>955</v>
      </c>
      <c r="GS196" s="276" t="s">
        <v>955</v>
      </c>
      <c r="GT196" s="276" t="s">
        <v>955</v>
      </c>
      <c r="GU196" s="276" t="s">
        <v>955</v>
      </c>
      <c r="GV196" s="276" t="s">
        <v>955</v>
      </c>
    </row>
    <row r="197" spans="1:204" ht="12.75" customHeight="1" x14ac:dyDescent="0.2">
      <c r="BB197" s="350" t="s">
        <v>515</v>
      </c>
      <c r="BC197" s="351">
        <f t="array" ref="BC197">IF(Ration_complète_bovins[somme]&gt;0,0,IFERROR(IF(OR(AND(INDEX(Règles_bovins[Specificite],MATCH(ChoixRationBovins&amp;$BB197,Règles_bovins[Ration]&amp;Règles_bovins[Aliment],0))="s1",IF($BB197=Spécificité1Bovins,1)),
AND(INDEX(Règles_bovins[Specificite],MATCH(ChoixRationBovins&amp;$BB197,Règles_bovins[Ration]&amp;Règles_bovins[Aliment],0))="s2",IF($BB197=Spécificité2Bovins,1)),
INDEX(Règles_bovins[Specificite],MATCH(ChoixRationBovins&amp;$BB197,Règles_bovins[Ration]&amp;Règles_bovins[Aliment],0))="c"),
INDEX(Règles_bovins[Valeur 36 et plus],MATCH(ChoixRationBovins&amp;$BB197,Règles_bovins[Ration]&amp;Règles_bovins[Aliment],0)),0),0)*IF(ChoixBovinsPréHiver=OUI,TotalTaureauxRacesLaitières,TotalTaureaux*NbreJoursNourrirBovins))</f>
        <v>0</v>
      </c>
      <c r="BD197" s="351">
        <f t="array" ref="BD197">IF(Ration_complète_bovins[somme]&gt;0,0,IFERROR(IF(OR(AND(INDEX(Règles_bovins[Specificite],MATCH(ChoixRationBovins&amp;$BB197,Règles_bovins[Ration]&amp;Règles_bovins[Aliment],0))="s1",IF($BB197=Spécificité1Bovins,1)),
AND(INDEX(Règles_bovins[Specificite],MATCH(ChoixRationBovins&amp;$BB197,Règles_bovins[Ration]&amp;Règles_bovins[Aliment],0))="s2",IF($BB197=Spécificité2Bovins,1)),
INDEX(Règles_bovins[Specificite],MATCH(ChoixRationBovins&amp;$BB197,Règles_bovins[Ration]&amp;Règles_bovins[Aliment],0))="c"),
INDEX(Règles_bovins[Valeur 24-36],MATCH(ChoixRationBovins&amp;$BB197,Règles_bovins[Ration]&amp;Règles_bovins[Aliment],0)),0),0)*IF(ChoixBovinsPréHiver=OUI,TotalTaurillon_24_36_RacesLaitières,TotalBovinsMâles_24_36mois*NbreJoursNourrirBovins))</f>
        <v>0</v>
      </c>
      <c r="BE197" s="351">
        <f t="array" ref="BE197">IF(Ration_complète_bovins[somme]&gt;0,0,IFERROR(IF(OR(AND(INDEX(Règles_bovins[Specificite],MATCH(ChoixRationBovins&amp;$BB197,Règles_bovins[Ration]&amp;Règles_bovins[Aliment],0))="s1",IF($BB197=Spécificité1Bovins,1)),
AND(INDEX(Règles_bovins[Specificite],MATCH(ChoixRationBovins&amp;$BB197,Règles_bovins[Ration]&amp;Règles_bovins[Aliment],0))="s2",IF($BB197=Spécificité2Bovins,1)),
INDEX(Règles_bovins[Specificite],MATCH(ChoixRationBovins&amp;$BB197,Règles_bovins[Ration]&amp;Règles_bovins[Aliment],0))="c"),
INDEX(Règles_bovins[Valeur 18-24],MATCH(ChoixRationBovins&amp;$BB197,Règles_bovins[Ration]&amp;Règles_bovins[Aliment],0)),0),0)*IF(ChoixBovinsPréHiver=OUI,TotalTaurillon_18_24_RacesLaitières,TotalBovinsMâles_18_24mois*NbreJoursNourrirBovins))</f>
        <v>0</v>
      </c>
      <c r="BF197" s="351">
        <f t="array" ref="BF197">IF(Ration_complète_bovins[somme]&gt;0,0,IFERROR(IF(OR(AND(INDEX(Règles_bovins[Specificite],MATCH(ChoixRationBovins&amp;$BB197,Règles_bovins[Ration]&amp;Règles_bovins[Aliment],0))="s1",IF($BB197=Spécificité1Bovins,1)),
AND(INDEX(Règles_bovins[Specificite],MATCH(ChoixRationBovins&amp;$BB197,Règles_bovins[Ration]&amp;Règles_bovins[Aliment],0))="s2",IF($BB197=Spécificité2Bovins,1)),
INDEX(Règles_bovins[Specificite],MATCH(ChoixRationBovins&amp;$BB197,Règles_bovins[Ration]&amp;Règles_bovins[Aliment],0))="c"),
INDEX(Règles_bovins[Valeur 12-18],MATCH(ChoixRationBovins&amp;$BB197,Règles_bovins[Ration]&amp;Règles_bovins[Aliment],0)),0),0)*IF(ChoixBovinsPréHiver=OUI,animaux!D17,TotalBovinsMâles_12_18mois*NbreJoursNourrirBovins))</f>
        <v>0</v>
      </c>
      <c r="BG197" s="351">
        <f t="array" ref="BG197">IF(Ration_complète_bovins[somme]&gt;0,0,IFERROR(IF(OR(AND(INDEX(Règles_bovins[Specificite],MATCH(ChoixRationBovins&amp;$BB197,Règles_bovins[Ration]&amp;Règles_bovins[Aliment],0))="s1",IF($BB197=Spécificité1Bovins,1)),
AND(INDEX(Règles_bovins[Specificite],MATCH(ChoixRationBovins&amp;$BB197,Règles_bovins[Ration]&amp;Règles_bovins[Aliment],0))="s2",IF($BB197=Spécificité2Bovins,1)),
INDEX(Règles_bovins[Specificite],MATCH(ChoixRationBovins&amp;$BB197,Règles_bovins[Ration]&amp;Règles_bovins[Aliment],0))="c"),
INDEX(Règles_bovins[Valeur 6-12],MATCH(ChoixRationBovins&amp;$BB197,Règles_bovins[Ration]&amp;Règles_bovins[Aliment],0)),0),0)*IF(ChoixBovinsPréHiver=OUI,TotalVeauMâle_6_12_RacesLaitières,TotalBovinsMâles_6_12mois*NbreJoursNourrirBovins))</f>
        <v>0</v>
      </c>
      <c r="BH197" s="351">
        <f t="array" ref="BH197">IF(Ration_complète_bovins[somme]&gt;0,0,IFERROR(IF(OR(AND(INDEX(Règles_bovins[Specificite],MATCH(ChoixRationBovins&amp;$BB197,Règles_bovins[Ration]&amp;Règles_bovins[Aliment],0))="s1",IF($BB197=Spécificité1Bovins,1)),
AND(INDEX(Règles_bovins[Specificite],MATCH(ChoixRationBovins&amp;$BB197,Règles_bovins[Ration]&amp;Règles_bovins[Aliment],0))="s2",IF($BB197=Spécificité2Bovins,1)),
INDEX(Règles_bovins[Specificite],MATCH(ChoixRationBovins&amp;$BB197,Règles_bovins[Ration]&amp;Règles_bovins[Aliment],0))="c"),
INDEX(Règles_bovins[Valeur 3-6],MATCH(ChoixRationBovins&amp;$BB197,Règles_bovins[Ration]&amp;Règles_bovins[Aliment],0)),0),0)*IF(ChoixBovinsPréHiver=OUI,TotalVeauMâle_3_6_RacesLaitières,TotalBovinsMâles_3_6mois*NbreJoursNourrirBovins))</f>
        <v>0</v>
      </c>
      <c r="BI197" s="351">
        <f t="array" ref="BI197">IF(Ration_complète_bovins[somme]&gt;0,0,IFERROR(IF(OR(AND(INDEX(Règles_bovins[Specificite],MATCH(ChoixRationBovins&amp;$BB197,Règles_bovins[Ration]&amp;Règles_bovins[Aliment],0))="s1",IF($BB197=Spécificité1Bovins,1)),
AND(INDEX(Règles_bovins[Specificite],MATCH(ChoixRationBovins&amp;$BB197,Règles_bovins[Ration]&amp;Règles_bovins[Aliment],0))="s2",IF($BB197=Spécificité2Bovins,1)),
INDEX(Règles_bovins[Specificite],MATCH(ChoixRationBovins&amp;$BB197,Règles_bovins[Ration]&amp;Règles_bovins[Aliment],0))="c"),
INDEX(Règles_bovins[Valeur 0-3],MATCH(ChoixRationBovins&amp;$BB197,Règles_bovins[Ration]&amp;Règles_bovins[Aliment],0)),0),0)*IF(ChoixBovinsPréHiver=OUI,TotalVeauMâle_0_3_RacesLaitières,TotalBovinsMâles_0_3mois*NbreJoursNourrirBovins))</f>
        <v>0</v>
      </c>
      <c r="BJ197" s="352">
        <f t="shared" si="62"/>
        <v>0</v>
      </c>
      <c r="BK197" s="276"/>
      <c r="BL197" s="276"/>
      <c r="BX197" s="350" t="str">
        <f t="shared" ref="BX197:BX231" si="63">BX107</f>
        <v>Betterave</v>
      </c>
      <c r="BY197" s="351">
        <f t="array" ref="BY197">SUM((IF(QualitéAlimentsChevreau_0_3_mois=BONNE,VLOOKUP("Betterave",AlimentsRationCaprinsMâles,5,FALSE),0)+(IF(QualitéAlimentsChevrette_0_3_mois=BONNE,VLOOKUP("Betterave",AlimentsRationCaprinsFemelles,5,FALSE),0)+(IF(QualitéAlimentsChevreau_3_6_mois=BONNE,VLOOKUP("Betterave",AlimentsRationCaprinsMâles,4,FALSE),0)+(IF(QualitéAlimentsChevrette_3_6_mois=BONNE,VLOOKUP("Betterave",AlimentsRationCaprinsFemelles,4,FALSE),0)+(IF(QualitéAlimentsJeuneBouc=BONNE,VLOOKUP("Betterave",AlimentsRationCaprinsMâles,3,FALSE),0)+(IF(QualitéAlimentsJeuneChèvre=BONNE,VLOOKUP("Betterave",AlimentsRationCaprinsFemelles,3,FALSE),0)+(IF(QualitéAlimentsBouc=BONNE,VLOOKUP("Betterave",AlimentsRationCaprinsMâles,2,FALSE),0)+(IF(QualitéAlimentsChèvre=BONNE,VLOOKUP("Betterave",AlimentsRationCaprinsFemelles,2,FALSE),0))))))))))</f>
        <v>0</v>
      </c>
      <c r="BZ197" s="351">
        <f t="array" ref="BZ197">SUM((IF(QualitéAlimentsChevreau_0_3_mois=MOYENNE,VLOOKUP("Betterave",AlimentsRationCaprinsMâles,5,FALSE),0)+(IF(QualitéAlimentsChevrette_0_3_mois=MOYENNE,VLOOKUP("Betterave",AlimentsRationCaprinsFemelles,5,FALSE),0)+(IF(QualitéAlimentsChevreau_3_6_mois=MOYENNE,VLOOKUP("Betterave",AlimentsRationCaprinsMâles,4,FALSE),0)+(IF(QualitéAlimentsChevrette_3_6_mois=MOYENNE,VLOOKUP("Betterave",AlimentsRationCaprinsFemelles,4,FALSE),0)+(IF(QualitéAlimentsJeuneBouc=MOYENNE,VLOOKUP("Betterave",AlimentsRationCaprinsMâles,3,FALSE),0)+(IF(QualitéAlimentsJeuneChèvre=MOYENNE,VLOOKUP("Betterave",AlimentsRationCaprinsFemelles,3,FALSE),0)+(IF(QualitéAlimentsBouc=MOYENNE,VLOOKUP("Betterave",AlimentsRationCaprinsMâles,2,FALSE),0)+(IF(QualitéAlimentsChèvre=MOYENNE,VLOOKUP("Betterave",AlimentsRationCaprinsFemelles,2,FALSE),0))))))))))</f>
        <v>0</v>
      </c>
      <c r="CA197" s="351">
        <f t="array" ref="CA197">SUM((IF(QualitéAlimentsChevreau_0_3_mois=MAUVAISE,VLOOKUP("Betterave",AlimentsRationCaprinsMâles,5,FALSE),0)+(IF(QualitéAlimentsChevrette_0_3_mois=MAUVAISE,VLOOKUP("Betterave",AlimentsRationCaprinsFemelles,5,FALSE),0)+(IF(QualitéAlimentsChevreau_3_6_mois=MAUVAISE,VLOOKUP("Betterave",AlimentsRationCaprinsMâles,4,FALSE),0)+(IF(QualitéAlimentsChevrette_3_6_mois=MAUVAISE,VLOOKUP("Betterave",AlimentsRationCaprinsFemelles,4,FALSE),0)+(IF(QualitéAlimentsJeuneBouc=MAUVAISE,VLOOKUP("Betterave",AlimentsRationCaprinsMâles,3,FALSE),0)+(IF(QualitéAlimentsJeuneChèvre=MAUVAISE,VLOOKUP("Betterave",AlimentsRationCaprinsFemelles,3,FALSE),0)+(IF(QualitéAlimentsBouc=MAUVAISE,VLOOKUP("Betterave",AlimentsRationCaprinsMâles,2,FALSE),0)+(IF(QualitéAlimentsChèvre=MAUVAISE,VLOOKUP("Betterave",AlimentsRationCaprinsFemelles,2,FALSE),0))))))))))</f>
        <v>0</v>
      </c>
      <c r="CB197" s="277"/>
      <c r="CC197" s="277"/>
      <c r="CD197" s="298"/>
      <c r="CE197" s="298"/>
      <c r="CF197" s="298"/>
      <c r="CG197" s="298"/>
      <c r="CH197" s="298"/>
      <c r="CI197" s="277"/>
      <c r="CK197" s="277"/>
      <c r="CL197" s="277"/>
      <c r="CM197" s="277"/>
      <c r="CN197" s="277"/>
      <c r="CO197" s="277"/>
      <c r="CP197" s="277"/>
      <c r="DN197" s="350" t="str">
        <f t="shared" si="61"/>
        <v>Canola</v>
      </c>
      <c r="DO197" s="351">
        <f t="array" ref="DO197">IF(ChoixRationComplèteOvins=OUI,0,IFERROR(IF(OR(AND(INDEX(Règles_ovins[Specificite],MATCH(ChoixRationOvins&amp;$DN197,Règles_ovins[Ration]&amp;Règles_ovins[Aliment],0))="s1",IF($DN197=Spécificité1Ovins,1)),
AND(INDEX(Règles_ovins[Specificite],MATCH(ChoixRationOvins&amp;$DN197,Règles_ovins[Ration]&amp;Règles_ovins[Aliment],0))="s2",IF($DN197=Spécificité2Ovins,1)),
INDEX(Règles_ovins[Specificite],MATCH(ChoixRationOvins&amp;$DN197,Règles_ovins[Ration]&amp;Règles_ovins[Aliment],0))="c"),
INDEX(Règles_ovins[Valeur 12 et plus],MATCH(ChoixRationOvins&amp;$DN197,Règles_ovins[Ration]&amp;Règles_ovins[Aliment],0)),0),0)*IF(ChoixOvinsPréHiver=OUI,SUM(TotalOvinsAdultesRacesLaitières)*NbreJoursNourrirOvins,TotalBrebis*NbreJoursNourrirOvins))</f>
        <v>0</v>
      </c>
      <c r="DP197" s="351">
        <f t="array" ref="DP197">IF(ChoixRationComplèteOvins=OUI,0,IFERROR(IF(OR(AND(INDEX(Règles_ovins[Specificite],MATCH(ChoixRationOvins&amp;$DN197,Règles_ovins[Ration]&amp;Règles_ovins[Aliment],0))="s1",IF($DN197=Spécificité1Ovins,1)),
AND(INDEX(Règles_ovins[Specificite],MATCH(ChoixRationOvins&amp;$DN197,Règles_ovins[Ration]&amp;Règles_ovins[Aliment],0))="s2",IF($DN197=Spécificité2Ovins,1)),
INDEX(Règles_ovins[Specificite],MATCH(ChoixRationOvins&amp;$DN197,Règles_ovins[Ration]&amp;Règles_ovins[Aliment],0))="c"),
INDEX(Règles_ovins[Valeur 6-12],MATCH(ChoixRationOvins&amp;$DN197,Règles_ovins[Ration]&amp;Règles_ovins[Aliment],0)),0),0)*IF(ChoixOvinsPréHiver=OUI,SUM(TotalJeunesOvinsRacesLaitières)*NbreJoursNourrirOvins,TotalJeune_brebis_6_12_mois*NbreJoursNourrirOvins))</f>
        <v>0</v>
      </c>
      <c r="DQ197" s="351">
        <f t="array" ref="DQ197">IF(ChoixRationComplèteOvins=OUI,0,IFERROR(IF(OR(AND(INDEX(Règles_ovins[Specificite],MATCH(ChoixRationOvins&amp;$DN197,Règles_ovins[Ration]&amp;Règles_ovins[Aliment],0))="s1",IF($DN197=Spécificité1Ovins,1)),
AND(INDEX(Règles_ovins[Specificite],MATCH(ChoixRationOvins&amp;$DN197,Règles_ovins[Ration]&amp;Règles_ovins[Aliment],0))="s2",IF($DN197=Spécificité2Ovins,1)),
INDEX(Règles_ovins[Specificite],MATCH(ChoixRationOvins&amp;$DN197,Règles_ovins[Ration]&amp;Règles_ovins[Aliment],0))="c"),
INDEX(Règles_ovins[Valeur 3-6],MATCH(ChoixRationOvins&amp;$DN197,Règles_ovins[Ration]&amp;Règles_ovins[Aliment],0)),0),0)*IF(ChoixOvinsPréHiver=OUI,SUM(TotalOvins_3_6moisRacesLaitières)*NbreJoursNourrirOvins,TotalAgnelle_3_6_mois*NbreJoursNourrirOvins))</f>
        <v>0</v>
      </c>
      <c r="DR197" s="351">
        <f t="array" ref="DR197">IF(ChoixRationComplèteOvins=OUI,0,IFERROR(IF(OR(AND(INDEX(Règles_ovins[Specificite],MATCH(ChoixRationOvins&amp;$DN197,Règles_ovins[Ration]&amp;Règles_ovins[Aliment],0))="s1",IF($DN197=Spécificité1Ovins,1)),
AND(INDEX(Règles_ovins[Specificite],MATCH(ChoixRationOvins&amp;$DN197,Règles_ovins[Ration]&amp;Règles_ovins[Aliment],0))="s2",IF($DN197=Spécificité2Ovins,1)),
INDEX(Règles_ovins[Specificite],MATCH(ChoixRationOvins&amp;$DN197,Règles_ovins[Ration]&amp;Règles_ovins[Aliment],0))="c"),
INDEX(Règles_ovins[Valeur 0-3],MATCH(ChoixRationOvins&amp;$DN197,Règles_ovins[Ration]&amp;Règles_ovins[Aliment],0)),0),0)*IF(ChoixOvinsPréHiver=OUI,SUM(TotalOvins_3_6moisRacesLaitières)*NbreJoursNourrirOvins,TotalAgnelle_0_3_mois*NbreJoursNourrirOvins))</f>
        <v>0</v>
      </c>
      <c r="DS197" s="441">
        <f t="shared" si="60"/>
        <v>0</v>
      </c>
      <c r="EU197" s="443" t="s">
        <v>783</v>
      </c>
      <c r="EV197" s="444"/>
      <c r="EW197" s="445"/>
      <c r="FD197" s="455" t="s">
        <v>910</v>
      </c>
      <c r="FE197" s="456" t="s">
        <v>1192</v>
      </c>
      <c r="FF197" s="456" t="s">
        <v>1193</v>
      </c>
      <c r="FG197" s="456" t="s">
        <v>1194</v>
      </c>
      <c r="FI197" s="276"/>
      <c r="FN197" s="457" t="str">
        <f>FN53</f>
        <v>Avoine</v>
      </c>
      <c r="FO197" s="458">
        <f t="array" ref="FO197">SUM((IF(QualitéAlimentsPoulainMâlePoney=BONNE,VLOOKUP("Avoine",AlimentsRationChevauxMâlesPoney,5,FALSE),0)+(IF(QualitéAlimentsPoulainFemellePoney=BONNE,VLOOKUP("Avoine",AlimentsRationChevauxFemellesPoney,5,FALSE),0)+(IF(QualitéAlimentsJeuneEtalon_12_24_moisPoney=BONNE,VLOOKUP("Avoine",AlimentsRationChevauxMâlesPoney,4,FALSE),0)+(IF(QualitéAlimentsJeuneJument_12_24_moisPoney=BONNE,VLOOKUP("Avoine",AlimentsRationChevauxFemellesPoney,4,FALSE),0)+(IF(QualitéAlimentsJeuneEtalon_24_36_moisPoney=BONNE,VLOOKUP("Avoine",AlimentsRationChevauxMâlesPoney,3,FALSE),0)+(IF(QualitéAlimentsJeuneJument_24_36_moisPoney=BONNE,VLOOKUP("Avoine",AlimentsRationChevauxFemellesPoney,3,FALSE),0)+(IF(QualitéAlimentsEtalonPoney=BONNE,VLOOKUP("Avoine",AlimentsRationChevauxMâlesPoney,2,FALSE),0)+(IF(QualitéAlimentsJumentPoney=BONNE,VLOOKUP("Avoine",AlimentsRationChevauxFemellesPoney,2,FALSE),0))))))))))</f>
        <v>0</v>
      </c>
      <c r="FP197" s="458">
        <f t="array" ref="FP197">SUM((IF(QualitéAlimentsPoulainMâlePoney=MOYENNE,VLOOKUP("Avoine",AlimentsRationChevauxMâlesPoney,5,FALSE),0)+(IF(QualitéAlimentsPoulainFemellePoney=MOYENNE,VLOOKUP("Avoine",AlimentsRationChevauxFemellesPoney,5,FALSE),0)+(IF(QualitéAlimentsJeuneEtalon_12_24_moisPoney=MOYENNE,VLOOKUP("Avoine",AlimentsRationChevauxMâlesPoney,4,FALSE),0)+(IF(QualitéAlimentsJeuneJument_12_24_moisPoney=MOYENNE,VLOOKUP("Avoine",AlimentsRationChevauxFemellesPoney,4,FALSE),0)+(IF(QualitéAlimentsJeuneEtalon_24_36_moisPoney=MOYENNE,VLOOKUP("Avoine",AlimentsRationChevauxMâlesPoney,3,FALSE),0)+(IF(QualitéAlimentsJeuneJument_24_36_moisPoney=MOYENNE,VLOOKUP("Avoine",AlimentsRationChevauxFemellesPoney,3,FALSE),0)+(IF(QualitéAlimentsEtalonPoney=MOYENNE,VLOOKUP("Avoine",AlimentsRationChevauxMâlesPoney,2,FALSE),0)+(IF(QualitéAlimentsJumentPoney=MOYENNE,VLOOKUP("Avoine",AlimentsRationChevauxFemellesPoney,2,FALSE),0))))))))))</f>
        <v>0</v>
      </c>
      <c r="FQ197" s="458">
        <f t="array" ref="FQ197">SUM((IF(QualitéAlimentsPoulainMâlePoney=MAUVAISE,VLOOKUP("Avoine",AlimentsRationChevauxMâlesPoney,5,FALSE),0)+(IF(QualitéAlimentsPoulainFemellePoney=MAUVAISE,VLOOKUP("Avoine",AlimentsRationChevauxFemellesPoney,5,FALSE),0)+(IF(QualitéAlimentsJeuneEtalon_12_24_moisPoney=MAUVAISE,VLOOKUP("Avoine",AlimentsRationChevauxMâlesPoney,4,FALSE),0)+(IF(QualitéAlimentsJeuneJument_12_24_moisPoney=MAUVAISE,VLOOKUP("Avoine",AlimentsRationChevauxFemellesPoney,4,FALSE),0)+(IF(QualitéAlimentsJeuneEtalon_24_36_moisPoney=MAUVAISE,VLOOKUP("Avoine",AlimentsRationChevauxMâlesPoney,3,FALSE),0)+(IF(QualitéAlimentsJeuneJument_24_36_moisPoney=MAUVAISE,VLOOKUP("Avoine",AlimentsRationChevauxFemellesPoney,3,FALSE),0)+(IF(QualitéAlimentsEtalonPoney=MAUVAISE,VLOOKUP("Avoine",AlimentsRationChevauxMâlesPoney,2,FALSE),0)+(IF(QualitéAlimentsJumentPoney=MAUVAISE,VLOOKUP("Avoine",AlimentsRationChevauxFemellesPoney,2,FALSE),0))))))))))</f>
        <v>0</v>
      </c>
      <c r="FR197" s="281"/>
      <c r="FW197" s="281"/>
      <c r="FX197" s="281"/>
      <c r="FY197" s="281"/>
      <c r="FZ197" s="281"/>
      <c r="GB197" s="281"/>
      <c r="GG197" s="276" t="s">
        <v>955</v>
      </c>
      <c r="GH197" s="276" t="s">
        <v>955</v>
      </c>
      <c r="GI197" s="276" t="s">
        <v>955</v>
      </c>
      <c r="GJ197" s="276" t="s">
        <v>955</v>
      </c>
      <c r="GK197" s="276" t="s">
        <v>955</v>
      </c>
      <c r="GL197" s="276" t="s">
        <v>955</v>
      </c>
      <c r="GM197" s="276" t="s">
        <v>955</v>
      </c>
      <c r="GN197" s="276" t="s">
        <v>955</v>
      </c>
      <c r="GO197" s="276" t="s">
        <v>955</v>
      </c>
      <c r="GP197" s="276" t="s">
        <v>955</v>
      </c>
      <c r="GQ197" s="276" t="s">
        <v>955</v>
      </c>
      <c r="GR197" s="276" t="s">
        <v>955</v>
      </c>
      <c r="GS197" s="276" t="s">
        <v>955</v>
      </c>
      <c r="GT197" s="276" t="s">
        <v>955</v>
      </c>
      <c r="GU197" s="276" t="s">
        <v>955</v>
      </c>
      <c r="GV197" s="276" t="s">
        <v>955</v>
      </c>
    </row>
    <row r="198" spans="1:204" ht="12.75" customHeight="1" x14ac:dyDescent="0.2">
      <c r="BB198" s="350" t="s">
        <v>904</v>
      </c>
      <c r="BC198" s="351">
        <f t="array" ref="BC198">IF(Ration_complète_bovins[somme]&gt;0,0,IFERROR(IF(OR(AND(INDEX(Règles_bovins[Specificite],MATCH(ChoixRationBovins&amp;$BB198,Règles_bovins[Ration]&amp;Règles_bovins[Aliment],0))="s1",IF($BB198=Spécificité1Bovins,1)),
AND(INDEX(Règles_bovins[Specificite],MATCH(ChoixRationBovins&amp;$BB198,Règles_bovins[Ration]&amp;Règles_bovins[Aliment],0))="s2",IF($BB198=Spécificité2Bovins,1)),
INDEX(Règles_bovins[Specificite],MATCH(ChoixRationBovins&amp;$BB198,Règles_bovins[Ration]&amp;Règles_bovins[Aliment],0))="c"),
INDEX(Règles_bovins[Valeur 36 et plus],MATCH(ChoixRationBovins&amp;$BB198,Règles_bovins[Ration]&amp;Règles_bovins[Aliment],0)),0),0)*IF(ChoixBovinsPréHiver=OUI,TotalTaureauxRacesLaitières,TotalTaureaux*NbreJoursNourrirBovins))</f>
        <v>0</v>
      </c>
      <c r="BD198" s="351">
        <f t="array" ref="BD198">IF(Ration_complète_bovins[somme]&gt;0,0,IFERROR(IF(OR(AND(INDEX(Règles_bovins[Specificite],MATCH(ChoixRationBovins&amp;$BB198,Règles_bovins[Ration]&amp;Règles_bovins[Aliment],0))="s1",IF($BB198=Spécificité1Bovins,1)),
AND(INDEX(Règles_bovins[Specificite],MATCH(ChoixRationBovins&amp;$BB198,Règles_bovins[Ration]&amp;Règles_bovins[Aliment],0))="s2",IF($BB198=Spécificité2Bovins,1)),
INDEX(Règles_bovins[Specificite],MATCH(ChoixRationBovins&amp;$BB198,Règles_bovins[Ration]&amp;Règles_bovins[Aliment],0))="c"),
INDEX(Règles_bovins[Valeur 24-36],MATCH(ChoixRationBovins&amp;$BB198,Règles_bovins[Ration]&amp;Règles_bovins[Aliment],0)),0),0)*IF(ChoixBovinsPréHiver=OUI,TotalTaurillon_24_36_RacesLaitières,TotalBovinsMâles_24_36mois*NbreJoursNourrirBovins))</f>
        <v>0</v>
      </c>
      <c r="BE198" s="351">
        <f t="array" ref="BE198">IF(Ration_complète_bovins[somme]&gt;0,0,IFERROR(IF(OR(AND(INDEX(Règles_bovins[Specificite],MATCH(ChoixRationBovins&amp;$BB198,Règles_bovins[Ration]&amp;Règles_bovins[Aliment],0))="s1",IF($BB198=Spécificité1Bovins,1)),
AND(INDEX(Règles_bovins[Specificite],MATCH(ChoixRationBovins&amp;$BB198,Règles_bovins[Ration]&amp;Règles_bovins[Aliment],0))="s2",IF($BB198=Spécificité2Bovins,1)),
INDEX(Règles_bovins[Specificite],MATCH(ChoixRationBovins&amp;$BB198,Règles_bovins[Ration]&amp;Règles_bovins[Aliment],0))="c"),
INDEX(Règles_bovins[Valeur 18-24],MATCH(ChoixRationBovins&amp;$BB198,Règles_bovins[Ration]&amp;Règles_bovins[Aliment],0)),0),0)*IF(ChoixBovinsPréHiver=OUI,TotalTaurillon_18_24_RacesLaitières,TotalBovinsMâles_18_24mois*NbreJoursNourrirBovins))</f>
        <v>0</v>
      </c>
      <c r="BF198" s="351">
        <f t="array" ref="BF198">IF(Ration_complète_bovins[somme]&gt;0,0,IFERROR(IF(OR(AND(INDEX(Règles_bovins[Specificite],MATCH(ChoixRationBovins&amp;$BB198,Règles_bovins[Ration]&amp;Règles_bovins[Aliment],0))="s1",IF($BB198=Spécificité1Bovins,1)),
AND(INDEX(Règles_bovins[Specificite],MATCH(ChoixRationBovins&amp;$BB198,Règles_bovins[Ration]&amp;Règles_bovins[Aliment],0))="s2",IF($BB198=Spécificité2Bovins,1)),
INDEX(Règles_bovins[Specificite],MATCH(ChoixRationBovins&amp;$BB198,Règles_bovins[Ration]&amp;Règles_bovins[Aliment],0))="c"),
INDEX(Règles_bovins[Valeur 12-18],MATCH(ChoixRationBovins&amp;$BB198,Règles_bovins[Ration]&amp;Règles_bovins[Aliment],0)),0),0)*IF(ChoixBovinsPréHiver=OUI,animaux!D18,TotalBovinsMâles_12_18mois*NbreJoursNourrirBovins))</f>
        <v>0</v>
      </c>
      <c r="BG198" s="351">
        <f t="array" ref="BG198">IF(Ration_complète_bovins[somme]&gt;0,0,IFERROR(IF(OR(AND(INDEX(Règles_bovins[Specificite],MATCH(ChoixRationBovins&amp;$BB198,Règles_bovins[Ration]&amp;Règles_bovins[Aliment],0))="s1",IF($BB198=Spécificité1Bovins,1)),
AND(INDEX(Règles_bovins[Specificite],MATCH(ChoixRationBovins&amp;$BB198,Règles_bovins[Ration]&amp;Règles_bovins[Aliment],0))="s2",IF($BB198=Spécificité2Bovins,1)),
INDEX(Règles_bovins[Specificite],MATCH(ChoixRationBovins&amp;$BB198,Règles_bovins[Ration]&amp;Règles_bovins[Aliment],0))="c"),
INDEX(Règles_bovins[Valeur 6-12],MATCH(ChoixRationBovins&amp;$BB198,Règles_bovins[Ration]&amp;Règles_bovins[Aliment],0)),0),0)*IF(ChoixBovinsPréHiver=OUI,TotalVeauMâle_6_12_RacesLaitières,TotalBovinsMâles_6_12mois*NbreJoursNourrirBovins))</f>
        <v>0</v>
      </c>
      <c r="BH198" s="351">
        <f t="array" ref="BH198">IF(Ration_complète_bovins[somme]&gt;0,0,IFERROR(IF(OR(AND(INDEX(Règles_bovins[Specificite],MATCH(ChoixRationBovins&amp;$BB198,Règles_bovins[Ration]&amp;Règles_bovins[Aliment],0))="s1",IF($BB198=Spécificité1Bovins,1)),
AND(INDEX(Règles_bovins[Specificite],MATCH(ChoixRationBovins&amp;$BB198,Règles_bovins[Ration]&amp;Règles_bovins[Aliment],0))="s2",IF($BB198=Spécificité2Bovins,1)),
INDEX(Règles_bovins[Specificite],MATCH(ChoixRationBovins&amp;$BB198,Règles_bovins[Ration]&amp;Règles_bovins[Aliment],0))="c"),
INDEX(Règles_bovins[Valeur 3-6],MATCH(ChoixRationBovins&amp;$BB198,Règles_bovins[Ration]&amp;Règles_bovins[Aliment],0)),0),0)*IF(ChoixBovinsPréHiver=OUI,TotalVeauMâle_3_6_RacesLaitières,TotalBovinsMâles_3_6mois*NbreJoursNourrirBovins))</f>
        <v>0</v>
      </c>
      <c r="BI198" s="351">
        <f t="array" ref="BI198">IF(Ration_complète_bovins[somme]&gt;0,0,IFERROR(IF(OR(AND(INDEX(Règles_bovins[Specificite],MATCH(ChoixRationBovins&amp;$BB198,Règles_bovins[Ration]&amp;Règles_bovins[Aliment],0))="s1",IF($BB198=Spécificité1Bovins,1)),
AND(INDEX(Règles_bovins[Specificite],MATCH(ChoixRationBovins&amp;$BB198,Règles_bovins[Ration]&amp;Règles_bovins[Aliment],0))="s2",IF($BB198=Spécificité2Bovins,1)),
INDEX(Règles_bovins[Specificite],MATCH(ChoixRationBovins&amp;$BB198,Règles_bovins[Ration]&amp;Règles_bovins[Aliment],0))="c"),
INDEX(Règles_bovins[Valeur 0-3],MATCH(ChoixRationBovins&amp;$BB198,Règles_bovins[Ration]&amp;Règles_bovins[Aliment],0)),0),0)*IF(ChoixBovinsPréHiver=OUI,TotalVeauMâle_0_3_RacesLaitières,TotalBovinsMâles_0_3mois*NbreJoursNourrirBovins))</f>
        <v>0</v>
      </c>
      <c r="BJ198" s="352">
        <f t="shared" si="62"/>
        <v>0</v>
      </c>
      <c r="BK198" s="276"/>
      <c r="BL198" s="276"/>
      <c r="BX198" s="350" t="str">
        <f t="shared" si="63"/>
        <v>Blé</v>
      </c>
      <c r="BY198" s="351">
        <f t="array" ref="BY198">SUM((IF(QualitéAlimentsChevreau_0_3_mois=BONNE,VLOOKUP("Blé",AlimentsRationCaprinsMâles,5,FALSE),0)+(IF(QualitéAlimentsChevrette_0_3_mois=BONNE,VLOOKUP("Blé",AlimentsRationCaprinsFemelles,5,FALSE),0)+(IF(QualitéAlimentsChevreau_3_6_mois=BONNE,VLOOKUP("Blé",AlimentsRationCaprinsMâles,4,FALSE),0)+(IF(QualitéAlimentsChevrette_3_6_mois=BONNE,VLOOKUP("Blé",AlimentsRationCaprinsFemelles,4,FALSE),0)+(IF(QualitéAlimentsJeuneBouc=BONNE,VLOOKUP("Blé",AlimentsRationCaprinsMâles,3,FALSE),0)+(IF(QualitéAlimentsJeuneChèvre=BONNE,VLOOKUP("Blé",AlimentsRationCaprinsFemelles,3,FALSE),0)+(IF(QualitéAlimentsBouc=BONNE,VLOOKUP("Blé",AlimentsRationCaprinsMâles,2,FALSE),0)+(IF(QualitéAlimentsChèvre=BONNE,VLOOKUP("Blé",AlimentsRationCaprinsFemelles,2,FALSE),0))))))))))</f>
        <v>0</v>
      </c>
      <c r="BZ198" s="351">
        <f t="array" ref="BZ198">SUM((IF(QualitéAlimentsChevreau_0_3_mois=MOYENNE,VLOOKUP("Blé",AlimentsRationCaprinsMâles,5,FALSE),0)+(IF(QualitéAlimentsChevrette_0_3_mois=MOYENNE,VLOOKUP("Blé",AlimentsRationCaprinsFemelles,5,FALSE),0)+(IF(QualitéAlimentsChevreau_3_6_mois=MOYENNE,VLOOKUP("Blé",AlimentsRationCaprinsMâles,4,FALSE),0)+(IF(QualitéAlimentsChevrette_3_6_mois=MOYENNE,VLOOKUP("Blé",AlimentsRationCaprinsFemelles,4,FALSE),0)+(IF(QualitéAlimentsJeuneBouc=MOYENNE,VLOOKUP("Blé",AlimentsRationCaprinsMâles,3,FALSE),0)+(IF(QualitéAlimentsJeuneChèvre=MOYENNE,VLOOKUP("Blé",AlimentsRationCaprinsFemelles,3,FALSE),0)+(IF(QualitéAlimentsBouc=MOYENNE,VLOOKUP("Blé",AlimentsRationCaprinsMâles,2,FALSE),0)+(IF(QualitéAlimentsChèvre=MOYENNE,VLOOKUP("Blé",AlimentsRationCaprinsFemelles,2,FALSE),0))))))))))</f>
        <v>0</v>
      </c>
      <c r="CA198" s="351">
        <f t="array" ref="CA198">SUM((IF(QualitéAlimentsChevreau_0_3_mois=MAUVAISE,VLOOKUP("Blé",AlimentsRationCaprinsMâles,5,FALSE),0)+(IF(QualitéAlimentsChevrette_0_3_mois=MAUVAISE,VLOOKUP("Blé",AlimentsRationCaprinsFemelles,5,FALSE),0)+(IF(QualitéAlimentsChevreau_3_6_mois=MAUVAISE,VLOOKUP("Blé",AlimentsRationCaprinsMâles,4,FALSE),0)+(IF(QualitéAlimentsChevrette_3_6_mois=MAUVAISE,VLOOKUP("Blé",AlimentsRationCaprinsFemelles,4,FALSE),0)+(IF(QualitéAlimentsJeuneBouc=MAUVAISE,VLOOKUP("Blé",AlimentsRationCaprinsMâles,3,FALSE),0)+(IF(QualitéAlimentsJeuneChèvre=MAUVAISE,VLOOKUP("Blé",AlimentsRationCaprinsFemelles,3,FALSE),0)+(IF(QualitéAlimentsBouc=MAUVAISE,VLOOKUP("Blé",AlimentsRationCaprinsMâles,2,FALSE),0)+(IF(QualitéAlimentsChèvre=MAUVAISE,VLOOKUP("Blé",AlimentsRationCaprinsFemelles,2,FALSE),0))))))))))</f>
        <v>0</v>
      </c>
      <c r="CB198" s="297"/>
      <c r="CC198" s="297"/>
      <c r="CD198" s="298"/>
      <c r="CE198" s="298"/>
      <c r="CF198" s="298"/>
      <c r="CG198" s="298"/>
      <c r="CH198" s="298"/>
      <c r="CI198" s="277"/>
      <c r="CK198" s="277"/>
      <c r="CL198" s="277"/>
      <c r="CM198" s="277"/>
      <c r="CN198" s="277"/>
      <c r="CO198" s="277"/>
      <c r="CP198" s="277"/>
      <c r="DN198" s="350" t="str">
        <f t="shared" si="61"/>
        <v>Colza</v>
      </c>
      <c r="DO198" s="351">
        <f t="array" ref="DO198">IF(ChoixRationComplèteOvins=OUI,0,IFERROR(IF(OR(AND(INDEX(Règles_ovins[Specificite],MATCH(ChoixRationOvins&amp;$DN198,Règles_ovins[Ration]&amp;Règles_ovins[Aliment],0))="s1",IF($DN198=Spécificité1Ovins,1)),
AND(INDEX(Règles_ovins[Specificite],MATCH(ChoixRationOvins&amp;$DN198,Règles_ovins[Ration]&amp;Règles_ovins[Aliment],0))="s2",IF($DN198=Spécificité2Ovins,1)),
INDEX(Règles_ovins[Specificite],MATCH(ChoixRationOvins&amp;$DN198,Règles_ovins[Ration]&amp;Règles_ovins[Aliment],0))="c"),
INDEX(Règles_ovins[Valeur 12 et plus],MATCH(ChoixRationOvins&amp;$DN198,Règles_ovins[Ration]&amp;Règles_ovins[Aliment],0)),0),0)*IF(ChoixOvinsPréHiver=OUI,SUM(TotalOvinsAdultesRacesLaitières)*NbreJoursNourrirOvins,TotalBrebis*NbreJoursNourrirOvins))</f>
        <v>0</v>
      </c>
      <c r="DP198" s="351">
        <f t="array" ref="DP198">IF(ChoixRationComplèteOvins=OUI,0,IFERROR(IF(OR(AND(INDEX(Règles_ovins[Specificite],MATCH(ChoixRationOvins&amp;$DN198,Règles_ovins[Ration]&amp;Règles_ovins[Aliment],0))="s1",IF($DN198=Spécificité1Ovins,1)),
AND(INDEX(Règles_ovins[Specificite],MATCH(ChoixRationOvins&amp;$DN198,Règles_ovins[Ration]&amp;Règles_ovins[Aliment],0))="s2",IF($DN198=Spécificité2Ovins,1)),
INDEX(Règles_ovins[Specificite],MATCH(ChoixRationOvins&amp;$DN198,Règles_ovins[Ration]&amp;Règles_ovins[Aliment],0))="c"),
INDEX(Règles_ovins[Valeur 6-12],MATCH(ChoixRationOvins&amp;$DN198,Règles_ovins[Ration]&amp;Règles_ovins[Aliment],0)),0),0)*IF(ChoixOvinsPréHiver=OUI,SUM(TotalJeunesOvinsRacesLaitières)*NbreJoursNourrirOvins,TotalJeune_brebis_6_12_mois*NbreJoursNourrirOvins))</f>
        <v>0</v>
      </c>
      <c r="DQ198" s="351">
        <f t="array" ref="DQ198">IF(ChoixRationComplèteOvins=OUI,0,IFERROR(IF(OR(AND(INDEX(Règles_ovins[Specificite],MATCH(ChoixRationOvins&amp;$DN198,Règles_ovins[Ration]&amp;Règles_ovins[Aliment],0))="s1",IF($DN198=Spécificité1Ovins,1)),
AND(INDEX(Règles_ovins[Specificite],MATCH(ChoixRationOvins&amp;$DN198,Règles_ovins[Ration]&amp;Règles_ovins[Aliment],0))="s2",IF($DN198=Spécificité2Ovins,1)),
INDEX(Règles_ovins[Specificite],MATCH(ChoixRationOvins&amp;$DN198,Règles_ovins[Ration]&amp;Règles_ovins[Aliment],0))="c"),
INDEX(Règles_ovins[Valeur 3-6],MATCH(ChoixRationOvins&amp;$DN198,Règles_ovins[Ration]&amp;Règles_ovins[Aliment],0)),0),0)*IF(ChoixOvinsPréHiver=OUI,SUM(TotalOvins_3_6moisRacesLaitières)*NbreJoursNourrirOvins,TotalAgnelle_3_6_mois*NbreJoursNourrirOvins))</f>
        <v>0</v>
      </c>
      <c r="DR198" s="351">
        <f t="array" ref="DR198">IF(ChoixRationComplèteOvins=OUI,0,IFERROR(IF(OR(AND(INDEX(Règles_ovins[Specificite],MATCH(ChoixRationOvins&amp;$DN198,Règles_ovins[Ration]&amp;Règles_ovins[Aliment],0))="s1",IF($DN198=Spécificité1Ovins,1)),
AND(INDEX(Règles_ovins[Specificite],MATCH(ChoixRationOvins&amp;$DN198,Règles_ovins[Ration]&amp;Règles_ovins[Aliment],0))="s2",IF($DN198=Spécificité2Ovins,1)),
INDEX(Règles_ovins[Specificite],MATCH(ChoixRationOvins&amp;$DN198,Règles_ovins[Ration]&amp;Règles_ovins[Aliment],0))="c"),
INDEX(Règles_ovins[Valeur 0-3],MATCH(ChoixRationOvins&amp;$DN198,Règles_ovins[Ration]&amp;Règles_ovins[Aliment],0)),0),0)*IF(ChoixOvinsPréHiver=OUI,SUM(TotalOvins_3_6moisRacesLaitières)*NbreJoursNourrirOvins,TotalAgnelle_0_3_mois*NbreJoursNourrirOvins))</f>
        <v>0</v>
      </c>
      <c r="DS198" s="441">
        <f t="shared" si="60"/>
        <v>0</v>
      </c>
      <c r="EU198" s="443" t="s">
        <v>784</v>
      </c>
      <c r="EV198" s="444">
        <f>EY34*SUM(TotalChevauxSelleAdultes)*SUM(AE76:AE100)</f>
        <v>0</v>
      </c>
      <c r="EW198" s="445">
        <v>0</v>
      </c>
      <c r="FD198" s="457" t="str">
        <f>FD54</f>
        <v>Avoine</v>
      </c>
      <c r="FE198" s="458">
        <f t="array" ref="FE198">SUM((IF(QualitéAlimentsPoulainMâleTrait=BONNE,VLOOKUP("Avoine",AlimentsRationEcurieChevauxMâlesTrait,5,FALSE),0)+(IF(QualitéAlimentsPoulainFemelleTrait=BONNE,VLOOKUP("Avoine",AlimentsRationEcurieChevauxFemellesTrait,5,FALSE),0)+(IF(QualitéAlimentsJeuneEtalon_12_24_moisTrait=BONNE,VLOOKUP("Avoine",AlimentsRationEcurieChevauxMâlesTrait,4,FALSE),0)+(IF(QualitéAlimentsJeuneJument_12_24_moisTrait=BONNE,VLOOKUP("Avoine",AlimentsRationEcurieChevauxFemellesTrait,4,FALSE),0)+(IF(QualitéAlimentsJeuneEtalon_24_36_moisTrait=BONNE,VLOOKUP("Avoine",AlimentsRationEcurieChevauxMâlesTrait,3,FALSE),0)+(IF(QualitéAlimentsJeuneJument_24_36_moisTrait=BONNE,VLOOKUP("Avoine",AlimentsRationEcurieChevauxFemellesTrait,3,FALSE),0)+(IF(QualitéAlimentsEtalonTrait=BONNE,VLOOKUP("Avoine",AlimentsRationEcurieChevauxMâlesTrait,2,FALSE),0)+(IF(QualitéAlimentsJumentTrait=BONNE,VLOOKUP("Avoine",AlimentsRationEcurieChevauxFemellesTrait,2,FALSE),0))))))))))</f>
        <v>0</v>
      </c>
      <c r="FF198" s="458">
        <f t="array" ref="FF198">SUM((IF(QualitéAlimentsPoulainMâleTrait=MOYENNE,VLOOKUP("Avoine",AlimentsRationEcurieChevauxMâlesTrait,5,FALSE),0)+(IF(QualitéAlimentsPoulainFemelleTrait=MOYENNE,VLOOKUP("Avoine",AlimentsRationEcurieChevauxFemellesTrait,5,FALSE),0)+(IF(QualitéAlimentsJeuneEtalon_12_24_moisTrait=MOYENNE,VLOOKUP("Avoine",AlimentsRationEcurieChevauxMâlesTrait,4,FALSE),0)+(IF(QualitéAlimentsJeuneJument_12_24_moisTrait=MOYENNE,VLOOKUP("Avoine",AlimentsRationEcurieChevauxFemellesTrait,4,FALSE),0)+(IF(QualitéAlimentsJeuneEtalon_24_36_moisTrait=MOYENNE,VLOOKUP("Avoine",AlimentsRationEcurieChevauxMâlesTrait,3,FALSE),0)+(IF(QualitéAlimentsJeuneJument_24_36_moisTrait=MOYENNE,VLOOKUP("Avoine",AlimentsRationEcurieChevauxFemellesTrait,3,FALSE),0)+(IF(QualitéAlimentsEtalonTrait=MOYENNE,VLOOKUP("Avoine",AlimentsRationEcurieChevauxMâlesTrait,2,FALSE),0)+(IF(QualitéAlimentsJumentTrait=MOYENNE,VLOOKUP("Avoine",AlimentsRationEcurieChevauxFemellesTrait,2,FALSE),0))))))))))</f>
        <v>0</v>
      </c>
      <c r="FG198" s="458">
        <f t="array" ref="FG198">SUM((IF(QualitéAlimentsPoulainMâleTrait=MAUVAISE,VLOOKUP("Avoine",AlimentsRationEcurieChevauxMâlesTrait,5,FALSE),0)+(IF(QualitéAlimentsPoulainFemelleTrait=MAUVAISE,VLOOKUP("Avoine",AlimentsRationEcurieChevauxFemellesTrait,5,FALSE),0)+(IF(QualitéAlimentsJeuneEtalon_12_24_moisTrait=MAUVAISE,VLOOKUP("Avoine",AlimentsRationEcurieChevauxMâlesTrait,4,FALSE),0)+(IF(QualitéAlimentsJeuneJument_12_24_moisTrait=MAUVAISE,VLOOKUP("Avoine",AlimentsRationEcurieChevauxFemellesTrait,4,FALSE),0)+(IF(QualitéAlimentsJeuneEtalon_24_36_moisTrait=MAUVAISE,VLOOKUP("Avoine",AlimentsRationEcurieChevauxMâlesTrait,3,FALSE),0)+(IF(QualitéAlimentsJeuneJument_24_36_moisTrait=MAUVAISE,VLOOKUP("Avoine",AlimentsRationEcurieChevauxFemellesTrait,3,FALSE),0)+(IF(QualitéAlimentsEtalonTrait=MAUVAISE,VLOOKUP("Avoine",AlimentsRationEcurieChevauxMâlesTrait,2,FALSE),0)+(IF(QualitéAlimentsJumentTrait=MAUVAISE,VLOOKUP("Avoine",AlimentsRationEcurieChevauxFemellesTrait,2,FALSE),0))))))))))</f>
        <v>0</v>
      </c>
      <c r="FI198" s="276"/>
      <c r="FN198" s="457" t="str">
        <f t="shared" ref="FN198:FN235" si="64">FN54</f>
        <v>Betterave</v>
      </c>
      <c r="FO198" s="458">
        <f t="array" ref="FO198">SUM((IF(QualitéAlimentsPoulainMâlePoney=BONNE,VLOOKUP("Betterave",AlimentsRationChevauxMâlesPoney,5,FALSE),0)+(IF(QualitéAlimentsPoulainFemellePoney=BONNE,VLOOKUP("Betterave",AlimentsRationChevauxFemellesPoney,5,FALSE),0)+(IF(QualitéAlimentsJeuneEtalon_12_24_moisPoney=BONNE,VLOOKUP("Betterave",AlimentsRationChevauxMâlesPoney,4,FALSE),0)+(IF(QualitéAlimentsJeuneJument_12_24_moisPoney=BONNE,VLOOKUP("Betterave",AlimentsRationChevauxFemellesPoney,4,FALSE),0)+(IF(QualitéAlimentsJeuneEtalon_24_36_moisPoney=BONNE,VLOOKUP("Betterave",AlimentsRationChevauxMâlesPoney,3,FALSE),0)+(IF(QualitéAlimentsJeuneJument_24_36_moisPoney=BONNE,VLOOKUP("Betterave",AlimentsRationChevauxFemellesPoney,3,FALSE),0)+(IF(QualitéAlimentsEtalonPoney=BONNE,VLOOKUP("Betterave",AlimentsRationChevauxMâlesPoney,2,FALSE),0)+(IF(QualitéAlimentsJumentPoney=BONNE,VLOOKUP("Betterave",AlimentsRationChevauxFemellesPoney,2,FALSE),0))))))))))</f>
        <v>0</v>
      </c>
      <c r="FP198" s="458">
        <f t="array" ref="FP198">SUM((IF(QualitéAlimentsPoulainMâlePoney=MOYENNE,VLOOKUP("Betterave",AlimentsRationChevauxMâlesPoney,5,FALSE),0)+(IF(QualitéAlimentsPoulainFemellePoney=MOYENNE,VLOOKUP("Betterave",AlimentsRationChevauxFemellesPoney,5,FALSE),0)+(IF(QualitéAlimentsJeuneEtalon_12_24_moisPoney=MOYENNE,VLOOKUP("Betterave",AlimentsRationChevauxMâlesPoney,4,FALSE),0)+(IF(QualitéAlimentsJeuneJument_12_24_moisPoney=MOYENNE,VLOOKUP("Betterave",AlimentsRationChevauxFemellesPoney,4,FALSE),0)+(IF(QualitéAlimentsJeuneEtalon_24_36_moisPoney=MOYENNE,VLOOKUP("Betterave",AlimentsRationChevauxMâlesPoney,3,FALSE),0)+(IF(QualitéAlimentsJeuneJument_24_36_moisPoney=MOYENNE,VLOOKUP("Betterave",AlimentsRationChevauxFemellesPoney,3,FALSE),0)+(IF(QualitéAlimentsEtalonPoney=MOYENNE,VLOOKUP("Betterave",AlimentsRationChevauxMâlesPoney,2,FALSE),0)+(IF(QualitéAlimentsJumentPoney=MOYENNE,VLOOKUP("Betterave",AlimentsRationChevauxFemellesPoney,2,FALSE),0))))))))))</f>
        <v>0</v>
      </c>
      <c r="FQ198" s="458">
        <f t="array" ref="FQ198">SUM((IF(QualitéAlimentsPoulainMâlePoney=MAUVAISE,VLOOKUP("Betterave",AlimentsRationChevauxMâlesPoney,5,FALSE),0)+(IF(QualitéAlimentsPoulainFemellePoney=MAUVAISE,VLOOKUP("Betterave",AlimentsRationChevauxFemellesPoney,5,FALSE),0)+(IF(QualitéAlimentsJeuneEtalon_12_24_moisPoney=MAUVAISE,VLOOKUP("Betterave",AlimentsRationChevauxMâlesPoney,4,FALSE),0)+(IF(QualitéAlimentsJeuneJument_12_24_moisPoney=MAUVAISE,VLOOKUP("Betterave",AlimentsRationChevauxFemellesPoney,4,FALSE),0)+(IF(QualitéAlimentsJeuneEtalon_24_36_moisPoney=MAUVAISE,VLOOKUP("Betterave",AlimentsRationChevauxMâlesPoney,3,FALSE),0)+(IF(QualitéAlimentsJeuneJument_24_36_moisPoney=MAUVAISE,VLOOKUP("Betterave",AlimentsRationChevauxFemellesPoney,3,FALSE),0)+(IF(QualitéAlimentsEtalonPoney=MAUVAISE,VLOOKUP("Betterave",AlimentsRationChevauxMâlesPoney,2,FALSE),0)+(IF(QualitéAlimentsJumentPoney=MAUVAISE,VLOOKUP("Betterave",AlimentsRationChevauxFemellesPoney,2,FALSE),0))))))))))</f>
        <v>0</v>
      </c>
      <c r="FR198" s="281"/>
      <c r="FW198" s="281"/>
      <c r="FX198" s="281"/>
      <c r="FY198" s="281"/>
      <c r="FZ198" s="281"/>
      <c r="GB198" s="281"/>
      <c r="GG198" s="276" t="s">
        <v>955</v>
      </c>
      <c r="GH198" s="276" t="s">
        <v>955</v>
      </c>
      <c r="GI198" s="276" t="s">
        <v>955</v>
      </c>
      <c r="GJ198" s="276" t="s">
        <v>955</v>
      </c>
      <c r="GK198" s="276" t="s">
        <v>955</v>
      </c>
      <c r="GL198" s="276" t="s">
        <v>955</v>
      </c>
      <c r="GM198" s="276" t="s">
        <v>955</v>
      </c>
      <c r="GN198" s="276" t="s">
        <v>955</v>
      </c>
      <c r="GO198" s="276" t="s">
        <v>955</v>
      </c>
      <c r="GP198" s="276" t="s">
        <v>955</v>
      </c>
      <c r="GQ198" s="276" t="s">
        <v>955</v>
      </c>
      <c r="GR198" s="276" t="s">
        <v>955</v>
      </c>
      <c r="GS198" s="276" t="s">
        <v>955</v>
      </c>
      <c r="GT198" s="276" t="s">
        <v>955</v>
      </c>
      <c r="GU198" s="276" t="s">
        <v>955</v>
      </c>
      <c r="GV198" s="276" t="s">
        <v>955</v>
      </c>
    </row>
    <row r="199" spans="1:204" ht="12.75" customHeight="1" x14ac:dyDescent="0.2">
      <c r="BB199" s="350" t="s">
        <v>500</v>
      </c>
      <c r="BC199" s="351">
        <f t="array" ref="BC199">IF(Ration_complète_bovins[somme]&gt;0,0,IFERROR(IF(OR(AND(INDEX(Règles_bovins[Specificite],MATCH(ChoixRationBovins&amp;$BB199,Règles_bovins[Ration]&amp;Règles_bovins[Aliment],0))="s1",IF($BB199=Spécificité1Bovins,1)),
AND(INDEX(Règles_bovins[Specificite],MATCH(ChoixRationBovins&amp;$BB199,Règles_bovins[Ration]&amp;Règles_bovins[Aliment],0))="s2",IF($BB199=Spécificité2Bovins,1)),
INDEX(Règles_bovins[Specificite],MATCH(ChoixRationBovins&amp;$BB199,Règles_bovins[Ration]&amp;Règles_bovins[Aliment],0))="c"),
INDEX(Règles_bovins[Valeur 36 et plus],MATCH(ChoixRationBovins&amp;$BB199,Règles_bovins[Ration]&amp;Règles_bovins[Aliment],0)),0),0)*IF(ChoixBovinsPréHiver=OUI,TotalTaureauxRacesLaitières,TotalTaureaux*NbreJoursNourrirBovins))</f>
        <v>0</v>
      </c>
      <c r="BD199" s="351">
        <f t="array" ref="BD199">IF(Ration_complète_bovins[somme]&gt;0,0,IFERROR(IF(OR(AND(INDEX(Règles_bovins[Specificite],MATCH(ChoixRationBovins&amp;$BB199,Règles_bovins[Ration]&amp;Règles_bovins[Aliment],0))="s1",IF($BB199=Spécificité1Bovins,1)),
AND(INDEX(Règles_bovins[Specificite],MATCH(ChoixRationBovins&amp;$BB199,Règles_bovins[Ration]&amp;Règles_bovins[Aliment],0))="s2",IF($BB199=Spécificité2Bovins,1)),
INDEX(Règles_bovins[Specificite],MATCH(ChoixRationBovins&amp;$BB199,Règles_bovins[Ration]&amp;Règles_bovins[Aliment],0))="c"),
INDEX(Règles_bovins[Valeur 24-36],MATCH(ChoixRationBovins&amp;$BB199,Règles_bovins[Ration]&amp;Règles_bovins[Aliment],0)),0),0)*IF(ChoixBovinsPréHiver=OUI,TotalTaurillon_24_36_RacesLaitières,TotalBovinsMâles_24_36mois*NbreJoursNourrirBovins))</f>
        <v>0</v>
      </c>
      <c r="BE199" s="351">
        <f t="array" ref="BE199">IF(Ration_complète_bovins[somme]&gt;0,0,IFERROR(IF(OR(AND(INDEX(Règles_bovins[Specificite],MATCH(ChoixRationBovins&amp;$BB199,Règles_bovins[Ration]&amp;Règles_bovins[Aliment],0))="s1",IF($BB199=Spécificité1Bovins,1)),
AND(INDEX(Règles_bovins[Specificite],MATCH(ChoixRationBovins&amp;$BB199,Règles_bovins[Ration]&amp;Règles_bovins[Aliment],0))="s2",IF($BB199=Spécificité2Bovins,1)),
INDEX(Règles_bovins[Specificite],MATCH(ChoixRationBovins&amp;$BB199,Règles_bovins[Ration]&amp;Règles_bovins[Aliment],0))="c"),
INDEX(Règles_bovins[Valeur 18-24],MATCH(ChoixRationBovins&amp;$BB199,Règles_bovins[Ration]&amp;Règles_bovins[Aliment],0)),0),0)*IF(ChoixBovinsPréHiver=OUI,TotalTaurillon_18_24_RacesLaitières,TotalBovinsMâles_18_24mois*NbreJoursNourrirBovins))</f>
        <v>0</v>
      </c>
      <c r="BF199" s="351">
        <f t="array" ref="BF199">IF(Ration_complète_bovins[somme]&gt;0,0,IFERROR(IF(OR(AND(INDEX(Règles_bovins[Specificite],MATCH(ChoixRationBovins&amp;$BB199,Règles_bovins[Ration]&amp;Règles_bovins[Aliment],0))="s1",IF($BB199=Spécificité1Bovins,1)),
AND(INDEX(Règles_bovins[Specificite],MATCH(ChoixRationBovins&amp;$BB199,Règles_bovins[Ration]&amp;Règles_bovins[Aliment],0))="s2",IF($BB199=Spécificité2Bovins,1)),
INDEX(Règles_bovins[Specificite],MATCH(ChoixRationBovins&amp;$BB199,Règles_bovins[Ration]&amp;Règles_bovins[Aliment],0))="c"),
INDEX(Règles_bovins[Valeur 12-18],MATCH(ChoixRationBovins&amp;$BB199,Règles_bovins[Ration]&amp;Règles_bovins[Aliment],0)),0),0)*IF(ChoixBovinsPréHiver=OUI,animaux!D19,TotalBovinsMâles_12_18mois*NbreJoursNourrirBovins))</f>
        <v>0</v>
      </c>
      <c r="BG199" s="351">
        <f t="array" ref="BG199">IF(Ration_complète_bovins[somme]&gt;0,0,IFERROR(IF(OR(AND(INDEX(Règles_bovins[Specificite],MATCH(ChoixRationBovins&amp;$BB199,Règles_bovins[Ration]&amp;Règles_bovins[Aliment],0))="s1",IF($BB199=Spécificité1Bovins,1)),
AND(INDEX(Règles_bovins[Specificite],MATCH(ChoixRationBovins&amp;$BB199,Règles_bovins[Ration]&amp;Règles_bovins[Aliment],0))="s2",IF($BB199=Spécificité2Bovins,1)),
INDEX(Règles_bovins[Specificite],MATCH(ChoixRationBovins&amp;$BB199,Règles_bovins[Ration]&amp;Règles_bovins[Aliment],0))="c"),
INDEX(Règles_bovins[Valeur 6-12],MATCH(ChoixRationBovins&amp;$BB199,Règles_bovins[Ration]&amp;Règles_bovins[Aliment],0)),0),0)*IF(ChoixBovinsPréHiver=OUI,TotalVeauMâle_6_12_RacesLaitières,TotalBovinsMâles_6_12mois*NbreJoursNourrirBovins))</f>
        <v>0</v>
      </c>
      <c r="BH199" s="351">
        <f t="array" ref="BH199">IF(Ration_complète_bovins[somme]&gt;0,0,IFERROR(IF(OR(AND(INDEX(Règles_bovins[Specificite],MATCH(ChoixRationBovins&amp;$BB199,Règles_bovins[Ration]&amp;Règles_bovins[Aliment],0))="s1",IF($BB199=Spécificité1Bovins,1)),
AND(INDEX(Règles_bovins[Specificite],MATCH(ChoixRationBovins&amp;$BB199,Règles_bovins[Ration]&amp;Règles_bovins[Aliment],0))="s2",IF($BB199=Spécificité2Bovins,1)),
INDEX(Règles_bovins[Specificite],MATCH(ChoixRationBovins&amp;$BB199,Règles_bovins[Ration]&amp;Règles_bovins[Aliment],0))="c"),
INDEX(Règles_bovins[Valeur 3-6],MATCH(ChoixRationBovins&amp;$BB199,Règles_bovins[Ration]&amp;Règles_bovins[Aliment],0)),0),0)*IF(ChoixBovinsPréHiver=OUI,TotalVeauMâle_3_6_RacesLaitières,TotalBovinsMâles_3_6mois*NbreJoursNourrirBovins))</f>
        <v>0</v>
      </c>
      <c r="BI199" s="351">
        <f t="array" ref="BI199">IF(Ration_complète_bovins[somme]&gt;0,0,IFERROR(IF(OR(AND(INDEX(Règles_bovins[Specificite],MATCH(ChoixRationBovins&amp;$BB199,Règles_bovins[Ration]&amp;Règles_bovins[Aliment],0))="s1",IF($BB199=Spécificité1Bovins,1)),
AND(INDEX(Règles_bovins[Specificite],MATCH(ChoixRationBovins&amp;$BB199,Règles_bovins[Ration]&amp;Règles_bovins[Aliment],0))="s2",IF($BB199=Spécificité2Bovins,1)),
INDEX(Règles_bovins[Specificite],MATCH(ChoixRationBovins&amp;$BB199,Règles_bovins[Ration]&amp;Règles_bovins[Aliment],0))="c"),
INDEX(Règles_bovins[Valeur 0-3],MATCH(ChoixRationBovins&amp;$BB199,Règles_bovins[Ration]&amp;Règles_bovins[Aliment],0)),0),0)*IF(ChoixBovinsPréHiver=OUI,TotalVeauMâle_0_3_RacesLaitières,TotalBovinsMâles_0_3mois*NbreJoursNourrirBovins))</f>
        <v>0</v>
      </c>
      <c r="BJ199" s="352">
        <f t="shared" si="62"/>
        <v>0</v>
      </c>
      <c r="BK199" s="276"/>
      <c r="BL199" s="276"/>
      <c r="BX199" s="350" t="str">
        <f t="shared" si="63"/>
        <v>Bouchons luzerne</v>
      </c>
      <c r="BY199" s="351">
        <f t="array" ref="BY199">SUM((IF(QualitéAlimentsChevreau_0_3_mois=BONNE,VLOOKUP("Bouchons luzerne",AlimentsRationCaprinsMâles,5,FALSE),0)+(IF(QualitéAlimentsChevrette_0_3_mois=BONNE,VLOOKUP("Bouchons luzerne",AlimentsRationCaprinsFemelles,5,FALSE),0)+(IF(QualitéAlimentsChevreau_3_6_mois=BONNE,VLOOKUP("Bouchons luzerne",AlimentsRationCaprinsMâles,4,FALSE),0)+(IF(QualitéAlimentsChevrette_3_6_mois=BONNE,VLOOKUP("Bouchons luzerne",AlimentsRationCaprinsFemelles,4,FALSE),0)+(IF(QualitéAlimentsJeuneBouc=BONNE,VLOOKUP("Bouchons luzerne",AlimentsRationCaprinsMâles,3,FALSE),0)+(IF(QualitéAlimentsJeuneChèvre=BONNE,VLOOKUP("Bouchons luzerne",AlimentsRationCaprinsFemelles,3,FALSE),0)+(IF(QualitéAlimentsBouc=BONNE,VLOOKUP("Bouchons luzerne",AlimentsRationCaprinsMâles,2,FALSE),0)+(IF(QualitéAlimentsChèvre=BONNE,VLOOKUP("Bouchons luzerne",AlimentsRationCaprinsFemelles,2,FALSE),0))))))))))</f>
        <v>0</v>
      </c>
      <c r="BZ199" s="351">
        <f t="array" ref="BZ199">SUM((IF(QualitéAlimentsChevreau_0_3_mois=MOYENNE,VLOOKUP("Bouchons luzerne",AlimentsRationCaprinsMâles,5,FALSE),0)+(IF(QualitéAlimentsChevrette_0_3_mois=MOYENNE,VLOOKUP("Bouchons luzerne",AlimentsRationCaprinsFemelles,5,FALSE),0)+(IF(QualitéAlimentsChevreau_3_6_mois=MOYENNE,VLOOKUP("Bouchons luzerne",AlimentsRationCaprinsMâles,4,FALSE),0)+(IF(QualitéAlimentsChevrette_3_6_mois=MOYENNE,VLOOKUP("Bouchons luzerne",AlimentsRationCaprinsFemelles,4,FALSE),0)+(IF(QualitéAlimentsJeuneBouc=MOYENNE,VLOOKUP("Bouchons luzerne",AlimentsRationCaprinsMâles,3,FALSE),0)+(IF(QualitéAlimentsJeuneChèvre=MOYENNE,VLOOKUP("Bouchons luzerne",AlimentsRationCaprinsFemelles,3,FALSE),0)+(IF(QualitéAlimentsBouc=MOYENNE,VLOOKUP("Bouchons luzerne",AlimentsRationCaprinsMâles,2,FALSE),0)+(IF(QualitéAlimentsChèvre=MOYENNE,VLOOKUP("Bouchons luzerne",AlimentsRationCaprinsFemelles,2,FALSE),0))))))))))</f>
        <v>0</v>
      </c>
      <c r="CA199" s="351">
        <f t="array" ref="CA199">SUM((IF(QualitéAlimentsChevreau_0_3_mois=MAUVAISE,VLOOKUP("Bouchons luzerne",AlimentsRationCaprinsMâles,5,FALSE),0)+(IF(QualitéAlimentsChevrette_0_3_mois=MAUVAISE,VLOOKUP("Bouchons luzerne",AlimentsRationCaprinsFemelles,5,FALSE),0)+(IF(QualitéAlimentsChevreau_3_6_mois=MAUVAISE,VLOOKUP("Bouchons luzerne",AlimentsRationCaprinsMâles,4,FALSE),0)+(IF(QualitéAlimentsChevrette_3_6_mois=MAUVAISE,VLOOKUP("Bouchons luzerne",AlimentsRationCaprinsFemelles,4,FALSE),0)+(IF(QualitéAlimentsJeuneBouc=MAUVAISE,VLOOKUP("Bouchons luzerne",AlimentsRationCaprinsMâles,3,FALSE),0)+(IF(QualitéAlimentsJeuneChèvre=MAUVAISE,VLOOKUP("Bouchons luzerne",AlimentsRationCaprinsFemelles,3,FALSE),0)+(IF(QualitéAlimentsBouc=MAUVAISE,VLOOKUP("Bouchons luzerne",AlimentsRationCaprinsMâles,2,FALSE),0)+(IF(QualitéAlimentsChèvre=MAUVAISE,VLOOKUP("Bouchons luzerne",AlimentsRationCaprinsFemelles,2,FALSE),0))))))))))</f>
        <v>0</v>
      </c>
      <c r="CB199" s="277"/>
      <c r="CC199" s="277"/>
      <c r="CD199" s="298"/>
      <c r="CE199" s="298"/>
      <c r="CF199" s="298"/>
      <c r="CG199" s="298"/>
      <c r="CH199" s="298"/>
      <c r="CI199" s="277"/>
      <c r="CK199" s="277"/>
      <c r="CL199" s="277"/>
      <c r="CM199" s="277"/>
      <c r="CN199" s="277"/>
      <c r="CO199" s="277"/>
      <c r="CP199" s="277"/>
      <c r="DN199" s="350" t="str">
        <f t="shared" si="61"/>
        <v>concentré jeunes bovins</v>
      </c>
      <c r="DO199" s="351">
        <f t="array" ref="DO199">IF(ChoixRationComplèteOvins=OUI,0,IFERROR(IF(OR(AND(INDEX(Règles_ovins[Specificite],MATCH(ChoixRationOvins&amp;$DN199,Règles_ovins[Ration]&amp;Règles_ovins[Aliment],0))="s1",IF($DN199=Spécificité1Ovins,1)),
AND(INDEX(Règles_ovins[Specificite],MATCH(ChoixRationOvins&amp;$DN199,Règles_ovins[Ration]&amp;Règles_ovins[Aliment],0))="s2",IF($DN199=Spécificité2Ovins,1)),
INDEX(Règles_ovins[Specificite],MATCH(ChoixRationOvins&amp;$DN199,Règles_ovins[Ration]&amp;Règles_ovins[Aliment],0))="c"),
INDEX(Règles_ovins[Valeur 12 et plus],MATCH(ChoixRationOvins&amp;$DN199,Règles_ovins[Ration]&amp;Règles_ovins[Aliment],0)),0),0)*IF(ChoixOvinsPréHiver=OUI,SUM(TotalOvinsAdultesRacesLaitières)*NbreJoursNourrirOvins,TotalBrebis*NbreJoursNourrirOvins))</f>
        <v>0</v>
      </c>
      <c r="DP199" s="351">
        <f t="array" ref="DP199">IF(ChoixRationComplèteOvins=OUI,0,IFERROR(IF(OR(AND(INDEX(Règles_ovins[Specificite],MATCH(ChoixRationOvins&amp;$DN199,Règles_ovins[Ration]&amp;Règles_ovins[Aliment],0))="s1",IF($DN199=Spécificité1Ovins,1)),
AND(INDEX(Règles_ovins[Specificite],MATCH(ChoixRationOvins&amp;$DN199,Règles_ovins[Ration]&amp;Règles_ovins[Aliment],0))="s2",IF($DN199=Spécificité2Ovins,1)),
INDEX(Règles_ovins[Specificite],MATCH(ChoixRationOvins&amp;$DN199,Règles_ovins[Ration]&amp;Règles_ovins[Aliment],0))="c"),
INDEX(Règles_ovins[Valeur 6-12],MATCH(ChoixRationOvins&amp;$DN199,Règles_ovins[Ration]&amp;Règles_ovins[Aliment],0)),0),0)*IF(ChoixOvinsPréHiver=OUI,SUM(TotalJeunesOvinsRacesLaitières)*NbreJoursNourrirOvins,TotalJeune_brebis_6_12_mois*NbreJoursNourrirOvins))</f>
        <v>0</v>
      </c>
      <c r="DQ199" s="351">
        <f t="array" ref="DQ199">IF(ChoixRationComplèteOvins=OUI,0,IFERROR(IF(OR(AND(INDEX(Règles_ovins[Specificite],MATCH(ChoixRationOvins&amp;$DN199,Règles_ovins[Ration]&amp;Règles_ovins[Aliment],0))="s1",IF($DN199=Spécificité1Ovins,1)),
AND(INDEX(Règles_ovins[Specificite],MATCH(ChoixRationOvins&amp;$DN199,Règles_ovins[Ration]&amp;Règles_ovins[Aliment],0))="s2",IF($DN199=Spécificité2Ovins,1)),
INDEX(Règles_ovins[Specificite],MATCH(ChoixRationOvins&amp;$DN199,Règles_ovins[Ration]&amp;Règles_ovins[Aliment],0))="c"),
INDEX(Règles_ovins[Valeur 3-6],MATCH(ChoixRationOvins&amp;$DN199,Règles_ovins[Ration]&amp;Règles_ovins[Aliment],0)),0),0)*IF(ChoixOvinsPréHiver=OUI,SUM(TotalOvins_3_6moisRacesLaitières)*NbreJoursNourrirOvins,TotalAgnelle_3_6_mois*NbreJoursNourrirOvins))</f>
        <v>0</v>
      </c>
      <c r="DR199" s="351">
        <f t="array" ref="DR199">IF(ChoixRationComplèteOvins=OUI,0,IFERROR(IF(OR(AND(INDEX(Règles_ovins[Specificite],MATCH(ChoixRationOvins&amp;$DN199,Règles_ovins[Ration]&amp;Règles_ovins[Aliment],0))="s1",IF($DN199=Spécificité1Ovins,1)),
AND(INDEX(Règles_ovins[Specificite],MATCH(ChoixRationOvins&amp;$DN199,Règles_ovins[Ration]&amp;Règles_ovins[Aliment],0))="s2",IF($DN199=Spécificité2Ovins,1)),
INDEX(Règles_ovins[Specificite],MATCH(ChoixRationOvins&amp;$DN199,Règles_ovins[Ration]&amp;Règles_ovins[Aliment],0))="c"),
INDEX(Règles_ovins[Valeur 0-3],MATCH(ChoixRationOvins&amp;$DN199,Règles_ovins[Ration]&amp;Règles_ovins[Aliment],0)),0),0)*IF(ChoixOvinsPréHiver=OUI,SUM(TotalOvins_3_6moisRacesLaitières)*NbreJoursNourrirOvins,TotalAgnelle_0_3_mois*NbreJoursNourrirOvins))</f>
        <v>0</v>
      </c>
      <c r="DS199" s="441">
        <f t="shared" si="60"/>
        <v>0</v>
      </c>
      <c r="EU199" s="421" t="s">
        <v>973</v>
      </c>
      <c r="EV199" s="446">
        <f>IF(AND(OR(ChoixChevauxSellePréHiver=NON,ChoixChevauxSellePréHiver=""),ChoixPaillageChevauxSelle=OUI),SUBTOTAL(109,LitièreChevauxSelles[hiver dedans]),0)</f>
        <v>0</v>
      </c>
      <c r="EW199" s="422">
        <f>IF(AND(ChoixChevauxSellePréHiver=OUI,ChoixPaillageChevauxSelle=OUI),SUBTOTAL(109,LitièreChevauxSelles[hiver dehors]),0)</f>
        <v>0</v>
      </c>
      <c r="FD199" s="457" t="str">
        <f t="shared" ref="FD199:FD236" si="65">FD55</f>
        <v>Betterave</v>
      </c>
      <c r="FE199" s="458">
        <f t="array" ref="FE199">SUM((IF(QualitéAlimentsPoulainMâleTrait=BONNE,VLOOKUP("Betterave",AlimentsRationEcurieChevauxMâlesTrait,5,FALSE),0)+(IF(QualitéAlimentsPoulainFemelleTrait=BONNE,VLOOKUP("Betterave",AlimentsRationEcurieChevauxFemellesTrait,5,FALSE),0)+(IF(QualitéAlimentsJeuneEtalon_12_24_moisTrait=BONNE,VLOOKUP("Betterave",AlimentsRationEcurieChevauxMâlesTrait,4,FALSE),0)+(IF(QualitéAlimentsJeuneJument_12_24_moisTrait=BONNE,VLOOKUP("Betterave",AlimentsRationEcurieChevauxFemellesTrait,4,FALSE),0)+(IF(QualitéAlimentsJeuneEtalon_24_36_moisTrait=BONNE,VLOOKUP("Betterave",AlimentsRationEcurieChevauxMâlesTrait,3,FALSE),0)+(IF(QualitéAlimentsJeuneJument_24_36_moisTrait=BONNE,VLOOKUP("Betterave",AlimentsRationEcurieChevauxFemellesTrait,3,FALSE),0)+(IF(QualitéAlimentsEtalonTrait=BONNE,VLOOKUP("Betterave",AlimentsRationEcurieChevauxMâlesTrait,2,FALSE),0)+(IF(QualitéAlimentsJumentTrait=BONNE,VLOOKUP("Betterave",AlimentsRationEcurieChevauxFemellesTrait,2,FALSE),0))))))))))</f>
        <v>0</v>
      </c>
      <c r="FF199" s="458">
        <f t="array" ref="FF199">SUM((IF(QualitéAlimentsPoulainMâleTrait=MOYENNE,VLOOKUP("Betterave",AlimentsRationEcurieChevauxMâlesTrait,5,FALSE),0)+(IF(QualitéAlimentsPoulainFemelleTrait=MOYENNE,VLOOKUP("Betterave",AlimentsRationEcurieChevauxFemellesTrait,5,FALSE),0)+(IF(QualitéAlimentsJeuneEtalon_12_24_moisTrait=MOYENNE,VLOOKUP("Betterave",AlimentsRationEcurieChevauxMâlesTrait,4,FALSE),0)+(IF(QualitéAlimentsJeuneJument_12_24_moisTrait=MOYENNE,VLOOKUP("Betterave",AlimentsRationEcurieChevauxFemellesTrait,4,FALSE),0)+(IF(QualitéAlimentsJeuneEtalon_24_36_moisTrait=MOYENNE,VLOOKUP("Betterave",AlimentsRationEcurieChevauxMâlesTrait,3,FALSE),0)+(IF(QualitéAlimentsJeuneJument_24_36_moisTrait=MOYENNE,VLOOKUP("Betterave",AlimentsRationEcurieChevauxFemellesTrait,3,FALSE),0)+(IF(QualitéAlimentsEtalonTrait=MOYENNE,VLOOKUP("Betterave",AlimentsRationEcurieChevauxMâlesTrait,2,FALSE),0)+(IF(QualitéAlimentsJumentTrait=MOYENNE,VLOOKUP("Betterave",AlimentsRationEcurieChevauxFemellesTrait,2,FALSE),0))))))))))</f>
        <v>0</v>
      </c>
      <c r="FG199" s="458">
        <f t="array" ref="FG199">SUM((IF(QualitéAlimentsPoulainMâleTrait=MAUVAISE,VLOOKUP("Betterave",AlimentsRationEcurieChevauxMâlesTrait,5,FALSE),0)+(IF(QualitéAlimentsPoulainFemelleTrait=MAUVAISE,VLOOKUP("Betterave",AlimentsRationEcurieChevauxFemellesTrait,5,FALSE),0)+(IF(QualitéAlimentsJeuneEtalon_12_24_moisTrait=MAUVAISE,VLOOKUP("Betterave",AlimentsRationEcurieChevauxMâlesTrait,4,FALSE),0)+(IF(QualitéAlimentsJeuneJument_12_24_moisTrait=MAUVAISE,VLOOKUP("Betterave",AlimentsRationEcurieChevauxFemellesTrait,4,FALSE),0)+(IF(QualitéAlimentsJeuneEtalon_24_36_moisTrait=MAUVAISE,VLOOKUP("Betterave",AlimentsRationEcurieChevauxMâlesTrait,3,FALSE),0)+(IF(QualitéAlimentsJeuneJument_24_36_moisTrait=MAUVAISE,VLOOKUP("Betterave",AlimentsRationEcurieChevauxFemellesTrait,3,FALSE),0)+(IF(QualitéAlimentsEtalonTrait=MAUVAISE,VLOOKUP("Betterave",AlimentsRationEcurieChevauxMâlesTrait,2,FALSE),0)+(IF(QualitéAlimentsJumentTrait=MAUVAISE,VLOOKUP("Betterave",AlimentsRationEcurieChevauxFemellesTrait,2,FALSE),0))))))))))</f>
        <v>0</v>
      </c>
      <c r="FI199" s="276"/>
      <c r="FN199" s="457" t="str">
        <f t="shared" si="64"/>
        <v>Blé</v>
      </c>
      <c r="FO199" s="458">
        <f t="array" ref="FO199">SUM((IF(QualitéAlimentsPoulainMâlePoney=BONNE,VLOOKUP("Blé",AlimentsRationChevauxMâlesPoney,5,FALSE),0)+(IF(QualitéAlimentsPoulainFemellePoney=BONNE,VLOOKUP("Blé",AlimentsRationChevauxFemellesPoney,5,FALSE),0)+(IF(QualitéAlimentsJeuneEtalon_12_24_moisPoney=BONNE,VLOOKUP("Blé",AlimentsRationChevauxMâlesPoney,4,FALSE),0)+(IF(QualitéAlimentsJeuneJument_12_24_moisPoney=BONNE,VLOOKUP("Blé",AlimentsRationChevauxFemellesPoney,4,FALSE),0)+(IF(QualitéAlimentsJeuneEtalon_24_36_moisPoney=BONNE,VLOOKUP("Blé",AlimentsRationChevauxMâlesPoney,3,FALSE),0)+(IF(QualitéAlimentsJeuneJument_24_36_moisPoney=BONNE,VLOOKUP("Blé",AlimentsRationChevauxFemellesPoney,3,FALSE),0)+(IF(QualitéAlimentsEtalonPoney=BONNE,VLOOKUP("Blé",AlimentsRationChevauxMâlesPoney,2,FALSE),0)+(IF(QualitéAlimentsJumentPoney=BONNE,VLOOKUP("Blé",AlimentsRationChevauxFemellesPoney,2,FALSE),0))))))))))</f>
        <v>0</v>
      </c>
      <c r="FP199" s="458">
        <f t="array" ref="FP199">SUM((IF(QualitéAlimentsPoulainMâlePoney=MOYENNE,VLOOKUP("Blé",AlimentsRationChevauxMâlesPoney,5,FALSE),0)+(IF(QualitéAlimentsPoulainFemellePoney=MOYENNE,VLOOKUP("Blé",AlimentsRationChevauxFemellesPoney,5,FALSE),0)+(IF(QualitéAlimentsJeuneEtalon_12_24_moisPoney=MOYENNE,VLOOKUP("Blé",AlimentsRationChevauxMâlesPoney,4,FALSE),0)+(IF(QualitéAlimentsJeuneJument_12_24_moisPoney=MOYENNE,VLOOKUP("Blé",AlimentsRationChevauxFemellesPoney,4,FALSE),0)+(IF(QualitéAlimentsJeuneEtalon_24_36_moisPoney=MOYENNE,VLOOKUP("Blé",AlimentsRationChevauxMâlesPoney,3,FALSE),0)+(IF(QualitéAlimentsJeuneJument_24_36_moisPoney=MOYENNE,VLOOKUP("Blé",AlimentsRationChevauxFemellesPoney,3,FALSE),0)+(IF(QualitéAlimentsEtalonPoney=MOYENNE,VLOOKUP("Blé",AlimentsRationChevauxMâlesPoney,2,FALSE),0)+(IF(QualitéAlimentsJumentPoney=MOYENNE,VLOOKUP("Blé",AlimentsRationChevauxFemellesPoney,2,FALSE),0))))))))))</f>
        <v>0</v>
      </c>
      <c r="FQ199" s="458">
        <f t="array" ref="FQ199">SUM((IF(QualitéAlimentsPoulainMâlePoney=MAUVAISE,VLOOKUP("Blé",AlimentsRationChevauxMâlesPoney,5,FALSE),0)+(IF(QualitéAlimentsPoulainFemellePoney=MAUVAISE,VLOOKUP("Blé",AlimentsRationChevauxFemellesPoney,5,FALSE),0)+(IF(QualitéAlimentsJeuneEtalon_12_24_moisPoney=MAUVAISE,VLOOKUP("Blé",AlimentsRationChevauxMâlesPoney,4,FALSE),0)+(IF(QualitéAlimentsJeuneJument_12_24_moisPoney=MAUVAISE,VLOOKUP("Blé",AlimentsRationChevauxFemellesPoney,4,FALSE),0)+(IF(QualitéAlimentsJeuneEtalon_24_36_moisPoney=MAUVAISE,VLOOKUP("Blé",AlimentsRationChevauxMâlesPoney,3,FALSE),0)+(IF(QualitéAlimentsJeuneJument_24_36_moisPoney=MAUVAISE,VLOOKUP("Blé",AlimentsRationChevauxFemellesPoney,3,FALSE),0)+(IF(QualitéAlimentsEtalonPoney=MAUVAISE,VLOOKUP("Blé",AlimentsRationChevauxMâlesPoney,2,FALSE),0)+(IF(QualitéAlimentsJumentPoney=MAUVAISE,VLOOKUP("Blé",AlimentsRationChevauxFemellesPoney,2,FALSE),0))))))))))</f>
        <v>0</v>
      </c>
      <c r="FR199" s="281"/>
      <c r="FW199" s="281"/>
      <c r="FX199" s="281"/>
      <c r="FY199" s="281"/>
      <c r="FZ199" s="281"/>
      <c r="GB199" s="281"/>
      <c r="GG199" s="276" t="s">
        <v>955</v>
      </c>
      <c r="GH199" s="276" t="s">
        <v>955</v>
      </c>
      <c r="GI199" s="276" t="s">
        <v>955</v>
      </c>
      <c r="GJ199" s="276" t="s">
        <v>955</v>
      </c>
      <c r="GK199" s="276" t="s">
        <v>955</v>
      </c>
      <c r="GL199" s="276" t="s">
        <v>955</v>
      </c>
      <c r="GM199" s="276" t="s">
        <v>955</v>
      </c>
      <c r="GN199" s="276" t="s">
        <v>955</v>
      </c>
      <c r="GO199" s="276" t="s">
        <v>955</v>
      </c>
      <c r="GP199" s="276" t="s">
        <v>955</v>
      </c>
      <c r="GQ199" s="276" t="s">
        <v>955</v>
      </c>
      <c r="GR199" s="276" t="s">
        <v>955</v>
      </c>
      <c r="GS199" s="276" t="s">
        <v>955</v>
      </c>
      <c r="GT199" s="276" t="s">
        <v>955</v>
      </c>
      <c r="GU199" s="276" t="s">
        <v>955</v>
      </c>
      <c r="GV199" s="276" t="s">
        <v>955</v>
      </c>
    </row>
    <row r="200" spans="1:204" ht="12.75" customHeight="1" x14ac:dyDescent="0.2">
      <c r="BB200" s="350" t="s">
        <v>499</v>
      </c>
      <c r="BC200" s="351">
        <f t="array" ref="BC200">IF(Ration_complète_bovins[somme]&gt;0,0,IFERROR(IF(OR(AND(INDEX(Règles_bovins[Specificite],MATCH(ChoixRationBovins&amp;$BB200,Règles_bovins[Ration]&amp;Règles_bovins[Aliment],0))="s1",IF($BB200=Spécificité1Bovins,1)),
AND(INDEX(Règles_bovins[Specificite],MATCH(ChoixRationBovins&amp;$BB200,Règles_bovins[Ration]&amp;Règles_bovins[Aliment],0))="s2",IF($BB200=Spécificité2Bovins,1)),
INDEX(Règles_bovins[Specificite],MATCH(ChoixRationBovins&amp;$BB200,Règles_bovins[Ration]&amp;Règles_bovins[Aliment],0))="c"),
INDEX(Règles_bovins[Valeur 36 et plus],MATCH(ChoixRationBovins&amp;$BB200,Règles_bovins[Ration]&amp;Règles_bovins[Aliment],0)),0),0)*IF(ChoixBovinsPréHiver=OUI,TotalTaureauxRacesLaitières,TotalTaureaux*NbreJoursNourrirBovins))</f>
        <v>0</v>
      </c>
      <c r="BD200" s="351">
        <f t="array" ref="BD200">IF(Ration_complète_bovins[somme]&gt;0,0,IFERROR(IF(OR(AND(INDEX(Règles_bovins[Specificite],MATCH(ChoixRationBovins&amp;$BB200,Règles_bovins[Ration]&amp;Règles_bovins[Aliment],0))="s1",IF($BB200=Spécificité1Bovins,1)),
AND(INDEX(Règles_bovins[Specificite],MATCH(ChoixRationBovins&amp;$BB200,Règles_bovins[Ration]&amp;Règles_bovins[Aliment],0))="s2",IF($BB200=Spécificité2Bovins,1)),
INDEX(Règles_bovins[Specificite],MATCH(ChoixRationBovins&amp;$BB200,Règles_bovins[Ration]&amp;Règles_bovins[Aliment],0))="c"),
INDEX(Règles_bovins[Valeur 24-36],MATCH(ChoixRationBovins&amp;$BB200,Règles_bovins[Ration]&amp;Règles_bovins[Aliment],0)),0),0)*IF(ChoixBovinsPréHiver=OUI,TotalTaurillon_24_36_RacesLaitières,TotalBovinsMâles_24_36mois*NbreJoursNourrirBovins))</f>
        <v>0</v>
      </c>
      <c r="BE200" s="351">
        <f t="array" ref="BE200">IF(Ration_complète_bovins[somme]&gt;0,0,IFERROR(IF(OR(AND(INDEX(Règles_bovins[Specificite],MATCH(ChoixRationBovins&amp;$BB200,Règles_bovins[Ration]&amp;Règles_bovins[Aliment],0))="s1",IF($BB200=Spécificité1Bovins,1)),
AND(INDEX(Règles_bovins[Specificite],MATCH(ChoixRationBovins&amp;$BB200,Règles_bovins[Ration]&amp;Règles_bovins[Aliment],0))="s2",IF($BB200=Spécificité2Bovins,1)),
INDEX(Règles_bovins[Specificite],MATCH(ChoixRationBovins&amp;$BB200,Règles_bovins[Ration]&amp;Règles_bovins[Aliment],0))="c"),
INDEX(Règles_bovins[Valeur 18-24],MATCH(ChoixRationBovins&amp;$BB200,Règles_bovins[Ration]&amp;Règles_bovins[Aliment],0)),0),0)*IF(ChoixBovinsPréHiver=OUI,TotalTaurillon_18_24_RacesLaitières,TotalBovinsMâles_18_24mois*NbreJoursNourrirBovins))</f>
        <v>0</v>
      </c>
      <c r="BF200" s="351">
        <f t="array" ref="BF200">IF(Ration_complète_bovins[somme]&gt;0,0,IFERROR(IF(OR(AND(INDEX(Règles_bovins[Specificite],MATCH(ChoixRationBovins&amp;$BB200,Règles_bovins[Ration]&amp;Règles_bovins[Aliment],0))="s1",IF($BB200=Spécificité1Bovins,1)),
AND(INDEX(Règles_bovins[Specificite],MATCH(ChoixRationBovins&amp;$BB200,Règles_bovins[Ration]&amp;Règles_bovins[Aliment],0))="s2",IF($BB200=Spécificité2Bovins,1)),
INDEX(Règles_bovins[Specificite],MATCH(ChoixRationBovins&amp;$BB200,Règles_bovins[Ration]&amp;Règles_bovins[Aliment],0))="c"),
INDEX(Règles_bovins[Valeur 12-18],MATCH(ChoixRationBovins&amp;$BB200,Règles_bovins[Ration]&amp;Règles_bovins[Aliment],0)),0),0)*IF(ChoixBovinsPréHiver=OUI,animaux!D20,TotalBovinsMâles_12_18mois*NbreJoursNourrirBovins))</f>
        <v>0</v>
      </c>
      <c r="BG200" s="351">
        <f t="array" ref="BG200">IF(Ration_complète_bovins[somme]&gt;0,0,IFERROR(IF(OR(AND(INDEX(Règles_bovins[Specificite],MATCH(ChoixRationBovins&amp;$BB200,Règles_bovins[Ration]&amp;Règles_bovins[Aliment],0))="s1",IF($BB200=Spécificité1Bovins,1)),
AND(INDEX(Règles_bovins[Specificite],MATCH(ChoixRationBovins&amp;$BB200,Règles_bovins[Ration]&amp;Règles_bovins[Aliment],0))="s2",IF($BB200=Spécificité2Bovins,1)),
INDEX(Règles_bovins[Specificite],MATCH(ChoixRationBovins&amp;$BB200,Règles_bovins[Ration]&amp;Règles_bovins[Aliment],0))="c"),
INDEX(Règles_bovins[Valeur 6-12],MATCH(ChoixRationBovins&amp;$BB200,Règles_bovins[Ration]&amp;Règles_bovins[Aliment],0)),0),0)*IF(ChoixBovinsPréHiver=OUI,TotalVeauMâle_6_12_RacesLaitières,TotalBovinsMâles_6_12mois*NbreJoursNourrirBovins))</f>
        <v>0</v>
      </c>
      <c r="BH200" s="351">
        <f t="array" ref="BH200">IF(Ration_complète_bovins[somme]&gt;0,0,IFERROR(IF(OR(AND(INDEX(Règles_bovins[Specificite],MATCH(ChoixRationBovins&amp;$BB200,Règles_bovins[Ration]&amp;Règles_bovins[Aliment],0))="s1",IF($BB200=Spécificité1Bovins,1)),
AND(INDEX(Règles_bovins[Specificite],MATCH(ChoixRationBovins&amp;$BB200,Règles_bovins[Ration]&amp;Règles_bovins[Aliment],0))="s2",IF($BB200=Spécificité2Bovins,1)),
INDEX(Règles_bovins[Specificite],MATCH(ChoixRationBovins&amp;$BB200,Règles_bovins[Ration]&amp;Règles_bovins[Aliment],0))="c"),
INDEX(Règles_bovins[Valeur 3-6],MATCH(ChoixRationBovins&amp;$BB200,Règles_bovins[Ration]&amp;Règles_bovins[Aliment],0)),0),0)*IF(ChoixBovinsPréHiver=OUI,TotalVeauMâle_3_6_RacesLaitières,TotalBovinsMâles_3_6mois*NbreJoursNourrirBovins))</f>
        <v>0</v>
      </c>
      <c r="BI200" s="351">
        <f t="array" ref="BI200">IF(Ration_complète_bovins[somme]&gt;0,0,IFERROR(IF(OR(AND(INDEX(Règles_bovins[Specificite],MATCH(ChoixRationBovins&amp;$BB200,Règles_bovins[Ration]&amp;Règles_bovins[Aliment],0))="s1",IF($BB200=Spécificité1Bovins,1)),
AND(INDEX(Règles_bovins[Specificite],MATCH(ChoixRationBovins&amp;$BB200,Règles_bovins[Ration]&amp;Règles_bovins[Aliment],0))="s2",IF($BB200=Spécificité2Bovins,1)),
INDEX(Règles_bovins[Specificite],MATCH(ChoixRationBovins&amp;$BB200,Règles_bovins[Ration]&amp;Règles_bovins[Aliment],0))="c"),
INDEX(Règles_bovins[Valeur 0-3],MATCH(ChoixRationBovins&amp;$BB200,Règles_bovins[Ration]&amp;Règles_bovins[Aliment],0)),0),0)*IF(ChoixBovinsPréHiver=OUI,TotalVeauMâle_0_3_RacesLaitières,TotalBovinsMâles_0_3mois*NbreJoursNourrirBovins))</f>
        <v>0</v>
      </c>
      <c r="BJ200" s="352">
        <f t="shared" si="62"/>
        <v>0</v>
      </c>
      <c r="BK200" s="276"/>
      <c r="BL200" s="276"/>
      <c r="BX200" s="350" t="str">
        <f t="shared" si="63"/>
        <v>Chanvre</v>
      </c>
      <c r="BY200" s="351">
        <f t="array" ref="BY200">SUM((IF(QualitéAlimentsChevreau_0_3_mois=BONNE,VLOOKUP("Chanvre",AlimentsRationCaprinsMâles,5,FALSE),0)+(IF(QualitéAlimentsChevrette_0_3_mois=BONNE,VLOOKUP("Chanvre",AlimentsRationCaprinsFemelles,5,FALSE),0)+(IF(QualitéAlimentsChevreau_3_6_mois=BONNE,VLOOKUP("Chanvre",AlimentsRationCaprinsMâles,4,FALSE),0)+(IF(QualitéAlimentsChevrette_3_6_mois=BONNE,VLOOKUP("Chanvre",AlimentsRationCaprinsFemelles,4,FALSE),0)+(IF(QualitéAlimentsJeuneBouc=BONNE,VLOOKUP("Chanvre",AlimentsRationCaprinsMâles,3,FALSE),0)+(IF(QualitéAlimentsJeuneChèvre=BONNE,VLOOKUP("Chanvre",AlimentsRationCaprinsFemelles,3,FALSE),0)+(IF(QualitéAlimentsBouc=BONNE,VLOOKUP("Chanvre",AlimentsRationCaprinsMâles,2,FALSE),0)+(IF(QualitéAlimentsChèvre=BONNE,VLOOKUP("Chanvre",AlimentsRationCaprinsFemelles,2,FALSE),0))))))))))</f>
        <v>0</v>
      </c>
      <c r="BZ200" s="351">
        <f t="array" ref="BZ200">SUM((IF(QualitéAlimentsChevreau_0_3_mois=MOYENNE,VLOOKUP("Chanvre",AlimentsRationCaprinsMâles,5,FALSE),0)+(IF(QualitéAlimentsChevrette_0_3_mois=MOYENNE,VLOOKUP("Chanvre",AlimentsRationCaprinsFemelles,5,FALSE),0)+(IF(QualitéAlimentsChevreau_3_6_mois=MOYENNE,VLOOKUP("Chanvre",AlimentsRationCaprinsMâles,4,FALSE),0)+(IF(QualitéAlimentsChevrette_3_6_mois=MOYENNE,VLOOKUP("Chanvre",AlimentsRationCaprinsFemelles,4,FALSE),0)+(IF(QualitéAlimentsJeuneBouc=MOYENNE,VLOOKUP("Chanvre",AlimentsRationCaprinsMâles,3,FALSE),0)+(IF(QualitéAlimentsJeuneChèvre=MOYENNE,VLOOKUP("Chanvre",AlimentsRationCaprinsFemelles,3,FALSE),0)+(IF(QualitéAlimentsBouc=MOYENNE,VLOOKUP("Chanvre",AlimentsRationCaprinsMâles,2,FALSE),0)+(IF(QualitéAlimentsChèvre=MOYENNE,VLOOKUP("Chanvre",AlimentsRationCaprinsFemelles,2,FALSE),0))))))))))</f>
        <v>0</v>
      </c>
      <c r="CA200" s="351">
        <f t="array" ref="CA200">SUM((IF(QualitéAlimentsChevreau_0_3_mois=MAUVAISE,VLOOKUP("Chanvre",AlimentsRationCaprinsMâles,5,FALSE),0)+(IF(QualitéAlimentsChevrette_0_3_mois=MAUVAISE,VLOOKUP("Chanvre",AlimentsRationCaprinsFemelles,5,FALSE),0)+(IF(QualitéAlimentsChevreau_3_6_mois=MAUVAISE,VLOOKUP("Chanvre",AlimentsRationCaprinsMâles,4,FALSE),0)+(IF(QualitéAlimentsChevrette_3_6_mois=MAUVAISE,VLOOKUP("Chanvre",AlimentsRationCaprinsFemelles,4,FALSE),0)+(IF(QualitéAlimentsJeuneBouc=MAUVAISE,VLOOKUP("Chanvre",AlimentsRationCaprinsMâles,3,FALSE),0)+(IF(QualitéAlimentsJeuneChèvre=MAUVAISE,VLOOKUP("Chanvre",AlimentsRationCaprinsFemelles,3,FALSE),0)+(IF(QualitéAlimentsBouc=MAUVAISE,VLOOKUP("Chanvre",AlimentsRationCaprinsMâles,2,FALSE),0)+(IF(QualitéAlimentsChèvre=MAUVAISE,VLOOKUP("Chanvre",AlimentsRationCaprinsFemelles,2,FALSE),0))))))))))</f>
        <v>0</v>
      </c>
      <c r="CB200" s="277"/>
      <c r="CC200" s="277"/>
      <c r="CD200" s="298"/>
      <c r="CE200" s="298"/>
      <c r="CF200" s="298"/>
      <c r="CG200" s="298"/>
      <c r="CH200" s="298"/>
      <c r="CI200" s="277"/>
      <c r="CK200" s="277"/>
      <c r="CL200" s="277"/>
      <c r="CM200" s="277"/>
      <c r="CN200" s="277"/>
      <c r="CO200" s="277"/>
      <c r="CP200" s="277"/>
      <c r="DN200" s="350" t="str">
        <f t="shared" si="61"/>
        <v>concentré jeunes lapins</v>
      </c>
      <c r="DO200" s="351">
        <f t="array" ref="DO200">IF(ChoixRationComplèteOvins=OUI,0,IFERROR(IF(OR(AND(INDEX(Règles_ovins[Specificite],MATCH(ChoixRationOvins&amp;$DN200,Règles_ovins[Ration]&amp;Règles_ovins[Aliment],0))="s1",IF($DN200=Spécificité1Ovins,1)),
AND(INDEX(Règles_ovins[Specificite],MATCH(ChoixRationOvins&amp;$DN200,Règles_ovins[Ration]&amp;Règles_ovins[Aliment],0))="s2",IF($DN200=Spécificité2Ovins,1)),
INDEX(Règles_ovins[Specificite],MATCH(ChoixRationOvins&amp;$DN200,Règles_ovins[Ration]&amp;Règles_ovins[Aliment],0))="c"),
INDEX(Règles_ovins[Valeur 12 et plus],MATCH(ChoixRationOvins&amp;$DN200,Règles_ovins[Ration]&amp;Règles_ovins[Aliment],0)),0),0)*IF(ChoixOvinsPréHiver=OUI,SUM(TotalOvinsAdultesRacesLaitières)*NbreJoursNourrirOvins,TotalBrebis*NbreJoursNourrirOvins))</f>
        <v>0</v>
      </c>
      <c r="DP200" s="351">
        <f t="array" ref="DP200">IF(ChoixRationComplèteOvins=OUI,0,IFERROR(IF(OR(AND(INDEX(Règles_ovins[Specificite],MATCH(ChoixRationOvins&amp;$DN200,Règles_ovins[Ration]&amp;Règles_ovins[Aliment],0))="s1",IF($DN200=Spécificité1Ovins,1)),
AND(INDEX(Règles_ovins[Specificite],MATCH(ChoixRationOvins&amp;$DN200,Règles_ovins[Ration]&amp;Règles_ovins[Aliment],0))="s2",IF($DN200=Spécificité2Ovins,1)),
INDEX(Règles_ovins[Specificite],MATCH(ChoixRationOvins&amp;$DN200,Règles_ovins[Ration]&amp;Règles_ovins[Aliment],0))="c"),
INDEX(Règles_ovins[Valeur 6-12],MATCH(ChoixRationOvins&amp;$DN200,Règles_ovins[Ration]&amp;Règles_ovins[Aliment],0)),0),0)*IF(ChoixOvinsPréHiver=OUI,SUM(TotalJeunesOvinsRacesLaitières)*NbreJoursNourrirOvins,TotalJeune_brebis_6_12_mois*NbreJoursNourrirOvins))</f>
        <v>0</v>
      </c>
      <c r="DQ200" s="351">
        <f t="array" ref="DQ200">IF(ChoixRationComplèteOvins=OUI,0,IFERROR(IF(OR(AND(INDEX(Règles_ovins[Specificite],MATCH(ChoixRationOvins&amp;$DN200,Règles_ovins[Ration]&amp;Règles_ovins[Aliment],0))="s1",IF($DN200=Spécificité1Ovins,1)),
AND(INDEX(Règles_ovins[Specificite],MATCH(ChoixRationOvins&amp;$DN200,Règles_ovins[Ration]&amp;Règles_ovins[Aliment],0))="s2",IF($DN200=Spécificité2Ovins,1)),
INDEX(Règles_ovins[Specificite],MATCH(ChoixRationOvins&amp;$DN200,Règles_ovins[Ration]&amp;Règles_ovins[Aliment],0))="c"),
INDEX(Règles_ovins[Valeur 3-6],MATCH(ChoixRationOvins&amp;$DN200,Règles_ovins[Ration]&amp;Règles_ovins[Aliment],0)),0),0)*IF(ChoixOvinsPréHiver=OUI,SUM(TotalOvins_3_6moisRacesLaitières)*NbreJoursNourrirOvins,TotalAgnelle_3_6_mois*NbreJoursNourrirOvins))</f>
        <v>0</v>
      </c>
      <c r="DR200" s="351">
        <f t="array" ref="DR200">IF(ChoixRationComplèteOvins=OUI,0,IFERROR(IF(OR(AND(INDEX(Règles_ovins[Specificite],MATCH(ChoixRationOvins&amp;$DN200,Règles_ovins[Ration]&amp;Règles_ovins[Aliment],0))="s1",IF($DN200=Spécificité1Ovins,1)),
AND(INDEX(Règles_ovins[Specificite],MATCH(ChoixRationOvins&amp;$DN200,Règles_ovins[Ration]&amp;Règles_ovins[Aliment],0))="s2",IF($DN200=Spécificité2Ovins,1)),
INDEX(Règles_ovins[Specificite],MATCH(ChoixRationOvins&amp;$DN200,Règles_ovins[Ration]&amp;Règles_ovins[Aliment],0))="c"),
INDEX(Règles_ovins[Valeur 0-3],MATCH(ChoixRationOvins&amp;$DN200,Règles_ovins[Ration]&amp;Règles_ovins[Aliment],0)),0),0)*IF(ChoixOvinsPréHiver=OUI,SUM(TotalOvins_3_6moisRacesLaitières)*NbreJoursNourrirOvins,TotalAgnelle_0_3_mois*NbreJoursNourrirOvins))</f>
        <v>0</v>
      </c>
      <c r="DS200" s="441">
        <f t="shared" si="60"/>
        <v>0</v>
      </c>
      <c r="FD200" s="457" t="str">
        <f t="shared" si="65"/>
        <v>Blé</v>
      </c>
      <c r="FE200" s="458">
        <f t="array" ref="FE200">SUM((IF(QualitéAlimentsPoulainMâleTrait=BONNE,VLOOKUP("Blé",AlimentsRationEcurieChevauxMâlesTrait,5,FALSE),0)+(IF(QualitéAlimentsPoulainFemelleTrait=BONNE,VLOOKUP("Blé",AlimentsRationEcurieChevauxFemellesTrait,5,FALSE),0)+(IF(QualitéAlimentsJeuneEtalon_12_24_moisTrait=BONNE,VLOOKUP("Blé",AlimentsRationEcurieChevauxMâlesTrait,4,FALSE),0)+(IF(QualitéAlimentsJeuneJument_12_24_moisTrait=BONNE,VLOOKUP("Blé",AlimentsRationEcurieChevauxFemellesTrait,4,FALSE),0)+(IF(QualitéAlimentsJeuneEtalon_24_36_moisTrait=BONNE,VLOOKUP("Blé",AlimentsRationEcurieChevauxMâlesTrait,3,FALSE),0)+(IF(QualitéAlimentsJeuneJument_24_36_moisTrait=BONNE,VLOOKUP("Blé",AlimentsRationEcurieChevauxFemellesTrait,3,FALSE),0)+(IF(QualitéAlimentsEtalonTrait=BONNE,VLOOKUP("Blé",AlimentsRationEcurieChevauxMâlesTrait,2,FALSE),0)+(IF(QualitéAlimentsJumentTrait=BONNE,VLOOKUP("Blé",AlimentsRationEcurieChevauxFemellesTrait,2,FALSE),0))))))))))</f>
        <v>0</v>
      </c>
      <c r="FF200" s="458">
        <f t="array" ref="FF200">SUM((IF(QualitéAlimentsPoulainMâleTrait=MOYENNE,VLOOKUP("Blé",AlimentsRationEcurieChevauxMâlesTrait,5,FALSE),0)+(IF(QualitéAlimentsPoulainFemelleTrait=MOYENNE,VLOOKUP("Blé",AlimentsRationEcurieChevauxFemellesTrait,5,FALSE),0)+(IF(QualitéAlimentsJeuneEtalon_12_24_moisTrait=MOYENNE,VLOOKUP("Blé",AlimentsRationEcurieChevauxMâlesTrait,4,FALSE),0)+(IF(QualitéAlimentsJeuneJument_12_24_moisTrait=MOYENNE,VLOOKUP("Blé",AlimentsRationEcurieChevauxFemellesTrait,4,FALSE),0)+(IF(QualitéAlimentsJeuneEtalon_24_36_moisTrait=MOYENNE,VLOOKUP("Blé",AlimentsRationEcurieChevauxMâlesTrait,3,FALSE),0)+(IF(QualitéAlimentsJeuneJument_24_36_moisTrait=MOYENNE,VLOOKUP("Blé",AlimentsRationEcurieChevauxFemellesTrait,3,FALSE),0)+(IF(QualitéAlimentsEtalonTrait=MOYENNE,VLOOKUP("Blé",AlimentsRationEcurieChevauxMâlesTrait,2,FALSE),0)+(IF(QualitéAlimentsJumentTrait=MOYENNE,VLOOKUP("Blé",AlimentsRationEcurieChevauxFemellesTrait,2,FALSE),0))))))))))</f>
        <v>0</v>
      </c>
      <c r="FG200" s="458">
        <f t="array" ref="FG200">SUM((IF(QualitéAlimentsPoulainMâleTrait=MAUVAISE,VLOOKUP("Blé",AlimentsRationEcurieChevauxMâlesTrait,5,FALSE),0)+(IF(QualitéAlimentsPoulainFemelleTrait=MAUVAISE,VLOOKUP("Blé",AlimentsRationEcurieChevauxFemellesTrait,5,FALSE),0)+(IF(QualitéAlimentsJeuneEtalon_12_24_moisTrait=MAUVAISE,VLOOKUP("Blé",AlimentsRationEcurieChevauxMâlesTrait,4,FALSE),0)+(IF(QualitéAlimentsJeuneJument_12_24_moisTrait=MAUVAISE,VLOOKUP("Blé",AlimentsRationEcurieChevauxFemellesTrait,4,FALSE),0)+(IF(QualitéAlimentsJeuneEtalon_24_36_moisTrait=MAUVAISE,VLOOKUP("Blé",AlimentsRationEcurieChevauxMâlesTrait,3,FALSE),0)+(IF(QualitéAlimentsJeuneJument_24_36_moisTrait=MAUVAISE,VLOOKUP("Blé",AlimentsRationEcurieChevauxFemellesTrait,3,FALSE),0)+(IF(QualitéAlimentsEtalonTrait=MAUVAISE,VLOOKUP("Blé",AlimentsRationEcurieChevauxMâlesTrait,2,FALSE),0)+(IF(QualitéAlimentsJumentTrait=MAUVAISE,VLOOKUP("Blé",AlimentsRationEcurieChevauxFemellesTrait,2,FALSE),0))))))))))</f>
        <v>0</v>
      </c>
      <c r="FI200" s="276"/>
      <c r="FN200" s="457" t="str">
        <f t="shared" si="64"/>
        <v>Bouchons luzerne</v>
      </c>
      <c r="FO200" s="458">
        <f t="array" ref="FO200">SUM((IF(QualitéAlimentsPoulainMâlePoney=BONNE,VLOOKUP("Bouchons luzerne",AlimentsRationChevauxMâlesPoney,5,FALSE),0)+(IF(QualitéAlimentsPoulainFemellePoney=BONNE,VLOOKUP("Bouchons luzerne",AlimentsRationChevauxFemellesPoney,5,FALSE),0)+(IF(QualitéAlimentsJeuneEtalon_12_24_moisPoney=BONNE,VLOOKUP("Bouchons luzerne",AlimentsRationChevauxMâlesPoney,4,FALSE),0)+(IF(QualitéAlimentsJeuneJument_12_24_moisPoney=BONNE,VLOOKUP("Bouchons luzerne",AlimentsRationChevauxFemellesPoney,4,FALSE),0)+(IF(QualitéAlimentsJeuneEtalon_24_36_moisPoney=BONNE,VLOOKUP("Bouchons luzerne",AlimentsRationChevauxMâlesPoney,3,FALSE),0)+(IF(QualitéAlimentsJeuneJument_24_36_moisPoney=BONNE,VLOOKUP("Bouchons luzerne",AlimentsRationChevauxFemellesPoney,3,FALSE),0)+(IF(QualitéAlimentsEtalonPoney=BONNE,VLOOKUP("Bouchons luzerne",AlimentsRationChevauxMâlesPoney,2,FALSE),0)+(IF(QualitéAlimentsJumentPoney=BONNE,VLOOKUP("Bouchons luzerne",AlimentsRationChevauxFemellesPoney,2,FALSE),0))))))))))</f>
        <v>0</v>
      </c>
      <c r="FP200" s="458">
        <f t="array" ref="FP200">SUM((IF(QualitéAlimentsPoulainMâlePoney=MOYENNE,VLOOKUP("Bouchons luzerne",AlimentsRationChevauxMâlesPoney,5,FALSE),0)+(IF(QualitéAlimentsPoulainFemellePoney=MOYENNE,VLOOKUP("Bouchons luzerne",AlimentsRationChevauxFemellesPoney,5,FALSE),0)+(IF(QualitéAlimentsJeuneEtalon_12_24_moisPoney=MOYENNE,VLOOKUP("Bouchons luzerne",AlimentsRationChevauxMâlesPoney,4,FALSE),0)+(IF(QualitéAlimentsJeuneJument_12_24_moisPoney=MOYENNE,VLOOKUP("Bouchons luzerne",AlimentsRationChevauxFemellesPoney,4,FALSE),0)+(IF(QualitéAlimentsJeuneEtalon_24_36_moisPoney=MOYENNE,VLOOKUP("Bouchons luzerne",AlimentsRationChevauxMâlesPoney,3,FALSE),0)+(IF(QualitéAlimentsJeuneJument_24_36_moisPoney=MOYENNE,VLOOKUP("Bouchons luzerne",AlimentsRationChevauxFemellesPoney,3,FALSE),0)+(IF(QualitéAlimentsEtalonPoney=MOYENNE,VLOOKUP("Bouchons luzerne",AlimentsRationChevauxMâlesPoney,2,FALSE),0)+(IF(QualitéAlimentsJumentPoney=MOYENNE,VLOOKUP("Bouchons luzerne",AlimentsRationChevauxFemellesPoney,2,FALSE),0))))))))))</f>
        <v>0</v>
      </c>
      <c r="FQ200" s="458">
        <f t="array" ref="FQ200">SUM((IF(QualitéAlimentsPoulainMâlePoney=MAUVAISE,VLOOKUP("Bouchons luzerne",AlimentsRationChevauxMâlesPoney,5,FALSE),0)+(IF(QualitéAlimentsPoulainFemellePoney=MAUVAISE,VLOOKUP("Bouchons luzerne",AlimentsRationChevauxFemellesPoney,5,FALSE),0)+(IF(QualitéAlimentsJeuneEtalon_12_24_moisPoney=MAUVAISE,VLOOKUP("Bouchons luzerne",AlimentsRationChevauxMâlesPoney,4,FALSE),0)+(IF(QualitéAlimentsJeuneJument_12_24_moisPoney=MAUVAISE,VLOOKUP("Bouchons luzerne",AlimentsRationChevauxFemellesPoney,4,FALSE),0)+(IF(QualitéAlimentsJeuneEtalon_24_36_moisPoney=MAUVAISE,VLOOKUP("Bouchons luzerne",AlimentsRationChevauxMâlesPoney,3,FALSE),0)+(IF(QualitéAlimentsJeuneJument_24_36_moisPoney=MAUVAISE,VLOOKUP("Bouchons luzerne",AlimentsRationChevauxFemellesPoney,3,FALSE),0)+(IF(QualitéAlimentsEtalonPoney=MAUVAISE,VLOOKUP("Bouchons luzerne",AlimentsRationChevauxMâlesPoney,2,FALSE),0)+(IF(QualitéAlimentsJumentPoney=MAUVAISE,VLOOKUP("Bouchons luzerne",AlimentsRationChevauxFemellesPoney,2,FALSE),0))))))))))</f>
        <v>0</v>
      </c>
      <c r="FR200" s="281"/>
      <c r="FW200" s="281"/>
      <c r="FX200" s="281"/>
      <c r="FY200" s="281"/>
      <c r="FZ200" s="281"/>
      <c r="GB200" s="281"/>
      <c r="GG200" s="276" t="s">
        <v>955</v>
      </c>
      <c r="GH200" s="276" t="s">
        <v>955</v>
      </c>
      <c r="GI200" s="276" t="s">
        <v>955</v>
      </c>
      <c r="GJ200" s="276" t="s">
        <v>955</v>
      </c>
      <c r="GK200" s="276" t="s">
        <v>955</v>
      </c>
      <c r="GL200" s="276" t="s">
        <v>955</v>
      </c>
      <c r="GM200" s="276" t="s">
        <v>955</v>
      </c>
      <c r="GN200" s="276" t="s">
        <v>955</v>
      </c>
      <c r="GO200" s="276" t="s">
        <v>955</v>
      </c>
      <c r="GP200" s="276" t="s">
        <v>955</v>
      </c>
      <c r="GQ200" s="276" t="s">
        <v>955</v>
      </c>
      <c r="GR200" s="276" t="s">
        <v>955</v>
      </c>
      <c r="GS200" s="276" t="s">
        <v>955</v>
      </c>
      <c r="GT200" s="276" t="s">
        <v>955</v>
      </c>
      <c r="GU200" s="276" t="s">
        <v>955</v>
      </c>
      <c r="GV200" s="276" t="s">
        <v>955</v>
      </c>
    </row>
    <row r="201" spans="1:204" ht="12.75" customHeight="1" x14ac:dyDescent="0.2">
      <c r="BB201" s="350" t="s">
        <v>1166</v>
      </c>
      <c r="BC201" s="351">
        <f t="array" ref="BC201">IF(Ration_complète_bovins[somme]&gt;0,0,IFERROR(IF(OR(AND(INDEX(Règles_bovins[Specificite],MATCH(ChoixRationBovins&amp;$BB201,Règles_bovins[Ration]&amp;Règles_bovins[Aliment],0))="s1",IF($BB201=Spécificité1Bovins,1)),
AND(INDEX(Règles_bovins[Specificite],MATCH(ChoixRationBovins&amp;$BB201,Règles_bovins[Ration]&amp;Règles_bovins[Aliment],0))="s2",IF($BB201=Spécificité2Bovins,1)),
INDEX(Règles_bovins[Specificite],MATCH(ChoixRationBovins&amp;$BB201,Règles_bovins[Ration]&amp;Règles_bovins[Aliment],0))="c"),
INDEX(Règles_bovins[Valeur 36 et plus],MATCH(ChoixRationBovins&amp;$BB201,Règles_bovins[Ration]&amp;Règles_bovins[Aliment],0)),0),0)*IF(ChoixBovinsPréHiver=OUI,TotalTaureauxRacesLaitières,TotalTaureaux*NbreJoursNourrirBovins))</f>
        <v>0</v>
      </c>
      <c r="BD201" s="351">
        <f t="array" ref="BD201">IF(Ration_complète_bovins[somme]&gt;0,0,IFERROR(IF(OR(AND(INDEX(Règles_bovins[Specificite],MATCH(ChoixRationBovins&amp;$BB201,Règles_bovins[Ration]&amp;Règles_bovins[Aliment],0))="s1",IF($BB201=Spécificité1Bovins,1)),
AND(INDEX(Règles_bovins[Specificite],MATCH(ChoixRationBovins&amp;$BB201,Règles_bovins[Ration]&amp;Règles_bovins[Aliment],0))="s2",IF($BB201=Spécificité2Bovins,1)),
INDEX(Règles_bovins[Specificite],MATCH(ChoixRationBovins&amp;$BB201,Règles_bovins[Ration]&amp;Règles_bovins[Aliment],0))="c"),
INDEX(Règles_bovins[Valeur 24-36],MATCH(ChoixRationBovins&amp;$BB201,Règles_bovins[Ration]&amp;Règles_bovins[Aliment],0)),0),0)*IF(ChoixBovinsPréHiver=OUI,TotalTaurillon_24_36_RacesLaitières,TotalBovinsMâles_24_36mois*NbreJoursNourrirBovins))</f>
        <v>0</v>
      </c>
      <c r="BE201" s="351">
        <f t="array" ref="BE201">IF(Ration_complète_bovins[somme]&gt;0,0,IFERROR(IF(OR(AND(INDEX(Règles_bovins[Specificite],MATCH(ChoixRationBovins&amp;$BB201,Règles_bovins[Ration]&amp;Règles_bovins[Aliment],0))="s1",IF($BB201=Spécificité1Bovins,1)),
AND(INDEX(Règles_bovins[Specificite],MATCH(ChoixRationBovins&amp;$BB201,Règles_bovins[Ration]&amp;Règles_bovins[Aliment],0))="s2",IF($BB201=Spécificité2Bovins,1)),
INDEX(Règles_bovins[Specificite],MATCH(ChoixRationBovins&amp;$BB201,Règles_bovins[Ration]&amp;Règles_bovins[Aliment],0))="c"),
INDEX(Règles_bovins[Valeur 18-24],MATCH(ChoixRationBovins&amp;$BB201,Règles_bovins[Ration]&amp;Règles_bovins[Aliment],0)),0),0)*IF(ChoixBovinsPréHiver=OUI,TotalTaurillon_18_24_RacesLaitières,TotalBovinsMâles_18_24mois*NbreJoursNourrirBovins))</f>
        <v>0</v>
      </c>
      <c r="BF201" s="351">
        <f t="array" ref="BF201">IF(Ration_complète_bovins[somme]&gt;0,0,IFERROR(IF(OR(AND(INDEX(Règles_bovins[Specificite],MATCH(ChoixRationBovins&amp;$BB201,Règles_bovins[Ration]&amp;Règles_bovins[Aliment],0))="s1",IF($BB201=Spécificité1Bovins,1)),
AND(INDEX(Règles_bovins[Specificite],MATCH(ChoixRationBovins&amp;$BB201,Règles_bovins[Ration]&amp;Règles_bovins[Aliment],0))="s2",IF($BB201=Spécificité2Bovins,1)),
INDEX(Règles_bovins[Specificite],MATCH(ChoixRationBovins&amp;$BB201,Règles_bovins[Ration]&amp;Règles_bovins[Aliment],0))="c"),
INDEX(Règles_bovins[Valeur 12-18],MATCH(ChoixRationBovins&amp;$BB201,Règles_bovins[Ration]&amp;Règles_bovins[Aliment],0)),0),0)*IF(ChoixBovinsPréHiver=OUI,animaux!D21,TotalBovinsMâles_12_18mois*NbreJoursNourrirBovins))</f>
        <v>0</v>
      </c>
      <c r="BG201" s="351">
        <f t="array" ref="BG201">IF(Ration_complète_bovins[somme]&gt;0,0,IFERROR(IF(OR(AND(INDEX(Règles_bovins[Specificite],MATCH(ChoixRationBovins&amp;$BB201,Règles_bovins[Ration]&amp;Règles_bovins[Aliment],0))="s1",IF($BB201=Spécificité1Bovins,1)),
AND(INDEX(Règles_bovins[Specificite],MATCH(ChoixRationBovins&amp;$BB201,Règles_bovins[Ration]&amp;Règles_bovins[Aliment],0))="s2",IF($BB201=Spécificité2Bovins,1)),
INDEX(Règles_bovins[Specificite],MATCH(ChoixRationBovins&amp;$BB201,Règles_bovins[Ration]&amp;Règles_bovins[Aliment],0))="c"),
INDEX(Règles_bovins[Valeur 6-12],MATCH(ChoixRationBovins&amp;$BB201,Règles_bovins[Ration]&amp;Règles_bovins[Aliment],0)),0),0)*IF(ChoixBovinsPréHiver=OUI,TotalVeauMâle_6_12_RacesLaitières,TotalBovinsMâles_6_12mois*NbreJoursNourrirBovins))</f>
        <v>0</v>
      </c>
      <c r="BH201" s="351">
        <f t="array" ref="BH201">IF(Ration_complète_bovins[somme]&gt;0,0,IFERROR(IF(OR(AND(INDEX(Règles_bovins[Specificite],MATCH(ChoixRationBovins&amp;$BB201,Règles_bovins[Ration]&amp;Règles_bovins[Aliment],0))="s1",IF($BB201=Spécificité1Bovins,1)),
AND(INDEX(Règles_bovins[Specificite],MATCH(ChoixRationBovins&amp;$BB201,Règles_bovins[Ration]&amp;Règles_bovins[Aliment],0))="s2",IF($BB201=Spécificité2Bovins,1)),
INDEX(Règles_bovins[Specificite],MATCH(ChoixRationBovins&amp;$BB201,Règles_bovins[Ration]&amp;Règles_bovins[Aliment],0))="c"),
INDEX(Règles_bovins[Valeur 3-6],MATCH(ChoixRationBovins&amp;$BB201,Règles_bovins[Ration]&amp;Règles_bovins[Aliment],0)),0),0)*IF(ChoixBovinsPréHiver=OUI,TotalVeauMâle_3_6_RacesLaitières,TotalBovinsMâles_3_6mois*NbreJoursNourrirBovins))</f>
        <v>0</v>
      </c>
      <c r="BI201" s="351">
        <f t="array" ref="BI201">IF(Ration_complète_bovins[somme]&gt;0,0,IFERROR(IF(OR(AND(INDEX(Règles_bovins[Specificite],MATCH(ChoixRationBovins&amp;$BB201,Règles_bovins[Ration]&amp;Règles_bovins[Aliment],0))="s1",IF($BB201=Spécificité1Bovins,1)),
AND(INDEX(Règles_bovins[Specificite],MATCH(ChoixRationBovins&amp;$BB201,Règles_bovins[Ration]&amp;Règles_bovins[Aliment],0))="s2",IF($BB201=Spécificité2Bovins,1)),
INDEX(Règles_bovins[Specificite],MATCH(ChoixRationBovins&amp;$BB201,Règles_bovins[Ration]&amp;Règles_bovins[Aliment],0))="c"),
INDEX(Règles_bovins[Valeur 0-3],MATCH(ChoixRationBovins&amp;$BB201,Règles_bovins[Ration]&amp;Règles_bovins[Aliment],0)),0),0)*IF(ChoixBovinsPréHiver=OUI,TotalVeauMâle_0_3_RacesLaitières,TotalBovinsMâles_0_3mois*NbreJoursNourrirBovins))</f>
        <v>0</v>
      </c>
      <c r="BJ201" s="352">
        <f t="shared" si="62"/>
        <v>0</v>
      </c>
      <c r="BK201" s="276"/>
      <c r="BL201" s="276"/>
      <c r="BX201" s="350" t="str">
        <f t="shared" si="63"/>
        <v>Canola</v>
      </c>
      <c r="BY201" s="351">
        <f t="array" ref="BY201">SUM((IF(QualitéAlimentsChevreau_0_3_mois=BONNE,VLOOKUP("Canola",AlimentsRationCaprinsMâles,5,FALSE),0)+(IF(QualitéAlimentsChevrette_0_3_mois=BONNE,VLOOKUP("Canola",AlimentsRationCaprinsFemelles,5,FALSE),0)+(IF(QualitéAlimentsChevreau_3_6_mois=BONNE,VLOOKUP("Canola",AlimentsRationCaprinsMâles,4,FALSE),0)+(IF(QualitéAlimentsChevrette_3_6_mois=BONNE,VLOOKUP("Canola",AlimentsRationCaprinsFemelles,4,FALSE),0)+(IF(QualitéAlimentsJeuneBouc=BONNE,VLOOKUP("Canola",AlimentsRationCaprinsMâles,3,FALSE),0)+(IF(QualitéAlimentsJeuneChèvre=BONNE,VLOOKUP("Canola",AlimentsRationCaprinsFemelles,3,FALSE),0)+(IF(QualitéAlimentsBouc=BONNE,VLOOKUP("Canola",AlimentsRationCaprinsMâles,2,FALSE),0)+(IF(QualitéAlimentsChèvre=BONNE,VLOOKUP("Canola",AlimentsRationCaprinsFemelles,2,FALSE),0))))))))))</f>
        <v>0</v>
      </c>
      <c r="BZ201" s="351">
        <f t="array" ref="BZ201">SUM((IF(QualitéAlimentsChevreau_0_3_mois=MOYENNE,VLOOKUP("Canola",AlimentsRationCaprinsMâles,5,FALSE),0)+(IF(QualitéAlimentsChevrette_0_3_mois=MOYENNE,VLOOKUP("Canola",AlimentsRationCaprinsFemelles,5,FALSE),0)+(IF(QualitéAlimentsChevreau_3_6_mois=MOYENNE,VLOOKUP("Canola",AlimentsRationCaprinsMâles,4,FALSE),0)+(IF(QualitéAlimentsChevrette_3_6_mois=MOYENNE,VLOOKUP("Canola",AlimentsRationCaprinsFemelles,4,FALSE),0)+(IF(QualitéAlimentsJeuneBouc=MOYENNE,VLOOKUP("Canola",AlimentsRationCaprinsMâles,3,FALSE),0)+(IF(QualitéAlimentsJeuneChèvre=MOYENNE,VLOOKUP("Canola",AlimentsRationCaprinsFemelles,3,FALSE),0)+(IF(QualitéAlimentsBouc=MOYENNE,VLOOKUP("Canola",AlimentsRationCaprinsMâles,2,FALSE),0)+(IF(QualitéAlimentsChèvre=MOYENNE,VLOOKUP("Canola",AlimentsRationCaprinsFemelles,2,FALSE),0))))))))))</f>
        <v>0</v>
      </c>
      <c r="CA201" s="351">
        <f t="array" ref="CA201">SUM((IF(QualitéAlimentsChevreau_0_3_mois=MAUVAISE,VLOOKUP("Canola",AlimentsRationCaprinsMâles,5,FALSE),0)+(IF(QualitéAlimentsChevrette_0_3_mois=MAUVAISE,VLOOKUP("Canola",AlimentsRationCaprinsFemelles,5,FALSE),0)+(IF(QualitéAlimentsChevreau_3_6_mois=MAUVAISE,VLOOKUP("Canola",AlimentsRationCaprinsMâles,4,FALSE),0)+(IF(QualitéAlimentsChevrette_3_6_mois=MAUVAISE,VLOOKUP("Canola",AlimentsRationCaprinsFemelles,4,FALSE),0)+(IF(QualitéAlimentsJeuneBouc=MAUVAISE,VLOOKUP("Canola",AlimentsRationCaprinsMâles,3,FALSE),0)+(IF(QualitéAlimentsJeuneChèvre=MAUVAISE,VLOOKUP("Canola",AlimentsRationCaprinsFemelles,3,FALSE),0)+(IF(QualitéAlimentsBouc=MAUVAISE,VLOOKUP("Canola",AlimentsRationCaprinsMâles,2,FALSE),0)+(IF(QualitéAlimentsChèvre=MAUVAISE,VLOOKUP("Canola",AlimentsRationCaprinsFemelles,2,FALSE),0))))))))))</f>
        <v>0</v>
      </c>
      <c r="CB201" s="277"/>
      <c r="CC201" s="277"/>
      <c r="CD201" s="298"/>
      <c r="CE201" s="298"/>
      <c r="CF201" s="298"/>
      <c r="CG201" s="298"/>
      <c r="CH201" s="298"/>
      <c r="CI201" s="277"/>
      <c r="CK201" s="277"/>
      <c r="CL201" s="277"/>
      <c r="CM201" s="277"/>
      <c r="CN201" s="277"/>
      <c r="CO201" s="277"/>
      <c r="CP201" s="277"/>
      <c r="DN201" s="350" t="str">
        <f t="shared" si="61"/>
        <v>concentré jeunes porcins</v>
      </c>
      <c r="DO201" s="351">
        <f t="array" ref="DO201">IF(ChoixRationComplèteOvins=OUI,0,IFERROR(IF(OR(AND(INDEX(Règles_ovins[Specificite],MATCH(ChoixRationOvins&amp;$DN201,Règles_ovins[Ration]&amp;Règles_ovins[Aliment],0))="s1",IF($DN201=Spécificité1Ovins,1)),
AND(INDEX(Règles_ovins[Specificite],MATCH(ChoixRationOvins&amp;$DN201,Règles_ovins[Ration]&amp;Règles_ovins[Aliment],0))="s2",IF($DN201=Spécificité2Ovins,1)),
INDEX(Règles_ovins[Specificite],MATCH(ChoixRationOvins&amp;$DN201,Règles_ovins[Ration]&amp;Règles_ovins[Aliment],0))="c"),
INDEX(Règles_ovins[Valeur 12 et plus],MATCH(ChoixRationOvins&amp;$DN201,Règles_ovins[Ration]&amp;Règles_ovins[Aliment],0)),0),0)*IF(ChoixOvinsPréHiver=OUI,SUM(TotalOvinsAdultesRacesLaitières)*NbreJoursNourrirOvins,TotalBrebis*NbreJoursNourrirOvins))</f>
        <v>0</v>
      </c>
      <c r="DP201" s="351">
        <f t="array" ref="DP201">IF(ChoixRationComplèteOvins=OUI,0,IFERROR(IF(OR(AND(INDEX(Règles_ovins[Specificite],MATCH(ChoixRationOvins&amp;$DN201,Règles_ovins[Ration]&amp;Règles_ovins[Aliment],0))="s1",IF($DN201=Spécificité1Ovins,1)),
AND(INDEX(Règles_ovins[Specificite],MATCH(ChoixRationOvins&amp;$DN201,Règles_ovins[Ration]&amp;Règles_ovins[Aliment],0))="s2",IF($DN201=Spécificité2Ovins,1)),
INDEX(Règles_ovins[Specificite],MATCH(ChoixRationOvins&amp;$DN201,Règles_ovins[Ration]&amp;Règles_ovins[Aliment],0))="c"),
INDEX(Règles_ovins[Valeur 6-12],MATCH(ChoixRationOvins&amp;$DN201,Règles_ovins[Ration]&amp;Règles_ovins[Aliment],0)),0),0)*IF(ChoixOvinsPréHiver=OUI,SUM(TotalJeunesOvinsRacesLaitières)*NbreJoursNourrirOvins,TotalJeune_brebis_6_12_mois*NbreJoursNourrirOvins))</f>
        <v>0</v>
      </c>
      <c r="DQ201" s="351">
        <f t="array" ref="DQ201">IF(ChoixRationComplèteOvins=OUI,0,IFERROR(IF(OR(AND(INDEX(Règles_ovins[Specificite],MATCH(ChoixRationOvins&amp;$DN201,Règles_ovins[Ration]&amp;Règles_ovins[Aliment],0))="s1",IF($DN201=Spécificité1Ovins,1)),
AND(INDEX(Règles_ovins[Specificite],MATCH(ChoixRationOvins&amp;$DN201,Règles_ovins[Ration]&amp;Règles_ovins[Aliment],0))="s2",IF($DN201=Spécificité2Ovins,1)),
INDEX(Règles_ovins[Specificite],MATCH(ChoixRationOvins&amp;$DN201,Règles_ovins[Ration]&amp;Règles_ovins[Aliment],0))="c"),
INDEX(Règles_ovins[Valeur 3-6],MATCH(ChoixRationOvins&amp;$DN201,Règles_ovins[Ration]&amp;Règles_ovins[Aliment],0)),0),0)*IF(ChoixOvinsPréHiver=OUI,SUM(TotalOvins_3_6moisRacesLaitières)*NbreJoursNourrirOvins,TotalAgnelle_3_6_mois*NbreJoursNourrirOvins))</f>
        <v>0</v>
      </c>
      <c r="DR201" s="351">
        <f t="array" ref="DR201">IF(ChoixRationComplèteOvins=OUI,0,IFERROR(IF(OR(AND(INDEX(Règles_ovins[Specificite],MATCH(ChoixRationOvins&amp;$DN201,Règles_ovins[Ration]&amp;Règles_ovins[Aliment],0))="s1",IF($DN201=Spécificité1Ovins,1)),
AND(INDEX(Règles_ovins[Specificite],MATCH(ChoixRationOvins&amp;$DN201,Règles_ovins[Ration]&amp;Règles_ovins[Aliment],0))="s2",IF($DN201=Spécificité2Ovins,1)),
INDEX(Règles_ovins[Specificite],MATCH(ChoixRationOvins&amp;$DN201,Règles_ovins[Ration]&amp;Règles_ovins[Aliment],0))="c"),
INDEX(Règles_ovins[Valeur 0-3],MATCH(ChoixRationOvins&amp;$DN201,Règles_ovins[Ration]&amp;Règles_ovins[Aliment],0)),0),0)*IF(ChoixOvinsPréHiver=OUI,SUM(TotalOvins_3_6moisRacesLaitières)*NbreJoursNourrirOvins,TotalAgnelle_0_3_mois*NbreJoursNourrirOvins))</f>
        <v>0</v>
      </c>
      <c r="DS201" s="441">
        <f t="shared" si="60"/>
        <v>0</v>
      </c>
      <c r="EU201" s="335" t="s">
        <v>1195</v>
      </c>
      <c r="EV201" s="335"/>
      <c r="EW201" s="335"/>
      <c r="EX201" s="335"/>
      <c r="FD201" s="457" t="str">
        <f t="shared" si="65"/>
        <v>Bouchons luzerne</v>
      </c>
      <c r="FE201" s="458">
        <f t="array" ref="FE201">SUM((IF(QualitéAlimentsPoulainMâleTrait=BONNE,VLOOKUP("Bouchons luzerne",AlimentsRationEcurieChevauxMâlesTrait,5,FALSE),0)+(IF(QualitéAlimentsPoulainFemelleTrait=BONNE,VLOOKUP("Bouchons luzerne",AlimentsRationEcurieChevauxFemellesTrait,5,FALSE),0)+(IF(QualitéAlimentsJeuneEtalon_12_24_moisTrait=BONNE,VLOOKUP("Bouchons luzerne",AlimentsRationEcurieChevauxMâlesTrait,4,FALSE),0)+(IF(QualitéAlimentsJeuneJument_12_24_moisTrait=BONNE,VLOOKUP("Bouchons luzerne",AlimentsRationEcurieChevauxFemellesTrait,4,FALSE),0)+(IF(QualitéAlimentsJeuneEtalon_24_36_moisTrait=BONNE,VLOOKUP("Bouchons luzerne",AlimentsRationEcurieChevauxMâlesTrait,3,FALSE),0)+(IF(QualitéAlimentsJeuneJument_24_36_moisTrait=BONNE,VLOOKUP("Bouchons luzerne",AlimentsRationEcurieChevauxFemellesTrait,3,FALSE),0)+(IF(QualitéAlimentsEtalonTrait=BONNE,VLOOKUP("Bouchons luzerne",AlimentsRationEcurieChevauxMâlesTrait,2,FALSE),0)+(IF(QualitéAlimentsJumentTrait=BONNE,VLOOKUP("Bouchons luzerne",AlimentsRationEcurieChevauxFemellesTrait,2,FALSE),0))))))))))</f>
        <v>0</v>
      </c>
      <c r="FF201" s="458">
        <f t="array" ref="FF201">SUM((IF(QualitéAlimentsPoulainMâleTrait=MOYENNE,VLOOKUP("Bouchons luzerne",AlimentsRationEcurieChevauxMâlesTrait,5,FALSE),0)+(IF(QualitéAlimentsPoulainFemelleTrait=MOYENNE,VLOOKUP("Bouchons luzerne",AlimentsRationEcurieChevauxFemellesTrait,5,FALSE),0)+(IF(QualitéAlimentsJeuneEtalon_12_24_moisTrait=MOYENNE,VLOOKUP("Bouchons luzerne",AlimentsRationEcurieChevauxMâlesTrait,4,FALSE),0)+(IF(QualitéAlimentsJeuneJument_12_24_moisTrait=MOYENNE,VLOOKUP("Bouchons luzerne",AlimentsRationEcurieChevauxFemellesTrait,4,FALSE),0)+(IF(QualitéAlimentsJeuneEtalon_24_36_moisTrait=MOYENNE,VLOOKUP("Bouchons luzerne",AlimentsRationEcurieChevauxMâlesTrait,3,FALSE),0)+(IF(QualitéAlimentsJeuneJument_24_36_moisTrait=MOYENNE,VLOOKUP("Bouchons luzerne",AlimentsRationEcurieChevauxFemellesTrait,3,FALSE),0)+(IF(QualitéAlimentsEtalonTrait=MOYENNE,VLOOKUP("Bouchons luzerne",AlimentsRationEcurieChevauxMâlesTrait,2,FALSE),0)+(IF(QualitéAlimentsJumentTrait=MOYENNE,VLOOKUP("Bouchons luzerne",AlimentsRationEcurieChevauxFemellesTrait,2,FALSE),0))))))))))</f>
        <v>0</v>
      </c>
      <c r="FG201" s="458">
        <f t="array" ref="FG201">SUM((IF(QualitéAlimentsPoulainMâleTrait=MAUVAISE,VLOOKUP("Bouchons luzerne",AlimentsRationEcurieChevauxMâlesTrait,5,FALSE),0)+(IF(QualitéAlimentsPoulainFemelleTrait=MAUVAISE,VLOOKUP("Bouchons luzerne",AlimentsRationEcurieChevauxFemellesTrait,5,FALSE),0)+(IF(QualitéAlimentsJeuneEtalon_12_24_moisTrait=MAUVAISE,VLOOKUP("Bouchons luzerne",AlimentsRationEcurieChevauxMâlesTrait,4,FALSE),0)+(IF(QualitéAlimentsJeuneJument_12_24_moisTrait=MAUVAISE,VLOOKUP("Bouchons luzerne",AlimentsRationEcurieChevauxFemellesTrait,4,FALSE),0)+(IF(QualitéAlimentsJeuneEtalon_24_36_moisTrait=MAUVAISE,VLOOKUP("Bouchons luzerne",AlimentsRationEcurieChevauxMâlesTrait,3,FALSE),0)+(IF(QualitéAlimentsJeuneJument_24_36_moisTrait=MAUVAISE,VLOOKUP("Bouchons luzerne",AlimentsRationEcurieChevauxFemellesTrait,3,FALSE),0)+(IF(QualitéAlimentsEtalonTrait=MAUVAISE,VLOOKUP("Bouchons luzerne",AlimentsRationEcurieChevauxMâlesTrait,2,FALSE),0)+(IF(QualitéAlimentsJumentTrait=MAUVAISE,VLOOKUP("Bouchons luzerne",AlimentsRationEcurieChevauxFemellesTrait,2,FALSE),0))))))))))</f>
        <v>0</v>
      </c>
      <c r="FI201" s="276"/>
      <c r="FN201" s="457" t="str">
        <f t="shared" si="64"/>
        <v>Chanvre</v>
      </c>
      <c r="FO201" s="458">
        <f t="array" ref="FO201">SUM((IF(QualitéAlimentsPoulainMâlePoney=BONNE,VLOOKUP("Chanvre",AlimentsRationChevauxMâlesPoney,5,FALSE),0)+(IF(QualitéAlimentsPoulainFemellePoney=BONNE,VLOOKUP("Chanvre",AlimentsRationChevauxFemellesPoney,5,FALSE),0)+(IF(QualitéAlimentsJeuneEtalon_12_24_moisPoney=BONNE,VLOOKUP("Chanvre",AlimentsRationChevauxMâlesPoney,4,FALSE),0)+(IF(QualitéAlimentsJeuneJument_12_24_moisPoney=BONNE,VLOOKUP("Chanvre",AlimentsRationChevauxFemellesPoney,4,FALSE),0)+(IF(QualitéAlimentsJeuneEtalon_24_36_moisPoney=BONNE,VLOOKUP("Chanvre",AlimentsRationChevauxMâlesPoney,3,FALSE),0)+(IF(QualitéAlimentsJeuneJument_24_36_moisPoney=BONNE,VLOOKUP("Chanvre",AlimentsRationChevauxFemellesPoney,3,FALSE),0)+(IF(QualitéAlimentsEtalonPoney=BONNE,VLOOKUP("Chanvre",AlimentsRationChevauxMâlesPoney,2,FALSE),0)+(IF(QualitéAlimentsJumentPoney=BONNE,VLOOKUP("Chanvre",AlimentsRationChevauxFemellesPoney,2,FALSE),0))))))))))</f>
        <v>0</v>
      </c>
      <c r="FP201" s="458">
        <f t="array" ref="FP201">SUM((IF(QualitéAlimentsPoulainMâlePoney=MOYENNE,VLOOKUP("Chanvre",AlimentsRationChevauxMâlesPoney,5,FALSE),0)+(IF(QualitéAlimentsPoulainFemellePoney=MOYENNE,VLOOKUP("Chanvre",AlimentsRationChevauxFemellesPoney,5,FALSE),0)+(IF(QualitéAlimentsJeuneEtalon_12_24_moisPoney=MOYENNE,VLOOKUP("Chanvre",AlimentsRationChevauxMâlesPoney,4,FALSE),0)+(IF(QualitéAlimentsJeuneJument_12_24_moisPoney=MOYENNE,VLOOKUP("Chanvre",AlimentsRationChevauxFemellesPoney,4,FALSE),0)+(IF(QualitéAlimentsJeuneEtalon_24_36_moisPoney=MOYENNE,VLOOKUP("Chanvre",AlimentsRationChevauxMâlesPoney,3,FALSE),0)+(IF(QualitéAlimentsJeuneJument_24_36_moisPoney=MOYENNE,VLOOKUP("Chanvre",AlimentsRationChevauxFemellesPoney,3,FALSE),0)+(IF(QualitéAlimentsEtalonPoney=MOYENNE,VLOOKUP("Chanvre",AlimentsRationChevauxMâlesPoney,2,FALSE),0)+(IF(QualitéAlimentsJumentPoney=MOYENNE,VLOOKUP("Chanvre",AlimentsRationChevauxFemellesPoney,2,FALSE),0))))))))))</f>
        <v>0</v>
      </c>
      <c r="FQ201" s="458">
        <f t="array" ref="FQ201">SUM((IF(QualitéAlimentsPoulainMâlePoney=MAUVAISE,VLOOKUP("Chanvre",AlimentsRationChevauxMâlesPoney,5,FALSE),0)+(IF(QualitéAlimentsPoulainFemellePoney=MAUVAISE,VLOOKUP("Chanvre",AlimentsRationChevauxFemellesPoney,5,FALSE),0)+(IF(QualitéAlimentsJeuneEtalon_12_24_moisPoney=MAUVAISE,VLOOKUP("Chanvre",AlimentsRationChevauxMâlesPoney,4,FALSE),0)+(IF(QualitéAlimentsJeuneJument_12_24_moisPoney=MAUVAISE,VLOOKUP("Chanvre",AlimentsRationChevauxFemellesPoney,4,FALSE),0)+(IF(QualitéAlimentsJeuneEtalon_24_36_moisPoney=MAUVAISE,VLOOKUP("Chanvre",AlimentsRationChevauxMâlesPoney,3,FALSE),0)+(IF(QualitéAlimentsJeuneJument_24_36_moisPoney=MAUVAISE,VLOOKUP("Chanvre",AlimentsRationChevauxFemellesPoney,3,FALSE),0)+(IF(QualitéAlimentsEtalonPoney=MAUVAISE,VLOOKUP("Chanvre",AlimentsRationChevauxMâlesPoney,2,FALSE),0)+(IF(QualitéAlimentsJumentPoney=MAUVAISE,VLOOKUP("Chanvre",AlimentsRationChevauxFemellesPoney,2,FALSE),0))))))))))</f>
        <v>0</v>
      </c>
      <c r="FR201" s="281"/>
      <c r="FW201" s="281"/>
      <c r="FX201" s="281"/>
      <c r="FY201" s="281"/>
      <c r="FZ201" s="281"/>
      <c r="GB201" s="281"/>
      <c r="GG201" s="276" t="s">
        <v>955</v>
      </c>
      <c r="GH201" s="276" t="s">
        <v>955</v>
      </c>
      <c r="GI201" s="276" t="s">
        <v>955</v>
      </c>
      <c r="GJ201" s="276" t="s">
        <v>955</v>
      </c>
      <c r="GK201" s="276" t="s">
        <v>955</v>
      </c>
      <c r="GL201" s="276" t="s">
        <v>955</v>
      </c>
      <c r="GM201" s="276" t="s">
        <v>955</v>
      </c>
      <c r="GN201" s="276" t="s">
        <v>955</v>
      </c>
      <c r="GO201" s="276" t="s">
        <v>955</v>
      </c>
      <c r="GP201" s="276" t="s">
        <v>955</v>
      </c>
      <c r="GQ201" s="276" t="s">
        <v>955</v>
      </c>
      <c r="GR201" s="276" t="s">
        <v>955</v>
      </c>
      <c r="GS201" s="276" t="s">
        <v>955</v>
      </c>
      <c r="GT201" s="276" t="s">
        <v>955</v>
      </c>
      <c r="GU201" s="276" t="s">
        <v>955</v>
      </c>
      <c r="GV201" s="276" t="s">
        <v>955</v>
      </c>
    </row>
    <row r="202" spans="1:204" ht="12.75" customHeight="1" x14ac:dyDescent="0.2">
      <c r="BB202" s="350" t="s">
        <v>1167</v>
      </c>
      <c r="BC202" s="351">
        <f t="array" ref="BC202">IF(Ration_complète_bovins[somme]&gt;0,0,IFERROR(IF(OR(AND(INDEX(Règles_bovins[Specificite],MATCH(ChoixRationBovins&amp;$BB202,Règles_bovins[Ration]&amp;Règles_bovins[Aliment],0))="s1",IF($BB202=Spécificité1Bovins,1)),
AND(INDEX(Règles_bovins[Specificite],MATCH(ChoixRationBovins&amp;$BB202,Règles_bovins[Ration]&amp;Règles_bovins[Aliment],0))="s2",IF($BB202=Spécificité2Bovins,1)),
INDEX(Règles_bovins[Specificite],MATCH(ChoixRationBovins&amp;$BB202,Règles_bovins[Ration]&amp;Règles_bovins[Aliment],0))="c"),
INDEX(Règles_bovins[Valeur 36 et plus],MATCH(ChoixRationBovins&amp;$BB202,Règles_bovins[Ration]&amp;Règles_bovins[Aliment],0)),0),0)*IF(ChoixBovinsPréHiver=OUI,TotalTaureauxRacesLaitières,TotalTaureaux*NbreJoursNourrirBovins))</f>
        <v>0</v>
      </c>
      <c r="BD202" s="351">
        <f t="array" ref="BD202">IF(Ration_complète_bovins[somme]&gt;0,0,IFERROR(IF(OR(AND(INDEX(Règles_bovins[Specificite],MATCH(ChoixRationBovins&amp;$BB202,Règles_bovins[Ration]&amp;Règles_bovins[Aliment],0))="s1",IF($BB202=Spécificité1Bovins,1)),
AND(INDEX(Règles_bovins[Specificite],MATCH(ChoixRationBovins&amp;$BB202,Règles_bovins[Ration]&amp;Règles_bovins[Aliment],0))="s2",IF($BB202=Spécificité2Bovins,1)),
INDEX(Règles_bovins[Specificite],MATCH(ChoixRationBovins&amp;$BB202,Règles_bovins[Ration]&amp;Règles_bovins[Aliment],0))="c"),
INDEX(Règles_bovins[Valeur 24-36],MATCH(ChoixRationBovins&amp;$BB202,Règles_bovins[Ration]&amp;Règles_bovins[Aliment],0)),0),0)*IF(ChoixBovinsPréHiver=OUI,TotalTaurillon_24_36_RacesLaitières,TotalBovinsMâles_24_36mois*NbreJoursNourrirBovins))</f>
        <v>0</v>
      </c>
      <c r="BE202" s="351">
        <f t="array" ref="BE202">IF(Ration_complète_bovins[somme]&gt;0,0,IFERROR(IF(OR(AND(INDEX(Règles_bovins[Specificite],MATCH(ChoixRationBovins&amp;$BB202,Règles_bovins[Ration]&amp;Règles_bovins[Aliment],0))="s1",IF($BB202=Spécificité1Bovins,1)),
AND(INDEX(Règles_bovins[Specificite],MATCH(ChoixRationBovins&amp;$BB202,Règles_bovins[Ration]&amp;Règles_bovins[Aliment],0))="s2",IF($BB202=Spécificité2Bovins,1)),
INDEX(Règles_bovins[Specificite],MATCH(ChoixRationBovins&amp;$BB202,Règles_bovins[Ration]&amp;Règles_bovins[Aliment],0))="c"),
INDEX(Règles_bovins[Valeur 18-24],MATCH(ChoixRationBovins&amp;$BB202,Règles_bovins[Ration]&amp;Règles_bovins[Aliment],0)),0),0)*IF(ChoixBovinsPréHiver=OUI,TotalTaurillon_18_24_RacesLaitières,TotalBovinsMâles_18_24mois*NbreJoursNourrirBovins))</f>
        <v>0</v>
      </c>
      <c r="BF202" s="351">
        <f t="array" ref="BF202">IF(Ration_complète_bovins[somme]&gt;0,0,IFERROR(IF(OR(AND(INDEX(Règles_bovins[Specificite],MATCH(ChoixRationBovins&amp;$BB202,Règles_bovins[Ration]&amp;Règles_bovins[Aliment],0))="s1",IF($BB202=Spécificité1Bovins,1)),
AND(INDEX(Règles_bovins[Specificite],MATCH(ChoixRationBovins&amp;$BB202,Règles_bovins[Ration]&amp;Règles_bovins[Aliment],0))="s2",IF($BB202=Spécificité2Bovins,1)),
INDEX(Règles_bovins[Specificite],MATCH(ChoixRationBovins&amp;$BB202,Règles_bovins[Ration]&amp;Règles_bovins[Aliment],0))="c"),
INDEX(Règles_bovins[Valeur 12-18],MATCH(ChoixRationBovins&amp;$BB202,Règles_bovins[Ration]&amp;Règles_bovins[Aliment],0)),0),0)*IF(ChoixBovinsPréHiver=OUI,animaux!D25,TotalBovinsMâles_12_18mois*NbreJoursNourrirBovins))</f>
        <v>0</v>
      </c>
      <c r="BG202" s="351">
        <f t="array" ref="BG202">IF(Ration_complète_bovins[somme]&gt;0,0,IFERROR(IF(OR(AND(INDEX(Règles_bovins[Specificite],MATCH(ChoixRationBovins&amp;$BB202,Règles_bovins[Ration]&amp;Règles_bovins[Aliment],0))="s1",IF($BB202=Spécificité1Bovins,1)),
AND(INDEX(Règles_bovins[Specificite],MATCH(ChoixRationBovins&amp;$BB202,Règles_bovins[Ration]&amp;Règles_bovins[Aliment],0))="s2",IF($BB202=Spécificité2Bovins,1)),
INDEX(Règles_bovins[Specificite],MATCH(ChoixRationBovins&amp;$BB202,Règles_bovins[Ration]&amp;Règles_bovins[Aliment],0))="c"),
INDEX(Règles_bovins[Valeur 6-12],MATCH(ChoixRationBovins&amp;$BB202,Règles_bovins[Ration]&amp;Règles_bovins[Aliment],0)),0),0)*IF(ChoixBovinsPréHiver=OUI,TotalVeauMâle_6_12_RacesLaitières,TotalBovinsMâles_6_12mois*NbreJoursNourrirBovins))</f>
        <v>0</v>
      </c>
      <c r="BH202" s="351">
        <f t="array" ref="BH202">IF(Ration_complète_bovins[somme]&gt;0,0,IFERROR(IF(OR(AND(INDEX(Règles_bovins[Specificite],MATCH(ChoixRationBovins&amp;$BB202,Règles_bovins[Ration]&amp;Règles_bovins[Aliment],0))="s1",IF($BB202=Spécificité1Bovins,1)),
AND(INDEX(Règles_bovins[Specificite],MATCH(ChoixRationBovins&amp;$BB202,Règles_bovins[Ration]&amp;Règles_bovins[Aliment],0))="s2",IF($BB202=Spécificité2Bovins,1)),
INDEX(Règles_bovins[Specificite],MATCH(ChoixRationBovins&amp;$BB202,Règles_bovins[Ration]&amp;Règles_bovins[Aliment],0))="c"),
INDEX(Règles_bovins[Valeur 3-6],MATCH(ChoixRationBovins&amp;$BB202,Règles_bovins[Ration]&amp;Règles_bovins[Aliment],0)),0),0)*IF(ChoixBovinsPréHiver=OUI,TotalVeauMâle_3_6_RacesLaitières,TotalBovinsMâles_3_6mois*NbreJoursNourrirBovins))</f>
        <v>0</v>
      </c>
      <c r="BI202" s="351">
        <f t="array" ref="BI202">IF(Ration_complète_bovins[somme]&gt;0,0,IFERROR(IF(OR(AND(INDEX(Règles_bovins[Specificite],MATCH(ChoixRationBovins&amp;$BB202,Règles_bovins[Ration]&amp;Règles_bovins[Aliment],0))="s1",IF($BB202=Spécificité1Bovins,1)),
AND(INDEX(Règles_bovins[Specificite],MATCH(ChoixRationBovins&amp;$BB202,Règles_bovins[Ration]&amp;Règles_bovins[Aliment],0))="s2",IF($BB202=Spécificité2Bovins,1)),
INDEX(Règles_bovins[Specificite],MATCH(ChoixRationBovins&amp;$BB202,Règles_bovins[Ration]&amp;Règles_bovins[Aliment],0))="c"),
INDEX(Règles_bovins[Valeur 0-3],MATCH(ChoixRationBovins&amp;$BB202,Règles_bovins[Ration]&amp;Règles_bovins[Aliment],0)),0),0)*IF(ChoixBovinsPréHiver=OUI,TotalVeauMâle_0_3_RacesLaitières,TotalBovinsMâles_0_3mois*NbreJoursNourrirBovins))</f>
        <v>0</v>
      </c>
      <c r="BJ202" s="352">
        <f t="shared" si="62"/>
        <v>0</v>
      </c>
      <c r="BK202" s="276"/>
      <c r="BL202" s="276"/>
      <c r="BX202" s="350" t="str">
        <f t="shared" si="63"/>
        <v>Colza</v>
      </c>
      <c r="BY202" s="351">
        <f t="array" ref="BY202">SUM((IF(QualitéAlimentsChevreau_0_3_mois=BONNE,VLOOKUP("Colza",AlimentsRationCaprinsMâles,5,FALSE),0)+(IF(QualitéAlimentsChevrette_0_3_mois=BONNE,VLOOKUP("Colza",AlimentsRationCaprinsFemelles,5,FALSE),0)+(IF(QualitéAlimentsChevreau_3_6_mois=BONNE,VLOOKUP("Colza",AlimentsRationCaprinsMâles,4,FALSE),0)+(IF(QualitéAlimentsChevrette_3_6_mois=BONNE,VLOOKUP("Colza",AlimentsRationCaprinsFemelles,4,FALSE),0)+(IF(QualitéAlimentsJeuneBouc=BONNE,VLOOKUP("Colza",AlimentsRationCaprinsMâles,3,FALSE),0)+(IF(QualitéAlimentsJeuneChèvre=BONNE,VLOOKUP("Colza",AlimentsRationCaprinsFemelles,3,FALSE),0)+(IF(QualitéAlimentsBouc=BONNE,VLOOKUP("Colza",AlimentsRationCaprinsMâles,2,FALSE),0)+(IF(QualitéAlimentsChèvre=BONNE,VLOOKUP("Colza",AlimentsRationCaprinsFemelles,2,FALSE),0))))))))))</f>
        <v>0</v>
      </c>
      <c r="BZ202" s="351">
        <f t="array" ref="BZ202">SUM((IF(QualitéAlimentsChevreau_0_3_mois=MOYENNE,VLOOKUP("Colza",AlimentsRationCaprinsMâles,5,FALSE),0)+(IF(QualitéAlimentsChevrette_0_3_mois=MOYENNE,VLOOKUP("Colza",AlimentsRationCaprinsFemelles,5,FALSE),0)+(IF(QualitéAlimentsChevreau_3_6_mois=MOYENNE,VLOOKUP("Colza",AlimentsRationCaprinsMâles,4,FALSE),0)+(IF(QualitéAlimentsChevrette_3_6_mois=MOYENNE,VLOOKUP("Colza",AlimentsRationCaprinsFemelles,4,FALSE),0)+(IF(QualitéAlimentsJeuneBouc=MOYENNE,VLOOKUP("Colza",AlimentsRationCaprinsMâles,3,FALSE),0)+(IF(QualitéAlimentsJeuneChèvre=MOYENNE,VLOOKUP("Colza",AlimentsRationCaprinsFemelles,3,FALSE),0)+(IF(QualitéAlimentsBouc=MOYENNE,VLOOKUP("Colza",AlimentsRationCaprinsMâles,2,FALSE),0)+(IF(QualitéAlimentsChèvre=MOYENNE,VLOOKUP("Colza",AlimentsRationCaprinsFemelles,2,FALSE),0))))))))))</f>
        <v>0</v>
      </c>
      <c r="CA202" s="351">
        <f t="array" ref="CA202">SUM((IF(QualitéAlimentsChevreau_0_3_mois=MAUVAISE,VLOOKUP("Colza",AlimentsRationCaprinsMâles,5,FALSE),0)+(IF(QualitéAlimentsChevrette_0_3_mois=MAUVAISE,VLOOKUP("Colza",AlimentsRationCaprinsFemelles,5,FALSE),0)+(IF(QualitéAlimentsChevreau_3_6_mois=MAUVAISE,VLOOKUP("Colza",AlimentsRationCaprinsMâles,4,FALSE),0)+(IF(QualitéAlimentsChevrette_3_6_mois=MAUVAISE,VLOOKUP("Colza",AlimentsRationCaprinsFemelles,4,FALSE),0)+(IF(QualitéAlimentsJeuneBouc=MAUVAISE,VLOOKUP("Colza",AlimentsRationCaprinsMâles,3,FALSE),0)+(IF(QualitéAlimentsJeuneChèvre=MAUVAISE,VLOOKUP("Colza",AlimentsRationCaprinsFemelles,3,FALSE),0)+(IF(QualitéAlimentsBouc=MAUVAISE,VLOOKUP("Colza",AlimentsRationCaprinsMâles,2,FALSE),0)+(IF(QualitéAlimentsChèvre=MAUVAISE,VLOOKUP("Colza",AlimentsRationCaprinsFemelles,2,FALSE),0))))))))))</f>
        <v>0</v>
      </c>
      <c r="CB202" s="277"/>
      <c r="CC202" s="277"/>
      <c r="CD202" s="298"/>
      <c r="CE202" s="298"/>
      <c r="CF202" s="298"/>
      <c r="CG202" s="298"/>
      <c r="CH202" s="298"/>
      <c r="CI202" s="277"/>
      <c r="CK202" s="277"/>
      <c r="CL202" s="277"/>
      <c r="CM202" s="277"/>
      <c r="CN202" s="277"/>
      <c r="CO202" s="277"/>
      <c r="CP202" s="277"/>
      <c r="DN202" s="350" t="str">
        <f t="shared" si="61"/>
        <v>Ensilage d'herbe</v>
      </c>
      <c r="DO202" s="351">
        <f t="array" ref="DO202">IF(ChoixRationComplèteOvins=OUI,0,IFERROR(IF(OR(AND(INDEX(Règles_ovins[Specificite],MATCH(ChoixRationOvins&amp;$DN202,Règles_ovins[Ration]&amp;Règles_ovins[Aliment],0))="s1",IF($DN202=Spécificité1Ovins,1)),
AND(INDEX(Règles_ovins[Specificite],MATCH(ChoixRationOvins&amp;$DN202,Règles_ovins[Ration]&amp;Règles_ovins[Aliment],0))="s2",IF($DN202=Spécificité2Ovins,1)),
INDEX(Règles_ovins[Specificite],MATCH(ChoixRationOvins&amp;$DN202,Règles_ovins[Ration]&amp;Règles_ovins[Aliment],0))="c"),
INDEX(Règles_ovins[Valeur 12 et plus],MATCH(ChoixRationOvins&amp;$DN202,Règles_ovins[Ration]&amp;Règles_ovins[Aliment],0)),0),0)*IF(ChoixOvinsPréHiver=OUI,SUM(TotalOvinsAdultesRacesLaitières)*NbreJoursNourrirOvins,TotalBrebis*NbreJoursNourrirOvins))</f>
        <v>0</v>
      </c>
      <c r="DP202" s="351">
        <f t="array" ref="DP202">IF(ChoixRationComplèteOvins=OUI,0,IFERROR(IF(OR(AND(INDEX(Règles_ovins[Specificite],MATCH(ChoixRationOvins&amp;$DN202,Règles_ovins[Ration]&amp;Règles_ovins[Aliment],0))="s1",IF($DN202=Spécificité1Ovins,1)),
AND(INDEX(Règles_ovins[Specificite],MATCH(ChoixRationOvins&amp;$DN202,Règles_ovins[Ration]&amp;Règles_ovins[Aliment],0))="s2",IF($DN202=Spécificité2Ovins,1)),
INDEX(Règles_ovins[Specificite],MATCH(ChoixRationOvins&amp;$DN202,Règles_ovins[Ration]&amp;Règles_ovins[Aliment],0))="c"),
INDEX(Règles_ovins[Valeur 6-12],MATCH(ChoixRationOvins&amp;$DN202,Règles_ovins[Ration]&amp;Règles_ovins[Aliment],0)),0),0)*IF(ChoixOvinsPréHiver=OUI,SUM(TotalJeunesOvinsRacesLaitières)*NbreJoursNourrirOvins,TotalJeune_brebis_6_12_mois*NbreJoursNourrirOvins))</f>
        <v>0</v>
      </c>
      <c r="DQ202" s="351">
        <f t="array" ref="DQ202">IF(ChoixRationComplèteOvins=OUI,0,IFERROR(IF(OR(AND(INDEX(Règles_ovins[Specificite],MATCH(ChoixRationOvins&amp;$DN202,Règles_ovins[Ration]&amp;Règles_ovins[Aliment],0))="s1",IF($DN202=Spécificité1Ovins,1)),
AND(INDEX(Règles_ovins[Specificite],MATCH(ChoixRationOvins&amp;$DN202,Règles_ovins[Ration]&amp;Règles_ovins[Aliment],0))="s2",IF($DN202=Spécificité2Ovins,1)),
INDEX(Règles_ovins[Specificite],MATCH(ChoixRationOvins&amp;$DN202,Règles_ovins[Ration]&amp;Règles_ovins[Aliment],0))="c"),
INDEX(Règles_ovins[Valeur 3-6],MATCH(ChoixRationOvins&amp;$DN202,Règles_ovins[Ration]&amp;Règles_ovins[Aliment],0)),0),0)*IF(ChoixOvinsPréHiver=OUI,SUM(TotalOvins_3_6moisRacesLaitières)*NbreJoursNourrirOvins,TotalAgnelle_3_6_mois*NbreJoursNourrirOvins))</f>
        <v>0</v>
      </c>
      <c r="DR202" s="351">
        <f t="array" ref="DR202">IF(ChoixRationComplèteOvins=OUI,0,IFERROR(IF(OR(AND(INDEX(Règles_ovins[Specificite],MATCH(ChoixRationOvins&amp;$DN202,Règles_ovins[Ration]&amp;Règles_ovins[Aliment],0))="s1",IF($DN202=Spécificité1Ovins,1)),
AND(INDEX(Règles_ovins[Specificite],MATCH(ChoixRationOvins&amp;$DN202,Règles_ovins[Ration]&amp;Règles_ovins[Aliment],0))="s2",IF($DN202=Spécificité2Ovins,1)),
INDEX(Règles_ovins[Specificite],MATCH(ChoixRationOvins&amp;$DN202,Règles_ovins[Ration]&amp;Règles_ovins[Aliment],0))="c"),
INDEX(Règles_ovins[Valeur 0-3],MATCH(ChoixRationOvins&amp;$DN202,Règles_ovins[Ration]&amp;Règles_ovins[Aliment],0)),0),0)*IF(ChoixOvinsPréHiver=OUI,SUM(TotalOvins_3_6moisRacesLaitières)*NbreJoursNourrirOvins,TotalAgnelle_0_3_mois*NbreJoursNourrirOvins))</f>
        <v>0</v>
      </c>
      <c r="DS202" s="441">
        <f t="shared" si="60"/>
        <v>0</v>
      </c>
      <c r="EU202" s="455" t="s">
        <v>910</v>
      </c>
      <c r="EV202" s="456" t="s">
        <v>1192</v>
      </c>
      <c r="EW202" s="456" t="s">
        <v>1193</v>
      </c>
      <c r="EX202" s="456" t="s">
        <v>1194</v>
      </c>
      <c r="FD202" s="457" t="str">
        <f t="shared" si="65"/>
        <v>Chanvre</v>
      </c>
      <c r="FE202" s="458">
        <f t="array" ref="FE202">SUM((IF(QualitéAlimentsPoulainMâleTrait=BONNE,VLOOKUP("Chanvre",AlimentsRationEcurieChevauxMâlesTrait,5,FALSE),0)+(IF(QualitéAlimentsPoulainFemelleTrait=BONNE,VLOOKUP("Chanvre",AlimentsRationEcurieChevauxFemellesTrait,5,FALSE),0)+(IF(QualitéAlimentsJeuneEtalon_12_24_moisTrait=BONNE,VLOOKUP("Chanvre",AlimentsRationEcurieChevauxMâlesTrait,4,FALSE),0)+(IF(QualitéAlimentsJeuneJument_12_24_moisTrait=BONNE,VLOOKUP("Chanvre",AlimentsRationEcurieChevauxFemellesTrait,4,FALSE),0)+(IF(QualitéAlimentsJeuneEtalon_24_36_moisTrait=BONNE,VLOOKUP("Chanvre",AlimentsRationEcurieChevauxMâlesTrait,3,FALSE),0)+(IF(QualitéAlimentsJeuneJument_24_36_moisTrait=BONNE,VLOOKUP("Chanvre",AlimentsRationEcurieChevauxFemellesTrait,3,FALSE),0)+(IF(QualitéAlimentsEtalonTrait=BONNE,VLOOKUP("Chanvre",AlimentsRationEcurieChevauxMâlesTrait,2,FALSE),0)+(IF(QualitéAlimentsJumentTrait=BONNE,VLOOKUP("Chanvre",AlimentsRationEcurieChevauxFemellesTrait,2,FALSE),0))))))))))</f>
        <v>0</v>
      </c>
      <c r="FF202" s="458">
        <f t="array" ref="FF202">SUM((IF(QualitéAlimentsPoulainMâleTrait=MOYENNE,VLOOKUP("Chanvre",AlimentsRationEcurieChevauxMâlesTrait,5,FALSE),0)+(IF(QualitéAlimentsPoulainFemelleTrait=MOYENNE,VLOOKUP("Chanvre",AlimentsRationEcurieChevauxFemellesTrait,5,FALSE),0)+(IF(QualitéAlimentsJeuneEtalon_12_24_moisTrait=MOYENNE,VLOOKUP("Chanvre",AlimentsRationEcurieChevauxMâlesTrait,4,FALSE),0)+(IF(QualitéAlimentsJeuneJument_12_24_moisTrait=MOYENNE,VLOOKUP("Chanvre",AlimentsRationEcurieChevauxFemellesTrait,4,FALSE),0)+(IF(QualitéAlimentsJeuneEtalon_24_36_moisTrait=MOYENNE,VLOOKUP("Chanvre",AlimentsRationEcurieChevauxMâlesTrait,3,FALSE),0)+(IF(QualitéAlimentsJeuneJument_24_36_moisTrait=MOYENNE,VLOOKUP("Chanvre",AlimentsRationEcurieChevauxFemellesTrait,3,FALSE),0)+(IF(QualitéAlimentsEtalonTrait=MOYENNE,VLOOKUP("Chanvre",AlimentsRationEcurieChevauxMâlesTrait,2,FALSE),0)+(IF(QualitéAlimentsJumentTrait=MOYENNE,VLOOKUP("Chanvre",AlimentsRationEcurieChevauxFemellesTrait,2,FALSE),0))))))))))</f>
        <v>0</v>
      </c>
      <c r="FG202" s="458">
        <f t="array" ref="FG202">SUM((IF(QualitéAlimentsPoulainMâleTrait=MAUVAISE,VLOOKUP("Chanvre",AlimentsRationEcurieChevauxMâlesTrait,5,FALSE),0)+(IF(QualitéAlimentsPoulainFemelleTrait=MAUVAISE,VLOOKUP("Chanvre",AlimentsRationEcurieChevauxFemellesTrait,5,FALSE),0)+(IF(QualitéAlimentsJeuneEtalon_12_24_moisTrait=MAUVAISE,VLOOKUP("Chanvre",AlimentsRationEcurieChevauxMâlesTrait,4,FALSE),0)+(IF(QualitéAlimentsJeuneJument_12_24_moisTrait=MAUVAISE,VLOOKUP("Chanvre",AlimentsRationEcurieChevauxFemellesTrait,4,FALSE),0)+(IF(QualitéAlimentsJeuneEtalon_24_36_moisTrait=MAUVAISE,VLOOKUP("Chanvre",AlimentsRationEcurieChevauxMâlesTrait,3,FALSE),0)+(IF(QualitéAlimentsJeuneJument_24_36_moisTrait=MAUVAISE,VLOOKUP("Chanvre",AlimentsRationEcurieChevauxFemellesTrait,3,FALSE),0)+(IF(QualitéAlimentsEtalonTrait=MAUVAISE,VLOOKUP("Chanvre",AlimentsRationEcurieChevauxMâlesTrait,2,FALSE),0)+(IF(QualitéAlimentsJumentTrait=MAUVAISE,VLOOKUP("Chanvre",AlimentsRationEcurieChevauxFemellesTrait,2,FALSE),0))))))))))</f>
        <v>0</v>
      </c>
      <c r="FI202" s="276"/>
      <c r="FN202" s="457" t="str">
        <f t="shared" si="64"/>
        <v>Canola</v>
      </c>
      <c r="FO202" s="458">
        <f t="array" ref="FO202">SUM((IF(QualitéAlimentsPoulainMâlePoney=BONNE,VLOOKUP("Canola",AlimentsRationChevauxMâlesPoney,5,FALSE),0)+(IF(QualitéAlimentsPoulainFemellePoney=BONNE,VLOOKUP("Canola",AlimentsRationChevauxFemellesPoney,5,FALSE),0)+(IF(QualitéAlimentsJeuneEtalon_12_24_moisPoney=BONNE,VLOOKUP("Canola",AlimentsRationChevauxMâlesPoney,4,FALSE),0)+(IF(QualitéAlimentsJeuneJument_12_24_moisPoney=BONNE,VLOOKUP("Canola",AlimentsRationChevauxFemellesPoney,4,FALSE),0)+(IF(QualitéAlimentsJeuneEtalon_24_36_moisPoney=BONNE,VLOOKUP("Canola",AlimentsRationChevauxMâlesPoney,3,FALSE),0)+(IF(QualitéAlimentsJeuneJument_24_36_moisPoney=BONNE,VLOOKUP("Canola",AlimentsRationChevauxFemellesPoney,3,FALSE),0)+(IF(QualitéAlimentsEtalonPoney=BONNE,VLOOKUP("Canola",AlimentsRationChevauxMâlesPoney,2,FALSE),0)+(IF(QualitéAlimentsJumentPoney=BONNE,VLOOKUP("Canola",AlimentsRationChevauxFemellesPoney,2,FALSE),0))))))))))</f>
        <v>0</v>
      </c>
      <c r="FP202" s="458">
        <f t="array" ref="FP202">SUM((IF(QualitéAlimentsPoulainMâlePoney=MOYENNE,VLOOKUP("Canola",AlimentsRationChevauxMâlesPoney,5,FALSE),0)+(IF(QualitéAlimentsPoulainFemellePoney=MOYENNE,VLOOKUP("Canola",AlimentsRationChevauxFemellesPoney,5,FALSE),0)+(IF(QualitéAlimentsJeuneEtalon_12_24_moisPoney=MOYENNE,VLOOKUP("Canola",AlimentsRationChevauxMâlesPoney,4,FALSE),0)+(IF(QualitéAlimentsJeuneJument_12_24_moisPoney=MOYENNE,VLOOKUP("Canola",AlimentsRationChevauxFemellesPoney,4,FALSE),0)+(IF(QualitéAlimentsJeuneEtalon_24_36_moisPoney=MOYENNE,VLOOKUP("Canola",AlimentsRationChevauxMâlesPoney,3,FALSE),0)+(IF(QualitéAlimentsJeuneJument_24_36_moisPoney=MOYENNE,VLOOKUP("Canola",AlimentsRationChevauxFemellesPoney,3,FALSE),0)+(IF(QualitéAlimentsEtalonPoney=MOYENNE,VLOOKUP("Canola",AlimentsRationChevauxMâlesPoney,2,FALSE),0)+(IF(QualitéAlimentsJumentPoney=MOYENNE,VLOOKUP("Canola",AlimentsRationChevauxFemellesPoney,2,FALSE),0))))))))))</f>
        <v>0</v>
      </c>
      <c r="FQ202" s="458">
        <f t="array" ref="FQ202">SUM((IF(QualitéAlimentsPoulainMâlePoney=MAUVAISE,VLOOKUP("Canola",AlimentsRationChevauxMâlesPoney,5,FALSE),0)+(IF(QualitéAlimentsPoulainFemellePoney=MAUVAISE,VLOOKUP("Canola",AlimentsRationChevauxFemellesPoney,5,FALSE),0)+(IF(QualitéAlimentsJeuneEtalon_12_24_moisPoney=MAUVAISE,VLOOKUP("Canola",AlimentsRationChevauxMâlesPoney,4,FALSE),0)+(IF(QualitéAlimentsJeuneJument_12_24_moisPoney=MAUVAISE,VLOOKUP("Canola",AlimentsRationChevauxFemellesPoney,4,FALSE),0)+(IF(QualitéAlimentsJeuneEtalon_24_36_moisPoney=MAUVAISE,VLOOKUP("Canola",AlimentsRationChevauxMâlesPoney,3,FALSE),0)+(IF(QualitéAlimentsJeuneJument_24_36_moisPoney=MAUVAISE,VLOOKUP("Canola",AlimentsRationChevauxFemellesPoney,3,FALSE),0)+(IF(QualitéAlimentsEtalonPoney=MAUVAISE,VLOOKUP("Canola",AlimentsRationChevauxMâlesPoney,2,FALSE),0)+(IF(QualitéAlimentsJumentPoney=MAUVAISE,VLOOKUP("Canola",AlimentsRationChevauxFemellesPoney,2,FALSE),0))))))))))</f>
        <v>0</v>
      </c>
      <c r="FR202" s="281"/>
      <c r="FW202" s="281"/>
      <c r="FX202" s="281"/>
      <c r="FY202" s="281"/>
      <c r="FZ202" s="281"/>
      <c r="GB202" s="281"/>
      <c r="GG202" s="276" t="s">
        <v>955</v>
      </c>
      <c r="GH202" s="276" t="s">
        <v>955</v>
      </c>
      <c r="GI202" s="276" t="s">
        <v>955</v>
      </c>
      <c r="GJ202" s="276" t="s">
        <v>955</v>
      </c>
      <c r="GK202" s="276" t="s">
        <v>955</v>
      </c>
      <c r="GL202" s="276" t="s">
        <v>955</v>
      </c>
      <c r="GM202" s="276" t="s">
        <v>955</v>
      </c>
      <c r="GN202" s="276" t="s">
        <v>955</v>
      </c>
      <c r="GO202" s="276" t="s">
        <v>955</v>
      </c>
      <c r="GP202" s="276" t="s">
        <v>955</v>
      </c>
      <c r="GQ202" s="276" t="s">
        <v>955</v>
      </c>
      <c r="GR202" s="276" t="s">
        <v>955</v>
      </c>
      <c r="GS202" s="276" t="s">
        <v>955</v>
      </c>
      <c r="GT202" s="276" t="s">
        <v>955</v>
      </c>
      <c r="GU202" s="276" t="s">
        <v>955</v>
      </c>
      <c r="GV202" s="276" t="s">
        <v>955</v>
      </c>
    </row>
    <row r="203" spans="1:204" ht="12.75" customHeight="1" x14ac:dyDescent="0.2">
      <c r="BB203" s="350" t="s">
        <v>1165</v>
      </c>
      <c r="BC203" s="351">
        <f t="array" ref="BC203">IF(Ration_complète_bovins[somme]&gt;0,0,IFERROR(IF(OR(AND(INDEX(Règles_bovins[Specificite],MATCH(ChoixRationBovins&amp;$BB203,Règles_bovins[Ration]&amp;Règles_bovins[Aliment],0))="s1",IF($BB203=Spécificité1Bovins,1)),
AND(INDEX(Règles_bovins[Specificite],MATCH(ChoixRationBovins&amp;$BB203,Règles_bovins[Ration]&amp;Règles_bovins[Aliment],0))="s2",IF($BB203=Spécificité2Bovins,1)),
INDEX(Règles_bovins[Specificite],MATCH(ChoixRationBovins&amp;$BB203,Règles_bovins[Ration]&amp;Règles_bovins[Aliment],0))="c"),
INDEX(Règles_bovins[Valeur 36 et plus],MATCH(ChoixRationBovins&amp;$BB203,Règles_bovins[Ration]&amp;Règles_bovins[Aliment],0)),0),0)*IF(ChoixBovinsPréHiver=OUI,TotalTaureauxRacesLaitières,TotalTaureaux*NbreJoursNourrirBovins))</f>
        <v>0</v>
      </c>
      <c r="BD203" s="351">
        <f t="array" ref="BD203">IF(Ration_complète_bovins[somme]&gt;0,0,IFERROR(IF(OR(AND(INDEX(Règles_bovins[Specificite],MATCH(ChoixRationBovins&amp;$BB203,Règles_bovins[Ration]&amp;Règles_bovins[Aliment],0))="s1",IF($BB203=Spécificité1Bovins,1)),
AND(INDEX(Règles_bovins[Specificite],MATCH(ChoixRationBovins&amp;$BB203,Règles_bovins[Ration]&amp;Règles_bovins[Aliment],0))="s2",IF($BB203=Spécificité2Bovins,1)),
INDEX(Règles_bovins[Specificite],MATCH(ChoixRationBovins&amp;$BB203,Règles_bovins[Ration]&amp;Règles_bovins[Aliment],0))="c"),
INDEX(Règles_bovins[Valeur 24-36],MATCH(ChoixRationBovins&amp;$BB203,Règles_bovins[Ration]&amp;Règles_bovins[Aliment],0)),0),0)*IF(ChoixBovinsPréHiver=OUI,TotalTaurillon_24_36_RacesLaitières,TotalBovinsMâles_24_36mois*NbreJoursNourrirBovins))</f>
        <v>0</v>
      </c>
      <c r="BE203" s="351">
        <f t="array" ref="BE203">IF(Ration_complète_bovins[somme]&gt;0,0,IFERROR(IF(OR(AND(INDEX(Règles_bovins[Specificite],MATCH(ChoixRationBovins&amp;$BB203,Règles_bovins[Ration]&amp;Règles_bovins[Aliment],0))="s1",IF($BB203=Spécificité1Bovins,1)),
AND(INDEX(Règles_bovins[Specificite],MATCH(ChoixRationBovins&amp;$BB203,Règles_bovins[Ration]&amp;Règles_bovins[Aliment],0))="s2",IF($BB203=Spécificité2Bovins,1)),
INDEX(Règles_bovins[Specificite],MATCH(ChoixRationBovins&amp;$BB203,Règles_bovins[Ration]&amp;Règles_bovins[Aliment],0))="c"),
INDEX(Règles_bovins[Valeur 18-24],MATCH(ChoixRationBovins&amp;$BB203,Règles_bovins[Ration]&amp;Règles_bovins[Aliment],0)),0),0)*IF(ChoixBovinsPréHiver=OUI,TotalTaurillon_18_24_RacesLaitières,TotalBovinsMâles_18_24mois*NbreJoursNourrirBovins))</f>
        <v>0</v>
      </c>
      <c r="BF203" s="351">
        <f t="array" ref="BF203">IF(Ration_complète_bovins[somme]&gt;0,0,IFERROR(IF(OR(AND(INDEX(Règles_bovins[Specificite],MATCH(ChoixRationBovins&amp;$BB203,Règles_bovins[Ration]&amp;Règles_bovins[Aliment],0))="s1",IF($BB203=Spécificité1Bovins,1)),
AND(INDEX(Règles_bovins[Specificite],MATCH(ChoixRationBovins&amp;$BB203,Règles_bovins[Ration]&amp;Règles_bovins[Aliment],0))="s2",IF($BB203=Spécificité2Bovins,1)),
INDEX(Règles_bovins[Specificite],MATCH(ChoixRationBovins&amp;$BB203,Règles_bovins[Ration]&amp;Règles_bovins[Aliment],0))="c"),
INDEX(Règles_bovins[Valeur 12-18],MATCH(ChoixRationBovins&amp;$BB203,Règles_bovins[Ration]&amp;Règles_bovins[Aliment],0)),0),0)*IF(ChoixBovinsPréHiver=OUI,animaux!D26,TotalBovinsMâles_12_18mois*NbreJoursNourrirBovins))</f>
        <v>0</v>
      </c>
      <c r="BG203" s="351">
        <f t="array" ref="BG203">IF(Ration_complète_bovins[somme]&gt;0,0,IFERROR(IF(OR(AND(INDEX(Règles_bovins[Specificite],MATCH(ChoixRationBovins&amp;$BB203,Règles_bovins[Ration]&amp;Règles_bovins[Aliment],0))="s1",IF($BB203=Spécificité1Bovins,1)),
AND(INDEX(Règles_bovins[Specificite],MATCH(ChoixRationBovins&amp;$BB203,Règles_bovins[Ration]&amp;Règles_bovins[Aliment],0))="s2",IF($BB203=Spécificité2Bovins,1)),
INDEX(Règles_bovins[Specificite],MATCH(ChoixRationBovins&amp;$BB203,Règles_bovins[Ration]&amp;Règles_bovins[Aliment],0))="c"),
INDEX(Règles_bovins[Valeur 6-12],MATCH(ChoixRationBovins&amp;$BB203,Règles_bovins[Ration]&amp;Règles_bovins[Aliment],0)),0),0)*IF(ChoixBovinsPréHiver=OUI,TotalVeauMâle_6_12_RacesLaitières,TotalBovinsMâles_6_12mois*NbreJoursNourrirBovins))</f>
        <v>0</v>
      </c>
      <c r="BH203" s="351">
        <f t="array" ref="BH203">IF(Ration_complète_bovins[somme]&gt;0,0,IFERROR(IF(OR(AND(INDEX(Règles_bovins[Specificite],MATCH(ChoixRationBovins&amp;$BB203,Règles_bovins[Ration]&amp;Règles_bovins[Aliment],0))="s1",IF($BB203=Spécificité1Bovins,1)),
AND(INDEX(Règles_bovins[Specificite],MATCH(ChoixRationBovins&amp;$BB203,Règles_bovins[Ration]&amp;Règles_bovins[Aliment],0))="s2",IF($BB203=Spécificité2Bovins,1)),
INDEX(Règles_bovins[Specificite],MATCH(ChoixRationBovins&amp;$BB203,Règles_bovins[Ration]&amp;Règles_bovins[Aliment],0))="c"),
INDEX(Règles_bovins[Valeur 3-6],MATCH(ChoixRationBovins&amp;$BB203,Règles_bovins[Ration]&amp;Règles_bovins[Aliment],0)),0),0)*IF(ChoixBovinsPréHiver=OUI,TotalVeauMâle_3_6_RacesLaitières,TotalBovinsMâles_3_6mois*NbreJoursNourrirBovins))</f>
        <v>0</v>
      </c>
      <c r="BI203" s="351">
        <f t="array" ref="BI203">IF(Ration_complète_bovins[somme]&gt;0,0,IFERROR(IF(OR(AND(INDEX(Règles_bovins[Specificite],MATCH(ChoixRationBovins&amp;$BB203,Règles_bovins[Ration]&amp;Règles_bovins[Aliment],0))="s1",IF($BB203=Spécificité1Bovins,1)),
AND(INDEX(Règles_bovins[Specificite],MATCH(ChoixRationBovins&amp;$BB203,Règles_bovins[Ration]&amp;Règles_bovins[Aliment],0))="s2",IF($BB203=Spécificité2Bovins,1)),
INDEX(Règles_bovins[Specificite],MATCH(ChoixRationBovins&amp;$BB203,Règles_bovins[Ration]&amp;Règles_bovins[Aliment],0))="c"),
INDEX(Règles_bovins[Valeur 0-3],MATCH(ChoixRationBovins&amp;$BB203,Règles_bovins[Ration]&amp;Règles_bovins[Aliment],0)),0),0)*IF(ChoixBovinsPréHiver=OUI,TotalVeauMâle_0_3_RacesLaitières,TotalBovinsMâles_0_3mois*NbreJoursNourrirBovins))</f>
        <v>0</v>
      </c>
      <c r="BJ203" s="352">
        <f t="shared" si="62"/>
        <v>0</v>
      </c>
      <c r="BK203" s="276"/>
      <c r="BL203" s="276"/>
      <c r="BX203" s="350" t="str">
        <f t="shared" si="63"/>
        <v>concentré jeunes bovins</v>
      </c>
      <c r="BY203" s="351">
        <f t="array" ref="BY203">SUM((IF(QualitéAlimentsChevreau_0_3_mois=BONNE,VLOOKUP("Concentré jeunes bovins",AlimentsRationCaprinsMâles,5,FALSE),0)+(IF(QualitéAlimentsChevrette_0_3_mois=BONNE,VLOOKUP("Concentré jeunes bovins",AlimentsRationCaprinsFemelles,5,FALSE),0)+(IF(QualitéAlimentsChevreau_3_6_mois=BONNE,VLOOKUP("Concentré jeunes bovins",AlimentsRationCaprinsMâles,4,FALSE),0)+(IF(QualitéAlimentsChevrette_3_6_mois=BONNE,VLOOKUP("Concentré jeunes bovins",AlimentsRationCaprinsFemelles,4,FALSE),0)+(IF(QualitéAlimentsJeuneBouc=BONNE,VLOOKUP("Concentré jeunes bovins",AlimentsRationCaprinsMâles,3,FALSE),0)+(IF(QualitéAlimentsJeuneChèvre=BONNE,VLOOKUP("Concentré jeunes bovins",AlimentsRationCaprinsFemelles,3,FALSE),0)+(IF(QualitéAlimentsBouc=BONNE,VLOOKUP("Concentré jeunes bovins",AlimentsRationCaprinsMâles,2,FALSE),0)+(IF(QualitéAlimentsChèvre=BONNE,VLOOKUP("Concentré jeunes bovins",AlimentsRationCaprinsFemelles,2,FALSE),0))))))))))</f>
        <v>0</v>
      </c>
      <c r="BZ203" s="351">
        <f t="array" ref="BZ203">SUM((IF(QualitéAlimentsChevreau_0_3_mois=MOYENNE,VLOOKUP("Concentré jeunes bovins",AlimentsRationCaprinsMâles,5,FALSE),0)+(IF(QualitéAlimentsChevrette_0_3_mois=MOYENNE,VLOOKUP("Concentré jeunes bovins",AlimentsRationCaprinsFemelles,5,FALSE),0)+(IF(QualitéAlimentsChevreau_3_6_mois=MOYENNE,VLOOKUP("Concentré jeunes bovins",AlimentsRationCaprinsMâles,4,FALSE),0)+(IF(QualitéAlimentsChevrette_3_6_mois=MOYENNE,VLOOKUP("Concentré jeunes bovins",AlimentsRationCaprinsFemelles,4,FALSE),0)+(IF(QualitéAlimentsJeuneBouc=MOYENNE,VLOOKUP("Concentré jeunes bovins",AlimentsRationCaprinsMâles,3,FALSE),0)+(IF(QualitéAlimentsJeuneChèvre=MOYENNE,VLOOKUP("Concentré jeunes bovins",AlimentsRationCaprinsFemelles,3,FALSE),0)+(IF(QualitéAlimentsBouc=MOYENNE,VLOOKUP("Concentré jeunes bovins",AlimentsRationCaprinsMâles,2,FALSE),0)+(IF(QualitéAlimentsChèvre=MOYENNE,VLOOKUP("Concentré jeunes bovins",AlimentsRationCaprinsFemelles,2,FALSE),0))))))))))</f>
        <v>0</v>
      </c>
      <c r="CA203" s="351">
        <f t="array" ref="CA203">SUM((IF(QualitéAlimentsChevreau_0_3_mois=MAUVAISE,VLOOKUP("Concentré jeunes bovins",AlimentsRationCaprinsMâles,5,FALSE),0)+(IF(QualitéAlimentsChevrette_0_3_mois=MAUVAISE,VLOOKUP("Concentré jeunes bovins",AlimentsRationCaprinsFemelles,5,FALSE),0)+(IF(QualitéAlimentsChevreau_3_6_mois=MAUVAISE,VLOOKUP("Concentré jeunes bovins",AlimentsRationCaprinsMâles,4,FALSE),0)+(IF(QualitéAlimentsChevrette_3_6_mois=MAUVAISE,VLOOKUP("Concentré jeunes bovins",AlimentsRationCaprinsFemelles,4,FALSE),0)+(IF(QualitéAlimentsJeuneBouc=MAUVAISE,VLOOKUP("Concentré jeunes bovins",AlimentsRationCaprinsMâles,3,FALSE),0)+(IF(QualitéAlimentsJeuneChèvre=MAUVAISE,VLOOKUP("Concentré jeunes bovins",AlimentsRationCaprinsFemelles,3,FALSE),0)+(IF(QualitéAlimentsBouc=MAUVAISE,VLOOKUP("Concentré jeunes bovins",AlimentsRationCaprinsMâles,2,FALSE),0)+(IF(QualitéAlimentsChèvre=MAUVAISE,VLOOKUP("Concentré jeunes bovins",AlimentsRationCaprinsFemelles,2,FALSE),0))))))))))</f>
        <v>0</v>
      </c>
      <c r="CB203" s="277"/>
      <c r="CC203" s="277"/>
      <c r="CD203" s="298"/>
      <c r="CE203" s="298"/>
      <c r="CF203" s="298"/>
      <c r="CG203" s="298"/>
      <c r="CH203" s="298"/>
      <c r="CI203" s="277"/>
      <c r="CK203" s="277"/>
      <c r="CL203" s="277"/>
      <c r="CM203" s="277"/>
      <c r="CN203" s="277"/>
      <c r="CO203" s="277"/>
      <c r="CP203" s="277"/>
      <c r="DN203" s="350" t="str">
        <f t="shared" si="61"/>
        <v>Eau</v>
      </c>
      <c r="DO203" s="351">
        <f t="array" ref="DO203">IF(ChoixRationComplèteOvins=OUI,0,IFERROR(IF(OR(AND(INDEX(Règles_ovins[Specificite],MATCH(ChoixRationOvins&amp;$DN203,Règles_ovins[Ration]&amp;Règles_ovins[Aliment],0))="s1",IF($DN203=Spécificité1Ovins,1)),
AND(INDEX(Règles_ovins[Specificite],MATCH(ChoixRationOvins&amp;$DN203,Règles_ovins[Ration]&amp;Règles_ovins[Aliment],0))="s2",IF($DN203=Spécificité2Ovins,1)),
INDEX(Règles_ovins[Specificite],MATCH(ChoixRationOvins&amp;$DN203,Règles_ovins[Ration]&amp;Règles_ovins[Aliment],0))="c"),
INDEX(Règles_ovins[Valeur 12 et plus],MATCH(ChoixRationOvins&amp;$DN203,Règles_ovins[Ration]&amp;Règles_ovins[Aliment],0)),0),0)*IF(ChoixOvinsPréHiver=OUI,SUM(TotalOvinsAdultesRacesLaitières)*NbreJoursNourrirOvins,TotalBrebis*NbreJoursNourrirOvins))</f>
        <v>0</v>
      </c>
      <c r="DP203" s="351">
        <f t="array" ref="DP203">IF(ChoixRationComplèteOvins=OUI,0,IFERROR(IF(OR(AND(INDEX(Règles_ovins[Specificite],MATCH(ChoixRationOvins&amp;$DN203,Règles_ovins[Ration]&amp;Règles_ovins[Aliment],0))="s1",IF($DN203=Spécificité1Ovins,1)),
AND(INDEX(Règles_ovins[Specificite],MATCH(ChoixRationOvins&amp;$DN203,Règles_ovins[Ration]&amp;Règles_ovins[Aliment],0))="s2",IF($DN203=Spécificité2Ovins,1)),
INDEX(Règles_ovins[Specificite],MATCH(ChoixRationOvins&amp;$DN203,Règles_ovins[Ration]&amp;Règles_ovins[Aliment],0))="c"),
INDEX(Règles_ovins[Valeur 6-12],MATCH(ChoixRationOvins&amp;$DN203,Règles_ovins[Ration]&amp;Règles_ovins[Aliment],0)),0),0)*IF(ChoixOvinsPréHiver=OUI,SUM(TotalJeunesOvinsRacesLaitières)*NbreJoursNourrirOvins,TotalJeune_brebis_6_12_mois*NbreJoursNourrirOvins))</f>
        <v>0</v>
      </c>
      <c r="DQ203" s="351">
        <f t="array" ref="DQ203">IF(ChoixRationComplèteOvins=OUI,0,IFERROR(IF(OR(AND(INDEX(Règles_ovins[Specificite],MATCH(ChoixRationOvins&amp;$DN203,Règles_ovins[Ration]&amp;Règles_ovins[Aliment],0))="s1",IF($DN203=Spécificité1Ovins,1)),
AND(INDEX(Règles_ovins[Specificite],MATCH(ChoixRationOvins&amp;$DN203,Règles_ovins[Ration]&amp;Règles_ovins[Aliment],0))="s2",IF($DN203=Spécificité2Ovins,1)),
INDEX(Règles_ovins[Specificite],MATCH(ChoixRationOvins&amp;$DN203,Règles_ovins[Ration]&amp;Règles_ovins[Aliment],0))="c"),
INDEX(Règles_ovins[Valeur 3-6],MATCH(ChoixRationOvins&amp;$DN203,Règles_ovins[Ration]&amp;Règles_ovins[Aliment],0)),0),0)*IF(ChoixOvinsPréHiver=OUI,SUM(TotalOvins_3_6moisRacesLaitières)*NbreJoursNourrirOvins,TotalAgnelle_3_6_mois*NbreJoursNourrirOvins))</f>
        <v>0</v>
      </c>
      <c r="DR203" s="351">
        <f t="array" ref="DR203">IF(ChoixRationComplèteOvins=OUI,0,IFERROR(IF(OR(AND(INDEX(Règles_ovins[Specificite],MATCH(ChoixRationOvins&amp;$DN203,Règles_ovins[Ration]&amp;Règles_ovins[Aliment],0))="s1",IF($DN203=Spécificité1Ovins,1)),
AND(INDEX(Règles_ovins[Specificite],MATCH(ChoixRationOvins&amp;$DN203,Règles_ovins[Ration]&amp;Règles_ovins[Aliment],0))="s2",IF($DN203=Spécificité2Ovins,1)),
INDEX(Règles_ovins[Specificite],MATCH(ChoixRationOvins&amp;$DN203,Règles_ovins[Ration]&amp;Règles_ovins[Aliment],0))="c"),
INDEX(Règles_ovins[Valeur 0-3],MATCH(ChoixRationOvins&amp;$DN203,Règles_ovins[Ration]&amp;Règles_ovins[Aliment],0)),0),0)*IF(ChoixOvinsPréHiver=OUI,SUM(TotalOvins_3_6moisRacesLaitières)*NbreJoursNourrirOvins,TotalAgnelle_0_3_mois*NbreJoursNourrirOvins))</f>
        <v>0</v>
      </c>
      <c r="DS203" s="441">
        <f t="shared" si="60"/>
        <v>0</v>
      </c>
      <c r="EU203" s="457" t="str">
        <f>EU60</f>
        <v>Avoine</v>
      </c>
      <c r="EV203" s="458">
        <f t="array" ref="EV203">SUM((IF(QualitéAlimentsPoulainSelleMâle=BONNE,VLOOKUP("Avoine",AlimentsRationEcurieChevauxMâlesSelle,5,FALSE),0)+(IF(QualitéAlimentsPoulainSelleFemelle=BONNE,VLOOKUP("Avoine",AlimentsRationEcurieChevauxFemellesSelle,5,FALSE),0)+(IF(QualitéAlimentsJeuneEtalon_12_24_moisSelle=BONNE,VLOOKUP("Avoine",AlimentsRationEcurieChevauxMâlesSelle,4,FALSE),0)+(IF(QualitéAlimentsJeuneJument_12_24_moisSelle=BONNE,VLOOKUP("Avoine",AlimentsRationEcurieChevauxFemellesSelle,4,FALSE),0)+(IF(QualitéAlimentsJeuneEtalon_24_36_moisSelle=BONNE,VLOOKUP("Avoine",AlimentsRationEcurieChevauxMâlesSelle,3,FALSE),0)+(IF(QualitéAlimentsJeuneJument_24_36_moisSelle=BONNE,VLOOKUP("Avoine",AlimentsRationEcurieChevauxFemellesSelle,3,FALSE),0)+(IF(QualitéAlimentsEtalonSelle=BONNE,VLOOKUP("Avoine",AlimentsRationEcurieChevauxMâlesSelle,2,FALSE),0)+(IF(QualitéAlimentsJumentSelle=BONNE,VLOOKUP("Avoine",AlimentsRationEcurieChevauxFemellesSelle,2,FALSE),0))))))))))</f>
        <v>0</v>
      </c>
      <c r="EW203" s="458">
        <f t="array" ref="EW203">SUM((IF(QualitéAlimentsPoulainSelleMâle=MOYENNE,VLOOKUP("Avoine",AlimentsRationEcurieChevauxMâlesSelle,5,FALSE),0)+(IF(QualitéAlimentsPoulainSelleFemelle=MOYENNE,VLOOKUP("Avoine",AlimentsRationEcurieChevauxFemellesSelle,5,FALSE),0)+(IF(QualitéAlimentsJeuneEtalon_12_24_moisSelle=MOYENNE,VLOOKUP("Avoine",AlimentsRationEcurieChevauxMâlesSelle,4,FALSE),0)+(IF(QualitéAlimentsJeuneJument_12_24_moisSelle=MOYENNE,VLOOKUP("Avoine",AlimentsRationEcurieChevauxFemellesSelle,4,FALSE),0)+(IF(QualitéAlimentsJeuneEtalon_24_36_moisSelle=MOYENNE,VLOOKUP("Avoine",AlimentsRationEcurieChevauxMâlesSelle,3,FALSE),0)+(IF(QualitéAlimentsJeuneJument_24_36_moisSelle=MOYENNE,VLOOKUP("Avoine",AlimentsRationEcurieChevauxFemellesSelle,3,FALSE),0)+(IF(QualitéAlimentsEtalonSelle=MOYENNE,VLOOKUP("Avoine",AlimentsRationEcurieChevauxMâlesSelle,2,FALSE),0)+(IF(QualitéAlimentsJumentSelle=MOYENNE,VLOOKUP("Avoine",AlimentsRationEcurieChevauxFemellesSelle,2,FALSE),0))))))))))</f>
        <v>0</v>
      </c>
      <c r="EX203" s="458">
        <f t="array" ref="EX203">SUM((IF(QualitéAlimentsPoulainSelleMâle=MAUVAISE,VLOOKUP("Avoine",AlimentsRationEcurieChevauxMâlesSelle,5,FALSE),0)+(IF(QualitéAlimentsPoulainSelleFemelle=MAUVAISE,VLOOKUP("Avoine",AlimentsRationEcurieChevauxFemellesSelle,5,FALSE),0)+(IF(QualitéAlimentsJeuneEtalon_12_24_moisSelle=MAUVAISE,VLOOKUP("Avoine",AlimentsRationEcurieChevauxMâlesSelle,4,FALSE),0)+(IF(QualitéAlimentsJeuneJument_12_24_moisSelle=MAUVAISE,VLOOKUP("Avoine",AlimentsRationEcurieChevauxFemellesSelle,4,FALSE),0)+(IF(QualitéAlimentsJeuneEtalon_24_36_moisSelle=MAUVAISE,VLOOKUP("Avoine",AlimentsRationEcurieChevauxMâlesSelle,3,FALSE),0)+(IF(QualitéAlimentsJeuneJument_24_36_moisSelle=MAUVAISE,VLOOKUP("Avoine",AlimentsRationEcurieChevauxFemellesSelle,3,FALSE),0)+(IF(QualitéAlimentsEtalonSelle=MAUVAISE,VLOOKUP("Avoine",AlimentsRationEcurieChevauxMâlesSelle,2,FALSE),0)+(IF(QualitéAlimentsJumentSelle=MAUVAISE,VLOOKUP("Avoine",AlimentsRationEcurieChevauxFemellesSelle,2,FALSE),0))))))))))</f>
        <v>0</v>
      </c>
      <c r="FD203" s="457" t="str">
        <f t="shared" si="65"/>
        <v>Canola</v>
      </c>
      <c r="FE203" s="458">
        <f t="array" ref="FE203">SUM((IF(QualitéAlimentsPoulainMâleTrait=BONNE,VLOOKUP("Canola",AlimentsRationEcurieChevauxMâlesTrait,5,FALSE),0)+(IF(QualitéAlimentsPoulainFemelleTrait=BONNE,VLOOKUP("Canola",AlimentsRationEcurieChevauxFemellesTrait,5,FALSE),0)+(IF(QualitéAlimentsJeuneEtalon_12_24_moisTrait=BONNE,VLOOKUP("Canola",AlimentsRationEcurieChevauxMâlesTrait,4,FALSE),0)+(IF(QualitéAlimentsJeuneJument_12_24_moisTrait=BONNE,VLOOKUP("Canola",AlimentsRationEcurieChevauxFemellesTrait,4,FALSE),0)+(IF(QualitéAlimentsJeuneEtalon_24_36_moisTrait=BONNE,VLOOKUP("Canola",AlimentsRationEcurieChevauxMâlesTrait,3,FALSE),0)+(IF(QualitéAlimentsJeuneJument_24_36_moisTrait=BONNE,VLOOKUP("Canola",AlimentsRationEcurieChevauxFemellesTrait,3,FALSE),0)+(IF(QualitéAlimentsEtalonTrait=BONNE,VLOOKUP("Canola",AlimentsRationEcurieChevauxMâlesTrait,2,FALSE),0)+(IF(QualitéAlimentsJumentTrait=BONNE,VLOOKUP("Canola",AlimentsRationEcurieChevauxFemellesTrait,2,FALSE),0))))))))))</f>
        <v>0</v>
      </c>
      <c r="FF203" s="458">
        <f t="array" ref="FF203">SUM((IF(QualitéAlimentsPoulainMâleTrait=MOYENNE,VLOOKUP("Canola",AlimentsRationEcurieChevauxMâlesTrait,5,FALSE),0)+(IF(QualitéAlimentsPoulainFemelleTrait=MOYENNE,VLOOKUP("Canola",AlimentsRationEcurieChevauxFemellesTrait,5,FALSE),0)+(IF(QualitéAlimentsJeuneEtalon_12_24_moisTrait=MOYENNE,VLOOKUP("Canola",AlimentsRationEcurieChevauxMâlesTrait,4,FALSE),0)+(IF(QualitéAlimentsJeuneJument_12_24_moisTrait=MOYENNE,VLOOKUP("Canola",AlimentsRationEcurieChevauxFemellesTrait,4,FALSE),0)+(IF(QualitéAlimentsJeuneEtalon_24_36_moisTrait=MOYENNE,VLOOKUP("Canola",AlimentsRationEcurieChevauxMâlesTrait,3,FALSE),0)+(IF(QualitéAlimentsJeuneJument_24_36_moisTrait=MOYENNE,VLOOKUP("Canola",AlimentsRationEcurieChevauxFemellesTrait,3,FALSE),0)+(IF(QualitéAlimentsEtalonTrait=MOYENNE,VLOOKUP("Canola",AlimentsRationEcurieChevauxMâlesTrait,2,FALSE),0)+(IF(QualitéAlimentsJumentTrait=MOYENNE,VLOOKUP("Canola",AlimentsRationEcurieChevauxFemellesTrait,2,FALSE),0))))))))))</f>
        <v>0</v>
      </c>
      <c r="FG203" s="458">
        <f t="array" ref="FG203">SUM((IF(QualitéAlimentsPoulainMâleTrait=MAUVAISE,VLOOKUP("Canola",AlimentsRationEcurieChevauxMâlesTrait,5,FALSE),0)+(IF(QualitéAlimentsPoulainFemelleTrait=MAUVAISE,VLOOKUP("Canola",AlimentsRationEcurieChevauxFemellesTrait,5,FALSE),0)+(IF(QualitéAlimentsJeuneEtalon_12_24_moisTrait=MAUVAISE,VLOOKUP("Canola",AlimentsRationEcurieChevauxMâlesTrait,4,FALSE),0)+(IF(QualitéAlimentsJeuneJument_12_24_moisTrait=MAUVAISE,VLOOKUP("Canola",AlimentsRationEcurieChevauxFemellesTrait,4,FALSE),0)+(IF(QualitéAlimentsJeuneEtalon_24_36_moisTrait=MAUVAISE,VLOOKUP("Canola",AlimentsRationEcurieChevauxMâlesTrait,3,FALSE),0)+(IF(QualitéAlimentsJeuneJument_24_36_moisTrait=MAUVAISE,VLOOKUP("Canola",AlimentsRationEcurieChevauxFemellesTrait,3,FALSE),0)+(IF(QualitéAlimentsEtalonTrait=MAUVAISE,VLOOKUP("Canola",AlimentsRationEcurieChevauxMâlesTrait,2,FALSE),0)+(IF(QualitéAlimentsJumentTrait=MAUVAISE,VLOOKUP("Canola",AlimentsRationEcurieChevauxFemellesTrait,2,FALSE),0))))))))))</f>
        <v>0</v>
      </c>
      <c r="FI203" s="276"/>
      <c r="FN203" s="457" t="str">
        <f t="shared" si="64"/>
        <v>Colza</v>
      </c>
      <c r="FO203" s="458">
        <f t="array" ref="FO203">SUM((IF(QualitéAlimentsPoulainMâlePoney=BONNE,VLOOKUP("Colza",AlimentsRationChevauxMâlesPoney,5,FALSE),0)+(IF(QualitéAlimentsPoulainFemellePoney=BONNE,VLOOKUP("Colza",AlimentsRationChevauxFemellesPoney,5,FALSE),0)+(IF(QualitéAlimentsJeuneEtalon_12_24_moisPoney=BONNE,VLOOKUP("Colza",AlimentsRationChevauxMâlesPoney,4,FALSE),0)+(IF(QualitéAlimentsJeuneJument_12_24_moisPoney=BONNE,VLOOKUP("Colza",AlimentsRationChevauxFemellesPoney,4,FALSE),0)+(IF(QualitéAlimentsJeuneEtalon_24_36_moisPoney=BONNE,VLOOKUP("Colza",AlimentsRationChevauxMâlesPoney,3,FALSE),0)+(IF(QualitéAlimentsJeuneJument_24_36_moisPoney=BONNE,VLOOKUP("Colza",AlimentsRationChevauxFemellesPoney,3,FALSE),0)+(IF(QualitéAlimentsEtalonPoney=BONNE,VLOOKUP("Colza",AlimentsRationChevauxMâlesPoney,2,FALSE),0)+(IF(QualitéAlimentsJumentPoney=BONNE,VLOOKUP("Colza",AlimentsRationChevauxFemellesPoney,2,FALSE),0))))))))))</f>
        <v>0</v>
      </c>
      <c r="FP203" s="458">
        <f t="array" ref="FP203">SUM((IF(QualitéAlimentsPoulainMâlePoney=MOYENNE,VLOOKUP("Colza",AlimentsRationChevauxMâlesPoney,5,FALSE),0)+(IF(QualitéAlimentsPoulainFemellePoney=MOYENNE,VLOOKUP("Colza",AlimentsRationChevauxFemellesPoney,5,FALSE),0)+(IF(QualitéAlimentsJeuneEtalon_12_24_moisPoney=MOYENNE,VLOOKUP("Colza",AlimentsRationChevauxMâlesPoney,4,FALSE),0)+(IF(QualitéAlimentsJeuneJument_12_24_moisPoney=MOYENNE,VLOOKUP("Colza",AlimentsRationChevauxFemellesPoney,4,FALSE),0)+(IF(QualitéAlimentsJeuneEtalon_24_36_moisPoney=MOYENNE,VLOOKUP("Colza",AlimentsRationChevauxMâlesPoney,3,FALSE),0)+(IF(QualitéAlimentsJeuneJument_24_36_moisPoney=MOYENNE,VLOOKUP("Colza",AlimentsRationChevauxFemellesPoney,3,FALSE),0)+(IF(QualitéAlimentsEtalonPoney=MOYENNE,VLOOKUP("Colza",AlimentsRationChevauxMâlesPoney,2,FALSE),0)+(IF(QualitéAlimentsJumentPoney=MOYENNE,VLOOKUP("Colza",AlimentsRationChevauxFemellesPoney,2,FALSE),0))))))))))</f>
        <v>0</v>
      </c>
      <c r="FQ203" s="458">
        <f t="array" ref="FQ203">SUM((IF(QualitéAlimentsPoulainMâlePoney=MAUVAISE,VLOOKUP("Colza",AlimentsRationChevauxMâlesPoney,5,FALSE),0)+(IF(QualitéAlimentsPoulainFemellePoney=MAUVAISE,VLOOKUP("Colza",AlimentsRationChevauxFemellesPoney,5,FALSE),0)+(IF(QualitéAlimentsJeuneEtalon_12_24_moisPoney=MAUVAISE,VLOOKUP("Colza",AlimentsRationChevauxMâlesPoney,4,FALSE),0)+(IF(QualitéAlimentsJeuneJument_12_24_moisPoney=MAUVAISE,VLOOKUP("Colza",AlimentsRationChevauxFemellesPoney,4,FALSE),0)+(IF(QualitéAlimentsJeuneEtalon_24_36_moisPoney=MAUVAISE,VLOOKUP("Colza",AlimentsRationChevauxMâlesPoney,3,FALSE),0)+(IF(QualitéAlimentsJeuneJument_24_36_moisPoney=MAUVAISE,VLOOKUP("Colza",AlimentsRationChevauxFemellesPoney,3,FALSE),0)+(IF(QualitéAlimentsEtalonPoney=MAUVAISE,VLOOKUP("Colza",AlimentsRationChevauxMâlesPoney,2,FALSE),0)+(IF(QualitéAlimentsJumentPoney=MAUVAISE,VLOOKUP("Colza",AlimentsRationChevauxFemellesPoney,2,FALSE),0))))))))))</f>
        <v>0</v>
      </c>
      <c r="FR203" s="281"/>
      <c r="FW203" s="281"/>
      <c r="FX203" s="281"/>
      <c r="FY203" s="281"/>
      <c r="FZ203" s="281"/>
      <c r="GB203" s="281"/>
      <c r="GG203" s="276" t="s">
        <v>955</v>
      </c>
      <c r="GH203" s="276" t="s">
        <v>955</v>
      </c>
      <c r="GI203" s="276" t="s">
        <v>955</v>
      </c>
      <c r="GJ203" s="276" t="s">
        <v>955</v>
      </c>
      <c r="GK203" s="276" t="s">
        <v>955</v>
      </c>
      <c r="GL203" s="276" t="s">
        <v>955</v>
      </c>
      <c r="GM203" s="276" t="s">
        <v>955</v>
      </c>
      <c r="GN203" s="276" t="s">
        <v>955</v>
      </c>
      <c r="GO203" s="276" t="s">
        <v>955</v>
      </c>
      <c r="GP203" s="276" t="s">
        <v>955</v>
      </c>
      <c r="GQ203" s="276" t="s">
        <v>955</v>
      </c>
      <c r="GR203" s="276" t="s">
        <v>955</v>
      </c>
      <c r="GS203" s="276" t="s">
        <v>955</v>
      </c>
      <c r="GT203" s="276" t="s">
        <v>955</v>
      </c>
      <c r="GU203" s="276" t="s">
        <v>955</v>
      </c>
      <c r="GV203" s="276" t="s">
        <v>955</v>
      </c>
    </row>
    <row r="204" spans="1:204" ht="12.75" customHeight="1" x14ac:dyDescent="0.2">
      <c r="BB204" s="350" t="s">
        <v>513</v>
      </c>
      <c r="BC204" s="351">
        <f t="array" ref="BC204">IF(Ration_complète_bovins[somme]&gt;0,0,IFERROR(IF(OR(AND(INDEX(Règles_bovins[Specificite],MATCH(ChoixRationBovins&amp;$BB204,Règles_bovins[Ration]&amp;Règles_bovins[Aliment],0))="s1",IF($BB204=Spécificité1Bovins,1)),
AND(INDEX(Règles_bovins[Specificite],MATCH(ChoixRationBovins&amp;$BB204,Règles_bovins[Ration]&amp;Règles_bovins[Aliment],0))="s2",IF($BB204=Spécificité2Bovins,1)),
INDEX(Règles_bovins[Specificite],MATCH(ChoixRationBovins&amp;$BB204,Règles_bovins[Ration]&amp;Règles_bovins[Aliment],0))="c"),
INDEX(Règles_bovins[Valeur 36 et plus],MATCH(ChoixRationBovins&amp;$BB204,Règles_bovins[Ration]&amp;Règles_bovins[Aliment],0)),0),0)*IF(ChoixBovinsPréHiver=OUI,TotalTaureauxRacesLaitières,TotalTaureaux*NbreJoursNourrirBovins))</f>
        <v>0</v>
      </c>
      <c r="BD204" s="351">
        <f t="array" ref="BD204">IF(Ration_complète_bovins[somme]&gt;0,0,IFERROR(IF(OR(AND(INDEX(Règles_bovins[Specificite],MATCH(ChoixRationBovins&amp;$BB204,Règles_bovins[Ration]&amp;Règles_bovins[Aliment],0))="s1",IF($BB204=Spécificité1Bovins,1)),
AND(INDEX(Règles_bovins[Specificite],MATCH(ChoixRationBovins&amp;$BB204,Règles_bovins[Ration]&amp;Règles_bovins[Aliment],0))="s2",IF($BB204=Spécificité2Bovins,1)),
INDEX(Règles_bovins[Specificite],MATCH(ChoixRationBovins&amp;$BB204,Règles_bovins[Ration]&amp;Règles_bovins[Aliment],0))="c"),
INDEX(Règles_bovins[Valeur 24-36],MATCH(ChoixRationBovins&amp;$BB204,Règles_bovins[Ration]&amp;Règles_bovins[Aliment],0)),0),0)*IF(ChoixBovinsPréHiver=OUI,TotalTaurillon_24_36_RacesLaitières,TotalBovinsMâles_24_36mois*NbreJoursNourrirBovins))</f>
        <v>0</v>
      </c>
      <c r="BE204" s="351">
        <f t="array" ref="BE204">IF(Ration_complète_bovins[somme]&gt;0,0,IFERROR(IF(OR(AND(INDEX(Règles_bovins[Specificite],MATCH(ChoixRationBovins&amp;$BB204,Règles_bovins[Ration]&amp;Règles_bovins[Aliment],0))="s1",IF($BB204=Spécificité1Bovins,1)),
AND(INDEX(Règles_bovins[Specificite],MATCH(ChoixRationBovins&amp;$BB204,Règles_bovins[Ration]&amp;Règles_bovins[Aliment],0))="s2",IF($BB204=Spécificité2Bovins,1)),
INDEX(Règles_bovins[Specificite],MATCH(ChoixRationBovins&amp;$BB204,Règles_bovins[Ration]&amp;Règles_bovins[Aliment],0))="c"),
INDEX(Règles_bovins[Valeur 18-24],MATCH(ChoixRationBovins&amp;$BB204,Règles_bovins[Ration]&amp;Règles_bovins[Aliment],0)),0),0)*IF(ChoixBovinsPréHiver=OUI,TotalTaurillon_18_24_RacesLaitières,TotalBovinsMâles_18_24mois*NbreJoursNourrirBovins))</f>
        <v>0</v>
      </c>
      <c r="BF204" s="351">
        <f t="array" ref="BF204">IF(Ration_complète_bovins[somme]&gt;0,0,IFERROR(IF(OR(AND(INDEX(Règles_bovins[Specificite],MATCH(ChoixRationBovins&amp;$BB204,Règles_bovins[Ration]&amp;Règles_bovins[Aliment],0))="s1",IF($BB204=Spécificité1Bovins,1)),
AND(INDEX(Règles_bovins[Specificite],MATCH(ChoixRationBovins&amp;$BB204,Règles_bovins[Ration]&amp;Règles_bovins[Aliment],0))="s2",IF($BB204=Spécificité2Bovins,1)),
INDEX(Règles_bovins[Specificite],MATCH(ChoixRationBovins&amp;$BB204,Règles_bovins[Ration]&amp;Règles_bovins[Aliment],0))="c"),
INDEX(Règles_bovins[Valeur 12-18],MATCH(ChoixRationBovins&amp;$BB204,Règles_bovins[Ration]&amp;Règles_bovins[Aliment],0)),0),0)*IF(ChoixBovinsPréHiver=OUI,animaux!D27,TotalBovinsMâles_12_18mois*NbreJoursNourrirBovins))</f>
        <v>0</v>
      </c>
      <c r="BG204" s="351">
        <f t="array" ref="BG204">IF(Ration_complète_bovins[somme]&gt;0,0,IFERROR(IF(OR(AND(INDEX(Règles_bovins[Specificite],MATCH(ChoixRationBovins&amp;$BB204,Règles_bovins[Ration]&amp;Règles_bovins[Aliment],0))="s1",IF($BB204=Spécificité1Bovins,1)),
AND(INDEX(Règles_bovins[Specificite],MATCH(ChoixRationBovins&amp;$BB204,Règles_bovins[Ration]&amp;Règles_bovins[Aliment],0))="s2",IF($BB204=Spécificité2Bovins,1)),
INDEX(Règles_bovins[Specificite],MATCH(ChoixRationBovins&amp;$BB204,Règles_bovins[Ration]&amp;Règles_bovins[Aliment],0))="c"),
INDEX(Règles_bovins[Valeur 6-12],MATCH(ChoixRationBovins&amp;$BB204,Règles_bovins[Ration]&amp;Règles_bovins[Aliment],0)),0),0)*IF(ChoixBovinsPréHiver=OUI,TotalVeauMâle_6_12_RacesLaitières,TotalBovinsMâles_6_12mois*NbreJoursNourrirBovins))</f>
        <v>0</v>
      </c>
      <c r="BH204" s="351">
        <f t="array" ref="BH204">IF(Ration_complète_bovins[somme]&gt;0,0,IFERROR(IF(OR(AND(INDEX(Règles_bovins[Specificite],MATCH(ChoixRationBovins&amp;$BB204,Règles_bovins[Ration]&amp;Règles_bovins[Aliment],0))="s1",IF($BB204=Spécificité1Bovins,1)),
AND(INDEX(Règles_bovins[Specificite],MATCH(ChoixRationBovins&amp;$BB204,Règles_bovins[Ration]&amp;Règles_bovins[Aliment],0))="s2",IF($BB204=Spécificité2Bovins,1)),
INDEX(Règles_bovins[Specificite],MATCH(ChoixRationBovins&amp;$BB204,Règles_bovins[Ration]&amp;Règles_bovins[Aliment],0))="c"),
INDEX(Règles_bovins[Valeur 3-6],MATCH(ChoixRationBovins&amp;$BB204,Règles_bovins[Ration]&amp;Règles_bovins[Aliment],0)),0),0)*IF(ChoixBovinsPréHiver=OUI,TotalVeauMâle_3_6_RacesLaitières,TotalBovinsMâles_3_6mois*NbreJoursNourrirBovins))</f>
        <v>0</v>
      </c>
      <c r="BI204" s="351">
        <f t="array" ref="BI204">IF(Ration_complète_bovins[somme]&gt;0,0,IFERROR(IF(OR(AND(INDEX(Règles_bovins[Specificite],MATCH(ChoixRationBovins&amp;$BB204,Règles_bovins[Ration]&amp;Règles_bovins[Aliment],0))="s1",IF($BB204=Spécificité1Bovins,1)),
AND(INDEX(Règles_bovins[Specificite],MATCH(ChoixRationBovins&amp;$BB204,Règles_bovins[Ration]&amp;Règles_bovins[Aliment],0))="s2",IF($BB204=Spécificité2Bovins,1)),
INDEX(Règles_bovins[Specificite],MATCH(ChoixRationBovins&amp;$BB204,Règles_bovins[Ration]&amp;Règles_bovins[Aliment],0))="c"),
INDEX(Règles_bovins[Valeur 0-3],MATCH(ChoixRationBovins&amp;$BB204,Règles_bovins[Ration]&amp;Règles_bovins[Aliment],0)),0),0)*IF(ChoixBovinsPréHiver=OUI,TotalVeauMâle_0_3_RacesLaitières,TotalBovinsMâles_0_3mois*NbreJoursNourrirBovins))</f>
        <v>0</v>
      </c>
      <c r="BJ204" s="352">
        <f t="shared" si="62"/>
        <v>0</v>
      </c>
      <c r="BK204" s="276"/>
      <c r="BL204" s="276"/>
      <c r="BX204" s="350" t="str">
        <f t="shared" si="63"/>
        <v>concentré jeunes lapins</v>
      </c>
      <c r="BY204" s="351">
        <f t="array" ref="BY204">SUM((IF(QualitéAlimentsChevreau_0_3_mois=BONNE,VLOOKUP("Concentré jeunes lapins",AlimentsRationCaprinsMâles,5,FALSE),0)+(IF(QualitéAlimentsChevrette_0_3_mois=BONNE,VLOOKUP("Concentré jeunes lapins",AlimentsRationCaprinsFemelles,5,FALSE),0)+(IF(QualitéAlimentsChevreau_3_6_mois=BONNE,VLOOKUP("Concentré jeunes lapins",AlimentsRationCaprinsMâles,4,FALSE),0)+(IF(QualitéAlimentsChevrette_3_6_mois=BONNE,VLOOKUP("Concentré jeunes lapins",AlimentsRationCaprinsFemelles,4,FALSE),0)+(IF(QualitéAlimentsJeuneBouc=BONNE,VLOOKUP("Concentré jeunes lapins",AlimentsRationCaprinsMâles,3,FALSE),0)+(IF(QualitéAlimentsJeuneChèvre=BONNE,VLOOKUP("Concentré jeunes lapins",AlimentsRationCaprinsFemelles,3,FALSE),0)+(IF(QualitéAlimentsBouc=BONNE,VLOOKUP("Concentré jeunes lapins",AlimentsRationCaprinsMâles,2,FALSE),0)+(IF(QualitéAlimentsChèvre=BONNE,VLOOKUP("Concentré jeunes lapins",AlimentsRationCaprinsFemelles,2,FALSE),0))))))))))</f>
        <v>0</v>
      </c>
      <c r="BZ204" s="351">
        <f t="array" ref="BZ204">SUM((IF(QualitéAlimentsChevreau_0_3_mois=MOYENNE,VLOOKUP("Concentré jeunes lapins",AlimentsRationCaprinsMâles,5,FALSE),0)+(IF(QualitéAlimentsChevrette_0_3_mois=MOYENNE,VLOOKUP("Concentré jeunes lapins",AlimentsRationCaprinsFemelles,5,FALSE),0)+(IF(QualitéAlimentsChevreau_3_6_mois=MOYENNE,VLOOKUP("Concentré jeunes lapins",AlimentsRationCaprinsMâles,4,FALSE),0)+(IF(QualitéAlimentsChevrette_3_6_mois=MOYENNE,VLOOKUP("Concentré jeunes lapins",AlimentsRationCaprinsFemelles,4,FALSE),0)+(IF(QualitéAlimentsJeuneBouc=MOYENNE,VLOOKUP("Concentré jeunes lapins",AlimentsRationCaprinsMâles,3,FALSE),0)+(IF(QualitéAlimentsJeuneChèvre=MOYENNE,VLOOKUP("Concentré jeunes lapins",AlimentsRationCaprinsFemelles,3,FALSE),0)+(IF(QualitéAlimentsBouc=MOYENNE,VLOOKUP("Concentré jeunes lapins",AlimentsRationCaprinsMâles,2,FALSE),0)+(IF(QualitéAlimentsChèvre=MOYENNE,VLOOKUP("Concentré jeunes lapins",AlimentsRationCaprinsFemelles,2,FALSE),0))))))))))</f>
        <v>0</v>
      </c>
      <c r="CA204" s="351">
        <f t="array" ref="CA204">SUM((IF(QualitéAlimentsChevreau_0_3_mois=MAUVAISE,VLOOKUP("Concentré jeunes lapins",AlimentsRationCaprinsMâles,5,FALSE),0)+(IF(QualitéAlimentsChevrette_0_3_mois=MAUVAISE,VLOOKUP("Concentré jeunes lapins",AlimentsRationCaprinsFemelles,5,FALSE),0)+(IF(QualitéAlimentsChevreau_3_6_mois=MAUVAISE,VLOOKUP("Concentré jeunes lapins",AlimentsRationCaprinsMâles,4,FALSE),0)+(IF(QualitéAlimentsChevrette_3_6_mois=MAUVAISE,VLOOKUP("Concentré jeunes lapins",AlimentsRationCaprinsFemelles,4,FALSE),0)+(IF(QualitéAlimentsJeuneBouc=MAUVAISE,VLOOKUP("Concentré jeunes lapins",AlimentsRationCaprinsMâles,3,FALSE),0)+(IF(QualitéAlimentsJeuneChèvre=MAUVAISE,VLOOKUP("Concentré jeunes lapins",AlimentsRationCaprinsFemelles,3,FALSE),0)+(IF(QualitéAlimentsBouc=MAUVAISE,VLOOKUP("Concentré jeunes lapins",AlimentsRationCaprinsMâles,2,FALSE),0)+(IF(QualitéAlimentsChèvre=MAUVAISE,VLOOKUP("Concentré jeunes lapins",AlimentsRationCaprinsFemelles,2,FALSE),0))))))))))</f>
        <v>0</v>
      </c>
      <c r="CB204" s="277"/>
      <c r="CC204" s="277"/>
      <c r="CD204" s="298"/>
      <c r="CE204" s="298"/>
      <c r="CF204" s="298"/>
      <c r="CG204" s="298"/>
      <c r="CH204" s="298"/>
      <c r="CI204" s="277"/>
      <c r="CK204" s="277"/>
      <c r="CL204" s="277"/>
      <c r="CM204" s="277"/>
      <c r="CN204" s="277"/>
      <c r="CO204" s="277"/>
      <c r="CP204" s="277"/>
      <c r="DN204" s="350" t="str">
        <f t="shared" si="61"/>
        <v>Epinard</v>
      </c>
      <c r="DO204" s="351">
        <f t="array" ref="DO204">IF(ChoixRationComplèteOvins=OUI,0,IFERROR(IF(OR(AND(INDEX(Règles_ovins[Specificite],MATCH(ChoixRationOvins&amp;$DN204,Règles_ovins[Ration]&amp;Règles_ovins[Aliment],0))="s1",IF($DN204=Spécificité1Ovins,1)),
AND(INDEX(Règles_ovins[Specificite],MATCH(ChoixRationOvins&amp;$DN204,Règles_ovins[Ration]&amp;Règles_ovins[Aliment],0))="s2",IF($DN204=Spécificité2Ovins,1)),
INDEX(Règles_ovins[Specificite],MATCH(ChoixRationOvins&amp;$DN204,Règles_ovins[Ration]&amp;Règles_ovins[Aliment],0))="c"),
INDEX(Règles_ovins[Valeur 12 et plus],MATCH(ChoixRationOvins&amp;$DN204,Règles_ovins[Ration]&amp;Règles_ovins[Aliment],0)),0),0)*IF(ChoixOvinsPréHiver=OUI,SUM(TotalOvinsAdultesRacesLaitières)*NbreJoursNourrirOvins,TotalBrebis*NbreJoursNourrirOvins))</f>
        <v>0</v>
      </c>
      <c r="DP204" s="351">
        <f t="array" ref="DP204">IF(ChoixRationComplèteOvins=OUI,0,IFERROR(IF(OR(AND(INDEX(Règles_ovins[Specificite],MATCH(ChoixRationOvins&amp;$DN204,Règles_ovins[Ration]&amp;Règles_ovins[Aliment],0))="s1",IF($DN204=Spécificité1Ovins,1)),
AND(INDEX(Règles_ovins[Specificite],MATCH(ChoixRationOvins&amp;$DN204,Règles_ovins[Ration]&amp;Règles_ovins[Aliment],0))="s2",IF($DN204=Spécificité2Ovins,1)),
INDEX(Règles_ovins[Specificite],MATCH(ChoixRationOvins&amp;$DN204,Règles_ovins[Ration]&amp;Règles_ovins[Aliment],0))="c"),
INDEX(Règles_ovins[Valeur 6-12],MATCH(ChoixRationOvins&amp;$DN204,Règles_ovins[Ration]&amp;Règles_ovins[Aliment],0)),0),0)*IF(ChoixOvinsPréHiver=OUI,SUM(TotalJeunesOvinsRacesLaitières)*NbreJoursNourrirOvins,TotalJeune_brebis_6_12_mois*NbreJoursNourrirOvins))</f>
        <v>0</v>
      </c>
      <c r="DQ204" s="351">
        <f t="array" ref="DQ204">IF(ChoixRationComplèteOvins=OUI,0,IFERROR(IF(OR(AND(INDEX(Règles_ovins[Specificite],MATCH(ChoixRationOvins&amp;$DN204,Règles_ovins[Ration]&amp;Règles_ovins[Aliment],0))="s1",IF($DN204=Spécificité1Ovins,1)),
AND(INDEX(Règles_ovins[Specificite],MATCH(ChoixRationOvins&amp;$DN204,Règles_ovins[Ration]&amp;Règles_ovins[Aliment],0))="s2",IF($DN204=Spécificité2Ovins,1)),
INDEX(Règles_ovins[Specificite],MATCH(ChoixRationOvins&amp;$DN204,Règles_ovins[Ration]&amp;Règles_ovins[Aliment],0))="c"),
INDEX(Règles_ovins[Valeur 3-6],MATCH(ChoixRationOvins&amp;$DN204,Règles_ovins[Ration]&amp;Règles_ovins[Aliment],0)),0),0)*IF(ChoixOvinsPréHiver=OUI,SUM(TotalOvins_3_6moisRacesLaitières)*NbreJoursNourrirOvins,TotalAgnelle_3_6_mois*NbreJoursNourrirOvins))</f>
        <v>0</v>
      </c>
      <c r="DR204" s="351">
        <f t="array" ref="DR204">IF(ChoixRationComplèteOvins=OUI,0,IFERROR(IF(OR(AND(INDEX(Règles_ovins[Specificite],MATCH(ChoixRationOvins&amp;$DN204,Règles_ovins[Ration]&amp;Règles_ovins[Aliment],0))="s1",IF($DN204=Spécificité1Ovins,1)),
AND(INDEX(Règles_ovins[Specificite],MATCH(ChoixRationOvins&amp;$DN204,Règles_ovins[Ration]&amp;Règles_ovins[Aliment],0))="s2",IF($DN204=Spécificité2Ovins,1)),
INDEX(Règles_ovins[Specificite],MATCH(ChoixRationOvins&amp;$DN204,Règles_ovins[Ration]&amp;Règles_ovins[Aliment],0))="c"),
INDEX(Règles_ovins[Valeur 0-3],MATCH(ChoixRationOvins&amp;$DN204,Règles_ovins[Ration]&amp;Règles_ovins[Aliment],0)),0),0)*IF(ChoixOvinsPréHiver=OUI,SUM(TotalOvins_3_6moisRacesLaitières)*NbreJoursNourrirOvins,TotalAgnelle_0_3_mois*NbreJoursNourrirOvins))</f>
        <v>0</v>
      </c>
      <c r="DS204" s="441">
        <f t="shared" si="60"/>
        <v>0</v>
      </c>
      <c r="DU204" s="281"/>
      <c r="EU204" s="457" t="str">
        <f t="shared" ref="EU204:EU241" si="66">EU61</f>
        <v>Betterave</v>
      </c>
      <c r="EV204" s="458">
        <f t="array" ref="EV204">SUM((IF(QualitéAlimentsPoulainSelleMâle=BONNE,VLOOKUP("Betterave",AlimentsRationEcurieChevauxMâlesSelle,5,FALSE),0)+(IF(QualitéAlimentsPoulainSelleFemelle=BONNE,VLOOKUP("Betterave",AlimentsRationEcurieChevauxFemellesSelle,5,FALSE),0)+(IF(QualitéAlimentsJeuneEtalon_12_24_moisSelle=BONNE,VLOOKUP("Betterave",AlimentsRationEcurieChevauxMâlesSelle,4,FALSE),0)+(IF(QualitéAlimentsJeuneJument_12_24_moisSelle=BONNE,VLOOKUP("Betterave",AlimentsRationEcurieChevauxFemellesSelle,4,FALSE),0)+(IF(QualitéAlimentsJeuneEtalon_24_36_moisSelle=BONNE,VLOOKUP("Betterave",AlimentsRationEcurieChevauxMâlesSelle,3,FALSE),0)+(IF(QualitéAlimentsJeuneJument_24_36_moisSelle=BONNE,VLOOKUP("Betterave",AlimentsRationEcurieChevauxFemellesSelle,3,FALSE),0)+(IF(QualitéAlimentsEtalonSelle=BONNE,VLOOKUP("Betterave",AlimentsRationEcurieChevauxMâlesSelle,2,FALSE),0)+(IF(QualitéAlimentsJumentSelle=BONNE,VLOOKUP("Betterave",AlimentsRationEcurieChevauxFemellesSelle,2,FALSE),0))))))))))</f>
        <v>0</v>
      </c>
      <c r="EW204" s="458">
        <f t="array" ref="EW204">SUM((IF(QualitéAlimentsPoulainSelleMâle=MOYENNE,VLOOKUP("Betterave",AlimentsRationEcurieChevauxMâlesSelle,5,FALSE),0)+(IF(QualitéAlimentsPoulainSelleFemelle=MOYENNE,VLOOKUP("Betterave",AlimentsRationEcurieChevauxFemellesSelle,5,FALSE),0)+(IF(QualitéAlimentsJeuneEtalon_12_24_moisSelle=MOYENNE,VLOOKUP("Betterave",AlimentsRationEcurieChevauxMâlesSelle,4,FALSE),0)+(IF(QualitéAlimentsJeuneJument_12_24_moisSelle=MOYENNE,VLOOKUP("Betterave",AlimentsRationEcurieChevauxFemellesSelle,4,FALSE),0)+(IF(QualitéAlimentsJeuneEtalon_24_36_moisSelle=MOYENNE,VLOOKUP("Betterave",AlimentsRationEcurieChevauxMâlesSelle,3,FALSE),0)+(IF(QualitéAlimentsJeuneJument_24_36_moisSelle=MOYENNE,VLOOKUP("Betterave",AlimentsRationEcurieChevauxFemellesSelle,3,FALSE),0)+(IF(QualitéAlimentsEtalonSelle=MOYENNE,VLOOKUP("Betterave",AlimentsRationEcurieChevauxMâlesSelle,2,FALSE),0)+(IF(QualitéAlimentsJumentSelle=MOYENNE,VLOOKUP("Betterave",AlimentsRationEcurieChevauxFemellesSelle,2,FALSE),0))))))))))</f>
        <v>0</v>
      </c>
      <c r="EX204" s="458">
        <f t="array" ref="EX204">SUM((IF(QualitéAlimentsPoulainSelleMâle=MAUVAISE,VLOOKUP("Betterave",AlimentsRationEcurieChevauxMâlesSelle,5,FALSE),0)+(IF(QualitéAlimentsPoulainSelleFemelle=MAUVAISE,VLOOKUP("Betterave",AlimentsRationEcurieChevauxFemellesSelle,5,FALSE),0)+(IF(QualitéAlimentsJeuneEtalon_12_24_moisSelle=MAUVAISE,VLOOKUP("Betterave",AlimentsRationEcurieChevauxMâlesSelle,4,FALSE),0)+(IF(QualitéAlimentsJeuneJument_12_24_moisSelle=MAUVAISE,VLOOKUP("Betterave",AlimentsRationEcurieChevauxFemellesSelle,4,FALSE),0)+(IF(QualitéAlimentsJeuneEtalon_24_36_moisSelle=MAUVAISE,VLOOKUP("Betterave",AlimentsRationEcurieChevauxMâlesSelle,3,FALSE),0)+(IF(QualitéAlimentsJeuneJument_24_36_moisSelle=MAUVAISE,VLOOKUP("Betterave",AlimentsRationEcurieChevauxFemellesSelle,3,FALSE),0)+(IF(QualitéAlimentsEtalonSelle=MAUVAISE,VLOOKUP("Betterave",AlimentsRationEcurieChevauxMâlesSelle,2,FALSE),0)+(IF(QualitéAlimentsJumentSelle=MAUVAISE,VLOOKUP("Betterave",AlimentsRationEcurieChevauxFemellesSelle,2,FALSE),0))))))))))</f>
        <v>0</v>
      </c>
      <c r="FD204" s="457" t="str">
        <f t="shared" si="65"/>
        <v>Colza</v>
      </c>
      <c r="FE204" s="458">
        <f t="array" ref="FE204">SUM((IF(QualitéAlimentsPoulainMâleTrait=BONNE,VLOOKUP("Colza",AlimentsRationEcurieChevauxMâlesTrait,5,FALSE),0)+(IF(QualitéAlimentsPoulainFemelleTrait=BONNE,VLOOKUP("Colza",AlimentsRationEcurieChevauxFemellesTrait,5,FALSE),0)+(IF(QualitéAlimentsJeuneEtalon_12_24_moisTrait=BONNE,VLOOKUP("Colza",AlimentsRationEcurieChevauxMâlesTrait,4,FALSE),0)+(IF(QualitéAlimentsJeuneJument_12_24_moisTrait=BONNE,VLOOKUP("Colza",AlimentsRationEcurieChevauxFemellesTrait,4,FALSE),0)+(IF(QualitéAlimentsJeuneEtalon_24_36_moisTrait=BONNE,VLOOKUP("Colza",AlimentsRationEcurieChevauxMâlesTrait,3,FALSE),0)+(IF(QualitéAlimentsJeuneJument_24_36_moisTrait=BONNE,VLOOKUP("Colza",AlimentsRationEcurieChevauxFemellesTrait,3,FALSE),0)+(IF(QualitéAlimentsEtalonTrait=BONNE,VLOOKUP("Colza",AlimentsRationEcurieChevauxMâlesTrait,2,FALSE),0)+(IF(QualitéAlimentsJumentTrait=BONNE,VLOOKUP("Colza",AlimentsRationEcurieChevauxFemellesTrait,2,FALSE),0))))))))))</f>
        <v>0</v>
      </c>
      <c r="FF204" s="458">
        <f t="array" ref="FF204">SUM((IF(QualitéAlimentsPoulainMâleTrait=MOYENNE,VLOOKUP("Colza",AlimentsRationEcurieChevauxMâlesTrait,5,FALSE),0)+(IF(QualitéAlimentsPoulainFemelleTrait=MOYENNE,VLOOKUP("Colza",AlimentsRationEcurieChevauxFemellesTrait,5,FALSE),0)+(IF(QualitéAlimentsJeuneEtalon_12_24_moisTrait=MOYENNE,VLOOKUP("Colza",AlimentsRationEcurieChevauxMâlesTrait,4,FALSE),0)+(IF(QualitéAlimentsJeuneJument_12_24_moisTrait=MOYENNE,VLOOKUP("Colza",AlimentsRationEcurieChevauxFemellesTrait,4,FALSE),0)+(IF(QualitéAlimentsJeuneEtalon_24_36_moisTrait=MOYENNE,VLOOKUP("Colza",AlimentsRationEcurieChevauxMâlesTrait,3,FALSE),0)+(IF(QualitéAlimentsJeuneJument_24_36_moisTrait=MOYENNE,VLOOKUP("Colza",AlimentsRationEcurieChevauxFemellesTrait,3,FALSE),0)+(IF(QualitéAlimentsEtalonTrait=MOYENNE,VLOOKUP("Colza",AlimentsRationEcurieChevauxMâlesTrait,2,FALSE),0)+(IF(QualitéAlimentsJumentTrait=MOYENNE,VLOOKUP("Colza",AlimentsRationEcurieChevauxFemellesTrait,2,FALSE),0))))))))))</f>
        <v>0</v>
      </c>
      <c r="FG204" s="458">
        <f t="array" ref="FG204">SUM((IF(QualitéAlimentsPoulainMâleTrait=MAUVAISE,VLOOKUP("Colza",AlimentsRationEcurieChevauxMâlesTrait,5,FALSE),0)+(IF(QualitéAlimentsPoulainFemelleTrait=MAUVAISE,VLOOKUP("Colza",AlimentsRationEcurieChevauxFemellesTrait,5,FALSE),0)+(IF(QualitéAlimentsJeuneEtalon_12_24_moisTrait=MAUVAISE,VLOOKUP("Colza",AlimentsRationEcurieChevauxMâlesTrait,4,FALSE),0)+(IF(QualitéAlimentsJeuneJument_12_24_moisTrait=MAUVAISE,VLOOKUP("Colza",AlimentsRationEcurieChevauxFemellesTrait,4,FALSE),0)+(IF(QualitéAlimentsJeuneEtalon_24_36_moisTrait=MAUVAISE,VLOOKUP("Colza",AlimentsRationEcurieChevauxMâlesTrait,3,FALSE),0)+(IF(QualitéAlimentsJeuneJument_24_36_moisTrait=MAUVAISE,VLOOKUP("Colza",AlimentsRationEcurieChevauxFemellesTrait,3,FALSE),0)+(IF(QualitéAlimentsEtalonTrait=MAUVAISE,VLOOKUP("Colza",AlimentsRationEcurieChevauxMâlesTrait,2,FALSE),0)+(IF(QualitéAlimentsJumentTrait=MAUVAISE,VLOOKUP("Colza",AlimentsRationEcurieChevauxFemellesTrait,2,FALSE),0))))))))))</f>
        <v>0</v>
      </c>
      <c r="FI204" s="276"/>
      <c r="FN204" s="457" t="str">
        <f t="shared" si="64"/>
        <v>concentré jeunes bovins</v>
      </c>
      <c r="FO204" s="458">
        <f t="array" ref="FO204">SUM((IF(QualitéAlimentsPoulainMâlePoney=BONNE,VLOOKUP("Concentré jeunes bovins",AlimentsRationChevauxMâlesPoney,5,FALSE),0)+(IF(QualitéAlimentsPoulainFemellePoney=BONNE,VLOOKUP("Concentré jeunes bovins",AlimentsRationChevauxFemellesPoney,5,FALSE),0)+(IF(QualitéAlimentsJeuneEtalon_12_24_moisPoney=BONNE,VLOOKUP("Concentré jeunes bovins",AlimentsRationChevauxMâlesPoney,4,FALSE),0)+(IF(QualitéAlimentsJeuneJument_12_24_moisPoney=BONNE,VLOOKUP("Concentré jeunes bovins",AlimentsRationChevauxFemellesPoney,4,FALSE),0)+(IF(QualitéAlimentsJeuneEtalon_24_36_moisPoney=BONNE,VLOOKUP("Concentré jeunes bovins",AlimentsRationChevauxMâlesPoney,3,FALSE),0)+(IF(QualitéAlimentsJeuneJument_24_36_moisPoney=BONNE,VLOOKUP("Concentré jeunes bovins",AlimentsRationChevauxFemellesPoney,3,FALSE),0)+(IF(QualitéAlimentsEtalonPoney=BONNE,VLOOKUP("Concentré jeunes bovins",AlimentsRationChevauxMâlesPoney,2,FALSE),0)+(IF(QualitéAlimentsJumentPoney=BONNE,VLOOKUP("Concentré jeunes bovins",AlimentsRationChevauxFemellesPoney,2,FALSE),0))))))))))</f>
        <v>0</v>
      </c>
      <c r="FP204" s="458">
        <f t="array" ref="FP204">SUM((IF(QualitéAlimentsPoulainMâlePoney=MOYENNE,VLOOKUP("Concentré jeunes bovins",AlimentsRationChevauxMâlesPoney,5,FALSE),0)+(IF(QualitéAlimentsPoulainFemellePoney=MOYENNE,VLOOKUP("Concentré jeunes bovins",AlimentsRationChevauxFemellesPoney,5,FALSE),0)+(IF(QualitéAlimentsJeuneEtalon_12_24_moisPoney=MOYENNE,VLOOKUP("Concentré jeunes bovins",AlimentsRationChevauxMâlesPoney,4,FALSE),0)+(IF(QualitéAlimentsJeuneJument_12_24_moisPoney=MOYENNE,VLOOKUP("Concentré jeunes bovins",AlimentsRationChevauxFemellesPoney,4,FALSE),0)+(IF(QualitéAlimentsJeuneEtalon_24_36_moisPoney=MOYENNE,VLOOKUP("Concentré jeunes bovins",AlimentsRationChevauxMâlesPoney,3,FALSE),0)+(IF(QualitéAlimentsJeuneJument_24_36_moisPoney=MOYENNE,VLOOKUP("Concentré jeunes bovins",AlimentsRationChevauxFemellesPoney,3,FALSE),0)+(IF(QualitéAlimentsEtalonPoney=MOYENNE,VLOOKUP("Concentré jeunes bovins",AlimentsRationChevauxMâlesPoney,2,FALSE),0)+(IF(QualitéAlimentsJumentPoney=MOYENNE,VLOOKUP("Concentré jeunes bovins",AlimentsRationChevauxFemellesPoney,2,FALSE),0))))))))))</f>
        <v>0</v>
      </c>
      <c r="FQ204" s="458">
        <f t="array" ref="FQ204">SUM((IF(QualitéAlimentsPoulainMâlePoney=MAUVAISE,VLOOKUP("Concentré jeunes bovins",AlimentsRationChevauxMâlesPoney,5,FALSE),0)+(IF(QualitéAlimentsPoulainFemellePoney=MAUVAISE,VLOOKUP("Concentré jeunes bovins",AlimentsRationChevauxFemellesPoney,5,FALSE),0)+(IF(QualitéAlimentsJeuneEtalon_12_24_moisPoney=MAUVAISE,VLOOKUP("Concentré jeunes bovins",AlimentsRationChevauxMâlesPoney,4,FALSE),0)+(IF(QualitéAlimentsJeuneJument_12_24_moisPoney=MAUVAISE,VLOOKUP("Concentré jeunes bovins",AlimentsRationChevauxFemellesPoney,4,FALSE),0)+(IF(QualitéAlimentsJeuneEtalon_24_36_moisPoney=MAUVAISE,VLOOKUP("Concentré jeunes bovins",AlimentsRationChevauxMâlesPoney,3,FALSE),0)+(IF(QualitéAlimentsJeuneJument_24_36_moisPoney=MAUVAISE,VLOOKUP("Concentré jeunes bovins",AlimentsRationChevauxFemellesPoney,3,FALSE),0)+(IF(QualitéAlimentsEtalonPoney=MAUVAISE,VLOOKUP("Concentré jeunes bovins",AlimentsRationChevauxMâlesPoney,2,FALSE),0)+(IF(QualitéAlimentsJumentPoney=MAUVAISE,VLOOKUP("Concentré jeunes bovins",AlimentsRationChevauxFemellesPoney,2,FALSE),0))))))))))</f>
        <v>0</v>
      </c>
      <c r="FR204" s="281"/>
      <c r="FW204" s="281"/>
      <c r="FX204" s="281"/>
      <c r="FY204" s="281"/>
      <c r="FZ204" s="281"/>
      <c r="GB204" s="281"/>
      <c r="GG204" s="276" t="s">
        <v>955</v>
      </c>
      <c r="GH204" s="276" t="s">
        <v>955</v>
      </c>
      <c r="GI204" s="276" t="s">
        <v>955</v>
      </c>
      <c r="GJ204" s="276" t="s">
        <v>955</v>
      </c>
      <c r="GK204" s="276" t="s">
        <v>955</v>
      </c>
      <c r="GL204" s="276" t="s">
        <v>955</v>
      </c>
      <c r="GM204" s="276" t="s">
        <v>955</v>
      </c>
      <c r="GN204" s="276" t="s">
        <v>955</v>
      </c>
      <c r="GO204" s="276" t="s">
        <v>955</v>
      </c>
      <c r="GP204" s="276" t="s">
        <v>955</v>
      </c>
      <c r="GQ204" s="276" t="s">
        <v>955</v>
      </c>
      <c r="GR204" s="276" t="s">
        <v>955</v>
      </c>
      <c r="GS204" s="276" t="s">
        <v>955</v>
      </c>
      <c r="GT204" s="276" t="s">
        <v>955</v>
      </c>
      <c r="GU204" s="276" t="s">
        <v>955</v>
      </c>
      <c r="GV204" s="276" t="s">
        <v>955</v>
      </c>
    </row>
    <row r="205" spans="1:204" ht="12.75" customHeight="1" x14ac:dyDescent="0.2">
      <c r="BB205" s="350" t="s">
        <v>518</v>
      </c>
      <c r="BC205" s="351">
        <f t="array" ref="BC205">IF(Ration_complète_bovins[somme]&gt;0,0,IFERROR(IF(OR(AND(INDEX(Règles_bovins[Specificite],MATCH(ChoixRationBovins&amp;$BB205,Règles_bovins[Ration]&amp;Règles_bovins[Aliment],0))="s1",IF($BB205=Spécificité1Bovins,1)),
AND(INDEX(Règles_bovins[Specificite],MATCH(ChoixRationBovins&amp;$BB205,Règles_bovins[Ration]&amp;Règles_bovins[Aliment],0))="s2",IF($BB205=Spécificité2Bovins,1)),
INDEX(Règles_bovins[Specificite],MATCH(ChoixRationBovins&amp;$BB205,Règles_bovins[Ration]&amp;Règles_bovins[Aliment],0))="c"),
INDEX(Règles_bovins[Valeur 36 et plus],MATCH(ChoixRationBovins&amp;$BB205,Règles_bovins[Ration]&amp;Règles_bovins[Aliment],0)),0),0)*IF(ChoixBovinsPréHiver=OUI,TotalTaureauxRacesLaitières,TotalTaureaux*NbreJoursNourrirBovins))</f>
        <v>0</v>
      </c>
      <c r="BD205" s="351">
        <f t="array" ref="BD205">IF(Ration_complète_bovins[somme]&gt;0,0,IFERROR(IF(OR(AND(INDEX(Règles_bovins[Specificite],MATCH(ChoixRationBovins&amp;$BB205,Règles_bovins[Ration]&amp;Règles_bovins[Aliment],0))="s1",IF($BB205=Spécificité1Bovins,1)),
AND(INDEX(Règles_bovins[Specificite],MATCH(ChoixRationBovins&amp;$BB205,Règles_bovins[Ration]&amp;Règles_bovins[Aliment],0))="s2",IF($BB205=Spécificité2Bovins,1)),
INDEX(Règles_bovins[Specificite],MATCH(ChoixRationBovins&amp;$BB205,Règles_bovins[Ration]&amp;Règles_bovins[Aliment],0))="c"),
INDEX(Règles_bovins[Valeur 24-36],MATCH(ChoixRationBovins&amp;$BB205,Règles_bovins[Ration]&amp;Règles_bovins[Aliment],0)),0),0)*IF(ChoixBovinsPréHiver=OUI,TotalTaurillon_24_36_RacesLaitières,TotalBovinsMâles_24_36mois*NbreJoursNourrirBovins))</f>
        <v>0</v>
      </c>
      <c r="BE205" s="351">
        <f t="array" ref="BE205">IF(Ration_complète_bovins[somme]&gt;0,0,IFERROR(IF(OR(AND(INDEX(Règles_bovins[Specificite],MATCH(ChoixRationBovins&amp;$BB205,Règles_bovins[Ration]&amp;Règles_bovins[Aliment],0))="s1",IF($BB205=Spécificité1Bovins,1)),
AND(INDEX(Règles_bovins[Specificite],MATCH(ChoixRationBovins&amp;$BB205,Règles_bovins[Ration]&amp;Règles_bovins[Aliment],0))="s2",IF($BB205=Spécificité2Bovins,1)),
INDEX(Règles_bovins[Specificite],MATCH(ChoixRationBovins&amp;$BB205,Règles_bovins[Ration]&amp;Règles_bovins[Aliment],0))="c"),
INDEX(Règles_bovins[Valeur 18-24],MATCH(ChoixRationBovins&amp;$BB205,Règles_bovins[Ration]&amp;Règles_bovins[Aliment],0)),0),0)*IF(ChoixBovinsPréHiver=OUI,TotalTaurillon_18_24_RacesLaitières,TotalBovinsMâles_18_24mois*NbreJoursNourrirBovins))</f>
        <v>0</v>
      </c>
      <c r="BF205" s="351">
        <f t="array" ref="BF205">IF(Ration_complète_bovins[somme]&gt;0,0,IFERROR(IF(OR(AND(INDEX(Règles_bovins[Specificite],MATCH(ChoixRationBovins&amp;$BB205,Règles_bovins[Ration]&amp;Règles_bovins[Aliment],0))="s1",IF($BB205=Spécificité1Bovins,1)),
AND(INDEX(Règles_bovins[Specificite],MATCH(ChoixRationBovins&amp;$BB205,Règles_bovins[Ration]&amp;Règles_bovins[Aliment],0))="s2",IF($BB205=Spécificité2Bovins,1)),
INDEX(Règles_bovins[Specificite],MATCH(ChoixRationBovins&amp;$BB205,Règles_bovins[Ration]&amp;Règles_bovins[Aliment],0))="c"),
INDEX(Règles_bovins[Valeur 12-18],MATCH(ChoixRationBovins&amp;$BB205,Règles_bovins[Ration]&amp;Règles_bovins[Aliment],0)),0),0)*IF(ChoixBovinsPréHiver=OUI,animaux!D28,TotalBovinsMâles_12_18mois*NbreJoursNourrirBovins))</f>
        <v>0</v>
      </c>
      <c r="BG205" s="351">
        <f t="array" ref="BG205">IF(Ration_complète_bovins[somme]&gt;0,0,IFERROR(IF(OR(AND(INDEX(Règles_bovins[Specificite],MATCH(ChoixRationBovins&amp;$BB205,Règles_bovins[Ration]&amp;Règles_bovins[Aliment],0))="s1",IF($BB205=Spécificité1Bovins,1)),
AND(INDEX(Règles_bovins[Specificite],MATCH(ChoixRationBovins&amp;$BB205,Règles_bovins[Ration]&amp;Règles_bovins[Aliment],0))="s2",IF($BB205=Spécificité2Bovins,1)),
INDEX(Règles_bovins[Specificite],MATCH(ChoixRationBovins&amp;$BB205,Règles_bovins[Ration]&amp;Règles_bovins[Aliment],0))="c"),
INDEX(Règles_bovins[Valeur 6-12],MATCH(ChoixRationBovins&amp;$BB205,Règles_bovins[Ration]&amp;Règles_bovins[Aliment],0)),0),0)*IF(ChoixBovinsPréHiver=OUI,TotalVeauMâle_6_12_RacesLaitières,TotalBovinsMâles_6_12mois*NbreJoursNourrirBovins))</f>
        <v>0</v>
      </c>
      <c r="BH205" s="351">
        <f t="array" ref="BH205">IF(Ration_complète_bovins[somme]&gt;0,0,IFERROR(IF(OR(AND(INDEX(Règles_bovins[Specificite],MATCH(ChoixRationBovins&amp;$BB205,Règles_bovins[Ration]&amp;Règles_bovins[Aliment],0))="s1",IF($BB205=Spécificité1Bovins,1)),
AND(INDEX(Règles_bovins[Specificite],MATCH(ChoixRationBovins&amp;$BB205,Règles_bovins[Ration]&amp;Règles_bovins[Aliment],0))="s2",IF($BB205=Spécificité2Bovins,1)),
INDEX(Règles_bovins[Specificite],MATCH(ChoixRationBovins&amp;$BB205,Règles_bovins[Ration]&amp;Règles_bovins[Aliment],0))="c"),
INDEX(Règles_bovins[Valeur 3-6],MATCH(ChoixRationBovins&amp;$BB205,Règles_bovins[Ration]&amp;Règles_bovins[Aliment],0)),0),0)*IF(ChoixBovinsPréHiver=OUI,TotalVeauMâle_3_6_RacesLaitières,TotalBovinsMâles_3_6mois*NbreJoursNourrirBovins))</f>
        <v>0</v>
      </c>
      <c r="BI205" s="351">
        <f t="array" ref="BI205">IF(Ration_complète_bovins[somme]&gt;0,0,IFERROR(IF(OR(AND(INDEX(Règles_bovins[Specificite],MATCH(ChoixRationBovins&amp;$BB205,Règles_bovins[Ration]&amp;Règles_bovins[Aliment],0))="s1",IF($BB205=Spécificité1Bovins,1)),
AND(INDEX(Règles_bovins[Specificite],MATCH(ChoixRationBovins&amp;$BB205,Règles_bovins[Ration]&amp;Règles_bovins[Aliment],0))="s2",IF($BB205=Spécificité2Bovins,1)),
INDEX(Règles_bovins[Specificite],MATCH(ChoixRationBovins&amp;$BB205,Règles_bovins[Ration]&amp;Règles_bovins[Aliment],0))="c"),
INDEX(Règles_bovins[Valeur 0-3],MATCH(ChoixRationBovins&amp;$BB205,Règles_bovins[Ration]&amp;Règles_bovins[Aliment],0)),0),0)*IF(ChoixBovinsPréHiver=OUI,TotalVeauMâle_0_3_RacesLaitières,TotalBovinsMâles_0_3mois*NbreJoursNourrirBovins))</f>
        <v>0</v>
      </c>
      <c r="BJ205" s="352">
        <f>SUM($BC205:$BI205)</f>
        <v>0</v>
      </c>
      <c r="BK205" s="276"/>
      <c r="BL205" s="276"/>
      <c r="BX205" s="350" t="str">
        <f t="shared" si="63"/>
        <v>concentré jeunes porcins</v>
      </c>
      <c r="BY205" s="351">
        <f t="array" ref="BY205">SUM((IF(QualitéAlimentsChevreau_0_3_mois=BONNE,VLOOKUP("Concentré jeunes porcins",AlimentsRationCaprinsMâles,5,FALSE),0)+(IF(QualitéAlimentsChevrette_0_3_mois=BONNE,VLOOKUP("Concentré jeunes porcins",AlimentsRationCaprinsFemelles,5,FALSE),0)+(IF(QualitéAlimentsChevreau_3_6_mois=BONNE,VLOOKUP("Concentré jeunes porcins",AlimentsRationCaprinsMâles,4,FALSE),0)+(IF(QualitéAlimentsChevrette_3_6_mois=BONNE,VLOOKUP("Concentré jeunes porcins",AlimentsRationCaprinsFemelles,4,FALSE),0)+(IF(QualitéAlimentsJeuneBouc=BONNE,VLOOKUP("Concentré jeunes porcins",AlimentsRationCaprinsMâles,3,FALSE),0)+(IF(QualitéAlimentsJeuneChèvre=BONNE,VLOOKUP("Concentré jeunes porcins",AlimentsRationCaprinsFemelles,3,FALSE),0)+(IF(QualitéAlimentsBouc=BONNE,VLOOKUP("Concentré jeunes porcins",AlimentsRationCaprinsMâles,2,FALSE),0)+(IF(QualitéAlimentsChèvre=BONNE,VLOOKUP("Concentré jeunes porcins",AlimentsRationCaprinsFemelles,2,FALSE),0))))))))))</f>
        <v>0</v>
      </c>
      <c r="BZ205" s="351">
        <f t="array" ref="BZ205">SUM((IF(QualitéAlimentsChevreau_0_3_mois=MOYENNE,VLOOKUP("Concentré jeunes porcins",AlimentsRationCaprinsMâles,5,FALSE),0)+(IF(QualitéAlimentsChevrette_0_3_mois=MOYENNE,VLOOKUP("Concentré jeunes porcins",AlimentsRationCaprinsFemelles,5,FALSE),0)+(IF(QualitéAlimentsChevreau_3_6_mois=MOYENNE,VLOOKUP("Concentré jeunes porcins",AlimentsRationCaprinsMâles,4,FALSE),0)+(IF(QualitéAlimentsChevrette_3_6_mois=MOYENNE,VLOOKUP("Concentré jeunes porcins",AlimentsRationCaprinsFemelles,4,FALSE),0)+(IF(QualitéAlimentsJeuneBouc=MOYENNE,VLOOKUP("Concentré jeunes porcins",AlimentsRationCaprinsMâles,3,FALSE),0)+(IF(QualitéAlimentsJeuneChèvre=MOYENNE,VLOOKUP("Concentré jeunes porcins",AlimentsRationCaprinsFemelles,3,FALSE),0)+(IF(QualitéAlimentsBouc=MOYENNE,VLOOKUP("Concentré jeunes porcins",AlimentsRationCaprinsMâles,2,FALSE),0)+(IF(QualitéAlimentsChèvre=MOYENNE,VLOOKUP("Concentré jeunes porcins",AlimentsRationCaprinsFemelles,2,FALSE),0))))))))))</f>
        <v>0</v>
      </c>
      <c r="CA205" s="351">
        <f t="array" ref="CA205">SUM((IF(QualitéAlimentsChevreau_0_3_mois=MAUVAISE,VLOOKUP("Concentré jeunes porcins",AlimentsRationCaprinsMâles,5,FALSE),0)+(IF(QualitéAlimentsChevrette_0_3_mois=MAUVAISE,VLOOKUP("Concentré jeunes porcins",AlimentsRationCaprinsFemelles,5,FALSE),0)+(IF(QualitéAlimentsChevreau_3_6_mois=MAUVAISE,VLOOKUP("Concentré jeunes porcins",AlimentsRationCaprinsMâles,4,FALSE),0)+(IF(QualitéAlimentsChevrette_3_6_mois=MAUVAISE,VLOOKUP("Concentré jeunes porcins",AlimentsRationCaprinsFemelles,4,FALSE),0)+(IF(QualitéAlimentsJeuneBouc=MAUVAISE,VLOOKUP("Concentré jeunes porcins",AlimentsRationCaprinsMâles,3,FALSE),0)+(IF(QualitéAlimentsJeuneChèvre=MAUVAISE,VLOOKUP("Concentré jeunes porcins",AlimentsRationCaprinsFemelles,3,FALSE),0)+(IF(QualitéAlimentsBouc=MAUVAISE,VLOOKUP("Concentré jeunes porcins",AlimentsRationCaprinsMâles,2,FALSE),0)+(IF(QualitéAlimentsChèvre=MAUVAISE,VLOOKUP("Concentré jeunes porcins",AlimentsRationCaprinsFemelles,2,FALSE),0))))))))))</f>
        <v>0</v>
      </c>
      <c r="CB205" s="277"/>
      <c r="CC205" s="277"/>
      <c r="CD205" s="298"/>
      <c r="CE205" s="298"/>
      <c r="CF205" s="298"/>
      <c r="CG205" s="298"/>
      <c r="CH205" s="298"/>
      <c r="CI205" s="277"/>
      <c r="CK205" s="277"/>
      <c r="CL205" s="277"/>
      <c r="CM205" s="277"/>
      <c r="CN205" s="277"/>
      <c r="CO205" s="277"/>
      <c r="CP205" s="277"/>
      <c r="DN205" s="350" t="str">
        <f t="shared" si="61"/>
        <v>Féverole</v>
      </c>
      <c r="DO205" s="351">
        <f t="array" ref="DO205">IF(ChoixRationComplèteOvins=OUI,0,IFERROR(IF(OR(AND(INDEX(Règles_ovins[Specificite],MATCH(ChoixRationOvins&amp;$DN205,Règles_ovins[Ration]&amp;Règles_ovins[Aliment],0))="s1",IF($DN205=Spécificité1Ovins,1)),
AND(INDEX(Règles_ovins[Specificite],MATCH(ChoixRationOvins&amp;$DN205,Règles_ovins[Ration]&amp;Règles_ovins[Aliment],0))="s2",IF($DN205=Spécificité2Ovins,1)),
INDEX(Règles_ovins[Specificite],MATCH(ChoixRationOvins&amp;$DN205,Règles_ovins[Ration]&amp;Règles_ovins[Aliment],0))="c"),
INDEX(Règles_ovins[Valeur 12 et plus],MATCH(ChoixRationOvins&amp;$DN205,Règles_ovins[Ration]&amp;Règles_ovins[Aliment],0)),0),0)*IF(ChoixOvinsPréHiver=OUI,SUM(TotalOvinsAdultesRacesLaitières)*NbreJoursNourrirOvins,TotalBrebis*NbreJoursNourrirOvins))</f>
        <v>0</v>
      </c>
      <c r="DP205" s="351">
        <f t="array" ref="DP205">IF(ChoixRationComplèteOvins=OUI,0,IFERROR(IF(OR(AND(INDEX(Règles_ovins[Specificite],MATCH(ChoixRationOvins&amp;$DN205,Règles_ovins[Ration]&amp;Règles_ovins[Aliment],0))="s1",IF($DN205=Spécificité1Ovins,1)),
AND(INDEX(Règles_ovins[Specificite],MATCH(ChoixRationOvins&amp;$DN205,Règles_ovins[Ration]&amp;Règles_ovins[Aliment],0))="s2",IF($DN205=Spécificité2Ovins,1)),
INDEX(Règles_ovins[Specificite],MATCH(ChoixRationOvins&amp;$DN205,Règles_ovins[Ration]&amp;Règles_ovins[Aliment],0))="c"),
INDEX(Règles_ovins[Valeur 6-12],MATCH(ChoixRationOvins&amp;$DN205,Règles_ovins[Ration]&amp;Règles_ovins[Aliment],0)),0),0)*IF(ChoixOvinsPréHiver=OUI,SUM(TotalJeunesOvinsRacesLaitières)*NbreJoursNourrirOvins,TotalJeune_brebis_6_12_mois*NbreJoursNourrirOvins))</f>
        <v>0</v>
      </c>
      <c r="DQ205" s="351">
        <f t="array" ref="DQ205">IF(ChoixRationComplèteOvins=OUI,0,IFERROR(IF(OR(AND(INDEX(Règles_ovins[Specificite],MATCH(ChoixRationOvins&amp;$DN205,Règles_ovins[Ration]&amp;Règles_ovins[Aliment],0))="s1",IF($DN205=Spécificité1Ovins,1)),
AND(INDEX(Règles_ovins[Specificite],MATCH(ChoixRationOvins&amp;$DN205,Règles_ovins[Ration]&amp;Règles_ovins[Aliment],0))="s2",IF($DN205=Spécificité2Ovins,1)),
INDEX(Règles_ovins[Specificite],MATCH(ChoixRationOvins&amp;$DN205,Règles_ovins[Ration]&amp;Règles_ovins[Aliment],0))="c"),
INDEX(Règles_ovins[Valeur 3-6],MATCH(ChoixRationOvins&amp;$DN205,Règles_ovins[Ration]&amp;Règles_ovins[Aliment],0)),0),0)*IF(ChoixOvinsPréHiver=OUI,SUM(TotalOvins_3_6moisRacesLaitières)*NbreJoursNourrirOvins,TotalAgnelle_3_6_mois*NbreJoursNourrirOvins))</f>
        <v>0</v>
      </c>
      <c r="DR205" s="351">
        <f t="array" ref="DR205">IF(ChoixRationComplèteOvins=OUI,0,IFERROR(IF(OR(AND(INDEX(Règles_ovins[Specificite],MATCH(ChoixRationOvins&amp;$DN205,Règles_ovins[Ration]&amp;Règles_ovins[Aliment],0))="s1",IF($DN205=Spécificité1Ovins,1)),
AND(INDEX(Règles_ovins[Specificite],MATCH(ChoixRationOvins&amp;$DN205,Règles_ovins[Ration]&amp;Règles_ovins[Aliment],0))="s2",IF($DN205=Spécificité2Ovins,1)),
INDEX(Règles_ovins[Specificite],MATCH(ChoixRationOvins&amp;$DN205,Règles_ovins[Ration]&amp;Règles_ovins[Aliment],0))="c"),
INDEX(Règles_ovins[Valeur 0-3],MATCH(ChoixRationOvins&amp;$DN205,Règles_ovins[Ration]&amp;Règles_ovins[Aliment],0)),0),0)*IF(ChoixOvinsPréHiver=OUI,SUM(TotalOvins_3_6moisRacesLaitières)*NbreJoursNourrirOvins,TotalAgnelle_0_3_mois*NbreJoursNourrirOvins))</f>
        <v>0</v>
      </c>
      <c r="DS205" s="441">
        <f t="shared" si="60"/>
        <v>0</v>
      </c>
      <c r="DU205" s="281"/>
      <c r="EU205" s="457" t="str">
        <f t="shared" si="66"/>
        <v>Blé</v>
      </c>
      <c r="EV205" s="458">
        <f t="array" ref="EV205">SUM((IF(QualitéAlimentsPoulainSelleMâle=BONNE,VLOOKUP("Blé",AlimentsRationEcurieChevauxMâlesSelle,5,FALSE),0)+(IF(QualitéAlimentsPoulainSelleFemelle=BONNE,VLOOKUP("Blé",AlimentsRationEcurieChevauxFemellesSelle,5,FALSE),0)+(IF(QualitéAlimentsJeuneEtalon_12_24_moisSelle=BONNE,VLOOKUP("Blé",AlimentsRationEcurieChevauxMâlesSelle,4,FALSE),0)+(IF(QualitéAlimentsJeuneJument_12_24_moisSelle=BONNE,VLOOKUP("Blé",AlimentsRationEcurieChevauxFemellesSelle,4,FALSE),0)+(IF(QualitéAlimentsJeuneEtalon_24_36_moisSelle=BONNE,VLOOKUP("Blé",AlimentsRationEcurieChevauxMâlesSelle,3,FALSE),0)+(IF(QualitéAlimentsJeuneJument_24_36_moisSelle=BONNE,VLOOKUP("Blé",AlimentsRationEcurieChevauxFemellesSelle,3,FALSE),0)+(IF(QualitéAlimentsEtalonSelle=BONNE,VLOOKUP("Blé",AlimentsRationEcurieChevauxMâlesSelle,2,FALSE),0)+(IF(QualitéAlimentsJumentSelle=BONNE,VLOOKUP("Blé",AlimentsRationEcurieChevauxFemellesSelle,2,FALSE),0))))))))))</f>
        <v>0</v>
      </c>
      <c r="EW205" s="458">
        <f t="array" ref="EW205">SUM((IF(QualitéAlimentsPoulainSelleMâle=MOYENNE,VLOOKUP("Blé",AlimentsRationEcurieChevauxMâlesSelle,5,FALSE),0)+(IF(QualitéAlimentsPoulainSelleFemelle=MOYENNE,VLOOKUP("Blé",AlimentsRationEcurieChevauxFemellesSelle,5,FALSE),0)+(IF(QualitéAlimentsJeuneEtalon_12_24_moisSelle=MOYENNE,VLOOKUP("Blé",AlimentsRationEcurieChevauxMâlesSelle,4,FALSE),0)+(IF(QualitéAlimentsJeuneJument_12_24_moisSelle=MOYENNE,VLOOKUP("Blé",AlimentsRationEcurieChevauxFemellesSelle,4,FALSE),0)+(IF(QualitéAlimentsJeuneEtalon_24_36_moisSelle=MOYENNE,VLOOKUP("Blé",AlimentsRationEcurieChevauxMâlesSelle,3,FALSE),0)+(IF(QualitéAlimentsJeuneJument_24_36_moisSelle=MOYENNE,VLOOKUP("Blé",AlimentsRationEcurieChevauxFemellesSelle,3,FALSE),0)+(IF(QualitéAlimentsEtalonSelle=MOYENNE,VLOOKUP("Blé",AlimentsRationEcurieChevauxMâlesSelle,2,FALSE),0)+(IF(QualitéAlimentsJumentSelle=MOYENNE,VLOOKUP("Blé",AlimentsRationEcurieChevauxFemellesSelle,2,FALSE),0))))))))))</f>
        <v>0</v>
      </c>
      <c r="EX205" s="458">
        <f t="array" ref="EX205">SUM((IF(QualitéAlimentsPoulainSelleMâle=MAUVAISE,VLOOKUP("Blé",AlimentsRationEcurieChevauxMâlesSelle,5,FALSE),0)+(IF(QualitéAlimentsPoulainSelleFemelle=MAUVAISE,VLOOKUP("Blé",AlimentsRationEcurieChevauxFemellesSelle,5,FALSE),0)+(IF(QualitéAlimentsJeuneEtalon_12_24_moisSelle=MAUVAISE,VLOOKUP("Blé",AlimentsRationEcurieChevauxMâlesSelle,4,FALSE),0)+(IF(QualitéAlimentsJeuneJument_12_24_moisSelle=MAUVAISE,VLOOKUP("Blé",AlimentsRationEcurieChevauxFemellesSelle,4,FALSE),0)+(IF(QualitéAlimentsJeuneEtalon_24_36_moisSelle=MAUVAISE,VLOOKUP("Blé",AlimentsRationEcurieChevauxMâlesSelle,3,FALSE),0)+(IF(QualitéAlimentsJeuneJument_24_36_moisSelle=MAUVAISE,VLOOKUP("Blé",AlimentsRationEcurieChevauxFemellesSelle,3,FALSE),0)+(IF(QualitéAlimentsEtalonSelle=MAUVAISE,VLOOKUP("Blé",AlimentsRationEcurieChevauxMâlesSelle,2,FALSE),0)+(IF(QualitéAlimentsJumentSelle=MAUVAISE,VLOOKUP("Blé",AlimentsRationEcurieChevauxFemellesSelle,2,FALSE),0))))))))))</f>
        <v>0</v>
      </c>
      <c r="FD205" s="457" t="str">
        <f t="shared" si="65"/>
        <v>concentré jeunes bovins</v>
      </c>
      <c r="FE205" s="458">
        <f t="array" ref="FE205">SUM((IF(QualitéAlimentsPoulainMâleTrait=BONNE,VLOOKUP("Concentré jeunes bovins",AlimentsRationEcurieChevauxMâlesTrait,5,FALSE),0)+(IF(QualitéAlimentsPoulainFemelleTrait=BONNE,VLOOKUP("Concentré jeunes bovins",AlimentsRationEcurieChevauxFemellesTrait,5,FALSE),0)+(IF(QualitéAlimentsJeuneEtalon_12_24_moisTrait=BONNE,VLOOKUP("Concentré jeunes bovins",AlimentsRationEcurieChevauxMâlesTrait,4,FALSE),0)+(IF(QualitéAlimentsJeuneJument_12_24_moisTrait=BONNE,VLOOKUP("Concentré jeunes bovins",AlimentsRationEcurieChevauxFemellesTrait,4,FALSE),0)+(IF(QualitéAlimentsJeuneEtalon_24_36_moisTrait=BONNE,VLOOKUP("Concentré jeunes bovins",AlimentsRationEcurieChevauxMâlesTrait,3,FALSE),0)+(IF(QualitéAlimentsJeuneJument_24_36_moisTrait=BONNE,VLOOKUP("Concentré jeunes bovins",AlimentsRationEcurieChevauxFemellesTrait,3,FALSE),0)+(IF(QualitéAlimentsEtalonTrait=BONNE,VLOOKUP("Concentré jeunes bovins",AlimentsRationEcurieChevauxMâlesTrait,2,FALSE),0)+(IF(QualitéAlimentsJumentTrait=BONNE,VLOOKUP("Concentré jeunes bovins",AlimentsRationEcurieChevauxFemellesTrait,2,FALSE),0))))))))))</f>
        <v>0</v>
      </c>
      <c r="FF205" s="458">
        <f t="array" ref="FF205">SUM((IF(QualitéAlimentsPoulainMâleTrait=MOYENNE,VLOOKUP("Concentré jeunes bovins",AlimentsRationEcurieChevauxMâlesTrait,5,FALSE),0)+(IF(QualitéAlimentsPoulainFemelleTrait=MOYENNE,VLOOKUP("Concentré jeunes bovins",AlimentsRationEcurieChevauxFemellesTrait,5,FALSE),0)+(IF(QualitéAlimentsJeuneEtalon_12_24_moisTrait=MOYENNE,VLOOKUP("Concentré jeunes bovins",AlimentsRationEcurieChevauxMâlesTrait,4,FALSE),0)+(IF(QualitéAlimentsJeuneJument_12_24_moisTrait=MOYENNE,VLOOKUP("Concentré jeunes bovins",AlimentsRationEcurieChevauxFemellesTrait,4,FALSE),0)+(IF(QualitéAlimentsJeuneEtalon_24_36_moisTrait=MOYENNE,VLOOKUP("Concentré jeunes bovins",AlimentsRationEcurieChevauxMâlesTrait,3,FALSE),0)+(IF(QualitéAlimentsJeuneJument_24_36_moisTrait=MOYENNE,VLOOKUP("Concentré jeunes bovins",AlimentsRationEcurieChevauxFemellesTrait,3,FALSE),0)+(IF(QualitéAlimentsEtalonTrait=MOYENNE,VLOOKUP("Concentré jeunes bovins",AlimentsRationEcurieChevauxMâlesTrait,2,FALSE),0)+(IF(QualitéAlimentsJumentTrait=MOYENNE,VLOOKUP("Concentré jeunes bovins",AlimentsRationEcurieChevauxFemellesTrait,2,FALSE),0))))))))))</f>
        <v>0</v>
      </c>
      <c r="FG205" s="458">
        <f t="array" ref="FG205">SUM((IF(QualitéAlimentsPoulainMâleTrait=MAUVAISE,VLOOKUP("Concentré jeunes bovins",AlimentsRationEcurieChevauxMâlesTrait,5,FALSE),0)+(IF(QualitéAlimentsPoulainFemelleTrait=MAUVAISE,VLOOKUP("Concentré jeunes bovins",AlimentsRationEcurieChevauxFemellesTrait,5,FALSE),0)+(IF(QualitéAlimentsJeuneEtalon_12_24_moisTrait=MAUVAISE,VLOOKUP("Concentré jeunes bovins",AlimentsRationEcurieChevauxMâlesTrait,4,FALSE),0)+(IF(QualitéAlimentsJeuneJument_12_24_moisTrait=MAUVAISE,VLOOKUP("Concentré jeunes bovins",AlimentsRationEcurieChevauxFemellesTrait,4,FALSE),0)+(IF(QualitéAlimentsJeuneEtalon_24_36_moisTrait=MAUVAISE,VLOOKUP("Concentré jeunes bovins",AlimentsRationEcurieChevauxMâlesTrait,3,FALSE),0)+(IF(QualitéAlimentsJeuneJument_24_36_moisTrait=MAUVAISE,VLOOKUP("Concentré jeunes bovins",AlimentsRationEcurieChevauxFemellesTrait,3,FALSE),0)+(IF(QualitéAlimentsEtalonTrait=MAUVAISE,VLOOKUP("Concentré jeunes bovins",AlimentsRationEcurieChevauxMâlesTrait,2,FALSE),0)+(IF(QualitéAlimentsJumentTrait=MAUVAISE,VLOOKUP("Concentré jeunes bovins",AlimentsRationEcurieChevauxFemellesTrait,2,FALSE),0))))))))))</f>
        <v>0</v>
      </c>
      <c r="FI205" s="276"/>
      <c r="FN205" s="457" t="str">
        <f t="shared" si="64"/>
        <v>concentré jeunes lapins</v>
      </c>
      <c r="FO205" s="458">
        <f t="array" ref="FO205">SUM((IF(QualitéAlimentsPoulainMâlePoney=BONNE,VLOOKUP("Concentré jeunes lapins",AlimentsRationChevauxMâlesPoney,5,FALSE),0)+(IF(QualitéAlimentsPoulainFemellePoney=BONNE,VLOOKUP("Concentré jeunes lapins",AlimentsRationChevauxFemellesPoney,5,FALSE),0)+(IF(QualitéAlimentsJeuneEtalon_12_24_moisPoney=BONNE,VLOOKUP("Concentré jeunes lapins",AlimentsRationChevauxMâlesPoney,4,FALSE),0)+(IF(QualitéAlimentsJeuneJument_12_24_moisPoney=BONNE,VLOOKUP("Concentré jeunes lapins",AlimentsRationChevauxFemellesPoney,4,FALSE),0)+(IF(QualitéAlimentsJeuneEtalon_24_36_moisPoney=BONNE,VLOOKUP("Concentré jeunes lapins",AlimentsRationChevauxMâlesPoney,3,FALSE),0)+(IF(QualitéAlimentsJeuneJument_24_36_moisPoney=BONNE,VLOOKUP("Concentré jeunes lapins",AlimentsRationChevauxFemellesPoney,3,FALSE),0)+(IF(QualitéAlimentsEtalonPoney=BONNE,VLOOKUP("Concentré jeunes lapins",AlimentsRationChevauxMâlesPoney,2,FALSE),0)+(IF(QualitéAlimentsJumentPoney=BONNE,VLOOKUP("Concentré jeunes lapins",AlimentsRationChevauxFemellesPoney,2,FALSE),0))))))))))</f>
        <v>0</v>
      </c>
      <c r="FP205" s="458">
        <f t="array" ref="FP205">SUM((IF(QualitéAlimentsPoulainMâlePoney=MOYENNE,VLOOKUP("Concentré jeunes lapins",AlimentsRationChevauxMâlesPoney,5,FALSE),0)+(IF(QualitéAlimentsPoulainFemellePoney=MOYENNE,VLOOKUP("Concentré jeunes lapins",AlimentsRationChevauxFemellesPoney,5,FALSE),0)+(IF(QualitéAlimentsJeuneEtalon_12_24_moisPoney=MOYENNE,VLOOKUP("Concentré jeunes lapins",AlimentsRationChevauxMâlesPoney,4,FALSE),0)+(IF(QualitéAlimentsJeuneJument_12_24_moisPoney=MOYENNE,VLOOKUP("Concentré jeunes lapins",AlimentsRationChevauxFemellesPoney,4,FALSE),0)+(IF(QualitéAlimentsJeuneEtalon_24_36_moisPoney=MOYENNE,VLOOKUP("Concentré jeunes lapins",AlimentsRationChevauxMâlesPoney,3,FALSE),0)+(IF(QualitéAlimentsJeuneJument_24_36_moisPoney=MOYENNE,VLOOKUP("Concentré jeunes lapins",AlimentsRationChevauxFemellesPoney,3,FALSE),0)+(IF(QualitéAlimentsEtalonPoney=MOYENNE,VLOOKUP("Concentré jeunes lapins",AlimentsRationChevauxMâlesPoney,2,FALSE),0)+(IF(QualitéAlimentsJumentPoney=MOYENNE,VLOOKUP("Concentré jeunes lapins",AlimentsRationChevauxFemellesPoney,2,FALSE),0))))))))))</f>
        <v>0</v>
      </c>
      <c r="FQ205" s="458">
        <f t="array" ref="FQ205">SUM((IF(QualitéAlimentsPoulainMâlePoney=MAUVAISE,VLOOKUP("Concentré jeunes lapins",AlimentsRationChevauxMâlesPoney,5,FALSE),0)+(IF(QualitéAlimentsPoulainFemellePoney=MAUVAISE,VLOOKUP("Concentré jeunes lapins",AlimentsRationChevauxFemellesPoney,5,FALSE),0)+(IF(QualitéAlimentsJeuneEtalon_12_24_moisPoney=MAUVAISE,VLOOKUP("Concentré jeunes lapins",AlimentsRationChevauxMâlesPoney,4,FALSE),0)+(IF(QualitéAlimentsJeuneJument_12_24_moisPoney=MAUVAISE,VLOOKUP("Concentré jeunes lapins",AlimentsRationChevauxFemellesPoney,4,FALSE),0)+(IF(QualitéAlimentsJeuneEtalon_24_36_moisPoney=MAUVAISE,VLOOKUP("Concentré jeunes lapins",AlimentsRationChevauxMâlesPoney,3,FALSE),0)+(IF(QualitéAlimentsJeuneJument_24_36_moisPoney=MAUVAISE,VLOOKUP("Concentré jeunes lapins",AlimentsRationChevauxFemellesPoney,3,FALSE),0)+(IF(QualitéAlimentsEtalonPoney=MAUVAISE,VLOOKUP("Concentré jeunes lapins",AlimentsRationChevauxMâlesPoney,2,FALSE),0)+(IF(QualitéAlimentsJumentPoney=MAUVAISE,VLOOKUP("Concentré jeunes lapins",AlimentsRationChevauxFemellesPoney,2,FALSE),0))))))))))</f>
        <v>0</v>
      </c>
      <c r="FR205" s="281"/>
      <c r="FW205" s="281"/>
      <c r="FX205" s="281"/>
      <c r="FY205" s="281"/>
      <c r="FZ205" s="281"/>
      <c r="GB205" s="281"/>
      <c r="GG205" s="276" t="s">
        <v>955</v>
      </c>
      <c r="GH205" s="276" t="s">
        <v>955</v>
      </c>
      <c r="GI205" s="276" t="s">
        <v>955</v>
      </c>
      <c r="GJ205" s="276" t="s">
        <v>955</v>
      </c>
      <c r="GK205" s="276" t="s">
        <v>955</v>
      </c>
      <c r="GL205" s="276" t="s">
        <v>955</v>
      </c>
      <c r="GM205" s="276" t="s">
        <v>955</v>
      </c>
      <c r="GN205" s="276" t="s">
        <v>955</v>
      </c>
      <c r="GO205" s="276" t="s">
        <v>955</v>
      </c>
      <c r="GP205" s="276" t="s">
        <v>955</v>
      </c>
      <c r="GQ205" s="276" t="s">
        <v>955</v>
      </c>
      <c r="GR205" s="276" t="s">
        <v>955</v>
      </c>
      <c r="GS205" s="276" t="s">
        <v>955</v>
      </c>
      <c r="GT205" s="276" t="s">
        <v>955</v>
      </c>
      <c r="GU205" s="276" t="s">
        <v>955</v>
      </c>
      <c r="GV205" s="276" t="s">
        <v>955</v>
      </c>
    </row>
    <row r="206" spans="1:204" ht="12.75" customHeight="1" x14ac:dyDescent="0.2">
      <c r="A206" s="278"/>
      <c r="BB206" s="350" t="s">
        <v>265</v>
      </c>
      <c r="BC206" s="351">
        <f t="array" ref="BC206">IF(Ration_complète_bovins[somme]&gt;0,0,IFERROR(IF(OR(AND(INDEX(Règles_bovins[Specificite],MATCH(ChoixRationBovins&amp;$BB206,Règles_bovins[Ration]&amp;Règles_bovins[Aliment],0))="s1",IF($BB206=Spécificité1Bovins,1)),
AND(INDEX(Règles_bovins[Specificite],MATCH(ChoixRationBovins&amp;$BB206,Règles_bovins[Ration]&amp;Règles_bovins[Aliment],0))="s2",IF($BB206=Spécificité2Bovins,1)),
INDEX(Règles_bovins[Specificite],MATCH(ChoixRationBovins&amp;$BB206,Règles_bovins[Ration]&amp;Règles_bovins[Aliment],0))="c"),
INDEX(Règles_bovins[Valeur 36 et plus],MATCH(ChoixRationBovins&amp;$BB206,Règles_bovins[Ration]&amp;Règles_bovins[Aliment],0)),0),0)*IF(ChoixBovinsPréHiver=OUI,TotalTaureauxRacesLaitières,TotalTaureaux*NbreJoursNourrirBovins))</f>
        <v>0</v>
      </c>
      <c r="BD206" s="351">
        <f t="array" ref="BD206">IF(Ration_complète_bovins[somme]&gt;0,0,IFERROR(IF(OR(AND(INDEX(Règles_bovins[Specificite],MATCH(ChoixRationBovins&amp;$BB206,Règles_bovins[Ration]&amp;Règles_bovins[Aliment],0))="s1",IF($BB206=Spécificité1Bovins,1)),
AND(INDEX(Règles_bovins[Specificite],MATCH(ChoixRationBovins&amp;$BB206,Règles_bovins[Ration]&amp;Règles_bovins[Aliment],0))="s2",IF($BB206=Spécificité2Bovins,1)),
INDEX(Règles_bovins[Specificite],MATCH(ChoixRationBovins&amp;$BB206,Règles_bovins[Ration]&amp;Règles_bovins[Aliment],0))="c"),
INDEX(Règles_bovins[Valeur 24-36],MATCH(ChoixRationBovins&amp;$BB206,Règles_bovins[Ration]&amp;Règles_bovins[Aliment],0)),0),0)*IF(ChoixBovinsPréHiver=OUI,TotalTaurillon_24_36_RacesLaitières,TotalBovinsMâles_24_36mois*NbreJoursNourrirBovins))</f>
        <v>0</v>
      </c>
      <c r="BE206" s="351">
        <f t="array" ref="BE206">IF(Ration_complète_bovins[somme]&gt;0,0,IFERROR(IF(OR(AND(INDEX(Règles_bovins[Specificite],MATCH(ChoixRationBovins&amp;$BB206,Règles_bovins[Ration]&amp;Règles_bovins[Aliment],0))="s1",IF($BB206=Spécificité1Bovins,1)),
AND(INDEX(Règles_bovins[Specificite],MATCH(ChoixRationBovins&amp;$BB206,Règles_bovins[Ration]&amp;Règles_bovins[Aliment],0))="s2",IF($BB206=Spécificité2Bovins,1)),
INDEX(Règles_bovins[Specificite],MATCH(ChoixRationBovins&amp;$BB206,Règles_bovins[Ration]&amp;Règles_bovins[Aliment],0))="c"),
INDEX(Règles_bovins[Valeur 18-24],MATCH(ChoixRationBovins&amp;$BB206,Règles_bovins[Ration]&amp;Règles_bovins[Aliment],0)),0),0)*IF(ChoixBovinsPréHiver=OUI,TotalTaurillon_18_24_RacesLaitières,TotalBovinsMâles_18_24mois*NbreJoursNourrirBovins))</f>
        <v>0</v>
      </c>
      <c r="BF206" s="351">
        <f t="array" ref="BF206">IF(Ration_complète_bovins[somme]&gt;0,0,IFERROR(IF(OR(AND(INDEX(Règles_bovins[Specificite],MATCH(ChoixRationBovins&amp;$BB206,Règles_bovins[Ration]&amp;Règles_bovins[Aliment],0))="s1",IF($BB206=Spécificité1Bovins,1)),
AND(INDEX(Règles_bovins[Specificite],MATCH(ChoixRationBovins&amp;$BB206,Règles_bovins[Ration]&amp;Règles_bovins[Aliment],0))="s2",IF($BB206=Spécificité2Bovins,1)),
INDEX(Règles_bovins[Specificite],MATCH(ChoixRationBovins&amp;$BB206,Règles_bovins[Ration]&amp;Règles_bovins[Aliment],0))="c"),
INDEX(Règles_bovins[Valeur 12-18],MATCH(ChoixRationBovins&amp;$BB206,Règles_bovins[Ration]&amp;Règles_bovins[Aliment],0)),0),0)*IF(ChoixBovinsPréHiver=OUI,animaux!D29,TotalBovinsMâles_12_18mois*NbreJoursNourrirBovins))</f>
        <v>0</v>
      </c>
      <c r="BG206" s="351">
        <f t="array" ref="BG206">IF(Ration_complète_bovins[somme]&gt;0,0,IFERROR(IF(OR(AND(INDEX(Règles_bovins[Specificite],MATCH(ChoixRationBovins&amp;$BB206,Règles_bovins[Ration]&amp;Règles_bovins[Aliment],0))="s1",IF($BB206=Spécificité1Bovins,1)),
AND(INDEX(Règles_bovins[Specificite],MATCH(ChoixRationBovins&amp;$BB206,Règles_bovins[Ration]&amp;Règles_bovins[Aliment],0))="s2",IF($BB206=Spécificité2Bovins,1)),
INDEX(Règles_bovins[Specificite],MATCH(ChoixRationBovins&amp;$BB206,Règles_bovins[Ration]&amp;Règles_bovins[Aliment],0))="c"),
INDEX(Règles_bovins[Valeur 6-12],MATCH(ChoixRationBovins&amp;$BB206,Règles_bovins[Ration]&amp;Règles_bovins[Aliment],0)),0),0)*IF(ChoixBovinsPréHiver=OUI,TotalVeauMâle_6_12_RacesLaitières,TotalBovinsMâles_6_12mois*NbreJoursNourrirBovins))</f>
        <v>0</v>
      </c>
      <c r="BH206" s="351">
        <f t="array" ref="BH206">IF(Ration_complète_bovins[somme]&gt;0,0,IFERROR(IF(OR(AND(INDEX(Règles_bovins[Specificite],MATCH(ChoixRationBovins&amp;$BB206,Règles_bovins[Ration]&amp;Règles_bovins[Aliment],0))="s1",IF($BB206=Spécificité1Bovins,1)),
AND(INDEX(Règles_bovins[Specificite],MATCH(ChoixRationBovins&amp;$BB206,Règles_bovins[Ration]&amp;Règles_bovins[Aliment],0))="s2",IF($BB206=Spécificité2Bovins,1)),
INDEX(Règles_bovins[Specificite],MATCH(ChoixRationBovins&amp;$BB206,Règles_bovins[Ration]&amp;Règles_bovins[Aliment],0))="c"),
INDEX(Règles_bovins[Valeur 3-6],MATCH(ChoixRationBovins&amp;$BB206,Règles_bovins[Ration]&amp;Règles_bovins[Aliment],0)),0),0)*IF(ChoixBovinsPréHiver=OUI,TotalVeauMâle_3_6_RacesLaitières,TotalBovinsMâles_3_6mois*NbreJoursNourrirBovins))</f>
        <v>0</v>
      </c>
      <c r="BI206" s="351">
        <f t="array" ref="BI206">IF(Ration_complète_bovins[somme]&gt;0,0,IFERROR(IF(OR(AND(INDEX(Règles_bovins[Specificite],MATCH(ChoixRationBovins&amp;$BB206,Règles_bovins[Ration]&amp;Règles_bovins[Aliment],0))="s1",IF($BB206=Spécificité1Bovins,1)),
AND(INDEX(Règles_bovins[Specificite],MATCH(ChoixRationBovins&amp;$BB206,Règles_bovins[Ration]&amp;Règles_bovins[Aliment],0))="s2",IF($BB206=Spécificité2Bovins,1)),
INDEX(Règles_bovins[Specificite],MATCH(ChoixRationBovins&amp;$BB206,Règles_bovins[Ration]&amp;Règles_bovins[Aliment],0))="c"),
INDEX(Règles_bovins[Valeur 0-3],MATCH(ChoixRationBovins&amp;$BB206,Règles_bovins[Ration]&amp;Règles_bovins[Aliment],0)),0),0)*IF(ChoixBovinsPréHiver=OUI,TotalVeauMâle_0_3_RacesLaitières,TotalBovinsMâles_0_3mois*NbreJoursNourrirBovins))</f>
        <v>0</v>
      </c>
      <c r="BJ206" s="352">
        <f t="shared" si="62"/>
        <v>0</v>
      </c>
      <c r="BK206" s="276"/>
      <c r="BL206" s="276"/>
      <c r="BX206" s="350" t="str">
        <f t="shared" si="63"/>
        <v>Ensilage d'herbe</v>
      </c>
      <c r="BY206" s="351">
        <f t="array" ref="BY206">SUM((IF(QualitéAlimentsChevreau_0_3_mois=BONNE,VLOOKUP("Ensilage d'herbe",AlimentsRationCaprinsMâles,5,FALSE),0)+(IF(QualitéAlimentsChevrette_0_3_mois=BONNE,VLOOKUP("Ensilage d'herbe",AlimentsRationCaprinsFemelles,5,FALSE),0)+(IF(QualitéAlimentsChevreau_3_6_mois=BONNE,VLOOKUP("Ensilage d'herbe",AlimentsRationCaprinsMâles,4,FALSE),0)+(IF(QualitéAlimentsChevrette_3_6_mois=BONNE,VLOOKUP("Ensilage d'herbe",AlimentsRationCaprinsFemelles,4,FALSE),0)+(IF(QualitéAlimentsJeuneBouc=BONNE,VLOOKUP("Ensilage d'herbe",AlimentsRationCaprinsMâles,3,FALSE),0)+(IF(QualitéAlimentsJeuneChèvre=BONNE,VLOOKUP("Ensilage d'herbe",AlimentsRationCaprinsFemelles,3,FALSE),0)+(IF(QualitéAlimentsBouc=BONNE,VLOOKUP("Ensilage d'herbe",AlimentsRationCaprinsMâles,2,FALSE),0)+(IF(QualitéAlimentsChèvre=BONNE,VLOOKUP("Ensilage d'herbe",AlimentsRationCaprinsFemelles,2,FALSE),0))))))))))</f>
        <v>0</v>
      </c>
      <c r="BZ206" s="351">
        <f t="array" ref="BZ206">SUM((IF(QualitéAlimentsChevreau_0_3_mois=MOYENNE,VLOOKUP("Ensilage d'herbe",AlimentsRationCaprinsMâles,5,FALSE),0)+(IF(QualitéAlimentsChevrette_0_3_mois=MOYENNE,VLOOKUP("Ensilage d'herbe",AlimentsRationCaprinsFemelles,5,FALSE),0)+(IF(QualitéAlimentsChevreau_3_6_mois=MOYENNE,VLOOKUP("Ensilage d'herbe",AlimentsRationCaprinsMâles,4,FALSE),0)+(IF(QualitéAlimentsChevrette_3_6_mois=MOYENNE,VLOOKUP("Ensilage d'herbe",AlimentsRationCaprinsFemelles,4,FALSE),0)+(IF(QualitéAlimentsJeuneBouc=MOYENNE,VLOOKUP("Ensilage d'herbe",AlimentsRationCaprinsMâles,3,FALSE),0)+(IF(QualitéAlimentsJeuneChèvre=MOYENNE,VLOOKUP("Ensilage d'herbe",AlimentsRationCaprinsFemelles,3,FALSE),0)+(IF(QualitéAlimentsBouc=MOYENNE,VLOOKUP("Ensilage d'herbe",AlimentsRationCaprinsMâles,2,FALSE),0)+(IF(QualitéAlimentsChèvre=MOYENNE,VLOOKUP("Ensilage d'herbe",AlimentsRationCaprinsFemelles,2,FALSE),0))))))))))</f>
        <v>0</v>
      </c>
      <c r="CA206" s="351">
        <f t="array" ref="CA206">SUM((IF(QualitéAlimentsChevreau_0_3_mois=MAUVAISE,VLOOKUP("Ensilage d'herbe",AlimentsRationCaprinsMâles,5,FALSE),0)+(IF(QualitéAlimentsChevrette_0_3_mois=MAUVAISE,VLOOKUP("Ensilage d'herbe",AlimentsRationCaprinsFemelles,5,FALSE),0)+(IF(QualitéAlimentsChevreau_3_6_mois=MAUVAISE,VLOOKUP("Ensilage d'herbe",AlimentsRationCaprinsMâles,4,FALSE),0)+(IF(QualitéAlimentsChevrette_3_6_mois=MAUVAISE,VLOOKUP("Ensilage d'herbe",AlimentsRationCaprinsFemelles,4,FALSE),0)+(IF(QualitéAlimentsJeuneBouc=MAUVAISE,VLOOKUP("Ensilage d'herbe",AlimentsRationCaprinsMâles,3,FALSE),0)+(IF(QualitéAlimentsJeuneChèvre=MAUVAISE,VLOOKUP("Ensilage d'herbe",AlimentsRationCaprinsFemelles,3,FALSE),0)+(IF(QualitéAlimentsBouc=MAUVAISE,VLOOKUP("Ensilage d'herbe",AlimentsRationCaprinsMâles,2,FALSE),0)+(IF(QualitéAlimentsChèvre=MAUVAISE,VLOOKUP("Ensilage d'herbe",AlimentsRationCaprinsFemelles,2,FALSE),0))))))))))</f>
        <v>0</v>
      </c>
      <c r="CB206" s="277"/>
      <c r="CC206" s="277"/>
      <c r="CD206" s="298"/>
      <c r="CE206" s="298"/>
      <c r="CF206" s="298"/>
      <c r="CG206" s="298"/>
      <c r="CH206" s="298"/>
      <c r="CI206" s="277"/>
      <c r="CK206" s="277"/>
      <c r="CL206" s="277"/>
      <c r="CM206" s="277"/>
      <c r="CN206" s="277"/>
      <c r="CO206" s="277"/>
      <c r="CP206" s="277"/>
      <c r="DN206" s="350" t="str">
        <f t="shared" si="61"/>
        <v>Foin</v>
      </c>
      <c r="DO206" s="351">
        <f t="array" ref="DO206">IF(ChoixRationComplèteOvins=OUI,0,IFERROR(IF(OR(AND(INDEX(Règles_ovins[Specificite],MATCH(ChoixRationOvins&amp;$DN206,Règles_ovins[Ration]&amp;Règles_ovins[Aliment],0))="s1",IF($DN206=Spécificité1Ovins,1)),
AND(INDEX(Règles_ovins[Specificite],MATCH(ChoixRationOvins&amp;$DN206,Règles_ovins[Ration]&amp;Règles_ovins[Aliment],0))="s2",IF($DN206=Spécificité2Ovins,1)),
INDEX(Règles_ovins[Specificite],MATCH(ChoixRationOvins&amp;$DN206,Règles_ovins[Ration]&amp;Règles_ovins[Aliment],0))="c"),
INDEX(Règles_ovins[Valeur 12 et plus],MATCH(ChoixRationOvins&amp;$DN206,Règles_ovins[Ration]&amp;Règles_ovins[Aliment],0)),0),0)*IF(ChoixOvinsPréHiver=OUI,SUM(TotalOvinsAdultesRacesLaitières)*NbreJoursNourrirOvins,TotalBrebis*NbreJoursNourrirOvins))</f>
        <v>0</v>
      </c>
      <c r="DP206" s="351">
        <f t="array" ref="DP206">IF(ChoixRationComplèteOvins=OUI,0,IFERROR(IF(OR(AND(INDEX(Règles_ovins[Specificite],MATCH(ChoixRationOvins&amp;$DN206,Règles_ovins[Ration]&amp;Règles_ovins[Aliment],0))="s1",IF($DN206=Spécificité1Ovins,1)),
AND(INDEX(Règles_ovins[Specificite],MATCH(ChoixRationOvins&amp;$DN206,Règles_ovins[Ration]&amp;Règles_ovins[Aliment],0))="s2",IF($DN206=Spécificité2Ovins,1)),
INDEX(Règles_ovins[Specificite],MATCH(ChoixRationOvins&amp;$DN206,Règles_ovins[Ration]&amp;Règles_ovins[Aliment],0))="c"),
INDEX(Règles_ovins[Valeur 6-12],MATCH(ChoixRationOvins&amp;$DN206,Règles_ovins[Ration]&amp;Règles_ovins[Aliment],0)),0),0)*IF(ChoixOvinsPréHiver=OUI,SUM(TotalJeunesOvinsRacesLaitières)*NbreJoursNourrirOvins,TotalJeune_brebis_6_12_mois*NbreJoursNourrirOvins))</f>
        <v>0</v>
      </c>
      <c r="DQ206" s="351">
        <f t="array" ref="DQ206">IF(ChoixRationComplèteOvins=OUI,0,IFERROR(IF(OR(AND(INDEX(Règles_ovins[Specificite],MATCH(ChoixRationOvins&amp;$DN206,Règles_ovins[Ration]&amp;Règles_ovins[Aliment],0))="s1",IF($DN206=Spécificité1Ovins,1)),
AND(INDEX(Règles_ovins[Specificite],MATCH(ChoixRationOvins&amp;$DN206,Règles_ovins[Ration]&amp;Règles_ovins[Aliment],0))="s2",IF($DN206=Spécificité2Ovins,1)),
INDEX(Règles_ovins[Specificite],MATCH(ChoixRationOvins&amp;$DN206,Règles_ovins[Ration]&amp;Règles_ovins[Aliment],0))="c"),
INDEX(Règles_ovins[Valeur 3-6],MATCH(ChoixRationOvins&amp;$DN206,Règles_ovins[Ration]&amp;Règles_ovins[Aliment],0)),0),0)*IF(ChoixOvinsPréHiver=OUI,SUM(TotalOvins_3_6moisRacesLaitières)*NbreJoursNourrirOvins,TotalAgnelle_3_6_mois*NbreJoursNourrirOvins))</f>
        <v>0</v>
      </c>
      <c r="DR206" s="351">
        <f t="array" ref="DR206">IF(ChoixRationComplèteOvins=OUI,0,IFERROR(IF(OR(AND(INDEX(Règles_ovins[Specificite],MATCH(ChoixRationOvins&amp;$DN206,Règles_ovins[Ration]&amp;Règles_ovins[Aliment],0))="s1",IF($DN206=Spécificité1Ovins,1)),
AND(INDEX(Règles_ovins[Specificite],MATCH(ChoixRationOvins&amp;$DN206,Règles_ovins[Ration]&amp;Règles_ovins[Aliment],0))="s2",IF($DN206=Spécificité2Ovins,1)),
INDEX(Règles_ovins[Specificite],MATCH(ChoixRationOvins&amp;$DN206,Règles_ovins[Ration]&amp;Règles_ovins[Aliment],0))="c"),
INDEX(Règles_ovins[Valeur 0-3],MATCH(ChoixRationOvins&amp;$DN206,Règles_ovins[Ration]&amp;Règles_ovins[Aliment],0)),0),0)*IF(ChoixOvinsPréHiver=OUI,SUM(TotalOvins_3_6moisRacesLaitières)*NbreJoursNourrirOvins,TotalAgnelle_0_3_mois*NbreJoursNourrirOvins))</f>
        <v>0</v>
      </c>
      <c r="DS206" s="441">
        <f t="shared" si="60"/>
        <v>0</v>
      </c>
      <c r="DU206" s="281"/>
      <c r="EU206" s="457" t="str">
        <f t="shared" si="66"/>
        <v>Bouchons luzerne</v>
      </c>
      <c r="EV206" s="458">
        <f t="array" ref="EV206">SUM((IF(QualitéAlimentsPoulainSelleMâle=BONNE,VLOOKUP("Bouchons luzerne",AlimentsRationEcurieChevauxMâlesSelle,5,FALSE),0)+(IF(QualitéAlimentsPoulainSelleFemelle=BONNE,VLOOKUP("Bouchons luzerne",AlimentsRationEcurieChevauxFemellesSelle,5,FALSE),0)+(IF(QualitéAlimentsJeuneEtalon_12_24_moisSelle=BONNE,VLOOKUP("Bouchons luzerne",AlimentsRationEcurieChevauxMâlesSelle,4,FALSE),0)+(IF(QualitéAlimentsJeuneJument_12_24_moisSelle=BONNE,VLOOKUP("Bouchons luzerne",AlimentsRationEcurieChevauxFemellesSelle,4,FALSE),0)+(IF(QualitéAlimentsJeuneEtalon_24_36_moisSelle=BONNE,VLOOKUP("Bouchons luzerne",AlimentsRationEcurieChevauxMâlesSelle,3,FALSE),0)+(IF(QualitéAlimentsJeuneJument_24_36_moisSelle=BONNE,VLOOKUP("Bouchons luzerne",AlimentsRationEcurieChevauxFemellesSelle,3,FALSE),0)+(IF(QualitéAlimentsEtalonSelle=BONNE,VLOOKUP("Bouchons luzerne",AlimentsRationEcurieChevauxMâlesSelle,2,FALSE),0)+(IF(QualitéAlimentsJumentSelle=BONNE,VLOOKUP("Bouchons luzerne",AlimentsRationEcurieChevauxFemellesSelle,2,FALSE),0))))))))))</f>
        <v>0</v>
      </c>
      <c r="EW206" s="458">
        <f t="array" ref="EW206">SUM((IF(QualitéAlimentsPoulainSelleMâle=MOYENNE,VLOOKUP("Bouchons luzerne",AlimentsRationEcurieChevauxMâlesSelle,5,FALSE),0)+(IF(QualitéAlimentsPoulainSelleFemelle=MOYENNE,VLOOKUP("Bouchons luzerne",AlimentsRationEcurieChevauxFemellesSelle,5,FALSE),0)+(IF(QualitéAlimentsJeuneEtalon_12_24_moisSelle=MOYENNE,VLOOKUP("Bouchons luzerne",AlimentsRationEcurieChevauxMâlesSelle,4,FALSE),0)+(IF(QualitéAlimentsJeuneJument_12_24_moisSelle=MOYENNE,VLOOKUP("Bouchons luzerne",AlimentsRationEcurieChevauxFemellesSelle,4,FALSE),0)+(IF(QualitéAlimentsJeuneEtalon_24_36_moisSelle=MOYENNE,VLOOKUP("Bouchons luzerne",AlimentsRationEcurieChevauxMâlesSelle,3,FALSE),0)+(IF(QualitéAlimentsJeuneJument_24_36_moisSelle=MOYENNE,VLOOKUP("Bouchons luzerne",AlimentsRationEcurieChevauxFemellesSelle,3,FALSE),0)+(IF(QualitéAlimentsEtalonSelle=MOYENNE,VLOOKUP("Bouchons luzerne",AlimentsRationEcurieChevauxMâlesSelle,2,FALSE),0)+(IF(QualitéAlimentsJumentSelle=MOYENNE,VLOOKUP("Bouchons luzerne",AlimentsRationEcurieChevauxFemellesSelle,2,FALSE),0))))))))))</f>
        <v>0</v>
      </c>
      <c r="EX206" s="458">
        <f t="array" ref="EX206">SUM((IF(QualitéAlimentsPoulainSelleMâle=MAUVAISE,VLOOKUP("Bouchons luzerne",AlimentsRationEcurieChevauxMâlesSelle,5,FALSE),0)+(IF(QualitéAlimentsPoulainSelleFemelle=MAUVAISE,VLOOKUP("Bouchons luzerne",AlimentsRationEcurieChevauxFemellesSelle,5,FALSE),0)+(IF(QualitéAlimentsJeuneEtalon_12_24_moisSelle=MAUVAISE,VLOOKUP("Bouchons luzerne",AlimentsRationEcurieChevauxMâlesSelle,4,FALSE),0)+(IF(QualitéAlimentsJeuneJument_12_24_moisSelle=MAUVAISE,VLOOKUP("Bouchons luzerne",AlimentsRationEcurieChevauxFemellesSelle,4,FALSE),0)+(IF(QualitéAlimentsJeuneEtalon_24_36_moisSelle=MAUVAISE,VLOOKUP("Bouchons luzerne",AlimentsRationEcurieChevauxMâlesSelle,3,FALSE),0)+(IF(QualitéAlimentsJeuneJument_24_36_moisSelle=MAUVAISE,VLOOKUP("Bouchons luzerne",AlimentsRationEcurieChevauxFemellesSelle,3,FALSE),0)+(IF(QualitéAlimentsEtalonSelle=MAUVAISE,VLOOKUP("Bouchons luzerne",AlimentsRationEcurieChevauxMâlesSelle,2,FALSE),0)+(IF(QualitéAlimentsJumentSelle=MAUVAISE,VLOOKUP("Bouchons luzerne",AlimentsRationEcurieChevauxFemellesSelle,2,FALSE),0))))))))))</f>
        <v>0</v>
      </c>
      <c r="FD206" s="457" t="str">
        <f t="shared" si="65"/>
        <v>concentré jeunes lapins</v>
      </c>
      <c r="FE206" s="458">
        <f t="array" ref="FE206">SUM((IF(QualitéAlimentsPoulainMâleTrait=BONNE,VLOOKUP("Concentré jeunes lapins",AlimentsRationEcurieChevauxMâlesTrait,5,FALSE),0)+(IF(QualitéAlimentsPoulainFemelleTrait=BONNE,VLOOKUP("Concentré jeunes lapins",AlimentsRationEcurieChevauxFemellesTrait,5,FALSE),0)+(IF(QualitéAlimentsJeuneEtalon_12_24_moisTrait=BONNE,VLOOKUP("Concentré jeunes lapins",AlimentsRationEcurieChevauxMâlesTrait,4,FALSE),0)+(IF(QualitéAlimentsJeuneJument_12_24_moisTrait=BONNE,VLOOKUP("Concentré jeunes lapins",AlimentsRationEcurieChevauxFemellesTrait,4,FALSE),0)+(IF(QualitéAlimentsJeuneEtalon_24_36_moisTrait=BONNE,VLOOKUP("Concentré jeunes lapins",AlimentsRationEcurieChevauxMâlesTrait,3,FALSE),0)+(IF(QualitéAlimentsJeuneJument_24_36_moisTrait=BONNE,VLOOKUP("Concentré jeunes lapins",AlimentsRationEcurieChevauxFemellesTrait,3,FALSE),0)+(IF(QualitéAlimentsEtalonTrait=BONNE,VLOOKUP("Concentré jeunes lapins",AlimentsRationEcurieChevauxMâlesTrait,2,FALSE),0)+(IF(QualitéAlimentsJumentTrait=BONNE,VLOOKUP("Concentré jeunes lapins",AlimentsRationEcurieChevauxFemellesTrait,2,FALSE),0))))))))))</f>
        <v>0</v>
      </c>
      <c r="FF206" s="458">
        <f t="array" ref="FF206">SUM((IF(QualitéAlimentsPoulainMâleTrait=MOYENNE,VLOOKUP("Concentré jeunes lapins",AlimentsRationEcurieChevauxMâlesTrait,5,FALSE),0)+(IF(QualitéAlimentsPoulainFemelleTrait=MOYENNE,VLOOKUP("Concentré jeunes lapins",AlimentsRationEcurieChevauxFemellesTrait,5,FALSE),0)+(IF(QualitéAlimentsJeuneEtalon_12_24_moisTrait=MOYENNE,VLOOKUP("Concentré jeunes lapins",AlimentsRationEcurieChevauxMâlesTrait,4,FALSE),0)+(IF(QualitéAlimentsJeuneJument_12_24_moisTrait=MOYENNE,VLOOKUP("Concentré jeunes lapins",AlimentsRationEcurieChevauxFemellesTrait,4,FALSE),0)+(IF(QualitéAlimentsJeuneEtalon_24_36_moisTrait=MOYENNE,VLOOKUP("Concentré jeunes lapins",AlimentsRationEcurieChevauxMâlesTrait,3,FALSE),0)+(IF(QualitéAlimentsJeuneJument_24_36_moisTrait=MOYENNE,VLOOKUP("Concentré jeunes lapins",AlimentsRationEcurieChevauxFemellesTrait,3,FALSE),0)+(IF(QualitéAlimentsEtalonTrait=MOYENNE,VLOOKUP("Concentré jeunes lapins",AlimentsRationEcurieChevauxMâlesTrait,2,FALSE),0)+(IF(QualitéAlimentsJumentTrait=MOYENNE,VLOOKUP("Concentré jeunes lapins",AlimentsRationEcurieChevauxFemellesTrait,2,FALSE),0))))))))))</f>
        <v>0</v>
      </c>
      <c r="FG206" s="458">
        <f t="array" ref="FG206">SUM((IF(QualitéAlimentsPoulainMâleTrait=MAUVAISE,VLOOKUP("Concentré jeunes lapins",AlimentsRationEcurieChevauxMâlesTrait,5,FALSE),0)+(IF(QualitéAlimentsPoulainFemelleTrait=MAUVAISE,VLOOKUP("Concentré jeunes lapins",AlimentsRationEcurieChevauxFemellesTrait,5,FALSE),0)+(IF(QualitéAlimentsJeuneEtalon_12_24_moisTrait=MAUVAISE,VLOOKUP("Concentré jeunes lapins",AlimentsRationEcurieChevauxMâlesTrait,4,FALSE),0)+(IF(QualitéAlimentsJeuneJument_12_24_moisTrait=MAUVAISE,VLOOKUP("Concentré jeunes lapins",AlimentsRationEcurieChevauxFemellesTrait,4,FALSE),0)+(IF(QualitéAlimentsJeuneEtalon_24_36_moisTrait=MAUVAISE,VLOOKUP("Concentré jeunes lapins",AlimentsRationEcurieChevauxMâlesTrait,3,FALSE),0)+(IF(QualitéAlimentsJeuneJument_24_36_moisTrait=MAUVAISE,VLOOKUP("Concentré jeunes lapins",AlimentsRationEcurieChevauxFemellesTrait,3,FALSE),0)+(IF(QualitéAlimentsEtalonTrait=MAUVAISE,VLOOKUP("Concentré jeunes lapins",AlimentsRationEcurieChevauxMâlesTrait,2,FALSE),0)+(IF(QualitéAlimentsJumentTrait=MAUVAISE,VLOOKUP("Concentré jeunes lapins",AlimentsRationEcurieChevauxFemellesTrait,2,FALSE),0))))))))))</f>
        <v>0</v>
      </c>
      <c r="FI206" s="276"/>
      <c r="FN206" s="457" t="str">
        <f t="shared" si="64"/>
        <v>concentré jeunes porcins</v>
      </c>
      <c r="FO206" s="458">
        <f t="array" ref="FO206">SUM((IF(QualitéAlimentsPoulainMâlePoney=BONNE,VLOOKUP("Concentré jeunes porcins",AlimentsRationChevauxMâlesPoney,5,FALSE),0)+(IF(QualitéAlimentsPoulainFemellePoney=BONNE,VLOOKUP("Concentré jeunes porcins",AlimentsRationChevauxFemellesPoney,5,FALSE),0)+(IF(QualitéAlimentsJeuneEtalon_12_24_moisPoney=BONNE,VLOOKUP("Concentré jeunes porcins",AlimentsRationChevauxMâlesPoney,4,FALSE),0)+(IF(QualitéAlimentsJeuneJument_12_24_moisPoney=BONNE,VLOOKUP("Concentré jeunes porcins",AlimentsRationChevauxFemellesPoney,4,FALSE),0)+(IF(QualitéAlimentsJeuneEtalon_24_36_moisPoney=BONNE,VLOOKUP("Concentré jeunes porcins",AlimentsRationChevauxMâlesPoney,3,FALSE),0)+(IF(QualitéAlimentsJeuneJument_24_36_moisPoney=BONNE,VLOOKUP("Concentré jeunes porcins",AlimentsRationChevauxFemellesPoney,3,FALSE),0)+(IF(QualitéAlimentsEtalonPoney=BONNE,VLOOKUP("Concentré jeunes porcins",AlimentsRationChevauxMâlesPoney,2,FALSE),0)+(IF(QualitéAlimentsJumentPoney=BONNE,VLOOKUP("Concentré jeunes porcins",AlimentsRationChevauxFemellesPoney,2,FALSE),0))))))))))</f>
        <v>0</v>
      </c>
      <c r="FP206" s="458">
        <f t="array" ref="FP206">SUM((IF(QualitéAlimentsPoulainMâlePoney=MOYENNE,VLOOKUP("Concentré jeunes porcins",AlimentsRationChevauxMâlesPoney,5,FALSE),0)+(IF(QualitéAlimentsPoulainFemellePoney=MOYENNE,VLOOKUP("Concentré jeunes porcins",AlimentsRationChevauxFemellesPoney,5,FALSE),0)+(IF(QualitéAlimentsJeuneEtalon_12_24_moisPoney=MOYENNE,VLOOKUP("Concentré jeunes porcins",AlimentsRationChevauxMâlesPoney,4,FALSE),0)+(IF(QualitéAlimentsJeuneJument_12_24_moisPoney=MOYENNE,VLOOKUP("Concentré jeunes porcins",AlimentsRationChevauxFemellesPoney,4,FALSE),0)+(IF(QualitéAlimentsJeuneEtalon_24_36_moisPoney=MOYENNE,VLOOKUP("Concentré jeunes porcins",AlimentsRationChevauxMâlesPoney,3,FALSE),0)+(IF(QualitéAlimentsJeuneJument_24_36_moisPoney=MOYENNE,VLOOKUP("Concentré jeunes porcins",AlimentsRationChevauxFemellesPoney,3,FALSE),0)+(IF(QualitéAlimentsEtalonPoney=MOYENNE,VLOOKUP("Concentré jeunes porcins",AlimentsRationChevauxMâlesPoney,2,FALSE),0)+(IF(QualitéAlimentsJumentPoney=MOYENNE,VLOOKUP("Concentré jeunes porcins",AlimentsRationChevauxFemellesPoney,2,FALSE),0))))))))))</f>
        <v>0</v>
      </c>
      <c r="FQ206" s="458">
        <f t="array" ref="FQ206">SUM((IF(QualitéAlimentsPoulainMâlePoney=MAUVAISE,VLOOKUP("Concentré jeunes porcins",AlimentsRationChevauxMâlesPoney,5,FALSE),0)+(IF(QualitéAlimentsPoulainFemellePoney=MAUVAISE,VLOOKUP("Concentré jeunes porcins",AlimentsRationChevauxFemellesPoney,5,FALSE),0)+(IF(QualitéAlimentsJeuneEtalon_12_24_moisPoney=MAUVAISE,VLOOKUP("Concentré jeunes porcins",AlimentsRationChevauxMâlesPoney,4,FALSE),0)+(IF(QualitéAlimentsJeuneJument_12_24_moisPoney=MAUVAISE,VLOOKUP("Concentré jeunes porcins",AlimentsRationChevauxFemellesPoney,4,FALSE),0)+(IF(QualitéAlimentsJeuneEtalon_24_36_moisPoney=MAUVAISE,VLOOKUP("Concentré jeunes porcins",AlimentsRationChevauxMâlesPoney,3,FALSE),0)+(IF(QualitéAlimentsJeuneJument_24_36_moisPoney=MAUVAISE,VLOOKUP("Concentré jeunes porcins",AlimentsRationChevauxFemellesPoney,3,FALSE),0)+(IF(QualitéAlimentsEtalonPoney=MAUVAISE,VLOOKUP("Concentré jeunes porcins",AlimentsRationChevauxMâlesPoney,2,FALSE),0)+(IF(QualitéAlimentsJumentPoney=MAUVAISE,VLOOKUP("Concentré jeunes porcins",AlimentsRationChevauxFemellesPoney,2,FALSE),0))))))))))</f>
        <v>0</v>
      </c>
      <c r="FR206" s="281"/>
      <c r="FW206" s="281"/>
      <c r="FX206" s="281"/>
      <c r="FY206" s="281"/>
      <c r="FZ206" s="281"/>
      <c r="GB206" s="281"/>
      <c r="GG206" s="276" t="s">
        <v>955</v>
      </c>
      <c r="GH206" s="276" t="s">
        <v>955</v>
      </c>
      <c r="GI206" s="276" t="s">
        <v>955</v>
      </c>
      <c r="GJ206" s="276" t="s">
        <v>955</v>
      </c>
      <c r="GK206" s="276" t="s">
        <v>955</v>
      </c>
      <c r="GL206" s="276" t="s">
        <v>955</v>
      </c>
      <c r="GM206" s="276" t="s">
        <v>955</v>
      </c>
      <c r="GN206" s="276" t="s">
        <v>955</v>
      </c>
      <c r="GO206" s="276" t="s">
        <v>955</v>
      </c>
      <c r="GP206" s="276" t="s">
        <v>955</v>
      </c>
      <c r="GQ206" s="276" t="s">
        <v>955</v>
      </c>
      <c r="GR206" s="276" t="s">
        <v>955</v>
      </c>
      <c r="GS206" s="276" t="s">
        <v>955</v>
      </c>
      <c r="GT206" s="276" t="s">
        <v>955</v>
      </c>
      <c r="GU206" s="276" t="s">
        <v>955</v>
      </c>
      <c r="GV206" s="276" t="s">
        <v>955</v>
      </c>
    </row>
    <row r="207" spans="1:204" ht="12.75" customHeight="1" x14ac:dyDescent="0.2">
      <c r="A207" s="278"/>
      <c r="BB207" s="350" t="s">
        <v>233</v>
      </c>
      <c r="BC207" s="351">
        <f t="array" ref="BC207">IF(Ration_complète_bovins[somme]&gt;0,0,IFERROR(IF(OR(AND(INDEX(Règles_bovins[Specificite],MATCH(ChoixRationBovins&amp;$BB207,Règles_bovins[Ration]&amp;Règles_bovins[Aliment],0))="s1",IF($BB207=Spécificité1Bovins,1)),
AND(INDEX(Règles_bovins[Specificite],MATCH(ChoixRationBovins&amp;$BB207,Règles_bovins[Ration]&amp;Règles_bovins[Aliment],0))="s2",IF($BB207=Spécificité2Bovins,1)),
INDEX(Règles_bovins[Specificite],MATCH(ChoixRationBovins&amp;$BB207,Règles_bovins[Ration]&amp;Règles_bovins[Aliment],0))="c"),
INDEX(Règles_bovins[Valeur 36 et plus],MATCH(ChoixRationBovins&amp;$BB207,Règles_bovins[Ration]&amp;Règles_bovins[Aliment],0)),0),0)*IF(ChoixBovinsPréHiver=OUI,TotalTaureauxRacesLaitières,TotalTaureaux*NbreJoursNourrirBovins))</f>
        <v>0</v>
      </c>
      <c r="BD207" s="351">
        <f t="array" ref="BD207">IF(Ration_complète_bovins[somme]&gt;0,0,IFERROR(IF(OR(AND(INDEX(Règles_bovins[Specificite],MATCH(ChoixRationBovins&amp;$BB207,Règles_bovins[Ration]&amp;Règles_bovins[Aliment],0))="s1",IF($BB207=Spécificité1Bovins,1)),
AND(INDEX(Règles_bovins[Specificite],MATCH(ChoixRationBovins&amp;$BB207,Règles_bovins[Ration]&amp;Règles_bovins[Aliment],0))="s2",IF($BB207=Spécificité2Bovins,1)),
INDEX(Règles_bovins[Specificite],MATCH(ChoixRationBovins&amp;$BB207,Règles_bovins[Ration]&amp;Règles_bovins[Aliment],0))="c"),
INDEX(Règles_bovins[Valeur 24-36],MATCH(ChoixRationBovins&amp;$BB207,Règles_bovins[Ration]&amp;Règles_bovins[Aliment],0)),0),0)*IF(ChoixBovinsPréHiver=OUI,TotalTaurillon_24_36_RacesLaitières,TotalBovinsMâles_24_36mois*NbreJoursNourrirBovins))</f>
        <v>0</v>
      </c>
      <c r="BE207" s="351">
        <f t="array" ref="BE207">IF(Ration_complète_bovins[somme]&gt;0,0,IFERROR(IF(OR(AND(INDEX(Règles_bovins[Specificite],MATCH(ChoixRationBovins&amp;$BB207,Règles_bovins[Ration]&amp;Règles_bovins[Aliment],0))="s1",IF($BB207=Spécificité1Bovins,1)),
AND(INDEX(Règles_bovins[Specificite],MATCH(ChoixRationBovins&amp;$BB207,Règles_bovins[Ration]&amp;Règles_bovins[Aliment],0))="s2",IF($BB207=Spécificité2Bovins,1)),
INDEX(Règles_bovins[Specificite],MATCH(ChoixRationBovins&amp;$BB207,Règles_bovins[Ration]&amp;Règles_bovins[Aliment],0))="c"),
INDEX(Règles_bovins[Valeur 18-24],MATCH(ChoixRationBovins&amp;$BB207,Règles_bovins[Ration]&amp;Règles_bovins[Aliment],0)),0),0)*IF(ChoixBovinsPréHiver=OUI,TotalTaurillon_18_24_RacesLaitières,TotalBovinsMâles_18_24mois*NbreJoursNourrirBovins))</f>
        <v>0</v>
      </c>
      <c r="BF207" s="351">
        <f t="array" ref="BF207">IF(Ration_complète_bovins[somme]&gt;0,0,IFERROR(IF(OR(AND(INDEX(Règles_bovins[Specificite],MATCH(ChoixRationBovins&amp;$BB207,Règles_bovins[Ration]&amp;Règles_bovins[Aliment],0))="s1",IF($BB207=Spécificité1Bovins,1)),
AND(INDEX(Règles_bovins[Specificite],MATCH(ChoixRationBovins&amp;$BB207,Règles_bovins[Ration]&amp;Règles_bovins[Aliment],0))="s2",IF($BB207=Spécificité2Bovins,1)),
INDEX(Règles_bovins[Specificite],MATCH(ChoixRationBovins&amp;$BB207,Règles_bovins[Ration]&amp;Règles_bovins[Aliment],0))="c"),
INDEX(Règles_bovins[Valeur 12-18],MATCH(ChoixRationBovins&amp;$BB207,Règles_bovins[Ration]&amp;Règles_bovins[Aliment],0)),0),0)*IF(ChoixBovinsPréHiver=OUI,animaux!D30,TotalBovinsMâles_12_18mois*NbreJoursNourrirBovins))</f>
        <v>0</v>
      </c>
      <c r="BG207" s="351">
        <f t="array" ref="BG207">IF(Ration_complète_bovins[somme]&gt;0,0,IFERROR(IF(OR(AND(INDEX(Règles_bovins[Specificite],MATCH(ChoixRationBovins&amp;$BB207,Règles_bovins[Ration]&amp;Règles_bovins[Aliment],0))="s1",IF($BB207=Spécificité1Bovins,1)),
AND(INDEX(Règles_bovins[Specificite],MATCH(ChoixRationBovins&amp;$BB207,Règles_bovins[Ration]&amp;Règles_bovins[Aliment],0))="s2",IF($BB207=Spécificité2Bovins,1)),
INDEX(Règles_bovins[Specificite],MATCH(ChoixRationBovins&amp;$BB207,Règles_bovins[Ration]&amp;Règles_bovins[Aliment],0))="c"),
INDEX(Règles_bovins[Valeur 6-12],MATCH(ChoixRationBovins&amp;$BB207,Règles_bovins[Ration]&amp;Règles_bovins[Aliment],0)),0),0)*IF(ChoixBovinsPréHiver=OUI,TotalVeauMâle_6_12_RacesLaitières,TotalBovinsMâles_6_12mois*NbreJoursNourrirBovins))</f>
        <v>0</v>
      </c>
      <c r="BH207" s="351">
        <f t="array" ref="BH207">IF(Ration_complète_bovins[somme]&gt;0,0,IFERROR(IF(OR(AND(INDEX(Règles_bovins[Specificite],MATCH(ChoixRationBovins&amp;$BB207,Règles_bovins[Ration]&amp;Règles_bovins[Aliment],0))="s1",IF($BB207=Spécificité1Bovins,1)),
AND(INDEX(Règles_bovins[Specificite],MATCH(ChoixRationBovins&amp;$BB207,Règles_bovins[Ration]&amp;Règles_bovins[Aliment],0))="s2",IF($BB207=Spécificité2Bovins,1)),
INDEX(Règles_bovins[Specificite],MATCH(ChoixRationBovins&amp;$BB207,Règles_bovins[Ration]&amp;Règles_bovins[Aliment],0))="c"),
INDEX(Règles_bovins[Valeur 3-6],MATCH(ChoixRationBovins&amp;$BB207,Règles_bovins[Ration]&amp;Règles_bovins[Aliment],0)),0),0)*IF(ChoixBovinsPréHiver=OUI,TotalVeauMâle_3_6_RacesLaitières,TotalBovinsMâles_3_6mois*NbreJoursNourrirBovins))</f>
        <v>0</v>
      </c>
      <c r="BI207" s="351">
        <f t="array" ref="BI207">IF(Ration_complète_bovins[somme]&gt;0,0,IFERROR(IF(OR(AND(INDEX(Règles_bovins[Specificite],MATCH(ChoixRationBovins&amp;$BB207,Règles_bovins[Ration]&amp;Règles_bovins[Aliment],0))="s1",IF($BB207=Spécificité1Bovins,1)),
AND(INDEX(Règles_bovins[Specificite],MATCH(ChoixRationBovins&amp;$BB207,Règles_bovins[Ration]&amp;Règles_bovins[Aliment],0))="s2",IF($BB207=Spécificité2Bovins,1)),
INDEX(Règles_bovins[Specificite],MATCH(ChoixRationBovins&amp;$BB207,Règles_bovins[Ration]&amp;Règles_bovins[Aliment],0))="c"),
INDEX(Règles_bovins[Valeur 0-3],MATCH(ChoixRationBovins&amp;$BB207,Règles_bovins[Ration]&amp;Règles_bovins[Aliment],0)),0),0)*IF(ChoixBovinsPréHiver=OUI,TotalVeauMâle_0_3_RacesLaitières,TotalBovinsMâles_0_3mois*NbreJoursNourrirBovins))</f>
        <v>0</v>
      </c>
      <c r="BJ207" s="352">
        <f t="shared" si="62"/>
        <v>0</v>
      </c>
      <c r="BK207" s="276"/>
      <c r="BL207" s="276"/>
      <c r="BX207" s="350" t="str">
        <f t="shared" si="63"/>
        <v>Eau</v>
      </c>
      <c r="BY207" s="351">
        <f t="array" ref="BY207">SUM((IF(QualitéAlimentsChevreau_0_3_mois=BONNE,VLOOKUP("Eau",AlimentsRationCaprinsMâles,5,FALSE),0)+(IF(QualitéAlimentsChevrette_0_3_mois=BONNE,VLOOKUP("Eau",AlimentsRationCaprinsFemelles,5,FALSE),0)+(IF(QualitéAlimentsChevreau_3_6_mois=BONNE,VLOOKUP("Eau",AlimentsRationCaprinsMâles,4,FALSE),0)+(IF(QualitéAlimentsChevrette_3_6_mois=BONNE,VLOOKUP("Eau",AlimentsRationCaprinsFemelles,4,FALSE),0)+(IF(QualitéAlimentsJeuneBouc=BONNE,VLOOKUP("Eau",AlimentsRationCaprinsMâles,3,FALSE),0)+(IF(QualitéAlimentsJeuneChèvre=BONNE,VLOOKUP("Eau",AlimentsRationCaprinsFemelles,3,FALSE),0)+(IF(QualitéAlimentsBouc=BONNE,VLOOKUP("Eau",AlimentsRationCaprinsMâles,2,FALSE),0)+(IF(QualitéAlimentsChèvre=BONNE,VLOOKUP("Eau",AlimentsRationCaprinsFemelles,2,FALSE),0))))))))))</f>
        <v>2728</v>
      </c>
      <c r="BZ207" s="351">
        <f t="array" ref="BZ207">SUM((IF(QualitéAlimentsChevreau_0_3_mois=MOYENNE,VLOOKUP("Eau",AlimentsRationCaprinsMâles,5,FALSE),0)+(IF(QualitéAlimentsChevrette_0_3_mois=MOYENNE,VLOOKUP("Eau",AlimentsRationCaprinsFemelles,5,FALSE),0)+(IF(QualitéAlimentsChevreau_3_6_mois=MOYENNE,VLOOKUP("Eau",AlimentsRationCaprinsMâles,4,FALSE),0)+(IF(QualitéAlimentsChevrette_3_6_mois=MOYENNE,VLOOKUP("Eau",AlimentsRationCaprinsFemelles,4,FALSE),0)+(IF(QualitéAlimentsJeuneBouc=MOYENNE,VLOOKUP("Eau",AlimentsRationCaprinsMâles,3,FALSE),0)+(IF(QualitéAlimentsJeuneChèvre=MOYENNE,VLOOKUP("Eau",AlimentsRationCaprinsFemelles,3,FALSE),0)+(IF(QualitéAlimentsBouc=MOYENNE,VLOOKUP("Eau",AlimentsRationCaprinsMâles,2,FALSE),0)+(IF(QualitéAlimentsChèvre=MOYENNE,VLOOKUP("Eau",AlimentsRationCaprinsFemelles,2,FALSE),0))))))))))</f>
        <v>5140</v>
      </c>
      <c r="CA207" s="351">
        <f t="array" ref="CA207">SUM((IF(QualitéAlimentsChevreau_0_3_mois=MAUVAISE,VLOOKUP("Eau",AlimentsRationCaprinsMâles,5,FALSE),0)+(IF(QualitéAlimentsChevrette_0_3_mois=MAUVAISE,VLOOKUP("Eau",AlimentsRationCaprinsFemelles,5,FALSE),0)+(IF(QualitéAlimentsChevreau_3_6_mois=MAUVAISE,VLOOKUP("Eau",AlimentsRationCaprinsMâles,4,FALSE),0)+(IF(QualitéAlimentsChevrette_3_6_mois=MAUVAISE,VLOOKUP("Eau",AlimentsRationCaprinsFemelles,4,FALSE),0)+(IF(QualitéAlimentsJeuneBouc=MAUVAISE,VLOOKUP("Eau",AlimentsRationCaprinsMâles,3,FALSE),0)+(IF(QualitéAlimentsJeuneChèvre=MAUVAISE,VLOOKUP("Eau",AlimentsRationCaprinsFemelles,3,FALSE),0)+(IF(QualitéAlimentsBouc=MAUVAISE,VLOOKUP("Eau",AlimentsRationCaprinsMâles,2,FALSE),0)+(IF(QualitéAlimentsChèvre=MAUVAISE,VLOOKUP("Eau",AlimentsRationCaprinsFemelles,2,FALSE),0))))))))))</f>
        <v>260</v>
      </c>
      <c r="CB207" s="277"/>
      <c r="CC207" s="277"/>
      <c r="CD207" s="298"/>
      <c r="CE207" s="298"/>
      <c r="CF207" s="298"/>
      <c r="CG207" s="298"/>
      <c r="CH207" s="298"/>
      <c r="CI207" s="277"/>
      <c r="CK207" s="277"/>
      <c r="CL207" s="277"/>
      <c r="CM207" s="277"/>
      <c r="CN207" s="277"/>
      <c r="CO207" s="277"/>
      <c r="CP207" s="277"/>
      <c r="DN207" s="350" t="str">
        <f t="shared" si="61"/>
        <v>Haricot vert</v>
      </c>
      <c r="DO207" s="351">
        <f t="array" ref="DO207">IF(ChoixRationComplèteOvins=OUI,0,IFERROR(IF(OR(AND(INDEX(Règles_ovins[Specificite],MATCH(ChoixRationOvins&amp;$DN207,Règles_ovins[Ration]&amp;Règles_ovins[Aliment],0))="s1",IF($DN207=Spécificité1Ovins,1)),
AND(INDEX(Règles_ovins[Specificite],MATCH(ChoixRationOvins&amp;$DN207,Règles_ovins[Ration]&amp;Règles_ovins[Aliment],0))="s2",IF($DN207=Spécificité2Ovins,1)),
INDEX(Règles_ovins[Specificite],MATCH(ChoixRationOvins&amp;$DN207,Règles_ovins[Ration]&amp;Règles_ovins[Aliment],0))="c"),
INDEX(Règles_ovins[Valeur 12 et plus],MATCH(ChoixRationOvins&amp;$DN207,Règles_ovins[Ration]&amp;Règles_ovins[Aliment],0)),0),0)*IF(ChoixOvinsPréHiver=OUI,SUM(TotalOvinsAdultesRacesLaitières)*NbreJoursNourrirOvins,TotalBrebis*NbreJoursNourrirOvins))</f>
        <v>0</v>
      </c>
      <c r="DP207" s="351">
        <f t="array" ref="DP207">IF(ChoixRationComplèteOvins=OUI,0,IFERROR(IF(OR(AND(INDEX(Règles_ovins[Specificite],MATCH(ChoixRationOvins&amp;$DN207,Règles_ovins[Ration]&amp;Règles_ovins[Aliment],0))="s1",IF($DN207=Spécificité1Ovins,1)),
AND(INDEX(Règles_ovins[Specificite],MATCH(ChoixRationOvins&amp;$DN207,Règles_ovins[Ration]&amp;Règles_ovins[Aliment],0))="s2",IF($DN207=Spécificité2Ovins,1)),
INDEX(Règles_ovins[Specificite],MATCH(ChoixRationOvins&amp;$DN207,Règles_ovins[Ration]&amp;Règles_ovins[Aliment],0))="c"),
INDEX(Règles_ovins[Valeur 6-12],MATCH(ChoixRationOvins&amp;$DN207,Règles_ovins[Ration]&amp;Règles_ovins[Aliment],0)),0),0)*IF(ChoixOvinsPréHiver=OUI,SUM(TotalJeunesOvinsRacesLaitières)*NbreJoursNourrirOvins,TotalJeune_brebis_6_12_mois*NbreJoursNourrirOvins))</f>
        <v>0</v>
      </c>
      <c r="DQ207" s="351">
        <f t="array" ref="DQ207">IF(ChoixRationComplèteOvins=OUI,0,IFERROR(IF(OR(AND(INDEX(Règles_ovins[Specificite],MATCH(ChoixRationOvins&amp;$DN207,Règles_ovins[Ration]&amp;Règles_ovins[Aliment],0))="s1",IF($DN207=Spécificité1Ovins,1)),
AND(INDEX(Règles_ovins[Specificite],MATCH(ChoixRationOvins&amp;$DN207,Règles_ovins[Ration]&amp;Règles_ovins[Aliment],0))="s2",IF($DN207=Spécificité2Ovins,1)),
INDEX(Règles_ovins[Specificite],MATCH(ChoixRationOvins&amp;$DN207,Règles_ovins[Ration]&amp;Règles_ovins[Aliment],0))="c"),
INDEX(Règles_ovins[Valeur 3-6],MATCH(ChoixRationOvins&amp;$DN207,Règles_ovins[Ration]&amp;Règles_ovins[Aliment],0)),0),0)*IF(ChoixOvinsPréHiver=OUI,SUM(TotalOvins_3_6moisRacesLaitières)*NbreJoursNourrirOvins,TotalAgnelle_3_6_mois*NbreJoursNourrirOvins))</f>
        <v>0</v>
      </c>
      <c r="DR207" s="351">
        <f t="array" ref="DR207">IF(ChoixRationComplèteOvins=OUI,0,IFERROR(IF(OR(AND(INDEX(Règles_ovins[Specificite],MATCH(ChoixRationOvins&amp;$DN207,Règles_ovins[Ration]&amp;Règles_ovins[Aliment],0))="s1",IF($DN207=Spécificité1Ovins,1)),
AND(INDEX(Règles_ovins[Specificite],MATCH(ChoixRationOvins&amp;$DN207,Règles_ovins[Ration]&amp;Règles_ovins[Aliment],0))="s2",IF($DN207=Spécificité2Ovins,1)),
INDEX(Règles_ovins[Specificite],MATCH(ChoixRationOvins&amp;$DN207,Règles_ovins[Ration]&amp;Règles_ovins[Aliment],0))="c"),
INDEX(Règles_ovins[Valeur 0-3],MATCH(ChoixRationOvins&amp;$DN207,Règles_ovins[Ration]&amp;Règles_ovins[Aliment],0)),0),0)*IF(ChoixOvinsPréHiver=OUI,SUM(TotalOvins_3_6moisRacesLaitières)*NbreJoursNourrirOvins,TotalAgnelle_0_3_mois*NbreJoursNourrirOvins))</f>
        <v>0</v>
      </c>
      <c r="DS207" s="441">
        <f t="shared" si="60"/>
        <v>0</v>
      </c>
      <c r="DU207" s="281"/>
      <c r="EU207" s="457" t="str">
        <f t="shared" si="66"/>
        <v>Chanvre</v>
      </c>
      <c r="EV207" s="458">
        <f t="array" ref="EV207">SUM((IF(QualitéAlimentsPoulainSelleMâle=BONNE,VLOOKUP("Chanvre",AlimentsRationEcurieChevauxMâlesSelle,5,FALSE),0)+(IF(QualitéAlimentsPoulainSelleFemelle=BONNE,VLOOKUP("Chanvre",AlimentsRationEcurieChevauxFemellesSelle,5,FALSE),0)+(IF(QualitéAlimentsJeuneEtalon_12_24_moisSelle=BONNE,VLOOKUP("Chanvre",AlimentsRationEcurieChevauxMâlesSelle,4,FALSE),0)+(IF(QualitéAlimentsJeuneJument_12_24_moisSelle=BONNE,VLOOKUP("Chanvre",AlimentsRationEcurieChevauxFemellesSelle,4,FALSE),0)+(IF(QualitéAlimentsJeuneEtalon_24_36_moisSelle=BONNE,VLOOKUP("Chanvre",AlimentsRationEcurieChevauxMâlesSelle,3,FALSE),0)+(IF(QualitéAlimentsJeuneJument_24_36_moisSelle=BONNE,VLOOKUP("Chanvre",AlimentsRationEcurieChevauxFemellesSelle,3,FALSE),0)+(IF(QualitéAlimentsEtalonSelle=BONNE,VLOOKUP("Chanvre",AlimentsRationEcurieChevauxMâlesSelle,2,FALSE),0)+(IF(QualitéAlimentsJumentSelle=BONNE,VLOOKUP("Chanvre",AlimentsRationEcurieChevauxFemellesSelle,2,FALSE),0))))))))))</f>
        <v>0</v>
      </c>
      <c r="EW207" s="458">
        <f t="array" ref="EW207">SUM((IF(QualitéAlimentsPoulainSelleMâle=MOYENNE,VLOOKUP("Chanvre",AlimentsRationEcurieChevauxMâlesSelle,5,FALSE),0)+(IF(QualitéAlimentsPoulainSelleFemelle=MOYENNE,VLOOKUP("Chanvre",AlimentsRationEcurieChevauxFemellesSelle,5,FALSE),0)+(IF(QualitéAlimentsJeuneEtalon_12_24_moisSelle=MOYENNE,VLOOKUP("Chanvre",AlimentsRationEcurieChevauxMâlesSelle,4,FALSE),0)+(IF(QualitéAlimentsJeuneJument_12_24_moisSelle=MOYENNE,VLOOKUP("Chanvre",AlimentsRationEcurieChevauxFemellesSelle,4,FALSE),0)+(IF(QualitéAlimentsJeuneEtalon_24_36_moisSelle=MOYENNE,VLOOKUP("Chanvre",AlimentsRationEcurieChevauxMâlesSelle,3,FALSE),0)+(IF(QualitéAlimentsJeuneJument_24_36_moisSelle=MOYENNE,VLOOKUP("Chanvre",AlimentsRationEcurieChevauxFemellesSelle,3,FALSE),0)+(IF(QualitéAlimentsEtalonSelle=MOYENNE,VLOOKUP("Chanvre",AlimentsRationEcurieChevauxMâlesSelle,2,FALSE),0)+(IF(QualitéAlimentsJumentSelle=MOYENNE,VLOOKUP("Chanvre",AlimentsRationEcurieChevauxFemellesSelle,2,FALSE),0))))))))))</f>
        <v>0</v>
      </c>
      <c r="EX207" s="458">
        <f t="array" ref="EX207">SUM((IF(QualitéAlimentsPoulainSelleMâle=MAUVAISE,VLOOKUP("Chanvre",AlimentsRationEcurieChevauxMâlesSelle,5,FALSE),0)+(IF(QualitéAlimentsPoulainSelleFemelle=MAUVAISE,VLOOKUP("Chanvre",AlimentsRationEcurieChevauxFemellesSelle,5,FALSE),0)+(IF(QualitéAlimentsJeuneEtalon_12_24_moisSelle=MAUVAISE,VLOOKUP("Chanvre",AlimentsRationEcurieChevauxMâlesSelle,4,FALSE),0)+(IF(QualitéAlimentsJeuneJument_12_24_moisSelle=MAUVAISE,VLOOKUP("Chanvre",AlimentsRationEcurieChevauxFemellesSelle,4,FALSE),0)+(IF(QualitéAlimentsJeuneEtalon_24_36_moisSelle=MAUVAISE,VLOOKUP("Chanvre",AlimentsRationEcurieChevauxMâlesSelle,3,FALSE),0)+(IF(QualitéAlimentsJeuneJument_24_36_moisSelle=MAUVAISE,VLOOKUP("Chanvre",AlimentsRationEcurieChevauxFemellesSelle,3,FALSE),0)+(IF(QualitéAlimentsEtalonSelle=MAUVAISE,VLOOKUP("Chanvre",AlimentsRationEcurieChevauxMâlesSelle,2,FALSE),0)+(IF(QualitéAlimentsJumentSelle=MAUVAISE,VLOOKUP("Chanvre",AlimentsRationEcurieChevauxFemellesSelle,2,FALSE),0))))))))))</f>
        <v>0</v>
      </c>
      <c r="FD207" s="457" t="str">
        <f t="shared" si="65"/>
        <v>concentré jeunes porcins</v>
      </c>
      <c r="FE207" s="458">
        <f t="array" ref="FE207">SUM((IF(QualitéAlimentsPoulainMâleTrait=BONNE,VLOOKUP("Concentré jeunes porcins",AlimentsRationEcurieChevauxMâlesTrait,5,FALSE),0)+(IF(QualitéAlimentsPoulainFemelleTrait=BONNE,VLOOKUP("Concentré jeunes porcins",AlimentsRationEcurieChevauxFemellesTrait,5,FALSE),0)+(IF(QualitéAlimentsJeuneEtalon_12_24_moisTrait=BONNE,VLOOKUP("Concentré jeunes porcins",AlimentsRationEcurieChevauxMâlesTrait,4,FALSE),0)+(IF(QualitéAlimentsJeuneJument_12_24_moisTrait=BONNE,VLOOKUP("Concentré jeunes porcins",AlimentsRationEcurieChevauxFemellesTrait,4,FALSE),0)+(IF(QualitéAlimentsJeuneEtalon_24_36_moisTrait=BONNE,VLOOKUP("Concentré jeunes porcins",AlimentsRationEcurieChevauxMâlesTrait,3,FALSE),0)+(IF(QualitéAlimentsJeuneJument_24_36_moisTrait=BONNE,VLOOKUP("Concentré jeunes porcins",AlimentsRationEcurieChevauxFemellesTrait,3,FALSE),0)+(IF(QualitéAlimentsEtalonTrait=BONNE,VLOOKUP("Concentré jeunes porcins",AlimentsRationEcurieChevauxMâlesTrait,2,FALSE),0)+(IF(QualitéAlimentsJumentTrait=BONNE,VLOOKUP("Concentré jeunes porcins",AlimentsRationEcurieChevauxFemellesTrait,2,FALSE),0))))))))))</f>
        <v>0</v>
      </c>
      <c r="FF207" s="458">
        <f t="array" ref="FF207">SUM((IF(QualitéAlimentsPoulainMâleTrait=MOYENNE,VLOOKUP("Concentré jeunes porcins",AlimentsRationEcurieChevauxMâlesTrait,5,FALSE),0)+(IF(QualitéAlimentsPoulainFemelleTrait=MOYENNE,VLOOKUP("Concentré jeunes porcins",AlimentsRationEcurieChevauxFemellesTrait,5,FALSE),0)+(IF(QualitéAlimentsJeuneEtalon_12_24_moisTrait=MOYENNE,VLOOKUP("Concentré jeunes porcins",AlimentsRationEcurieChevauxMâlesTrait,4,FALSE),0)+(IF(QualitéAlimentsJeuneJument_12_24_moisTrait=MOYENNE,VLOOKUP("Concentré jeunes porcins",AlimentsRationEcurieChevauxFemellesTrait,4,FALSE),0)+(IF(QualitéAlimentsJeuneEtalon_24_36_moisTrait=MOYENNE,VLOOKUP("Concentré jeunes porcins",AlimentsRationEcurieChevauxMâlesTrait,3,FALSE),0)+(IF(QualitéAlimentsJeuneJument_24_36_moisTrait=MOYENNE,VLOOKUP("Concentré jeunes porcins",AlimentsRationEcurieChevauxFemellesTrait,3,FALSE),0)+(IF(QualitéAlimentsEtalonTrait=MOYENNE,VLOOKUP("Concentré jeunes porcins",AlimentsRationEcurieChevauxMâlesTrait,2,FALSE),0)+(IF(QualitéAlimentsJumentTrait=MOYENNE,VLOOKUP("Concentré jeunes porcins",AlimentsRationEcurieChevauxFemellesTrait,2,FALSE),0))))))))))</f>
        <v>0</v>
      </c>
      <c r="FG207" s="458">
        <f t="array" ref="FG207">SUM((IF(QualitéAlimentsPoulainMâleTrait=MAUVAISE,VLOOKUP("Concentré jeunes porcins",AlimentsRationEcurieChevauxMâlesTrait,5,FALSE),0)+(IF(QualitéAlimentsPoulainFemelleTrait=MAUVAISE,VLOOKUP("Concentré jeunes porcins",AlimentsRationEcurieChevauxFemellesTrait,5,FALSE),0)+(IF(QualitéAlimentsJeuneEtalon_12_24_moisTrait=MAUVAISE,VLOOKUP("Concentré jeunes porcins",AlimentsRationEcurieChevauxMâlesTrait,4,FALSE),0)+(IF(QualitéAlimentsJeuneJument_12_24_moisTrait=MAUVAISE,VLOOKUP("Concentré jeunes porcins",AlimentsRationEcurieChevauxFemellesTrait,4,FALSE),0)+(IF(QualitéAlimentsJeuneEtalon_24_36_moisTrait=MAUVAISE,VLOOKUP("Concentré jeunes porcins",AlimentsRationEcurieChevauxMâlesTrait,3,FALSE),0)+(IF(QualitéAlimentsJeuneJument_24_36_moisTrait=MAUVAISE,VLOOKUP("Concentré jeunes porcins",AlimentsRationEcurieChevauxFemellesTrait,3,FALSE),0)+(IF(QualitéAlimentsEtalonTrait=MAUVAISE,VLOOKUP("Concentré jeunes porcins",AlimentsRationEcurieChevauxMâlesTrait,2,FALSE),0)+(IF(QualitéAlimentsJumentTrait=MAUVAISE,VLOOKUP("Concentré jeunes porcins",AlimentsRationEcurieChevauxFemellesTrait,2,FALSE),0))))))))))</f>
        <v>0</v>
      </c>
      <c r="FI207" s="276"/>
      <c r="FN207" s="457" t="str">
        <f t="shared" si="64"/>
        <v>Ensilage d'herbe</v>
      </c>
      <c r="FO207" s="458">
        <f t="array" ref="FO207">SUM((IF(QualitéAlimentsPoulainMâlePoney=BONNE,VLOOKUP("Ensilage d'herbe",AlimentsRationChevauxMâlesPoney,5,FALSE),0)+(IF(QualitéAlimentsPoulainFemellePoney=BONNE,VLOOKUP("Ensilage d'herbe",AlimentsRationChevauxFemellesPoney,5,FALSE),0)+(IF(QualitéAlimentsJeuneEtalon_12_24_moisPoney=BONNE,VLOOKUP("Ensilage d'herbe",AlimentsRationChevauxMâlesPoney,4,FALSE),0)+(IF(QualitéAlimentsJeuneJument_12_24_moisPoney=BONNE,VLOOKUP("Ensilage d'herbe",AlimentsRationChevauxFemellesPoney,4,FALSE),0)+(IF(QualitéAlimentsJeuneEtalon_24_36_moisPoney=BONNE,VLOOKUP("Ensilage d'herbe",AlimentsRationChevauxMâlesPoney,3,FALSE),0)+(IF(QualitéAlimentsJeuneJument_24_36_moisPoney=BONNE,VLOOKUP("Ensilage d'herbe",AlimentsRationChevauxFemellesPoney,3,FALSE),0)+(IF(QualitéAlimentsEtalonPoney=BONNE,VLOOKUP("Ensilage d'herbe",AlimentsRationChevauxMâlesPoney,2,FALSE),0)+(IF(QualitéAlimentsJumentPoney=BONNE,VLOOKUP("Ensilage d'herbe",AlimentsRationChevauxFemellesPoney,2,FALSE),0))))))))))</f>
        <v>0</v>
      </c>
      <c r="FP207" s="458">
        <f t="array" ref="FP207">SUM((IF(QualitéAlimentsPoulainMâlePoney=MOYENNE,VLOOKUP("Ensilage d'herbe",AlimentsRationChevauxMâlesPoney,5,FALSE),0)+(IF(QualitéAlimentsPoulainFemellePoney=MOYENNE,VLOOKUP("Ensilage d'herbe",AlimentsRationChevauxFemellesPoney,5,FALSE),0)+(IF(QualitéAlimentsJeuneEtalon_12_24_moisPoney=MOYENNE,VLOOKUP("Ensilage d'herbe",AlimentsRationChevauxMâlesPoney,4,FALSE),0)+(IF(QualitéAlimentsJeuneJument_12_24_moisPoney=MOYENNE,VLOOKUP("Ensilage d'herbe",AlimentsRationChevauxFemellesPoney,4,FALSE),0)+(IF(QualitéAlimentsJeuneEtalon_24_36_moisPoney=MOYENNE,VLOOKUP("Ensilage d'herbe",AlimentsRationChevauxMâlesPoney,3,FALSE),0)+(IF(QualitéAlimentsJeuneJument_24_36_moisPoney=MOYENNE,VLOOKUP("Ensilage d'herbe",AlimentsRationChevauxFemellesPoney,3,FALSE),0)+(IF(QualitéAlimentsEtalonPoney=MOYENNE,VLOOKUP("Ensilage d'herbe",AlimentsRationChevauxMâlesPoney,2,FALSE),0)+(IF(QualitéAlimentsJumentPoney=MOYENNE,VLOOKUP("Ensilage d'herbe",AlimentsRationChevauxFemellesPoney,2,FALSE),0))))))))))</f>
        <v>0</v>
      </c>
      <c r="FQ207" s="458">
        <f t="array" ref="FQ207">SUM((IF(QualitéAlimentsPoulainMâlePoney=MAUVAISE,VLOOKUP("Ensilage d'herbe",AlimentsRationChevauxMâlesPoney,5,FALSE),0)+(IF(QualitéAlimentsPoulainFemellePoney=MAUVAISE,VLOOKUP("Ensilage d'herbe",AlimentsRationChevauxFemellesPoney,5,FALSE),0)+(IF(QualitéAlimentsJeuneEtalon_12_24_moisPoney=MAUVAISE,VLOOKUP("Ensilage d'herbe",AlimentsRationChevauxMâlesPoney,4,FALSE),0)+(IF(QualitéAlimentsJeuneJument_12_24_moisPoney=MAUVAISE,VLOOKUP("Ensilage d'herbe",AlimentsRationChevauxFemellesPoney,4,FALSE),0)+(IF(QualitéAlimentsJeuneEtalon_24_36_moisPoney=MAUVAISE,VLOOKUP("Ensilage d'herbe",AlimentsRationChevauxMâlesPoney,3,FALSE),0)+(IF(QualitéAlimentsJeuneJument_24_36_moisPoney=MAUVAISE,VLOOKUP("Ensilage d'herbe",AlimentsRationChevauxFemellesPoney,3,FALSE),0)+(IF(QualitéAlimentsEtalonPoney=MAUVAISE,VLOOKUP("Ensilage d'herbe",AlimentsRationChevauxMâlesPoney,2,FALSE),0)+(IF(QualitéAlimentsJumentPoney=MAUVAISE,VLOOKUP("Ensilage d'herbe",AlimentsRationChevauxFemellesPoney,2,FALSE),0))))))))))</f>
        <v>0</v>
      </c>
      <c r="FR207" s="281"/>
      <c r="GG207" s="276" t="s">
        <v>955</v>
      </c>
      <c r="GH207" s="276" t="s">
        <v>955</v>
      </c>
      <c r="GI207" s="276" t="s">
        <v>955</v>
      </c>
      <c r="GJ207" s="276" t="s">
        <v>955</v>
      </c>
      <c r="GK207" s="276" t="s">
        <v>955</v>
      </c>
      <c r="GL207" s="276" t="s">
        <v>955</v>
      </c>
      <c r="GM207" s="276" t="s">
        <v>955</v>
      </c>
      <c r="GN207" s="276" t="s">
        <v>955</v>
      </c>
      <c r="GO207" s="276" t="s">
        <v>955</v>
      </c>
      <c r="GP207" s="276" t="s">
        <v>955</v>
      </c>
      <c r="GQ207" s="276" t="s">
        <v>955</v>
      </c>
      <c r="GR207" s="276" t="s">
        <v>955</v>
      </c>
      <c r="GS207" s="276" t="s">
        <v>955</v>
      </c>
      <c r="GT207" s="276" t="s">
        <v>955</v>
      </c>
      <c r="GU207" s="276" t="s">
        <v>955</v>
      </c>
      <c r="GV207" s="276" t="s">
        <v>955</v>
      </c>
    </row>
    <row r="208" spans="1:204" ht="12.75" customHeight="1" x14ac:dyDescent="0.2">
      <c r="A208" s="278"/>
      <c r="BB208" s="350" t="s">
        <v>168</v>
      </c>
      <c r="BC208" s="351">
        <f t="array" ref="BC208">IF(Ration_complète_bovins[somme]&gt;0,0,IFERROR(IF(OR(AND(INDEX(Règles_bovins[Specificite],MATCH(ChoixRationBovins&amp;$BB208,Règles_bovins[Ration]&amp;Règles_bovins[Aliment],0))="s1",IF($BB208=Spécificité1Bovins,1)),
AND(INDEX(Règles_bovins[Specificite],MATCH(ChoixRationBovins&amp;$BB208,Règles_bovins[Ration]&amp;Règles_bovins[Aliment],0))="s2",IF($BB208=Spécificité2Bovins,1)),
INDEX(Règles_bovins[Specificite],MATCH(ChoixRationBovins&amp;$BB208,Règles_bovins[Ration]&amp;Règles_bovins[Aliment],0))="c"),
INDEX(Règles_bovins[Valeur 36 et plus],MATCH(ChoixRationBovins&amp;$BB208,Règles_bovins[Ration]&amp;Règles_bovins[Aliment],0)),0),0)*IF(ChoixBovinsPréHiver=OUI,TotalTaureauxRacesLaitières,TotalTaureaux*NbreJoursNourrirBovins))</f>
        <v>0</v>
      </c>
      <c r="BD208" s="351">
        <f t="array" ref="BD208">IF(Ration_complète_bovins[somme]&gt;0,0,IFERROR(IF(OR(AND(INDEX(Règles_bovins[Specificite],MATCH(ChoixRationBovins&amp;$BB208,Règles_bovins[Ration]&amp;Règles_bovins[Aliment],0))="s1",IF($BB208=Spécificité1Bovins,1)),
AND(INDEX(Règles_bovins[Specificite],MATCH(ChoixRationBovins&amp;$BB208,Règles_bovins[Ration]&amp;Règles_bovins[Aliment],0))="s2",IF($BB208=Spécificité2Bovins,1)),
INDEX(Règles_bovins[Specificite],MATCH(ChoixRationBovins&amp;$BB208,Règles_bovins[Ration]&amp;Règles_bovins[Aliment],0))="c"),
INDEX(Règles_bovins[Valeur 24-36],MATCH(ChoixRationBovins&amp;$BB208,Règles_bovins[Ration]&amp;Règles_bovins[Aliment],0)),0),0)*IF(ChoixBovinsPréHiver=OUI,TotalTaurillon_24_36_RacesLaitières,TotalBovinsMâles_24_36mois*NbreJoursNourrirBovins))</f>
        <v>0</v>
      </c>
      <c r="BE208" s="351">
        <f t="array" ref="BE208">IF(Ration_complète_bovins[somme]&gt;0,0,IFERROR(IF(OR(AND(INDEX(Règles_bovins[Specificite],MATCH(ChoixRationBovins&amp;$BB208,Règles_bovins[Ration]&amp;Règles_bovins[Aliment],0))="s1",IF($BB208=Spécificité1Bovins,1)),
AND(INDEX(Règles_bovins[Specificite],MATCH(ChoixRationBovins&amp;$BB208,Règles_bovins[Ration]&amp;Règles_bovins[Aliment],0))="s2",IF($BB208=Spécificité2Bovins,1)),
INDEX(Règles_bovins[Specificite],MATCH(ChoixRationBovins&amp;$BB208,Règles_bovins[Ration]&amp;Règles_bovins[Aliment],0))="c"),
INDEX(Règles_bovins[Valeur 18-24],MATCH(ChoixRationBovins&amp;$BB208,Règles_bovins[Ration]&amp;Règles_bovins[Aliment],0)),0),0)*IF(ChoixBovinsPréHiver=OUI,TotalTaurillon_18_24_RacesLaitières,TotalBovinsMâles_18_24mois*NbreJoursNourrirBovins))</f>
        <v>0</v>
      </c>
      <c r="BF208" s="351">
        <f t="array" ref="BF208">IF(Ration_complète_bovins[somme]&gt;0,0,IFERROR(IF(OR(AND(INDEX(Règles_bovins[Specificite],MATCH(ChoixRationBovins&amp;$BB208,Règles_bovins[Ration]&amp;Règles_bovins[Aliment],0))="s1",IF($BB208=Spécificité1Bovins,1)),
AND(INDEX(Règles_bovins[Specificite],MATCH(ChoixRationBovins&amp;$BB208,Règles_bovins[Ration]&amp;Règles_bovins[Aliment],0))="s2",IF($BB208=Spécificité2Bovins,1)),
INDEX(Règles_bovins[Specificite],MATCH(ChoixRationBovins&amp;$BB208,Règles_bovins[Ration]&amp;Règles_bovins[Aliment],0))="c"),
INDEX(Règles_bovins[Valeur 12-18],MATCH(ChoixRationBovins&amp;$BB208,Règles_bovins[Ration]&amp;Règles_bovins[Aliment],0)),0),0)*IF(ChoixBovinsPréHiver=OUI,animaux!D31,TotalBovinsMâles_12_18mois*NbreJoursNourrirBovins))</f>
        <v>0</v>
      </c>
      <c r="BG208" s="351">
        <f t="array" ref="BG208">IF(Ration_complète_bovins[somme]&gt;0,0,IFERROR(IF(OR(AND(INDEX(Règles_bovins[Specificite],MATCH(ChoixRationBovins&amp;$BB208,Règles_bovins[Ration]&amp;Règles_bovins[Aliment],0))="s1",IF($BB208=Spécificité1Bovins,1)),
AND(INDEX(Règles_bovins[Specificite],MATCH(ChoixRationBovins&amp;$BB208,Règles_bovins[Ration]&amp;Règles_bovins[Aliment],0))="s2",IF($BB208=Spécificité2Bovins,1)),
INDEX(Règles_bovins[Specificite],MATCH(ChoixRationBovins&amp;$BB208,Règles_bovins[Ration]&amp;Règles_bovins[Aliment],0))="c"),
INDEX(Règles_bovins[Valeur 6-12],MATCH(ChoixRationBovins&amp;$BB208,Règles_bovins[Ration]&amp;Règles_bovins[Aliment],0)),0),0)*IF(ChoixBovinsPréHiver=OUI,TotalVeauMâle_6_12_RacesLaitières,TotalBovinsMâles_6_12mois*NbreJoursNourrirBovins))</f>
        <v>0</v>
      </c>
      <c r="BH208" s="351">
        <f t="array" ref="BH208">IF(Ration_complète_bovins[somme]&gt;0,0,IFERROR(IF(OR(AND(INDEX(Règles_bovins[Specificite],MATCH(ChoixRationBovins&amp;$BB208,Règles_bovins[Ration]&amp;Règles_bovins[Aliment],0))="s1",IF($BB208=Spécificité1Bovins,1)),
AND(INDEX(Règles_bovins[Specificite],MATCH(ChoixRationBovins&amp;$BB208,Règles_bovins[Ration]&amp;Règles_bovins[Aliment],0))="s2",IF($BB208=Spécificité2Bovins,1)),
INDEX(Règles_bovins[Specificite],MATCH(ChoixRationBovins&amp;$BB208,Règles_bovins[Ration]&amp;Règles_bovins[Aliment],0))="c"),
INDEX(Règles_bovins[Valeur 3-6],MATCH(ChoixRationBovins&amp;$BB208,Règles_bovins[Ration]&amp;Règles_bovins[Aliment],0)),0),0)*IF(ChoixBovinsPréHiver=OUI,TotalVeauMâle_3_6_RacesLaitières,TotalBovinsMâles_3_6mois*NbreJoursNourrirBovins))</f>
        <v>0</v>
      </c>
      <c r="BI208" s="351">
        <f t="array" ref="BI208">IF(Ration_complète_bovins[somme]&gt;0,0,IFERROR(IF(OR(AND(INDEX(Règles_bovins[Specificite],MATCH(ChoixRationBovins&amp;$BB208,Règles_bovins[Ration]&amp;Règles_bovins[Aliment],0))="s1",IF($BB208=Spécificité1Bovins,1)),
AND(INDEX(Règles_bovins[Specificite],MATCH(ChoixRationBovins&amp;$BB208,Règles_bovins[Ration]&amp;Règles_bovins[Aliment],0))="s2",IF($BB208=Spécificité2Bovins,1)),
INDEX(Règles_bovins[Specificite],MATCH(ChoixRationBovins&amp;$BB208,Règles_bovins[Ration]&amp;Règles_bovins[Aliment],0))="c"),
INDEX(Règles_bovins[Valeur 0-3],MATCH(ChoixRationBovins&amp;$BB208,Règles_bovins[Ration]&amp;Règles_bovins[Aliment],0)),0),0)*IF(ChoixBovinsPréHiver=OUI,TotalVeauMâle_0_3_RacesLaitières,TotalBovinsMâles_0_3mois*NbreJoursNourrirBovins))</f>
        <v>0</v>
      </c>
      <c r="BJ208" s="352">
        <f t="shared" si="62"/>
        <v>0</v>
      </c>
      <c r="BK208" s="276"/>
      <c r="BL208" s="276"/>
      <c r="BX208" s="350" t="str">
        <f t="shared" si="63"/>
        <v>Epinard</v>
      </c>
      <c r="BY208" s="351">
        <f t="array" ref="BY208">SUM((IF(QualitéAlimentsChevreau_0_3_mois=BONNE,VLOOKUP("Epinard",AlimentsRationCaprinsMâles,5,FALSE),0)+(IF(QualitéAlimentsChevrette_0_3_mois=BONNE,VLOOKUP("Epinard",AlimentsRationCaprinsFemelles,5,FALSE),0)+(IF(QualitéAlimentsChevreau_3_6_mois=BONNE,VLOOKUP("Epinard",AlimentsRationCaprinsMâles,4,FALSE),0)+(IF(QualitéAlimentsChevrette_3_6_mois=BONNE,VLOOKUP("Epinard",AlimentsRationCaprinsFemelles,4,FALSE),0)+(IF(QualitéAlimentsJeuneBouc=BONNE,VLOOKUP("Epinard",AlimentsRationCaprinsMâles,3,FALSE),0)+(IF(QualitéAlimentsJeuneChèvre=BONNE,VLOOKUP("Epinard",AlimentsRationCaprinsFemelles,3,FALSE),0)+(IF(QualitéAlimentsBouc=BONNE,VLOOKUP("Epinard",AlimentsRationCaprinsMâles,2,FALSE),0)+(IF(QualitéAlimentsChèvre=BONNE,VLOOKUP("Epinard",AlimentsRationCaprinsFemelles,2,FALSE),0))))))))))</f>
        <v>0</v>
      </c>
      <c r="BZ208" s="351">
        <f t="array" ref="BZ208">SUM((IF(QualitéAlimentsChevreau_0_3_mois=MOYENNE,VLOOKUP("Epinard",AlimentsRationCaprinsMâles,5,FALSE),0)+(IF(QualitéAlimentsChevrette_0_3_mois=MOYENNE,VLOOKUP("Epinard",AlimentsRationCaprinsFemelles,5,FALSE),0)+(IF(QualitéAlimentsChevreau_3_6_mois=MOYENNE,VLOOKUP("Epinard",AlimentsRationCaprinsMâles,4,FALSE),0)+(IF(QualitéAlimentsChevrette_3_6_mois=MOYENNE,VLOOKUP("Epinard",AlimentsRationCaprinsFemelles,4,FALSE),0)+(IF(QualitéAlimentsJeuneBouc=MOYENNE,VLOOKUP("Epinard",AlimentsRationCaprinsMâles,3,FALSE),0)+(IF(QualitéAlimentsJeuneChèvre=MOYENNE,VLOOKUP("Epinard",AlimentsRationCaprinsFemelles,3,FALSE),0)+(IF(QualitéAlimentsBouc=MOYENNE,VLOOKUP("Epinard",AlimentsRationCaprinsMâles,2,FALSE),0)+(IF(QualitéAlimentsChèvre=MOYENNE,VLOOKUP("Epinard",AlimentsRationCaprinsFemelles,2,FALSE),0))))))))))</f>
        <v>0</v>
      </c>
      <c r="CA208" s="351">
        <f t="array" ref="CA208">SUM((IF(QualitéAlimentsChevreau_0_3_mois=MAUVAISE,VLOOKUP("Epinard",AlimentsRationCaprinsMâles,5,FALSE),0)+(IF(QualitéAlimentsChevrette_0_3_mois=MAUVAISE,VLOOKUP("Epinard",AlimentsRationCaprinsFemelles,5,FALSE),0)+(IF(QualitéAlimentsChevreau_3_6_mois=MAUVAISE,VLOOKUP("Epinard",AlimentsRationCaprinsMâles,4,FALSE),0)+(IF(QualitéAlimentsChevrette_3_6_mois=MAUVAISE,VLOOKUP("Epinard",AlimentsRationCaprinsFemelles,4,FALSE),0)+(IF(QualitéAlimentsJeuneBouc=MAUVAISE,VLOOKUP("Epinard",AlimentsRationCaprinsMâles,3,FALSE),0)+(IF(QualitéAlimentsJeuneChèvre=MAUVAISE,VLOOKUP("Epinard",AlimentsRationCaprinsFemelles,3,FALSE),0)+(IF(QualitéAlimentsBouc=MAUVAISE,VLOOKUP("Epinard",AlimentsRationCaprinsMâles,2,FALSE),0)+(IF(QualitéAlimentsChèvre=MAUVAISE,VLOOKUP("Epinard",AlimentsRationCaprinsFemelles,2,FALSE),0))))))))))</f>
        <v>0</v>
      </c>
      <c r="CB208" s="297"/>
      <c r="CC208" s="297"/>
      <c r="CD208" s="298"/>
      <c r="CE208" s="298"/>
      <c r="CF208" s="298"/>
      <c r="CG208" s="298"/>
      <c r="CH208" s="298"/>
      <c r="CI208" s="277"/>
      <c r="CK208" s="277"/>
      <c r="CL208" s="277"/>
      <c r="CM208" s="277"/>
      <c r="CN208" s="277"/>
      <c r="CO208" s="277"/>
      <c r="CP208" s="277"/>
      <c r="DN208" s="350" t="str">
        <f t="shared" si="61"/>
        <v>Lentille</v>
      </c>
      <c r="DO208" s="351">
        <f t="array" ref="DO208">IF(ChoixRationComplèteOvins=OUI,0,IFERROR(IF(OR(AND(INDEX(Règles_ovins[Specificite],MATCH(ChoixRationOvins&amp;$DN208,Règles_ovins[Ration]&amp;Règles_ovins[Aliment],0))="s1",IF($DN208=Spécificité1Ovins,1)),
AND(INDEX(Règles_ovins[Specificite],MATCH(ChoixRationOvins&amp;$DN208,Règles_ovins[Ration]&amp;Règles_ovins[Aliment],0))="s2",IF($DN208=Spécificité2Ovins,1)),
INDEX(Règles_ovins[Specificite],MATCH(ChoixRationOvins&amp;$DN208,Règles_ovins[Ration]&amp;Règles_ovins[Aliment],0))="c"),
INDEX(Règles_ovins[Valeur 12 et plus],MATCH(ChoixRationOvins&amp;$DN208,Règles_ovins[Ration]&amp;Règles_ovins[Aliment],0)),0),0)*IF(ChoixOvinsPréHiver=OUI,SUM(TotalOvinsAdultesRacesLaitières)*NbreJoursNourrirOvins,TotalBrebis*NbreJoursNourrirOvins))</f>
        <v>0</v>
      </c>
      <c r="DP208" s="351">
        <f t="array" ref="DP208">IF(ChoixRationComplèteOvins=OUI,0,IFERROR(IF(OR(AND(INDEX(Règles_ovins[Specificite],MATCH(ChoixRationOvins&amp;$DN208,Règles_ovins[Ration]&amp;Règles_ovins[Aliment],0))="s1",IF($DN208=Spécificité1Ovins,1)),
AND(INDEX(Règles_ovins[Specificite],MATCH(ChoixRationOvins&amp;$DN208,Règles_ovins[Ration]&amp;Règles_ovins[Aliment],0))="s2",IF($DN208=Spécificité2Ovins,1)),
INDEX(Règles_ovins[Specificite],MATCH(ChoixRationOvins&amp;$DN208,Règles_ovins[Ration]&amp;Règles_ovins[Aliment],0))="c"),
INDEX(Règles_ovins[Valeur 6-12],MATCH(ChoixRationOvins&amp;$DN208,Règles_ovins[Ration]&amp;Règles_ovins[Aliment],0)),0),0)*IF(ChoixOvinsPréHiver=OUI,SUM(TotalJeunesOvinsRacesLaitières)*NbreJoursNourrirOvins,TotalJeune_brebis_6_12_mois*NbreJoursNourrirOvins))</f>
        <v>0</v>
      </c>
      <c r="DQ208" s="351">
        <f t="array" ref="DQ208">IF(ChoixRationComplèteOvins=OUI,0,IFERROR(IF(OR(AND(INDEX(Règles_ovins[Specificite],MATCH(ChoixRationOvins&amp;$DN208,Règles_ovins[Ration]&amp;Règles_ovins[Aliment],0))="s1",IF($DN208=Spécificité1Ovins,1)),
AND(INDEX(Règles_ovins[Specificite],MATCH(ChoixRationOvins&amp;$DN208,Règles_ovins[Ration]&amp;Règles_ovins[Aliment],0))="s2",IF($DN208=Spécificité2Ovins,1)),
INDEX(Règles_ovins[Specificite],MATCH(ChoixRationOvins&amp;$DN208,Règles_ovins[Ration]&amp;Règles_ovins[Aliment],0))="c"),
INDEX(Règles_ovins[Valeur 3-6],MATCH(ChoixRationOvins&amp;$DN208,Règles_ovins[Ration]&amp;Règles_ovins[Aliment],0)),0),0)*IF(ChoixOvinsPréHiver=OUI,SUM(TotalOvins_3_6moisRacesLaitières)*NbreJoursNourrirOvins,TotalAgnelle_3_6_mois*NbreJoursNourrirOvins))</f>
        <v>0</v>
      </c>
      <c r="DR208" s="351">
        <f t="array" ref="DR208">IF(ChoixRationComplèteOvins=OUI,0,IFERROR(IF(OR(AND(INDEX(Règles_ovins[Specificite],MATCH(ChoixRationOvins&amp;$DN208,Règles_ovins[Ration]&amp;Règles_ovins[Aliment],0))="s1",IF($DN208=Spécificité1Ovins,1)),
AND(INDEX(Règles_ovins[Specificite],MATCH(ChoixRationOvins&amp;$DN208,Règles_ovins[Ration]&amp;Règles_ovins[Aliment],0))="s2",IF($DN208=Spécificité2Ovins,1)),
INDEX(Règles_ovins[Specificite],MATCH(ChoixRationOvins&amp;$DN208,Règles_ovins[Ration]&amp;Règles_ovins[Aliment],0))="c"),
INDEX(Règles_ovins[Valeur 0-3],MATCH(ChoixRationOvins&amp;$DN208,Règles_ovins[Ration]&amp;Règles_ovins[Aliment],0)),0),0)*IF(ChoixOvinsPréHiver=OUI,SUM(TotalOvins_3_6moisRacesLaitières)*NbreJoursNourrirOvins,TotalAgnelle_0_3_mois*NbreJoursNourrirOvins))</f>
        <v>0</v>
      </c>
      <c r="DS208" s="441">
        <f t="shared" si="60"/>
        <v>0</v>
      </c>
      <c r="DU208" s="281"/>
      <c r="EU208" s="457" t="str">
        <f t="shared" si="66"/>
        <v>Canola</v>
      </c>
      <c r="EV208" s="458">
        <f t="array" ref="EV208">SUM((IF(QualitéAlimentsPoulainSelleMâle=BONNE,VLOOKUP("Canola",AlimentsRationEcurieChevauxMâlesSelle,5,FALSE),0)+(IF(QualitéAlimentsPoulainSelleFemelle=BONNE,VLOOKUP("Canola",AlimentsRationEcurieChevauxFemellesSelle,5,FALSE),0)+(IF(QualitéAlimentsJeuneEtalon_12_24_moisSelle=BONNE,VLOOKUP("Canola",AlimentsRationEcurieChevauxMâlesSelle,4,FALSE),0)+(IF(QualitéAlimentsJeuneJument_12_24_moisSelle=BONNE,VLOOKUP("Canola",AlimentsRationEcurieChevauxFemellesSelle,4,FALSE),0)+(IF(QualitéAlimentsJeuneEtalon_24_36_moisSelle=BONNE,VLOOKUP("Canola",AlimentsRationEcurieChevauxMâlesSelle,3,FALSE),0)+(IF(QualitéAlimentsJeuneJument_24_36_moisSelle=BONNE,VLOOKUP("Canola",AlimentsRationEcurieChevauxFemellesSelle,3,FALSE),0)+(IF(QualitéAlimentsEtalonSelle=BONNE,VLOOKUP("Canola",AlimentsRationEcurieChevauxMâlesSelle,2,FALSE),0)+(IF(QualitéAlimentsJumentSelle=BONNE,VLOOKUP("Canola",AlimentsRationEcurieChevauxFemellesSelle,2,FALSE),0))))))))))</f>
        <v>0</v>
      </c>
      <c r="EW208" s="458">
        <f t="array" ref="EW208">SUM((IF(QualitéAlimentsPoulainSelleMâle=MOYENNE,VLOOKUP("Canola",AlimentsRationEcurieChevauxMâlesSelle,5,FALSE),0)+(IF(QualitéAlimentsPoulainSelleFemelle=MOYENNE,VLOOKUP("Canola",AlimentsRationEcurieChevauxFemellesSelle,5,FALSE),0)+(IF(QualitéAlimentsJeuneEtalon_12_24_moisSelle=MOYENNE,VLOOKUP("Canola",AlimentsRationEcurieChevauxMâlesSelle,4,FALSE),0)+(IF(QualitéAlimentsJeuneJument_12_24_moisSelle=MOYENNE,VLOOKUP("Canola",AlimentsRationEcurieChevauxFemellesSelle,4,FALSE),0)+(IF(QualitéAlimentsJeuneEtalon_24_36_moisSelle=MOYENNE,VLOOKUP("Canola",AlimentsRationEcurieChevauxMâlesSelle,3,FALSE),0)+(IF(QualitéAlimentsJeuneJument_24_36_moisSelle=MOYENNE,VLOOKUP("Canola",AlimentsRationEcurieChevauxFemellesSelle,3,FALSE),0)+(IF(QualitéAlimentsEtalonSelle=MOYENNE,VLOOKUP("Canola",AlimentsRationEcurieChevauxMâlesSelle,2,FALSE),0)+(IF(QualitéAlimentsJumentSelle=MOYENNE,VLOOKUP("Canola",AlimentsRationEcurieChevauxFemellesSelle,2,FALSE),0))))))))))</f>
        <v>0</v>
      </c>
      <c r="EX208" s="458">
        <f t="array" ref="EX208">SUM((IF(QualitéAlimentsPoulainSelleMâle=MAUVAISE,VLOOKUP("Canola",AlimentsRationEcurieChevauxMâlesSelle,5,FALSE),0)+(IF(QualitéAlimentsPoulainSelleFemelle=MAUVAISE,VLOOKUP("Canola",AlimentsRationEcurieChevauxFemellesSelle,5,FALSE),0)+(IF(QualitéAlimentsJeuneEtalon_12_24_moisSelle=MAUVAISE,VLOOKUP("Canola",AlimentsRationEcurieChevauxMâlesSelle,4,FALSE),0)+(IF(QualitéAlimentsJeuneJument_12_24_moisSelle=MAUVAISE,VLOOKUP("Canola",AlimentsRationEcurieChevauxFemellesSelle,4,FALSE),0)+(IF(QualitéAlimentsJeuneEtalon_24_36_moisSelle=MAUVAISE,VLOOKUP("Canola",AlimentsRationEcurieChevauxMâlesSelle,3,FALSE),0)+(IF(QualitéAlimentsJeuneJument_24_36_moisSelle=MAUVAISE,VLOOKUP("Canola",AlimentsRationEcurieChevauxFemellesSelle,3,FALSE),0)+(IF(QualitéAlimentsEtalonSelle=MAUVAISE,VLOOKUP("Canola",AlimentsRationEcurieChevauxMâlesSelle,2,FALSE),0)+(IF(QualitéAlimentsJumentSelle=MAUVAISE,VLOOKUP("Canola",AlimentsRationEcurieChevauxFemellesSelle,2,FALSE),0))))))))))</f>
        <v>0</v>
      </c>
      <c r="FD208" s="457" t="str">
        <f t="shared" si="65"/>
        <v>Ensilage d'herbe</v>
      </c>
      <c r="FE208" s="458">
        <f t="array" ref="FE208">SUM((IF(QualitéAlimentsPoulainMâleTrait=BONNE,VLOOKUP("Ensilage d'herbe",AlimentsRationEcurieChevauxMâlesTrait,5,FALSE),0)+(IF(QualitéAlimentsPoulainFemelleTrait=BONNE,VLOOKUP("Ensilage d'herbe",AlimentsRationEcurieChevauxFemellesTrait,5,FALSE),0)+(IF(QualitéAlimentsJeuneEtalon_12_24_moisTrait=BONNE,VLOOKUP("Ensilage d'herbe",AlimentsRationEcurieChevauxMâlesTrait,4,FALSE),0)+(IF(QualitéAlimentsJeuneJument_12_24_moisTrait=BONNE,VLOOKUP("Ensilage d'herbe",AlimentsRationEcurieChevauxFemellesTrait,4,FALSE),0)+(IF(QualitéAlimentsJeuneEtalon_24_36_moisTrait=BONNE,VLOOKUP("Ensilage d'herbe",AlimentsRationEcurieChevauxMâlesTrait,3,FALSE),0)+(IF(QualitéAlimentsJeuneJument_24_36_moisTrait=BONNE,VLOOKUP("Ensilage d'herbe",AlimentsRationEcurieChevauxFemellesTrait,3,FALSE),0)+(IF(QualitéAlimentsEtalonTrait=BONNE,VLOOKUP("Ensilage d'herbe",AlimentsRationEcurieChevauxMâlesTrait,2,FALSE),0)+(IF(QualitéAlimentsJumentTrait=BONNE,VLOOKUP("Ensilage d'herbe",AlimentsRationEcurieChevauxFemellesTrait,2,FALSE),0))))))))))</f>
        <v>0</v>
      </c>
      <c r="FF208" s="458">
        <f t="array" ref="FF208">SUM((IF(QualitéAlimentsPoulainMâleTrait=MOYENNE,VLOOKUP("Ensilage d'herbe",AlimentsRationEcurieChevauxMâlesTrait,5,FALSE),0)+(IF(QualitéAlimentsPoulainFemelleTrait=MOYENNE,VLOOKUP("Ensilage d'herbe",AlimentsRationEcurieChevauxFemellesTrait,5,FALSE),0)+(IF(QualitéAlimentsJeuneEtalon_12_24_moisTrait=MOYENNE,VLOOKUP("Ensilage d'herbe",AlimentsRationEcurieChevauxMâlesTrait,4,FALSE),0)+(IF(QualitéAlimentsJeuneJument_12_24_moisTrait=MOYENNE,VLOOKUP("Ensilage d'herbe",AlimentsRationEcurieChevauxFemellesTrait,4,FALSE),0)+(IF(QualitéAlimentsJeuneEtalon_24_36_moisTrait=MOYENNE,VLOOKUP("Ensilage d'herbe",AlimentsRationEcurieChevauxMâlesTrait,3,FALSE),0)+(IF(QualitéAlimentsJeuneJument_24_36_moisTrait=MOYENNE,VLOOKUP("Ensilage d'herbe",AlimentsRationEcurieChevauxFemellesTrait,3,FALSE),0)+(IF(QualitéAlimentsEtalonTrait=MOYENNE,VLOOKUP("Ensilage d'herbe",AlimentsRationEcurieChevauxMâlesTrait,2,FALSE),0)+(IF(QualitéAlimentsJumentTrait=MOYENNE,VLOOKUP("Ensilage d'herbe",AlimentsRationEcurieChevauxFemellesTrait,2,FALSE),0))))))))))</f>
        <v>0</v>
      </c>
      <c r="FG208" s="458">
        <f t="array" ref="FG208">SUM((IF(QualitéAlimentsPoulainMâleTrait=MAUVAISE,VLOOKUP("Ensilage d'herbe",AlimentsRationEcurieChevauxMâlesTrait,5,FALSE),0)+(IF(QualitéAlimentsPoulainFemelleTrait=MAUVAISE,VLOOKUP("Ensilage d'herbe",AlimentsRationEcurieChevauxFemellesTrait,5,FALSE),0)+(IF(QualitéAlimentsJeuneEtalon_12_24_moisTrait=MAUVAISE,VLOOKUP("Ensilage d'herbe",AlimentsRationEcurieChevauxMâlesTrait,4,FALSE),0)+(IF(QualitéAlimentsJeuneJument_12_24_moisTrait=MAUVAISE,VLOOKUP("Ensilage d'herbe",AlimentsRationEcurieChevauxFemellesTrait,4,FALSE),0)+(IF(QualitéAlimentsJeuneEtalon_24_36_moisTrait=MAUVAISE,VLOOKUP("Ensilage d'herbe",AlimentsRationEcurieChevauxMâlesTrait,3,FALSE),0)+(IF(QualitéAlimentsJeuneJument_24_36_moisTrait=MAUVAISE,VLOOKUP("Ensilage d'herbe",AlimentsRationEcurieChevauxFemellesTrait,3,FALSE),0)+(IF(QualitéAlimentsEtalonTrait=MAUVAISE,VLOOKUP("Ensilage d'herbe",AlimentsRationEcurieChevauxMâlesTrait,2,FALSE),0)+(IF(QualitéAlimentsJumentTrait=MAUVAISE,VLOOKUP("Ensilage d'herbe",AlimentsRationEcurieChevauxFemellesTrait,2,FALSE),0))))))))))</f>
        <v>0</v>
      </c>
      <c r="FI208" s="276"/>
      <c r="FN208" s="457" t="str">
        <f t="shared" si="64"/>
        <v>Eau</v>
      </c>
      <c r="FO208" s="458">
        <f t="array" ref="FO208">SUM((IF(QualitéAlimentsPoulainMâlePoney=BONNE,VLOOKUP("Eau",AlimentsRationChevauxMâlesPoney,5,FALSE),0)+(IF(QualitéAlimentsPoulainFemellePoney=BONNE,VLOOKUP("Eau",AlimentsRationChevauxFemellesPoney,5,FALSE),0)+(IF(QualitéAlimentsJeuneEtalon_12_24_moisPoney=BONNE,VLOOKUP("Eau",AlimentsRationChevauxMâlesPoney,4,FALSE),0)+(IF(QualitéAlimentsJeuneJument_12_24_moisPoney=BONNE,VLOOKUP("Eau",AlimentsRationChevauxFemellesPoney,4,FALSE),0)+(IF(QualitéAlimentsJeuneEtalon_24_36_moisPoney=BONNE,VLOOKUP("Eau",AlimentsRationChevauxMâlesPoney,3,FALSE),0)+(IF(QualitéAlimentsJeuneJument_24_36_moisPoney=BONNE,VLOOKUP("Eau",AlimentsRationChevauxFemellesPoney,3,FALSE),0)+(IF(QualitéAlimentsEtalonPoney=BONNE,VLOOKUP("Eau",AlimentsRationChevauxMâlesPoney,2,FALSE),0)+(IF(QualitéAlimentsJumentPoney=BONNE,VLOOKUP("Eau",AlimentsRationChevauxFemellesPoney,2,FALSE),0))))))))))</f>
        <v>0</v>
      </c>
      <c r="FP208" s="458">
        <f t="array" ref="FP208">SUM((IF(QualitéAlimentsPoulainMâlePoney=MOYENNE,VLOOKUP("Eau",AlimentsRationChevauxMâlesPoney,5,FALSE),0)+(IF(QualitéAlimentsPoulainFemellePoney=MOYENNE,VLOOKUP("Eau",AlimentsRationChevauxFemellesPoney,5,FALSE),0)+(IF(QualitéAlimentsJeuneEtalon_12_24_moisPoney=MOYENNE,VLOOKUP("Eau",AlimentsRationChevauxMâlesPoney,4,FALSE),0)+(IF(QualitéAlimentsJeuneJument_12_24_moisPoney=MOYENNE,VLOOKUP("Eau",AlimentsRationChevauxFemellesPoney,4,FALSE),0)+(IF(QualitéAlimentsJeuneEtalon_24_36_moisPoney=MOYENNE,VLOOKUP("Eau",AlimentsRationChevauxMâlesPoney,3,FALSE),0)+(IF(QualitéAlimentsJeuneJument_24_36_moisPoney=MOYENNE,VLOOKUP("Eau",AlimentsRationChevauxFemellesPoney,3,FALSE),0)+(IF(QualitéAlimentsEtalonPoney=MOYENNE,VLOOKUP("Eau",AlimentsRationChevauxMâlesPoney,2,FALSE),0)+(IF(QualitéAlimentsJumentPoney=MOYENNE,VLOOKUP("Eau",AlimentsRationChevauxFemellesPoney,2,FALSE),0))))))))))</f>
        <v>0</v>
      </c>
      <c r="FQ208" s="458">
        <f t="array" ref="FQ208">SUM((IF(QualitéAlimentsPoulainMâlePoney=MAUVAISE,VLOOKUP("Eau",AlimentsRationChevauxMâlesPoney,5,FALSE),0)+(IF(QualitéAlimentsPoulainFemellePoney=MAUVAISE,VLOOKUP("Eau",AlimentsRationChevauxFemellesPoney,5,FALSE),0)+(IF(QualitéAlimentsJeuneEtalon_12_24_moisPoney=MAUVAISE,VLOOKUP("Eau",AlimentsRationChevauxMâlesPoney,4,FALSE),0)+(IF(QualitéAlimentsJeuneJument_12_24_moisPoney=MAUVAISE,VLOOKUP("Eau",AlimentsRationChevauxFemellesPoney,4,FALSE),0)+(IF(QualitéAlimentsJeuneEtalon_24_36_moisPoney=MAUVAISE,VLOOKUP("Eau",AlimentsRationChevauxMâlesPoney,3,FALSE),0)+(IF(QualitéAlimentsJeuneJument_24_36_moisPoney=MAUVAISE,VLOOKUP("Eau",AlimentsRationChevauxFemellesPoney,3,FALSE),0)+(IF(QualitéAlimentsEtalonPoney=MAUVAISE,VLOOKUP("Eau",AlimentsRationChevauxMâlesPoney,2,FALSE),0)+(IF(QualitéAlimentsJumentPoney=MAUVAISE,VLOOKUP("Eau",AlimentsRationChevauxFemellesPoney,2,FALSE),0))))))))))</f>
        <v>0</v>
      </c>
      <c r="FR208" s="281"/>
      <c r="GG208" s="276" t="s">
        <v>955</v>
      </c>
      <c r="GH208" s="276" t="s">
        <v>955</v>
      </c>
      <c r="GI208" s="276" t="s">
        <v>955</v>
      </c>
      <c r="GJ208" s="276" t="s">
        <v>955</v>
      </c>
      <c r="GK208" s="276" t="s">
        <v>955</v>
      </c>
      <c r="GL208" s="276" t="s">
        <v>955</v>
      </c>
      <c r="GM208" s="276" t="s">
        <v>955</v>
      </c>
      <c r="GN208" s="276" t="s">
        <v>955</v>
      </c>
      <c r="GO208" s="276" t="s">
        <v>955</v>
      </c>
      <c r="GP208" s="276" t="s">
        <v>955</v>
      </c>
      <c r="GQ208" s="276" t="s">
        <v>955</v>
      </c>
      <c r="GR208" s="276" t="s">
        <v>955</v>
      </c>
      <c r="GS208" s="276" t="s">
        <v>955</v>
      </c>
      <c r="GT208" s="276" t="s">
        <v>955</v>
      </c>
      <c r="GU208" s="276" t="s">
        <v>955</v>
      </c>
      <c r="GV208" s="276" t="s">
        <v>955</v>
      </c>
    </row>
    <row r="209" spans="1:204" ht="12.75" customHeight="1" x14ac:dyDescent="0.2">
      <c r="A209" s="276"/>
      <c r="B209" s="276"/>
      <c r="BB209" s="350" t="s">
        <v>266</v>
      </c>
      <c r="BC209" s="351">
        <f t="array" ref="BC209">IF(Ration_complète_bovins[somme]&gt;0,0,IFERROR(IF(OR(AND(INDEX(Règles_bovins[Specificite],MATCH(ChoixRationBovins&amp;$BB209,Règles_bovins[Ration]&amp;Règles_bovins[Aliment],0))="s1",IF($BB209=Spécificité1Bovins,1)),
AND(INDEX(Règles_bovins[Specificite],MATCH(ChoixRationBovins&amp;$BB209,Règles_bovins[Ration]&amp;Règles_bovins[Aliment],0))="s2",IF($BB209=Spécificité2Bovins,1)),
INDEX(Règles_bovins[Specificite],MATCH(ChoixRationBovins&amp;$BB209,Règles_bovins[Ration]&amp;Règles_bovins[Aliment],0))="c"),
INDEX(Règles_bovins[Valeur 36 et plus],MATCH(ChoixRationBovins&amp;$BB209,Règles_bovins[Ration]&amp;Règles_bovins[Aliment],0)),0),0)*IF(ChoixBovinsPréHiver=OUI,TotalTaureauxRacesLaitières,TotalTaureaux*NbreJoursNourrirBovins))</f>
        <v>0</v>
      </c>
      <c r="BD209" s="351">
        <f t="array" ref="BD209">IF(Ration_complète_bovins[somme]&gt;0,0,IFERROR(IF(OR(AND(INDEX(Règles_bovins[Specificite],MATCH(ChoixRationBovins&amp;$BB209,Règles_bovins[Ration]&amp;Règles_bovins[Aliment],0))="s1",IF($BB209=Spécificité1Bovins,1)),
AND(INDEX(Règles_bovins[Specificite],MATCH(ChoixRationBovins&amp;$BB209,Règles_bovins[Ration]&amp;Règles_bovins[Aliment],0))="s2",IF($BB209=Spécificité2Bovins,1)),
INDEX(Règles_bovins[Specificite],MATCH(ChoixRationBovins&amp;$BB209,Règles_bovins[Ration]&amp;Règles_bovins[Aliment],0))="c"),
INDEX(Règles_bovins[Valeur 24-36],MATCH(ChoixRationBovins&amp;$BB209,Règles_bovins[Ration]&amp;Règles_bovins[Aliment],0)),0),0)*IF(ChoixBovinsPréHiver=OUI,TotalTaurillon_24_36_RacesLaitières,TotalBovinsMâles_24_36mois*NbreJoursNourrirBovins))</f>
        <v>0</v>
      </c>
      <c r="BE209" s="351">
        <f t="array" ref="BE209">IF(Ration_complète_bovins[somme]&gt;0,0,IFERROR(IF(OR(AND(INDEX(Règles_bovins[Specificite],MATCH(ChoixRationBovins&amp;$BB209,Règles_bovins[Ration]&amp;Règles_bovins[Aliment],0))="s1",IF($BB209=Spécificité1Bovins,1)),
AND(INDEX(Règles_bovins[Specificite],MATCH(ChoixRationBovins&amp;$BB209,Règles_bovins[Ration]&amp;Règles_bovins[Aliment],0))="s2",IF($BB209=Spécificité2Bovins,1)),
INDEX(Règles_bovins[Specificite],MATCH(ChoixRationBovins&amp;$BB209,Règles_bovins[Ration]&amp;Règles_bovins[Aliment],0))="c"),
INDEX(Règles_bovins[Valeur 18-24],MATCH(ChoixRationBovins&amp;$BB209,Règles_bovins[Ration]&amp;Règles_bovins[Aliment],0)),0),0)*IF(ChoixBovinsPréHiver=OUI,TotalTaurillon_18_24_RacesLaitières,TotalBovinsMâles_18_24mois*NbreJoursNourrirBovins))</f>
        <v>0</v>
      </c>
      <c r="BF209" s="351">
        <f t="array" ref="BF209">IF(Ration_complète_bovins[somme]&gt;0,0,IFERROR(IF(OR(AND(INDEX(Règles_bovins[Specificite],MATCH(ChoixRationBovins&amp;$BB209,Règles_bovins[Ration]&amp;Règles_bovins[Aliment],0))="s1",IF($BB209=Spécificité1Bovins,1)),
AND(INDEX(Règles_bovins[Specificite],MATCH(ChoixRationBovins&amp;$BB209,Règles_bovins[Ration]&amp;Règles_bovins[Aliment],0))="s2",IF($BB209=Spécificité2Bovins,1)),
INDEX(Règles_bovins[Specificite],MATCH(ChoixRationBovins&amp;$BB209,Règles_bovins[Ration]&amp;Règles_bovins[Aliment],0))="c"),
INDEX(Règles_bovins[Valeur 12-18],MATCH(ChoixRationBovins&amp;$BB209,Règles_bovins[Ration]&amp;Règles_bovins[Aliment],0)),0),0)*IF(ChoixBovinsPréHiver=OUI,animaux!D32,TotalBovinsMâles_12_18mois*NbreJoursNourrirBovins))</f>
        <v>0</v>
      </c>
      <c r="BG209" s="351">
        <f t="array" ref="BG209">IF(Ration_complète_bovins[somme]&gt;0,0,IFERROR(IF(OR(AND(INDEX(Règles_bovins[Specificite],MATCH(ChoixRationBovins&amp;$BB209,Règles_bovins[Ration]&amp;Règles_bovins[Aliment],0))="s1",IF($BB209=Spécificité1Bovins,1)),
AND(INDEX(Règles_bovins[Specificite],MATCH(ChoixRationBovins&amp;$BB209,Règles_bovins[Ration]&amp;Règles_bovins[Aliment],0))="s2",IF($BB209=Spécificité2Bovins,1)),
INDEX(Règles_bovins[Specificite],MATCH(ChoixRationBovins&amp;$BB209,Règles_bovins[Ration]&amp;Règles_bovins[Aliment],0))="c"),
INDEX(Règles_bovins[Valeur 6-12],MATCH(ChoixRationBovins&amp;$BB209,Règles_bovins[Ration]&amp;Règles_bovins[Aliment],0)),0),0)*IF(ChoixBovinsPréHiver=OUI,TotalVeauMâle_6_12_RacesLaitières,TotalBovinsMâles_6_12mois*NbreJoursNourrirBovins))</f>
        <v>0</v>
      </c>
      <c r="BH209" s="351">
        <f t="array" ref="BH209">IF(Ration_complète_bovins[somme]&gt;0,0,IFERROR(IF(OR(AND(INDEX(Règles_bovins[Specificite],MATCH(ChoixRationBovins&amp;$BB209,Règles_bovins[Ration]&amp;Règles_bovins[Aliment],0))="s1",IF($BB209=Spécificité1Bovins,1)),
AND(INDEX(Règles_bovins[Specificite],MATCH(ChoixRationBovins&amp;$BB209,Règles_bovins[Ration]&amp;Règles_bovins[Aliment],0))="s2",IF($BB209=Spécificité2Bovins,1)),
INDEX(Règles_bovins[Specificite],MATCH(ChoixRationBovins&amp;$BB209,Règles_bovins[Ration]&amp;Règles_bovins[Aliment],0))="c"),
INDEX(Règles_bovins[Valeur 3-6],MATCH(ChoixRationBovins&amp;$BB209,Règles_bovins[Ration]&amp;Règles_bovins[Aliment],0)),0),0)*IF(ChoixBovinsPréHiver=OUI,TotalVeauMâle_3_6_RacesLaitières,TotalBovinsMâles_3_6mois*NbreJoursNourrirBovins))</f>
        <v>0</v>
      </c>
      <c r="BI209" s="351">
        <f t="array" ref="BI209">IF(Ration_complète_bovins[somme]&gt;0,0,IFERROR(IF(OR(AND(INDEX(Règles_bovins[Specificite],MATCH(ChoixRationBovins&amp;$BB209,Règles_bovins[Ration]&amp;Règles_bovins[Aliment],0))="s1",IF($BB209=Spécificité1Bovins,1)),
AND(INDEX(Règles_bovins[Specificite],MATCH(ChoixRationBovins&amp;$BB209,Règles_bovins[Ration]&amp;Règles_bovins[Aliment],0))="s2",IF($BB209=Spécificité2Bovins,1)),
INDEX(Règles_bovins[Specificite],MATCH(ChoixRationBovins&amp;$BB209,Règles_bovins[Ration]&amp;Règles_bovins[Aliment],0))="c"),
INDEX(Règles_bovins[Valeur 0-3],MATCH(ChoixRationBovins&amp;$BB209,Règles_bovins[Ration]&amp;Règles_bovins[Aliment],0)),0),0)*IF(ChoixBovinsPréHiver=OUI,TotalVeauMâle_0_3_RacesLaitières,TotalBovinsMâles_0_3mois*NbreJoursNourrirBovins))</f>
        <v>0</v>
      </c>
      <c r="BJ209" s="352">
        <f t="shared" si="62"/>
        <v>0</v>
      </c>
      <c r="BK209" s="276"/>
      <c r="BL209" s="276"/>
      <c r="BX209" s="350" t="str">
        <f t="shared" si="63"/>
        <v>Féverole</v>
      </c>
      <c r="BY209" s="351">
        <f t="array" ref="BY209">SUM((IF(QualitéAlimentsChevreau_0_3_mois=BONNE,VLOOKUP("Féverole",AlimentsRationCaprinsMâles,5,FALSE),0)+(IF(QualitéAlimentsChevrette_0_3_mois=BONNE,VLOOKUP("Féverole",AlimentsRationCaprinsFemelles,5,FALSE),0)+(IF(QualitéAlimentsChevreau_3_6_mois=BONNE,VLOOKUP("Féverole",AlimentsRationCaprinsMâles,4,FALSE),0)+(IF(QualitéAlimentsChevrette_3_6_mois=BONNE,VLOOKUP("Féverole",AlimentsRationCaprinsFemelles,4,FALSE),0)+(IF(QualitéAlimentsJeuneBouc=BONNE,VLOOKUP("Féverole",AlimentsRationCaprinsMâles,3,FALSE),0)+(IF(QualitéAlimentsJeuneChèvre=BONNE,VLOOKUP("Féverole",AlimentsRationCaprinsFemelles,3,FALSE),0)+(IF(QualitéAlimentsBouc=BONNE,VLOOKUP("Féverole",AlimentsRationCaprinsMâles,2,FALSE),0)+(IF(QualitéAlimentsChèvre=BONNE,VLOOKUP("Féverole",AlimentsRationCaprinsFemelles,2,FALSE),0))))))))))</f>
        <v>0</v>
      </c>
      <c r="BZ209" s="351">
        <f t="array" ref="BZ209">SUM((IF(QualitéAlimentsChevreau_0_3_mois=MOYENNE,VLOOKUP("Féverole",AlimentsRationCaprinsMâles,5,FALSE),0)+(IF(QualitéAlimentsChevrette_0_3_mois=MOYENNE,VLOOKUP("Féverole",AlimentsRationCaprinsFemelles,5,FALSE),0)+(IF(QualitéAlimentsChevreau_3_6_mois=MOYENNE,VLOOKUP("Féverole",AlimentsRationCaprinsMâles,4,FALSE),0)+(IF(QualitéAlimentsChevrette_3_6_mois=MOYENNE,VLOOKUP("Féverole",AlimentsRationCaprinsFemelles,4,FALSE),0)+(IF(QualitéAlimentsJeuneBouc=MOYENNE,VLOOKUP("Féverole",AlimentsRationCaprinsMâles,3,FALSE),0)+(IF(QualitéAlimentsJeuneChèvre=MOYENNE,VLOOKUP("Féverole",AlimentsRationCaprinsFemelles,3,FALSE),0)+(IF(QualitéAlimentsBouc=MOYENNE,VLOOKUP("Féverole",AlimentsRationCaprinsMâles,2,FALSE),0)+(IF(QualitéAlimentsChèvre=MOYENNE,VLOOKUP("Féverole",AlimentsRationCaprinsFemelles,2,FALSE),0))))))))))</f>
        <v>0</v>
      </c>
      <c r="CA209" s="351">
        <f t="array" ref="CA209">SUM((IF(QualitéAlimentsChevreau_0_3_mois=MAUVAISE,VLOOKUP("Féverole",AlimentsRationCaprinsMâles,5,FALSE),0)+(IF(QualitéAlimentsChevrette_0_3_mois=MAUVAISE,VLOOKUP("Féverole",AlimentsRationCaprinsFemelles,5,FALSE),0)+(IF(QualitéAlimentsChevreau_3_6_mois=MAUVAISE,VLOOKUP("Féverole",AlimentsRationCaprinsMâles,4,FALSE),0)+(IF(QualitéAlimentsChevrette_3_6_mois=MAUVAISE,VLOOKUP("Féverole",AlimentsRationCaprinsFemelles,4,FALSE),0)+(IF(QualitéAlimentsJeuneBouc=MAUVAISE,VLOOKUP("Féverole",AlimentsRationCaprinsMâles,3,FALSE),0)+(IF(QualitéAlimentsJeuneChèvre=MAUVAISE,VLOOKUP("Féverole",AlimentsRationCaprinsFemelles,3,FALSE),0)+(IF(QualitéAlimentsBouc=MAUVAISE,VLOOKUP("Féverole",AlimentsRationCaprinsMâles,2,FALSE),0)+(IF(QualitéAlimentsChèvre=MAUVAISE,VLOOKUP("Féverole",AlimentsRationCaprinsFemelles,2,FALSE),0))))))))))</f>
        <v>0</v>
      </c>
      <c r="CB209" s="277"/>
      <c r="CC209" s="277"/>
      <c r="CD209" s="298"/>
      <c r="CE209" s="298"/>
      <c r="CF209" s="298"/>
      <c r="CG209" s="298"/>
      <c r="CH209" s="298"/>
      <c r="CI209" s="277"/>
      <c r="CK209" s="277"/>
      <c r="CL209" s="277"/>
      <c r="CM209" s="277"/>
      <c r="CN209" s="277"/>
      <c r="CO209" s="277"/>
      <c r="CP209" s="277"/>
      <c r="DN209" s="350" t="str">
        <f t="shared" si="61"/>
        <v>Maïs ensilé</v>
      </c>
      <c r="DO209" s="351">
        <f t="array" ref="DO209">IF(ChoixRationComplèteOvins=OUI,0,IFERROR(IF(OR(AND(INDEX(Règles_ovins[Specificite],MATCH(ChoixRationOvins&amp;$DN209,Règles_ovins[Ration]&amp;Règles_ovins[Aliment],0))="s1",IF($DN209=Spécificité1Ovins,1)),
AND(INDEX(Règles_ovins[Specificite],MATCH(ChoixRationOvins&amp;$DN209,Règles_ovins[Ration]&amp;Règles_ovins[Aliment],0))="s2",IF($DN209=Spécificité2Ovins,1)),
INDEX(Règles_ovins[Specificite],MATCH(ChoixRationOvins&amp;$DN209,Règles_ovins[Ration]&amp;Règles_ovins[Aliment],0))="c"),
INDEX(Règles_ovins[Valeur 12 et plus],MATCH(ChoixRationOvins&amp;$DN209,Règles_ovins[Ration]&amp;Règles_ovins[Aliment],0)),0),0)*IF(ChoixOvinsPréHiver=OUI,SUM(TotalOvinsAdultesRacesLaitières)*NbreJoursNourrirOvins,TotalBrebis*NbreJoursNourrirOvins))</f>
        <v>0</v>
      </c>
      <c r="DP209" s="351">
        <f t="array" ref="DP209">IF(ChoixRationComplèteOvins=OUI,0,IFERROR(IF(OR(AND(INDEX(Règles_ovins[Specificite],MATCH(ChoixRationOvins&amp;$DN209,Règles_ovins[Ration]&amp;Règles_ovins[Aliment],0))="s1",IF($DN209=Spécificité1Ovins,1)),
AND(INDEX(Règles_ovins[Specificite],MATCH(ChoixRationOvins&amp;$DN209,Règles_ovins[Ration]&amp;Règles_ovins[Aliment],0))="s2",IF($DN209=Spécificité2Ovins,1)),
INDEX(Règles_ovins[Specificite],MATCH(ChoixRationOvins&amp;$DN209,Règles_ovins[Ration]&amp;Règles_ovins[Aliment],0))="c"),
INDEX(Règles_ovins[Valeur 6-12],MATCH(ChoixRationOvins&amp;$DN209,Règles_ovins[Ration]&amp;Règles_ovins[Aliment],0)),0),0)*IF(ChoixOvinsPréHiver=OUI,SUM(TotalJeunesOvinsRacesLaitières)*NbreJoursNourrirOvins,TotalJeune_brebis_6_12_mois*NbreJoursNourrirOvins))</f>
        <v>0</v>
      </c>
      <c r="DQ209" s="351">
        <f t="array" ref="DQ209">IF(ChoixRationComplèteOvins=OUI,0,IFERROR(IF(OR(AND(INDEX(Règles_ovins[Specificite],MATCH(ChoixRationOvins&amp;$DN209,Règles_ovins[Ration]&amp;Règles_ovins[Aliment],0))="s1",IF($DN209=Spécificité1Ovins,1)),
AND(INDEX(Règles_ovins[Specificite],MATCH(ChoixRationOvins&amp;$DN209,Règles_ovins[Ration]&amp;Règles_ovins[Aliment],0))="s2",IF($DN209=Spécificité2Ovins,1)),
INDEX(Règles_ovins[Specificite],MATCH(ChoixRationOvins&amp;$DN209,Règles_ovins[Ration]&amp;Règles_ovins[Aliment],0))="c"),
INDEX(Règles_ovins[Valeur 3-6],MATCH(ChoixRationOvins&amp;$DN209,Règles_ovins[Ration]&amp;Règles_ovins[Aliment],0)),0),0)*IF(ChoixOvinsPréHiver=OUI,SUM(TotalOvins_3_6moisRacesLaitières)*NbreJoursNourrirOvins,TotalAgnelle_3_6_mois*NbreJoursNourrirOvins))</f>
        <v>0</v>
      </c>
      <c r="DR209" s="351">
        <f t="array" ref="DR209">IF(ChoixRationComplèteOvins=OUI,0,IFERROR(IF(OR(AND(INDEX(Règles_ovins[Specificite],MATCH(ChoixRationOvins&amp;$DN209,Règles_ovins[Ration]&amp;Règles_ovins[Aliment],0))="s1",IF($DN209=Spécificité1Ovins,1)),
AND(INDEX(Règles_ovins[Specificite],MATCH(ChoixRationOvins&amp;$DN209,Règles_ovins[Ration]&amp;Règles_ovins[Aliment],0))="s2",IF($DN209=Spécificité2Ovins,1)),
INDEX(Règles_ovins[Specificite],MATCH(ChoixRationOvins&amp;$DN209,Règles_ovins[Ration]&amp;Règles_ovins[Aliment],0))="c"),
INDEX(Règles_ovins[Valeur 0-3],MATCH(ChoixRationOvins&amp;$DN209,Règles_ovins[Ration]&amp;Règles_ovins[Aliment],0)),0),0)*IF(ChoixOvinsPréHiver=OUI,SUM(TotalOvins_3_6moisRacesLaitières)*NbreJoursNourrirOvins,TotalAgnelle_0_3_mois*NbreJoursNourrirOvins))</f>
        <v>0</v>
      </c>
      <c r="DS209" s="441">
        <f t="shared" si="60"/>
        <v>0</v>
      </c>
      <c r="DU209" s="281"/>
      <c r="EU209" s="457" t="str">
        <f t="shared" si="66"/>
        <v>Colza</v>
      </c>
      <c r="EV209" s="458">
        <f t="array" ref="EV209">SUM((IF(QualitéAlimentsPoulainSelleMâle=BONNE,VLOOKUP("Colza",AlimentsRationEcurieChevauxMâlesSelle,5,FALSE),0)+(IF(QualitéAlimentsPoulainSelleFemelle=BONNE,VLOOKUP("Colza",AlimentsRationEcurieChevauxFemellesSelle,5,FALSE),0)+(IF(QualitéAlimentsJeuneEtalon_12_24_moisSelle=BONNE,VLOOKUP("Colza",AlimentsRationEcurieChevauxMâlesSelle,4,FALSE),0)+(IF(QualitéAlimentsJeuneJument_12_24_moisSelle=BONNE,VLOOKUP("Colza",AlimentsRationEcurieChevauxFemellesSelle,4,FALSE),0)+(IF(QualitéAlimentsJeuneEtalon_24_36_moisSelle=BONNE,VLOOKUP("Colza",AlimentsRationEcurieChevauxMâlesSelle,3,FALSE),0)+(IF(QualitéAlimentsJeuneJument_24_36_moisSelle=BONNE,VLOOKUP("Colza",AlimentsRationEcurieChevauxFemellesSelle,3,FALSE),0)+(IF(QualitéAlimentsEtalonSelle=BONNE,VLOOKUP("Colza",AlimentsRationEcurieChevauxMâlesSelle,2,FALSE),0)+(IF(QualitéAlimentsJumentSelle=BONNE,VLOOKUP("Colza",AlimentsRationEcurieChevauxFemellesSelle,2,FALSE),0))))))))))</f>
        <v>0</v>
      </c>
      <c r="EW209" s="458">
        <f t="array" ref="EW209">SUM((IF(QualitéAlimentsPoulainSelleMâle=MOYENNE,VLOOKUP("Colza",AlimentsRationEcurieChevauxMâlesSelle,5,FALSE),0)+(IF(QualitéAlimentsPoulainSelleFemelle=MOYENNE,VLOOKUP("Colza",AlimentsRationEcurieChevauxFemellesSelle,5,FALSE),0)+(IF(QualitéAlimentsJeuneEtalon_12_24_moisSelle=MOYENNE,VLOOKUP("Colza",AlimentsRationEcurieChevauxMâlesSelle,4,FALSE),0)+(IF(QualitéAlimentsJeuneJument_12_24_moisSelle=MOYENNE,VLOOKUP("Colza",AlimentsRationEcurieChevauxFemellesSelle,4,FALSE),0)+(IF(QualitéAlimentsJeuneEtalon_24_36_moisSelle=MOYENNE,VLOOKUP("Colza",AlimentsRationEcurieChevauxMâlesSelle,3,FALSE),0)+(IF(QualitéAlimentsJeuneJument_24_36_moisSelle=MOYENNE,VLOOKUP("Colza",AlimentsRationEcurieChevauxFemellesSelle,3,FALSE),0)+(IF(QualitéAlimentsEtalonSelle=MOYENNE,VLOOKUP("Colza",AlimentsRationEcurieChevauxMâlesSelle,2,FALSE),0)+(IF(QualitéAlimentsJumentSelle=MOYENNE,VLOOKUP("Colza",AlimentsRationEcurieChevauxFemellesSelle,2,FALSE),0))))))))))</f>
        <v>0</v>
      </c>
      <c r="EX209" s="458">
        <f t="array" ref="EX209">SUM((IF(QualitéAlimentsPoulainSelleMâle=MAUVAISE,VLOOKUP("Colza",AlimentsRationEcurieChevauxMâlesSelle,5,FALSE),0)+(IF(QualitéAlimentsPoulainSelleFemelle=MAUVAISE,VLOOKUP("Colza",AlimentsRationEcurieChevauxFemellesSelle,5,FALSE),0)+(IF(QualitéAlimentsJeuneEtalon_12_24_moisSelle=MAUVAISE,VLOOKUP("Colza",AlimentsRationEcurieChevauxMâlesSelle,4,FALSE),0)+(IF(QualitéAlimentsJeuneJument_12_24_moisSelle=MAUVAISE,VLOOKUP("Colza",AlimentsRationEcurieChevauxFemellesSelle,4,FALSE),0)+(IF(QualitéAlimentsJeuneEtalon_24_36_moisSelle=MAUVAISE,VLOOKUP("Colza",AlimentsRationEcurieChevauxMâlesSelle,3,FALSE),0)+(IF(QualitéAlimentsJeuneJument_24_36_moisSelle=MAUVAISE,VLOOKUP("Colza",AlimentsRationEcurieChevauxFemellesSelle,3,FALSE),0)+(IF(QualitéAlimentsEtalonSelle=MAUVAISE,VLOOKUP("Colza",AlimentsRationEcurieChevauxMâlesSelle,2,FALSE),0)+(IF(QualitéAlimentsJumentSelle=MAUVAISE,VLOOKUP("Colza",AlimentsRationEcurieChevauxFemellesSelle,2,FALSE),0))))))))))</f>
        <v>0</v>
      </c>
      <c r="FD209" s="457" t="str">
        <f t="shared" si="65"/>
        <v>Eau</v>
      </c>
      <c r="FE209" s="458">
        <f t="array" ref="FE209">SUM((IF(QualitéAlimentsPoulainMâleTrait=BONNE,VLOOKUP("Eau",AlimentsRationEcurieChevauxMâlesTrait,5,FALSE),0)+(IF(QualitéAlimentsPoulainFemelleTrait=BONNE,VLOOKUP("Eau",AlimentsRationEcurieChevauxFemellesTrait,5,FALSE),0)+(IF(QualitéAlimentsJeuneEtalon_12_24_moisTrait=BONNE,VLOOKUP("Eau",AlimentsRationEcurieChevauxMâlesTrait,4,FALSE),0)+(IF(QualitéAlimentsJeuneJument_12_24_moisTrait=BONNE,VLOOKUP("Eau",AlimentsRationEcurieChevauxFemellesTrait,4,FALSE),0)+(IF(QualitéAlimentsJeuneEtalon_24_36_moisTrait=BONNE,VLOOKUP("Eau",AlimentsRationEcurieChevauxMâlesTrait,3,FALSE),0)+(IF(QualitéAlimentsJeuneJument_24_36_moisTrait=BONNE,VLOOKUP("Eau",AlimentsRationEcurieChevauxFemellesTrait,3,FALSE),0)+(IF(QualitéAlimentsEtalonTrait=BONNE,VLOOKUP("Eau",AlimentsRationEcurieChevauxMâlesTrait,2,FALSE),0)+(IF(QualitéAlimentsJumentTrait=BONNE,VLOOKUP("Eau",AlimentsRationEcurieChevauxFemellesTrait,2,FALSE),0))))))))))</f>
        <v>0</v>
      </c>
      <c r="FF209" s="458">
        <f t="array" ref="FF209">SUM((IF(QualitéAlimentsPoulainMâleTrait=MOYENNE,VLOOKUP("Eau",AlimentsRationEcurieChevauxMâlesTrait,5,FALSE),0)+(IF(QualitéAlimentsPoulainFemelleTrait=MOYENNE,VLOOKUP("Eau",AlimentsRationEcurieChevauxFemellesTrait,5,FALSE),0)+(IF(QualitéAlimentsJeuneEtalon_12_24_moisTrait=MOYENNE,VLOOKUP("Eau",AlimentsRationEcurieChevauxMâlesTrait,4,FALSE),0)+(IF(QualitéAlimentsJeuneJument_12_24_moisTrait=MOYENNE,VLOOKUP("Eau",AlimentsRationEcurieChevauxFemellesTrait,4,FALSE),0)+(IF(QualitéAlimentsJeuneEtalon_24_36_moisTrait=MOYENNE,VLOOKUP("Eau",AlimentsRationEcurieChevauxMâlesTrait,3,FALSE),0)+(IF(QualitéAlimentsJeuneJument_24_36_moisTrait=MOYENNE,VLOOKUP("Eau",AlimentsRationEcurieChevauxFemellesTrait,3,FALSE),0)+(IF(QualitéAlimentsEtalonTrait=MOYENNE,VLOOKUP("Eau",AlimentsRationEcurieChevauxMâlesTrait,2,FALSE),0)+(IF(QualitéAlimentsJumentTrait=MOYENNE,VLOOKUP("Eau",AlimentsRationEcurieChevauxFemellesTrait,2,FALSE),0))))))))))</f>
        <v>0</v>
      </c>
      <c r="FG209" s="458">
        <f t="array" ref="FG209">SUM((IF(QualitéAlimentsPoulainMâleTrait=MAUVAISE,VLOOKUP("Eau",AlimentsRationEcurieChevauxMâlesTrait,5,FALSE),0)+(IF(QualitéAlimentsPoulainFemelleTrait=MAUVAISE,VLOOKUP("Eau",AlimentsRationEcurieChevauxFemellesTrait,5,FALSE),0)+(IF(QualitéAlimentsJeuneEtalon_12_24_moisTrait=MAUVAISE,VLOOKUP("Eau",AlimentsRationEcurieChevauxMâlesTrait,4,FALSE),0)+(IF(QualitéAlimentsJeuneJument_12_24_moisTrait=MAUVAISE,VLOOKUP("Eau",AlimentsRationEcurieChevauxFemellesTrait,4,FALSE),0)+(IF(QualitéAlimentsJeuneEtalon_24_36_moisTrait=MAUVAISE,VLOOKUP("Eau",AlimentsRationEcurieChevauxMâlesTrait,3,FALSE),0)+(IF(QualitéAlimentsJeuneJument_24_36_moisTrait=MAUVAISE,VLOOKUP("Eau",AlimentsRationEcurieChevauxFemellesTrait,3,FALSE),0)+(IF(QualitéAlimentsEtalonTrait=MAUVAISE,VLOOKUP("Eau",AlimentsRationEcurieChevauxMâlesTrait,2,FALSE),0)+(IF(QualitéAlimentsJumentTrait=MAUVAISE,VLOOKUP("Eau",AlimentsRationEcurieChevauxFemellesTrait,2,FALSE),0))))))))))</f>
        <v>0</v>
      </c>
      <c r="FI209" s="276"/>
      <c r="FN209" s="457" t="str">
        <f t="shared" si="64"/>
        <v>Epinard</v>
      </c>
      <c r="FO209" s="458">
        <f t="array" ref="FO209">SUM((IF(QualitéAlimentsPoulainMâlePoney=BONNE,VLOOKUP("Epinard",AlimentsRationChevauxMâlesPoney,5,FALSE),0)+(IF(QualitéAlimentsPoulainFemellePoney=BONNE,VLOOKUP("Epinard",AlimentsRationChevauxFemellesPoney,5,FALSE),0)+(IF(QualitéAlimentsJeuneEtalon_12_24_moisPoney=BONNE,VLOOKUP("Epinard",AlimentsRationChevauxMâlesPoney,4,FALSE),0)+(IF(QualitéAlimentsJeuneJument_12_24_moisPoney=BONNE,VLOOKUP("Epinard",AlimentsRationChevauxFemellesPoney,4,FALSE),0)+(IF(QualitéAlimentsJeuneEtalon_24_36_moisPoney=BONNE,VLOOKUP("Epinard",AlimentsRationChevauxMâlesPoney,3,FALSE),0)+(IF(QualitéAlimentsJeuneJument_24_36_moisPoney=BONNE,VLOOKUP("Epinard",AlimentsRationChevauxFemellesPoney,3,FALSE),0)+(IF(QualitéAlimentsEtalonPoney=BONNE,VLOOKUP("Epinard",AlimentsRationChevauxMâlesPoney,2,FALSE),0)+(IF(QualitéAlimentsJumentPoney=BONNE,VLOOKUP("Epinard",AlimentsRationChevauxFemellesPoney,2,FALSE),0))))))))))</f>
        <v>0</v>
      </c>
      <c r="FP209" s="458">
        <f t="array" ref="FP209">SUM((IF(QualitéAlimentsPoulainMâlePoney=MOYENNE,VLOOKUP("Epinard",AlimentsRationChevauxMâlesPoney,5,FALSE),0)+(IF(QualitéAlimentsPoulainFemellePoney=MOYENNE,VLOOKUP("Epinard",AlimentsRationChevauxFemellesPoney,5,FALSE),0)+(IF(QualitéAlimentsJeuneEtalon_12_24_moisPoney=MOYENNE,VLOOKUP("Epinard",AlimentsRationChevauxMâlesPoney,4,FALSE),0)+(IF(QualitéAlimentsJeuneJument_12_24_moisPoney=MOYENNE,VLOOKUP("Epinard",AlimentsRationChevauxFemellesPoney,4,FALSE),0)+(IF(QualitéAlimentsJeuneEtalon_24_36_moisPoney=MOYENNE,VLOOKUP("Epinard",AlimentsRationChevauxMâlesPoney,3,FALSE),0)+(IF(QualitéAlimentsJeuneJument_24_36_moisPoney=MOYENNE,VLOOKUP("Epinard",AlimentsRationChevauxFemellesPoney,3,FALSE),0)+(IF(QualitéAlimentsEtalonPoney=MOYENNE,VLOOKUP("Epinard",AlimentsRationChevauxMâlesPoney,2,FALSE),0)+(IF(QualitéAlimentsJumentPoney=MOYENNE,VLOOKUP("Epinard",AlimentsRationChevauxFemellesPoney,2,FALSE),0))))))))))</f>
        <v>0</v>
      </c>
      <c r="FQ209" s="458">
        <f t="array" ref="FQ209">SUM((IF(QualitéAlimentsPoulainMâlePoney=MAUVAISE,VLOOKUP("Epinard",AlimentsRationChevauxMâlesPoney,5,FALSE),0)+(IF(QualitéAlimentsPoulainFemellePoney=MAUVAISE,VLOOKUP("Epinard",AlimentsRationChevauxFemellesPoney,5,FALSE),0)+(IF(QualitéAlimentsJeuneEtalon_12_24_moisPoney=MAUVAISE,VLOOKUP("Epinard",AlimentsRationChevauxMâlesPoney,4,FALSE),0)+(IF(QualitéAlimentsJeuneJument_12_24_moisPoney=MAUVAISE,VLOOKUP("Epinard",AlimentsRationChevauxFemellesPoney,4,FALSE),0)+(IF(QualitéAlimentsJeuneEtalon_24_36_moisPoney=MAUVAISE,VLOOKUP("Epinard",AlimentsRationChevauxMâlesPoney,3,FALSE),0)+(IF(QualitéAlimentsJeuneJument_24_36_moisPoney=MAUVAISE,VLOOKUP("Epinard",AlimentsRationChevauxFemellesPoney,3,FALSE),0)+(IF(QualitéAlimentsEtalonPoney=MAUVAISE,VLOOKUP("Epinard",AlimentsRationChevauxMâlesPoney,2,FALSE),0)+(IF(QualitéAlimentsJumentPoney=MAUVAISE,VLOOKUP("Epinard",AlimentsRationChevauxFemellesPoney,2,FALSE),0))))))))))</f>
        <v>0</v>
      </c>
      <c r="FR209" s="281"/>
      <c r="GG209" s="276" t="s">
        <v>955</v>
      </c>
      <c r="GH209" s="276" t="s">
        <v>955</v>
      </c>
      <c r="GI209" s="276" t="s">
        <v>955</v>
      </c>
      <c r="GJ209" s="276" t="s">
        <v>955</v>
      </c>
      <c r="GK209" s="276" t="s">
        <v>955</v>
      </c>
      <c r="GL209" s="276" t="s">
        <v>955</v>
      </c>
      <c r="GM209" s="276" t="s">
        <v>955</v>
      </c>
      <c r="GN209" s="276" t="s">
        <v>955</v>
      </c>
      <c r="GO209" s="276" t="s">
        <v>955</v>
      </c>
      <c r="GP209" s="276" t="s">
        <v>955</v>
      </c>
      <c r="GQ209" s="276" t="s">
        <v>955</v>
      </c>
      <c r="GR209" s="276" t="s">
        <v>955</v>
      </c>
      <c r="GS209" s="276" t="s">
        <v>955</v>
      </c>
      <c r="GT209" s="276" t="s">
        <v>955</v>
      </c>
      <c r="GU209" s="276" t="s">
        <v>955</v>
      </c>
      <c r="GV209" s="276" t="s">
        <v>955</v>
      </c>
    </row>
    <row r="210" spans="1:204" ht="12.75" customHeight="1" x14ac:dyDescent="0.2">
      <c r="A210" s="276"/>
      <c r="B210" s="276"/>
      <c r="BB210" s="350" t="s">
        <v>267</v>
      </c>
      <c r="BC210" s="351">
        <f t="array" ref="BC210">IF(Ration_complète_bovins[somme]&gt;0,0,IFERROR(IF(OR(AND(INDEX(Règles_bovins[Specificite],MATCH(ChoixRationBovins&amp;$BB210,Règles_bovins[Ration]&amp;Règles_bovins[Aliment],0))="s1",IF($BB210=Spécificité1Bovins,1)),
AND(INDEX(Règles_bovins[Specificite],MATCH(ChoixRationBovins&amp;$BB210,Règles_bovins[Ration]&amp;Règles_bovins[Aliment],0))="s2",IF($BB210=Spécificité2Bovins,1)),
INDEX(Règles_bovins[Specificite],MATCH(ChoixRationBovins&amp;$BB210,Règles_bovins[Ration]&amp;Règles_bovins[Aliment],0))="c"),
INDEX(Règles_bovins[Valeur 36 et plus],MATCH(ChoixRationBovins&amp;$BB210,Règles_bovins[Ration]&amp;Règles_bovins[Aliment],0)),0),0)*IF(ChoixBovinsPréHiver=OUI,TotalTaureauxRacesLaitières,TotalTaureaux*NbreJoursNourrirBovins))</f>
        <v>0</v>
      </c>
      <c r="BD210" s="351">
        <f t="array" ref="BD210">IF(Ration_complète_bovins[somme]&gt;0,0,IFERROR(IF(OR(AND(INDEX(Règles_bovins[Specificite],MATCH(ChoixRationBovins&amp;$BB210,Règles_bovins[Ration]&amp;Règles_bovins[Aliment],0))="s1",IF($BB210=Spécificité1Bovins,1)),
AND(INDEX(Règles_bovins[Specificite],MATCH(ChoixRationBovins&amp;$BB210,Règles_bovins[Ration]&amp;Règles_bovins[Aliment],0))="s2",IF($BB210=Spécificité2Bovins,1)),
INDEX(Règles_bovins[Specificite],MATCH(ChoixRationBovins&amp;$BB210,Règles_bovins[Ration]&amp;Règles_bovins[Aliment],0))="c"),
INDEX(Règles_bovins[Valeur 24-36],MATCH(ChoixRationBovins&amp;$BB210,Règles_bovins[Ration]&amp;Règles_bovins[Aliment],0)),0),0)*IF(ChoixBovinsPréHiver=OUI,TotalTaurillon_24_36_RacesLaitières,TotalBovinsMâles_24_36mois*NbreJoursNourrirBovins))</f>
        <v>0</v>
      </c>
      <c r="BE210" s="351">
        <f t="array" ref="BE210">IF(Ration_complète_bovins[somme]&gt;0,0,IFERROR(IF(OR(AND(INDEX(Règles_bovins[Specificite],MATCH(ChoixRationBovins&amp;$BB210,Règles_bovins[Ration]&amp;Règles_bovins[Aliment],0))="s1",IF($BB210=Spécificité1Bovins,1)),
AND(INDEX(Règles_bovins[Specificite],MATCH(ChoixRationBovins&amp;$BB210,Règles_bovins[Ration]&amp;Règles_bovins[Aliment],0))="s2",IF($BB210=Spécificité2Bovins,1)),
INDEX(Règles_bovins[Specificite],MATCH(ChoixRationBovins&amp;$BB210,Règles_bovins[Ration]&amp;Règles_bovins[Aliment],0))="c"),
INDEX(Règles_bovins[Valeur 18-24],MATCH(ChoixRationBovins&amp;$BB210,Règles_bovins[Ration]&amp;Règles_bovins[Aliment],0)),0),0)*IF(ChoixBovinsPréHiver=OUI,TotalTaurillon_18_24_RacesLaitières,TotalBovinsMâles_18_24mois*NbreJoursNourrirBovins))</f>
        <v>0</v>
      </c>
      <c r="BF210" s="351">
        <f t="array" ref="BF210">IF(Ration_complète_bovins[somme]&gt;0,0,IFERROR(IF(OR(AND(INDEX(Règles_bovins[Specificite],MATCH(ChoixRationBovins&amp;$BB210,Règles_bovins[Ration]&amp;Règles_bovins[Aliment],0))="s1",IF($BB210=Spécificité1Bovins,1)),
AND(INDEX(Règles_bovins[Specificite],MATCH(ChoixRationBovins&amp;$BB210,Règles_bovins[Ration]&amp;Règles_bovins[Aliment],0))="s2",IF($BB210=Spécificité2Bovins,1)),
INDEX(Règles_bovins[Specificite],MATCH(ChoixRationBovins&amp;$BB210,Règles_bovins[Ration]&amp;Règles_bovins[Aliment],0))="c"),
INDEX(Règles_bovins[Valeur 12-18],MATCH(ChoixRationBovins&amp;$BB210,Règles_bovins[Ration]&amp;Règles_bovins[Aliment],0)),0),0)*IF(ChoixBovinsPréHiver=OUI,animaux!D33,TotalBovinsMâles_12_18mois*NbreJoursNourrirBovins))</f>
        <v>0</v>
      </c>
      <c r="BG210" s="351">
        <f t="array" ref="BG210">IF(Ration_complète_bovins[somme]&gt;0,0,IFERROR(IF(OR(AND(INDEX(Règles_bovins[Specificite],MATCH(ChoixRationBovins&amp;$BB210,Règles_bovins[Ration]&amp;Règles_bovins[Aliment],0))="s1",IF($BB210=Spécificité1Bovins,1)),
AND(INDEX(Règles_bovins[Specificite],MATCH(ChoixRationBovins&amp;$BB210,Règles_bovins[Ration]&amp;Règles_bovins[Aliment],0))="s2",IF($BB210=Spécificité2Bovins,1)),
INDEX(Règles_bovins[Specificite],MATCH(ChoixRationBovins&amp;$BB210,Règles_bovins[Ration]&amp;Règles_bovins[Aliment],0))="c"),
INDEX(Règles_bovins[Valeur 6-12],MATCH(ChoixRationBovins&amp;$BB210,Règles_bovins[Ration]&amp;Règles_bovins[Aliment],0)),0),0)*IF(ChoixBovinsPréHiver=OUI,TotalVeauMâle_6_12_RacesLaitières,TotalBovinsMâles_6_12mois*NbreJoursNourrirBovins))</f>
        <v>0</v>
      </c>
      <c r="BH210" s="351">
        <f t="array" ref="BH210">IF(Ration_complète_bovins[somme]&gt;0,0,IFERROR(IF(OR(AND(INDEX(Règles_bovins[Specificite],MATCH(ChoixRationBovins&amp;$BB210,Règles_bovins[Ration]&amp;Règles_bovins[Aliment],0))="s1",IF($BB210=Spécificité1Bovins,1)),
AND(INDEX(Règles_bovins[Specificite],MATCH(ChoixRationBovins&amp;$BB210,Règles_bovins[Ration]&amp;Règles_bovins[Aliment],0))="s2",IF($BB210=Spécificité2Bovins,1)),
INDEX(Règles_bovins[Specificite],MATCH(ChoixRationBovins&amp;$BB210,Règles_bovins[Ration]&amp;Règles_bovins[Aliment],0))="c"),
INDEX(Règles_bovins[Valeur 3-6],MATCH(ChoixRationBovins&amp;$BB210,Règles_bovins[Ration]&amp;Règles_bovins[Aliment],0)),0),0)*IF(ChoixBovinsPréHiver=OUI,TotalVeauMâle_3_6_RacesLaitières,TotalBovinsMâles_3_6mois*NbreJoursNourrirBovins))</f>
        <v>0</v>
      </c>
      <c r="BI210" s="351">
        <f t="array" ref="BI210">IF(Ration_complète_bovins[somme]&gt;0,0,IFERROR(IF(OR(AND(INDEX(Règles_bovins[Specificite],MATCH(ChoixRationBovins&amp;$BB210,Règles_bovins[Ration]&amp;Règles_bovins[Aliment],0))="s1",IF($BB210=Spécificité1Bovins,1)),
AND(INDEX(Règles_bovins[Specificite],MATCH(ChoixRationBovins&amp;$BB210,Règles_bovins[Ration]&amp;Règles_bovins[Aliment],0))="s2",IF($BB210=Spécificité2Bovins,1)),
INDEX(Règles_bovins[Specificite],MATCH(ChoixRationBovins&amp;$BB210,Règles_bovins[Ration]&amp;Règles_bovins[Aliment],0))="c"),
INDEX(Règles_bovins[Valeur 0-3],MATCH(ChoixRationBovins&amp;$BB210,Règles_bovins[Ration]&amp;Règles_bovins[Aliment],0)),0),0)*IF(ChoixBovinsPréHiver=OUI,TotalVeauMâle_0_3_RacesLaitières,TotalBovinsMâles_0_3mois*NbreJoursNourrirBovins))</f>
        <v>0</v>
      </c>
      <c r="BJ210" s="352">
        <f t="shared" si="62"/>
        <v>0</v>
      </c>
      <c r="BK210" s="276"/>
      <c r="BL210" s="276"/>
      <c r="BX210" s="350" t="str">
        <f t="shared" si="63"/>
        <v>Foin</v>
      </c>
      <c r="BY210" s="351">
        <f t="array" ref="BY210">SUM((IF(QualitéAlimentsChevreau_0_3_mois=BONNE,VLOOKUP("Foin",AlimentsRationCaprinsMâles,5,FALSE),0)+(IF(QualitéAlimentsChevrette_0_3_mois=BONNE,VLOOKUP("Foin",AlimentsRationCaprinsFemelles,5,FALSE),0)+(IF(QualitéAlimentsChevreau_3_6_mois=BONNE,VLOOKUP("Foin",AlimentsRationCaprinsMâles,4,FALSE),0)+(IF(QualitéAlimentsChevrette_3_6_mois=BONNE,VLOOKUP("Foin",AlimentsRationCaprinsFemelles,4,FALSE),0)+(IF(QualitéAlimentsJeuneBouc=BONNE,VLOOKUP("Foin",AlimentsRationCaprinsMâles,3,FALSE),0)+(IF(QualitéAlimentsJeuneChèvre=BONNE,VLOOKUP("Foin",AlimentsRationCaprinsFemelles,3,FALSE),0)+(IF(QualitéAlimentsBouc=BONNE,VLOOKUP("Foin",AlimentsRationCaprinsMâles,2,FALSE),0)+(IF(QualitéAlimentsChèvre=BONNE,VLOOKUP("Foin",AlimentsRationCaprinsFemelles,2,FALSE),0))))))))))</f>
        <v>2457.2000000000003</v>
      </c>
      <c r="BZ210" s="351">
        <f t="array" ref="BZ210">SUM((IF(QualitéAlimentsChevreau_0_3_mois=MOYENNE,VLOOKUP("Foin",AlimentsRationCaprinsMâles,5,FALSE),0)+(IF(QualitéAlimentsChevrette_0_3_mois=MOYENNE,VLOOKUP("Foin",AlimentsRationCaprinsFemelles,5,FALSE),0)+(IF(QualitéAlimentsChevreau_3_6_mois=MOYENNE,VLOOKUP("Foin",AlimentsRationCaprinsMâles,4,FALSE),0)+(IF(QualitéAlimentsChevrette_3_6_mois=MOYENNE,VLOOKUP("Foin",AlimentsRationCaprinsFemelles,4,FALSE),0)+(IF(QualitéAlimentsJeuneBouc=MOYENNE,VLOOKUP("Foin",AlimentsRationCaprinsMâles,3,FALSE),0)+(IF(QualitéAlimentsJeuneChèvre=MOYENNE,VLOOKUP("Foin",AlimentsRationCaprinsFemelles,3,FALSE),0)+(IF(QualitéAlimentsBouc=MOYENNE,VLOOKUP("Foin",AlimentsRationCaprinsMâles,2,FALSE),0)+(IF(QualitéAlimentsChèvre=MOYENNE,VLOOKUP("Foin",AlimentsRationCaprinsFemelles,2,FALSE),0))))))))))</f>
        <v>4112</v>
      </c>
      <c r="CA210" s="351">
        <f t="array" ref="CA210">SUM((IF(QualitéAlimentsChevreau_0_3_mois=MAUVAISE,VLOOKUP("Foin",AlimentsRationCaprinsMâles,5,FALSE),0)+(IF(QualitéAlimentsChevrette_0_3_mois=MAUVAISE,VLOOKUP("Foin",AlimentsRationCaprinsFemelles,5,FALSE),0)+(IF(QualitéAlimentsChevreau_3_6_mois=MAUVAISE,VLOOKUP("Foin",AlimentsRationCaprinsMâles,4,FALSE),0)+(IF(QualitéAlimentsChevrette_3_6_mois=MAUVAISE,VLOOKUP("Foin",AlimentsRationCaprinsFemelles,4,FALSE),0)+(IF(QualitéAlimentsJeuneBouc=MAUVAISE,VLOOKUP("Foin",AlimentsRationCaprinsMâles,3,FALSE),0)+(IF(QualitéAlimentsJeuneChèvre=MAUVAISE,VLOOKUP("Foin",AlimentsRationCaprinsFemelles,3,FALSE),0)+(IF(QualitéAlimentsBouc=MAUVAISE,VLOOKUP("Foin",AlimentsRationCaprinsMâles,2,FALSE),0)+(IF(QualitéAlimentsChèvre=MAUVAISE,VLOOKUP("Foin",AlimentsRationCaprinsFemelles,2,FALSE),0))))))))))</f>
        <v>208</v>
      </c>
      <c r="CB210" s="277"/>
      <c r="CC210" s="277"/>
      <c r="CD210" s="298"/>
      <c r="CE210" s="298"/>
      <c r="CF210" s="298"/>
      <c r="CG210" s="298"/>
      <c r="CH210" s="298"/>
      <c r="CI210" s="277"/>
      <c r="CK210" s="277"/>
      <c r="CL210" s="277"/>
      <c r="CM210" s="277"/>
      <c r="CN210" s="277"/>
      <c r="CO210" s="277"/>
      <c r="CP210" s="277"/>
      <c r="DN210" s="350" t="str">
        <f t="shared" si="61"/>
        <v>Maïs grain</v>
      </c>
      <c r="DO210" s="351">
        <f t="array" ref="DO210">IF(ChoixRationComplèteOvins=OUI,0,IFERROR(IF(OR(AND(INDEX(Règles_ovins[Specificite],MATCH(ChoixRationOvins&amp;$DN210,Règles_ovins[Ration]&amp;Règles_ovins[Aliment],0))="s1",IF($DN210=Spécificité1Ovins,1)),
AND(INDEX(Règles_ovins[Specificite],MATCH(ChoixRationOvins&amp;$DN210,Règles_ovins[Ration]&amp;Règles_ovins[Aliment],0))="s2",IF($DN210=Spécificité2Ovins,1)),
INDEX(Règles_ovins[Specificite],MATCH(ChoixRationOvins&amp;$DN210,Règles_ovins[Ration]&amp;Règles_ovins[Aliment],0))="c"),
INDEX(Règles_ovins[Valeur 12 et plus],MATCH(ChoixRationOvins&amp;$DN210,Règles_ovins[Ration]&amp;Règles_ovins[Aliment],0)),0),0)*IF(ChoixOvinsPréHiver=OUI,SUM(TotalOvinsAdultesRacesLaitières)*NbreJoursNourrirOvins,TotalBrebis*NbreJoursNourrirOvins))</f>
        <v>0</v>
      </c>
      <c r="DP210" s="351">
        <f t="array" ref="DP210">IF(ChoixRationComplèteOvins=OUI,0,IFERROR(IF(OR(AND(INDEX(Règles_ovins[Specificite],MATCH(ChoixRationOvins&amp;$DN210,Règles_ovins[Ration]&amp;Règles_ovins[Aliment],0))="s1",IF($DN210=Spécificité1Ovins,1)),
AND(INDEX(Règles_ovins[Specificite],MATCH(ChoixRationOvins&amp;$DN210,Règles_ovins[Ration]&amp;Règles_ovins[Aliment],0))="s2",IF($DN210=Spécificité2Ovins,1)),
INDEX(Règles_ovins[Specificite],MATCH(ChoixRationOvins&amp;$DN210,Règles_ovins[Ration]&amp;Règles_ovins[Aliment],0))="c"),
INDEX(Règles_ovins[Valeur 6-12],MATCH(ChoixRationOvins&amp;$DN210,Règles_ovins[Ration]&amp;Règles_ovins[Aliment],0)),0),0)*IF(ChoixOvinsPréHiver=OUI,SUM(TotalJeunesOvinsRacesLaitières)*NbreJoursNourrirOvins,TotalJeune_brebis_6_12_mois*NbreJoursNourrirOvins))</f>
        <v>0</v>
      </c>
      <c r="DQ210" s="351">
        <f t="array" ref="DQ210">IF(ChoixRationComplèteOvins=OUI,0,IFERROR(IF(OR(AND(INDEX(Règles_ovins[Specificite],MATCH(ChoixRationOvins&amp;$DN210,Règles_ovins[Ration]&amp;Règles_ovins[Aliment],0))="s1",IF($DN210=Spécificité1Ovins,1)),
AND(INDEX(Règles_ovins[Specificite],MATCH(ChoixRationOvins&amp;$DN210,Règles_ovins[Ration]&amp;Règles_ovins[Aliment],0))="s2",IF($DN210=Spécificité2Ovins,1)),
INDEX(Règles_ovins[Specificite],MATCH(ChoixRationOvins&amp;$DN210,Règles_ovins[Ration]&amp;Règles_ovins[Aliment],0))="c"),
INDEX(Règles_ovins[Valeur 3-6],MATCH(ChoixRationOvins&amp;$DN210,Règles_ovins[Ration]&amp;Règles_ovins[Aliment],0)),0),0)*IF(ChoixOvinsPréHiver=OUI,SUM(TotalOvins_3_6moisRacesLaitières)*NbreJoursNourrirOvins,TotalAgnelle_3_6_mois*NbreJoursNourrirOvins))</f>
        <v>0</v>
      </c>
      <c r="DR210" s="351">
        <f t="array" ref="DR210">IF(ChoixRationComplèteOvins=OUI,0,IFERROR(IF(OR(AND(INDEX(Règles_ovins[Specificite],MATCH(ChoixRationOvins&amp;$DN210,Règles_ovins[Ration]&amp;Règles_ovins[Aliment],0))="s1",IF($DN210=Spécificité1Ovins,1)),
AND(INDEX(Règles_ovins[Specificite],MATCH(ChoixRationOvins&amp;$DN210,Règles_ovins[Ration]&amp;Règles_ovins[Aliment],0))="s2",IF($DN210=Spécificité2Ovins,1)),
INDEX(Règles_ovins[Specificite],MATCH(ChoixRationOvins&amp;$DN210,Règles_ovins[Ration]&amp;Règles_ovins[Aliment],0))="c"),
INDEX(Règles_ovins[Valeur 0-3],MATCH(ChoixRationOvins&amp;$DN210,Règles_ovins[Ration]&amp;Règles_ovins[Aliment],0)),0),0)*IF(ChoixOvinsPréHiver=OUI,SUM(TotalOvins_3_6moisRacesLaitières)*NbreJoursNourrirOvins,TotalAgnelle_0_3_mois*NbreJoursNourrirOvins))</f>
        <v>0</v>
      </c>
      <c r="DS210" s="441">
        <f t="shared" si="60"/>
        <v>0</v>
      </c>
      <c r="DU210" s="281"/>
      <c r="EU210" s="457" t="str">
        <f t="shared" si="66"/>
        <v>concentré jeunes bovins</v>
      </c>
      <c r="EV210" s="458">
        <f t="array" ref="EV210">SUM((IF(QualitéAlimentsPoulainSelleMâle=BONNE,VLOOKUP("Concentré jeunes bovins",AlimentsRationEcurieChevauxMâlesSelle,5,FALSE),0)+(IF(QualitéAlimentsPoulainSelleFemelle=BONNE,VLOOKUP("Concentré jeunes bovins",AlimentsRationEcurieChevauxFemellesSelle,5,FALSE),0)+(IF(QualitéAlimentsJeuneEtalon_12_24_moisSelle=BONNE,VLOOKUP("Concentré jeunes bovins",AlimentsRationEcurieChevauxMâlesSelle,4,FALSE),0)+(IF(QualitéAlimentsJeuneJument_12_24_moisSelle=BONNE,VLOOKUP("Concentré jeunes bovins",AlimentsRationEcurieChevauxFemellesSelle,4,FALSE),0)+(IF(QualitéAlimentsJeuneEtalon_24_36_moisSelle=BONNE,VLOOKUP("Concentré jeunes bovins",AlimentsRationEcurieChevauxMâlesSelle,3,FALSE),0)+(IF(QualitéAlimentsJeuneJument_24_36_moisSelle=BONNE,VLOOKUP("Concentré jeunes bovins",AlimentsRationEcurieChevauxFemellesSelle,3,FALSE),0)+(IF(QualitéAlimentsEtalonSelle=BONNE,VLOOKUP("Concentré jeunes bovins",AlimentsRationEcurieChevauxMâlesSelle,2,FALSE),0)+(IF(QualitéAlimentsJumentSelle=BONNE,VLOOKUP("Concentré jeunes bovins",AlimentsRationEcurieChevauxFemellesSelle,2,FALSE),0))))))))))</f>
        <v>0</v>
      </c>
      <c r="EW210" s="458">
        <f t="array" ref="EW210">SUM((IF(QualitéAlimentsPoulainSelleMâle=MOYENNE,VLOOKUP("Concentré jeunes bovins",AlimentsRationEcurieChevauxMâlesSelle,5,FALSE),0)+(IF(QualitéAlimentsPoulainSelleFemelle=MOYENNE,VLOOKUP("Concentré jeunes bovins",AlimentsRationEcurieChevauxFemellesSelle,5,FALSE),0)+(IF(QualitéAlimentsJeuneEtalon_12_24_moisSelle=MOYENNE,VLOOKUP("Concentré jeunes bovins",AlimentsRationEcurieChevauxMâlesSelle,4,FALSE),0)+(IF(QualitéAlimentsJeuneJument_12_24_moisSelle=MOYENNE,VLOOKUP("Concentré jeunes bovins",AlimentsRationEcurieChevauxFemellesSelle,4,FALSE),0)+(IF(QualitéAlimentsJeuneEtalon_24_36_moisSelle=MOYENNE,VLOOKUP("Concentré jeunes bovins",AlimentsRationEcurieChevauxMâlesSelle,3,FALSE),0)+(IF(QualitéAlimentsJeuneJument_24_36_moisSelle=MOYENNE,VLOOKUP("Concentré jeunes bovins",AlimentsRationEcurieChevauxFemellesSelle,3,FALSE),0)+(IF(QualitéAlimentsEtalonSelle=MOYENNE,VLOOKUP("Concentré jeunes bovins",AlimentsRationEcurieChevauxMâlesSelle,2,FALSE),0)+(IF(QualitéAlimentsJumentSelle=MOYENNE,VLOOKUP("Concentré jeunes bovins",AlimentsRationEcurieChevauxFemellesSelle,2,FALSE),0))))))))))</f>
        <v>0</v>
      </c>
      <c r="EX210" s="458">
        <f t="array" ref="EX210">SUM((IF(QualitéAlimentsPoulainSelleMâle=MAUVAISE,VLOOKUP("Concentré jeunes bovins",AlimentsRationEcurieChevauxMâlesSelle,5,FALSE),0)+(IF(QualitéAlimentsPoulainSelleFemelle=MAUVAISE,VLOOKUP("Concentré jeunes bovins",AlimentsRationEcurieChevauxFemellesSelle,5,FALSE),0)+(IF(QualitéAlimentsJeuneEtalon_12_24_moisSelle=MAUVAISE,VLOOKUP("Concentré jeunes bovins",AlimentsRationEcurieChevauxMâlesSelle,4,FALSE),0)+(IF(QualitéAlimentsJeuneJument_12_24_moisSelle=MAUVAISE,VLOOKUP("Concentré jeunes bovins",AlimentsRationEcurieChevauxFemellesSelle,4,FALSE),0)+(IF(QualitéAlimentsJeuneEtalon_24_36_moisSelle=MAUVAISE,VLOOKUP("Concentré jeunes bovins",AlimentsRationEcurieChevauxMâlesSelle,3,FALSE),0)+(IF(QualitéAlimentsJeuneJument_24_36_moisSelle=MAUVAISE,VLOOKUP("Concentré jeunes bovins",AlimentsRationEcurieChevauxFemellesSelle,3,FALSE),0)+(IF(QualitéAlimentsEtalonSelle=MAUVAISE,VLOOKUP("Concentré jeunes bovins",AlimentsRationEcurieChevauxMâlesSelle,2,FALSE),0)+(IF(QualitéAlimentsJumentSelle=MAUVAISE,VLOOKUP("Concentré jeunes bovins",AlimentsRationEcurieChevauxFemellesSelle,2,FALSE),0))))))))))</f>
        <v>0</v>
      </c>
      <c r="FD210" s="457" t="str">
        <f t="shared" si="65"/>
        <v>Epinard</v>
      </c>
      <c r="FE210" s="458">
        <f t="array" ref="FE210">SUM((IF(QualitéAlimentsPoulainMâleTrait=BONNE,VLOOKUP("Epinard",AlimentsRationEcurieChevauxMâlesTrait,5,FALSE),0)+(IF(QualitéAlimentsPoulainFemelleTrait=BONNE,VLOOKUP("Epinard",AlimentsRationEcurieChevauxFemellesTrait,5,FALSE),0)+(IF(QualitéAlimentsJeuneEtalon_12_24_moisTrait=BONNE,VLOOKUP("Epinard",AlimentsRationEcurieChevauxMâlesTrait,4,FALSE),0)+(IF(QualitéAlimentsJeuneJument_12_24_moisTrait=BONNE,VLOOKUP("Epinard",AlimentsRationEcurieChevauxFemellesTrait,4,FALSE),0)+(IF(QualitéAlimentsJeuneEtalon_24_36_moisTrait=BONNE,VLOOKUP("Epinard",AlimentsRationEcurieChevauxMâlesTrait,3,FALSE),0)+(IF(QualitéAlimentsJeuneJument_24_36_moisTrait=BONNE,VLOOKUP("Epinard",AlimentsRationEcurieChevauxFemellesTrait,3,FALSE),0)+(IF(QualitéAlimentsEtalonTrait=BONNE,VLOOKUP("Epinard",AlimentsRationEcurieChevauxMâlesTrait,2,FALSE),0)+(IF(QualitéAlimentsJumentTrait=BONNE,VLOOKUP("Epinard",AlimentsRationEcurieChevauxFemellesTrait,2,FALSE),0))))))))))</f>
        <v>0</v>
      </c>
      <c r="FF210" s="458">
        <f t="array" ref="FF210">SUM((IF(QualitéAlimentsPoulainMâleTrait=MOYENNE,VLOOKUP("Epinard",AlimentsRationEcurieChevauxMâlesTrait,5,FALSE),0)+(IF(QualitéAlimentsPoulainFemelleTrait=MOYENNE,VLOOKUP("Epinard",AlimentsRationEcurieChevauxFemellesTrait,5,FALSE),0)+(IF(QualitéAlimentsJeuneEtalon_12_24_moisTrait=MOYENNE,VLOOKUP("Epinard",AlimentsRationEcurieChevauxMâlesTrait,4,FALSE),0)+(IF(QualitéAlimentsJeuneJument_12_24_moisTrait=MOYENNE,VLOOKUP("Epinard",AlimentsRationEcurieChevauxFemellesTrait,4,FALSE),0)+(IF(QualitéAlimentsJeuneEtalon_24_36_moisTrait=MOYENNE,VLOOKUP("Epinard",AlimentsRationEcurieChevauxMâlesTrait,3,FALSE),0)+(IF(QualitéAlimentsJeuneJument_24_36_moisTrait=MOYENNE,VLOOKUP("Epinard",AlimentsRationEcurieChevauxFemellesTrait,3,FALSE),0)+(IF(QualitéAlimentsEtalonTrait=MOYENNE,VLOOKUP("Epinard",AlimentsRationEcurieChevauxMâlesTrait,2,FALSE),0)+(IF(QualitéAlimentsJumentTrait=MOYENNE,VLOOKUP("Epinard",AlimentsRationEcurieChevauxFemellesTrait,2,FALSE),0))))))))))</f>
        <v>0</v>
      </c>
      <c r="FG210" s="458">
        <f t="array" ref="FG210">SUM((IF(QualitéAlimentsPoulainMâleTrait=MAUVAISE,VLOOKUP("Epinard",AlimentsRationEcurieChevauxMâlesTrait,5,FALSE),0)+(IF(QualitéAlimentsPoulainFemelleTrait=MAUVAISE,VLOOKUP("Epinard",AlimentsRationEcurieChevauxFemellesTrait,5,FALSE),0)+(IF(QualitéAlimentsJeuneEtalon_12_24_moisTrait=MAUVAISE,VLOOKUP("Epinard",AlimentsRationEcurieChevauxMâlesTrait,4,FALSE),0)+(IF(QualitéAlimentsJeuneJument_12_24_moisTrait=MAUVAISE,VLOOKUP("Epinard",AlimentsRationEcurieChevauxFemellesTrait,4,FALSE),0)+(IF(QualitéAlimentsJeuneEtalon_24_36_moisTrait=MAUVAISE,VLOOKUP("Epinard",AlimentsRationEcurieChevauxMâlesTrait,3,FALSE),0)+(IF(QualitéAlimentsJeuneJument_24_36_moisTrait=MAUVAISE,VLOOKUP("Epinard",AlimentsRationEcurieChevauxFemellesTrait,3,FALSE),0)+(IF(QualitéAlimentsEtalonTrait=MAUVAISE,VLOOKUP("Epinard",AlimentsRationEcurieChevauxMâlesTrait,2,FALSE),0)+(IF(QualitéAlimentsJumentTrait=MAUVAISE,VLOOKUP("Epinard",AlimentsRationEcurieChevauxFemellesTrait,2,FALSE),0))))))))))</f>
        <v>0</v>
      </c>
      <c r="FI210" s="276"/>
      <c r="FN210" s="457" t="str">
        <f t="shared" si="64"/>
        <v>Féverole</v>
      </c>
      <c r="FO210" s="458">
        <f t="array" ref="FO210">SUM((IF(QualitéAlimentsPoulainMâlePoney=BONNE,VLOOKUP("Féverole",AlimentsRationChevauxMâlesPoney,5,FALSE),0)+(IF(QualitéAlimentsPoulainFemellePoney=BONNE,VLOOKUP("Féverole",AlimentsRationChevauxFemellesPoney,5,FALSE),0)+(IF(QualitéAlimentsJeuneEtalon_12_24_moisPoney=BONNE,VLOOKUP("Féverole",AlimentsRationChevauxMâlesPoney,4,FALSE),0)+(IF(QualitéAlimentsJeuneJument_12_24_moisPoney=BONNE,VLOOKUP("Féverole",AlimentsRationChevauxFemellesPoney,4,FALSE),0)+(IF(QualitéAlimentsJeuneEtalon_24_36_moisPoney=BONNE,VLOOKUP("Féverole",AlimentsRationChevauxMâlesPoney,3,FALSE),0)+(IF(QualitéAlimentsJeuneJument_24_36_moisPoney=BONNE,VLOOKUP("Féverole",AlimentsRationChevauxFemellesPoney,3,FALSE),0)+(IF(QualitéAlimentsEtalonPoney=BONNE,VLOOKUP("Féverole",AlimentsRationChevauxMâlesPoney,2,FALSE),0)+(IF(QualitéAlimentsJumentPoney=BONNE,VLOOKUP("Féverole",AlimentsRationChevauxFemellesPoney,2,FALSE),0))))))))))</f>
        <v>0</v>
      </c>
      <c r="FP210" s="458">
        <f t="array" ref="FP210">SUM((IF(QualitéAlimentsPoulainMâlePoney=MOYENNE,VLOOKUP("Féverole",AlimentsRationChevauxMâlesPoney,5,FALSE),0)+(IF(QualitéAlimentsPoulainFemellePoney=MOYENNE,VLOOKUP("Féverole",AlimentsRationChevauxFemellesPoney,5,FALSE),0)+(IF(QualitéAlimentsJeuneEtalon_12_24_moisPoney=MOYENNE,VLOOKUP("Féverole",AlimentsRationChevauxMâlesPoney,4,FALSE),0)+(IF(QualitéAlimentsJeuneJument_12_24_moisPoney=MOYENNE,VLOOKUP("Féverole",AlimentsRationChevauxFemellesPoney,4,FALSE),0)+(IF(QualitéAlimentsJeuneEtalon_24_36_moisPoney=MOYENNE,VLOOKUP("Féverole",AlimentsRationChevauxMâlesPoney,3,FALSE),0)+(IF(QualitéAlimentsJeuneJument_24_36_moisPoney=MOYENNE,VLOOKUP("Féverole",AlimentsRationChevauxFemellesPoney,3,FALSE),0)+(IF(QualitéAlimentsEtalonPoney=MOYENNE,VLOOKUP("Féverole",AlimentsRationChevauxMâlesPoney,2,FALSE),0)+(IF(QualitéAlimentsJumentPoney=MOYENNE,VLOOKUP("Féverole",AlimentsRationChevauxFemellesPoney,2,FALSE),0))))))))))</f>
        <v>0</v>
      </c>
      <c r="FQ210" s="458">
        <f t="array" ref="FQ210">SUM((IF(QualitéAlimentsPoulainMâlePoney=MAUVAISE,VLOOKUP("Féverole",AlimentsRationChevauxMâlesPoney,5,FALSE),0)+(IF(QualitéAlimentsPoulainFemellePoney=MAUVAISE,VLOOKUP("Féverole",AlimentsRationChevauxFemellesPoney,5,FALSE),0)+(IF(QualitéAlimentsJeuneEtalon_12_24_moisPoney=MAUVAISE,VLOOKUP("Féverole",AlimentsRationChevauxMâlesPoney,4,FALSE),0)+(IF(QualitéAlimentsJeuneJument_12_24_moisPoney=MAUVAISE,VLOOKUP("Féverole",AlimentsRationChevauxFemellesPoney,4,FALSE),0)+(IF(QualitéAlimentsJeuneEtalon_24_36_moisPoney=MAUVAISE,VLOOKUP("Féverole",AlimentsRationChevauxMâlesPoney,3,FALSE),0)+(IF(QualitéAlimentsJeuneJument_24_36_moisPoney=MAUVAISE,VLOOKUP("Féverole",AlimentsRationChevauxFemellesPoney,3,FALSE),0)+(IF(QualitéAlimentsEtalonPoney=MAUVAISE,VLOOKUP("Féverole",AlimentsRationChevauxMâlesPoney,2,FALSE),0)+(IF(QualitéAlimentsJumentPoney=MAUVAISE,VLOOKUP("Féverole",AlimentsRationChevauxFemellesPoney,2,FALSE),0))))))))))</f>
        <v>0</v>
      </c>
      <c r="FR210" s="281"/>
      <c r="GG210" s="276" t="s">
        <v>955</v>
      </c>
      <c r="GH210" s="276" t="s">
        <v>955</v>
      </c>
      <c r="GI210" s="276" t="s">
        <v>955</v>
      </c>
      <c r="GJ210" s="276" t="s">
        <v>955</v>
      </c>
      <c r="GK210" s="276" t="s">
        <v>955</v>
      </c>
      <c r="GL210" s="276" t="s">
        <v>955</v>
      </c>
      <c r="GM210" s="276" t="s">
        <v>955</v>
      </c>
      <c r="GN210" s="276" t="s">
        <v>955</v>
      </c>
      <c r="GO210" s="276" t="s">
        <v>955</v>
      </c>
      <c r="GP210" s="276" t="s">
        <v>955</v>
      </c>
      <c r="GQ210" s="276" t="s">
        <v>955</v>
      </c>
      <c r="GR210" s="276" t="s">
        <v>955</v>
      </c>
      <c r="GS210" s="276" t="s">
        <v>955</v>
      </c>
      <c r="GT210" s="276" t="s">
        <v>955</v>
      </c>
      <c r="GU210" s="276" t="s">
        <v>955</v>
      </c>
      <c r="GV210" s="276" t="s">
        <v>955</v>
      </c>
    </row>
    <row r="211" spans="1:204" ht="12.75" customHeight="1" x14ac:dyDescent="0.2">
      <c r="A211" s="276"/>
      <c r="B211" s="276"/>
      <c r="BB211" s="350" t="s">
        <v>269</v>
      </c>
      <c r="BC211" s="351">
        <f t="array" ref="BC211">IF(Ration_complète_bovins[somme]&gt;0,0,IFERROR(IF(OR(AND(INDEX(Règles_bovins[Specificite],MATCH(ChoixRationBovins&amp;$BB211,Règles_bovins[Ration]&amp;Règles_bovins[Aliment],0))="s1",IF($BB211=Spécificité1Bovins,1)),
AND(INDEX(Règles_bovins[Specificite],MATCH(ChoixRationBovins&amp;$BB211,Règles_bovins[Ration]&amp;Règles_bovins[Aliment],0))="s2",IF($BB211=Spécificité2Bovins,1)),
INDEX(Règles_bovins[Specificite],MATCH(ChoixRationBovins&amp;$BB211,Règles_bovins[Ration]&amp;Règles_bovins[Aliment],0))="c"),
INDEX(Règles_bovins[Valeur 36 et plus],MATCH(ChoixRationBovins&amp;$BB211,Règles_bovins[Ration]&amp;Règles_bovins[Aliment],0)),0),0)*IF(ChoixBovinsPréHiver=OUI,TotalTaureauxRacesLaitières,TotalTaureaux*NbreJoursNourrirBovins))</f>
        <v>0</v>
      </c>
      <c r="BD211" s="351">
        <f t="array" ref="BD211">IF(Ration_complète_bovins[somme]&gt;0,0,IFERROR(IF(OR(AND(INDEX(Règles_bovins[Specificite],MATCH(ChoixRationBovins&amp;$BB211,Règles_bovins[Ration]&amp;Règles_bovins[Aliment],0))="s1",IF($BB211=Spécificité1Bovins,1)),
AND(INDEX(Règles_bovins[Specificite],MATCH(ChoixRationBovins&amp;$BB211,Règles_bovins[Ration]&amp;Règles_bovins[Aliment],0))="s2",IF($BB211=Spécificité2Bovins,1)),
INDEX(Règles_bovins[Specificite],MATCH(ChoixRationBovins&amp;$BB211,Règles_bovins[Ration]&amp;Règles_bovins[Aliment],0))="c"),
INDEX(Règles_bovins[Valeur 24-36],MATCH(ChoixRationBovins&amp;$BB211,Règles_bovins[Ration]&amp;Règles_bovins[Aliment],0)),0),0)*IF(ChoixBovinsPréHiver=OUI,TotalTaurillon_24_36_RacesLaitières,TotalBovinsMâles_24_36mois*NbreJoursNourrirBovins))</f>
        <v>0</v>
      </c>
      <c r="BE211" s="351">
        <f t="array" ref="BE211">IF(Ration_complète_bovins[somme]&gt;0,0,IFERROR(IF(OR(AND(INDEX(Règles_bovins[Specificite],MATCH(ChoixRationBovins&amp;$BB211,Règles_bovins[Ration]&amp;Règles_bovins[Aliment],0))="s1",IF($BB211=Spécificité1Bovins,1)),
AND(INDEX(Règles_bovins[Specificite],MATCH(ChoixRationBovins&amp;$BB211,Règles_bovins[Ration]&amp;Règles_bovins[Aliment],0))="s2",IF($BB211=Spécificité2Bovins,1)),
INDEX(Règles_bovins[Specificite],MATCH(ChoixRationBovins&amp;$BB211,Règles_bovins[Ration]&amp;Règles_bovins[Aliment],0))="c"),
INDEX(Règles_bovins[Valeur 18-24],MATCH(ChoixRationBovins&amp;$BB211,Règles_bovins[Ration]&amp;Règles_bovins[Aliment],0)),0),0)*IF(ChoixBovinsPréHiver=OUI,TotalTaurillon_18_24_RacesLaitières,TotalBovinsMâles_18_24mois*NbreJoursNourrirBovins))</f>
        <v>0</v>
      </c>
      <c r="BF211" s="351">
        <f t="array" ref="BF211">IF(Ration_complète_bovins[somme]&gt;0,0,IFERROR(IF(OR(AND(INDEX(Règles_bovins[Specificite],MATCH(ChoixRationBovins&amp;$BB211,Règles_bovins[Ration]&amp;Règles_bovins[Aliment],0))="s1",IF($BB211=Spécificité1Bovins,1)),
AND(INDEX(Règles_bovins[Specificite],MATCH(ChoixRationBovins&amp;$BB211,Règles_bovins[Ration]&amp;Règles_bovins[Aliment],0))="s2",IF($BB211=Spécificité2Bovins,1)),
INDEX(Règles_bovins[Specificite],MATCH(ChoixRationBovins&amp;$BB211,Règles_bovins[Ration]&amp;Règles_bovins[Aliment],0))="c"),
INDEX(Règles_bovins[Valeur 12-18],MATCH(ChoixRationBovins&amp;$BB211,Règles_bovins[Ration]&amp;Règles_bovins[Aliment],0)),0),0)*IF(ChoixBovinsPréHiver=OUI,animaux!D34,TotalBovinsMâles_12_18mois*NbreJoursNourrirBovins))</f>
        <v>0</v>
      </c>
      <c r="BG211" s="351">
        <f t="array" ref="BG211">IF(Ration_complète_bovins[somme]&gt;0,0,IFERROR(IF(OR(AND(INDEX(Règles_bovins[Specificite],MATCH(ChoixRationBovins&amp;$BB211,Règles_bovins[Ration]&amp;Règles_bovins[Aliment],0))="s1",IF($BB211=Spécificité1Bovins,1)),
AND(INDEX(Règles_bovins[Specificite],MATCH(ChoixRationBovins&amp;$BB211,Règles_bovins[Ration]&amp;Règles_bovins[Aliment],0))="s2",IF($BB211=Spécificité2Bovins,1)),
INDEX(Règles_bovins[Specificite],MATCH(ChoixRationBovins&amp;$BB211,Règles_bovins[Ration]&amp;Règles_bovins[Aliment],0))="c"),
INDEX(Règles_bovins[Valeur 6-12],MATCH(ChoixRationBovins&amp;$BB211,Règles_bovins[Ration]&amp;Règles_bovins[Aliment],0)),0),0)*IF(ChoixBovinsPréHiver=OUI,TotalVeauMâle_6_12_RacesLaitières,TotalBovinsMâles_6_12mois*NbreJoursNourrirBovins))</f>
        <v>0</v>
      </c>
      <c r="BH211" s="351">
        <f t="array" ref="BH211">IF(Ration_complète_bovins[somme]&gt;0,0,IFERROR(IF(OR(AND(INDEX(Règles_bovins[Specificite],MATCH(ChoixRationBovins&amp;$BB211,Règles_bovins[Ration]&amp;Règles_bovins[Aliment],0))="s1",IF($BB211=Spécificité1Bovins,1)),
AND(INDEX(Règles_bovins[Specificite],MATCH(ChoixRationBovins&amp;$BB211,Règles_bovins[Ration]&amp;Règles_bovins[Aliment],0))="s2",IF($BB211=Spécificité2Bovins,1)),
INDEX(Règles_bovins[Specificite],MATCH(ChoixRationBovins&amp;$BB211,Règles_bovins[Ration]&amp;Règles_bovins[Aliment],0))="c"),
INDEX(Règles_bovins[Valeur 3-6],MATCH(ChoixRationBovins&amp;$BB211,Règles_bovins[Ration]&amp;Règles_bovins[Aliment],0)),0),0)*IF(ChoixBovinsPréHiver=OUI,TotalVeauMâle_3_6_RacesLaitières,TotalBovinsMâles_3_6mois*NbreJoursNourrirBovins))</f>
        <v>0</v>
      </c>
      <c r="BI211" s="351">
        <f t="array" ref="BI211">IF(Ration_complète_bovins[somme]&gt;0,0,IFERROR(IF(OR(AND(INDEX(Règles_bovins[Specificite],MATCH(ChoixRationBovins&amp;$BB211,Règles_bovins[Ration]&amp;Règles_bovins[Aliment],0))="s1",IF($BB211=Spécificité1Bovins,1)),
AND(INDEX(Règles_bovins[Specificite],MATCH(ChoixRationBovins&amp;$BB211,Règles_bovins[Ration]&amp;Règles_bovins[Aliment],0))="s2",IF($BB211=Spécificité2Bovins,1)),
INDEX(Règles_bovins[Specificite],MATCH(ChoixRationBovins&amp;$BB211,Règles_bovins[Ration]&amp;Règles_bovins[Aliment],0))="c"),
INDEX(Règles_bovins[Valeur 0-3],MATCH(ChoixRationBovins&amp;$BB211,Règles_bovins[Ration]&amp;Règles_bovins[Aliment],0)),0),0)*IF(ChoixBovinsPréHiver=OUI,TotalVeauMâle_0_3_RacesLaitières,TotalBovinsMâles_0_3mois*NbreJoursNourrirBovins))</f>
        <v>0</v>
      </c>
      <c r="BJ211" s="352">
        <f t="shared" si="62"/>
        <v>0</v>
      </c>
      <c r="BK211" s="276"/>
      <c r="BL211" s="276"/>
      <c r="BX211" s="350" t="str">
        <f t="shared" si="63"/>
        <v>Haricot vert</v>
      </c>
      <c r="BY211" s="351">
        <f t="array" ref="BY211">SUM((IF(QualitéAlimentsChevreau_0_3_mois=BONNE,VLOOKUP("Haricot vert",AlimentsRationCaprinsMâles,5,FALSE),0)+(IF(QualitéAlimentsChevrette_0_3_mois=BONNE,VLOOKUP("Haricot vert",AlimentsRationCaprinsFemelles,5,FALSE),0)+(IF(QualitéAlimentsChevreau_3_6_mois=BONNE,VLOOKUP("Haricot vert",AlimentsRationCaprinsMâles,4,FALSE),0)+(IF(QualitéAlimentsChevrette_3_6_mois=BONNE,VLOOKUP("Haricot vert",AlimentsRationCaprinsFemelles,4,FALSE),0)+(IF(QualitéAlimentsJeuneBouc=BONNE,VLOOKUP("Haricot vert",AlimentsRationCaprinsMâles,3,FALSE),0)+(IF(QualitéAlimentsJeuneChèvre=BONNE,VLOOKUP("Haricot vert",AlimentsRationCaprinsFemelles,3,FALSE),0)+(IF(QualitéAlimentsBouc=BONNE,VLOOKUP("Haricot vert",AlimentsRationCaprinsMâles,2,FALSE),0)+(IF(QualitéAlimentsChèvre=BONNE,VLOOKUP("Haricot vert",AlimentsRationCaprinsFemelles,2,FALSE),0))))))))))</f>
        <v>0</v>
      </c>
      <c r="BZ211" s="351">
        <f t="array" ref="BZ211">SUM((IF(QualitéAlimentsChevreau_0_3_mois=MOYENNE,VLOOKUP("Haricot vert",AlimentsRationCaprinsMâles,5,FALSE),0)+(IF(QualitéAlimentsChevrette_0_3_mois=MOYENNE,VLOOKUP("Haricot vert",AlimentsRationCaprinsFemelles,5,FALSE),0)+(IF(QualitéAlimentsChevreau_3_6_mois=MOYENNE,VLOOKUP("Haricot vert",AlimentsRationCaprinsMâles,4,FALSE),0)+(IF(QualitéAlimentsChevrette_3_6_mois=MOYENNE,VLOOKUP("Haricot vert",AlimentsRationCaprinsFemelles,4,FALSE),0)+(IF(QualitéAlimentsJeuneBouc=MOYENNE,VLOOKUP("Haricot vert",AlimentsRationCaprinsMâles,3,FALSE),0)+(IF(QualitéAlimentsJeuneChèvre=MOYENNE,VLOOKUP("Haricot vert",AlimentsRationCaprinsFemelles,3,FALSE),0)+(IF(QualitéAlimentsBouc=MOYENNE,VLOOKUP("Haricot vert",AlimentsRationCaprinsMâles,2,FALSE),0)+(IF(QualitéAlimentsChèvre=MOYENNE,VLOOKUP("Haricot vert",AlimentsRationCaprinsFemelles,2,FALSE),0))))))))))</f>
        <v>0</v>
      </c>
      <c r="CA211" s="351">
        <f t="array" ref="CA211">SUM((IF(QualitéAlimentsChevreau_0_3_mois=MAUVAISE,VLOOKUP("Haricot vert",AlimentsRationCaprinsMâles,5,FALSE),0)+(IF(QualitéAlimentsChevrette_0_3_mois=MAUVAISE,VLOOKUP("Haricot vert",AlimentsRationCaprinsFemelles,5,FALSE),0)+(IF(QualitéAlimentsChevreau_3_6_mois=MAUVAISE,VLOOKUP("Haricot vert",AlimentsRationCaprinsMâles,4,FALSE),0)+(IF(QualitéAlimentsChevrette_3_6_mois=MAUVAISE,VLOOKUP("Haricot vert",AlimentsRationCaprinsFemelles,4,FALSE),0)+(IF(QualitéAlimentsJeuneBouc=MAUVAISE,VLOOKUP("Haricot vert",AlimentsRationCaprinsMâles,3,FALSE),0)+(IF(QualitéAlimentsJeuneChèvre=MAUVAISE,VLOOKUP("Haricot vert",AlimentsRationCaprinsFemelles,3,FALSE),0)+(IF(QualitéAlimentsBouc=MAUVAISE,VLOOKUP("Haricot vert",AlimentsRationCaprinsMâles,2,FALSE),0)+(IF(QualitéAlimentsChèvre=MAUVAISE,VLOOKUP("Haricot vert",AlimentsRationCaprinsFemelles,2,FALSE),0))))))))))</f>
        <v>0</v>
      </c>
      <c r="CB211" s="277"/>
      <c r="CC211" s="277"/>
      <c r="CD211" s="298"/>
      <c r="CE211" s="298"/>
      <c r="CF211" s="298"/>
      <c r="CG211" s="298"/>
      <c r="CH211" s="298"/>
      <c r="CI211" s="277"/>
      <c r="CK211" s="277"/>
      <c r="CL211" s="277"/>
      <c r="CM211" s="277"/>
      <c r="CN211" s="277"/>
      <c r="CO211" s="277"/>
      <c r="CP211" s="277"/>
      <c r="DN211" s="350" t="str">
        <f t="shared" si="61"/>
        <v>Minéraux + vitamines</v>
      </c>
      <c r="DO211" s="351">
        <f t="array" ref="DO211">IF(ChoixRationComplèteOvins=OUI,0,IFERROR(IF(OR(AND(INDEX(Règles_ovins[Specificite],MATCH(ChoixRationOvins&amp;$DN211,Règles_ovins[Ration]&amp;Règles_ovins[Aliment],0))="s1",IF($DN211=Spécificité1Ovins,1)),
AND(INDEX(Règles_ovins[Specificite],MATCH(ChoixRationOvins&amp;$DN211,Règles_ovins[Ration]&amp;Règles_ovins[Aliment],0))="s2",IF($DN211=Spécificité2Ovins,1)),
INDEX(Règles_ovins[Specificite],MATCH(ChoixRationOvins&amp;$DN211,Règles_ovins[Ration]&amp;Règles_ovins[Aliment],0))="c"),
INDEX(Règles_ovins[Valeur 12 et plus],MATCH(ChoixRationOvins&amp;$DN211,Règles_ovins[Ration]&amp;Règles_ovins[Aliment],0)),0),0)*IF(ChoixOvinsPréHiver=OUI,SUM(TotalOvinsAdultesRacesLaitières)*NbreJoursNourrirOvins,TotalBrebis*NbreJoursNourrirOvins))</f>
        <v>0</v>
      </c>
      <c r="DP211" s="351">
        <f t="array" ref="DP211">IF(ChoixRationComplèteOvins=OUI,0,IFERROR(IF(OR(AND(INDEX(Règles_ovins[Specificite],MATCH(ChoixRationOvins&amp;$DN211,Règles_ovins[Ration]&amp;Règles_ovins[Aliment],0))="s1",IF($DN211=Spécificité1Ovins,1)),
AND(INDEX(Règles_ovins[Specificite],MATCH(ChoixRationOvins&amp;$DN211,Règles_ovins[Ration]&amp;Règles_ovins[Aliment],0))="s2",IF($DN211=Spécificité2Ovins,1)),
INDEX(Règles_ovins[Specificite],MATCH(ChoixRationOvins&amp;$DN211,Règles_ovins[Ration]&amp;Règles_ovins[Aliment],0))="c"),
INDEX(Règles_ovins[Valeur 6-12],MATCH(ChoixRationOvins&amp;$DN211,Règles_ovins[Ration]&amp;Règles_ovins[Aliment],0)),0),0)*IF(ChoixOvinsPréHiver=OUI,SUM(TotalJeunesOvinsRacesLaitières)*NbreJoursNourrirOvins,TotalJeune_brebis_6_12_mois*NbreJoursNourrirOvins))</f>
        <v>0</v>
      </c>
      <c r="DQ211" s="351">
        <f t="array" ref="DQ211">IF(ChoixRationComplèteOvins=OUI,0,IFERROR(IF(OR(AND(INDEX(Règles_ovins[Specificite],MATCH(ChoixRationOvins&amp;$DN211,Règles_ovins[Ration]&amp;Règles_ovins[Aliment],0))="s1",IF($DN211=Spécificité1Ovins,1)),
AND(INDEX(Règles_ovins[Specificite],MATCH(ChoixRationOvins&amp;$DN211,Règles_ovins[Ration]&amp;Règles_ovins[Aliment],0))="s2",IF($DN211=Spécificité2Ovins,1)),
INDEX(Règles_ovins[Specificite],MATCH(ChoixRationOvins&amp;$DN211,Règles_ovins[Ration]&amp;Règles_ovins[Aliment],0))="c"),
INDEX(Règles_ovins[Valeur 3-6],MATCH(ChoixRationOvins&amp;$DN211,Règles_ovins[Ration]&amp;Règles_ovins[Aliment],0)),0),0)*IF(ChoixOvinsPréHiver=OUI,SUM(TotalOvins_3_6moisRacesLaitières)*NbreJoursNourrirOvins,TotalAgnelle_3_6_mois*NbreJoursNourrirOvins))</f>
        <v>0</v>
      </c>
      <c r="DR211" s="351">
        <f t="array" ref="DR211">IF(ChoixRationComplèteOvins=OUI,0,IFERROR(IF(OR(AND(INDEX(Règles_ovins[Specificite],MATCH(ChoixRationOvins&amp;$DN211,Règles_ovins[Ration]&amp;Règles_ovins[Aliment],0))="s1",IF($DN211=Spécificité1Ovins,1)),
AND(INDEX(Règles_ovins[Specificite],MATCH(ChoixRationOvins&amp;$DN211,Règles_ovins[Ration]&amp;Règles_ovins[Aliment],0))="s2",IF($DN211=Spécificité2Ovins,1)),
INDEX(Règles_ovins[Specificite],MATCH(ChoixRationOvins&amp;$DN211,Règles_ovins[Ration]&amp;Règles_ovins[Aliment],0))="c"),
INDEX(Règles_ovins[Valeur 0-3],MATCH(ChoixRationOvins&amp;$DN211,Règles_ovins[Ration]&amp;Règles_ovins[Aliment],0)),0),0)*IF(ChoixOvinsPréHiver=OUI,SUM(TotalOvins_3_6moisRacesLaitières)*NbreJoursNourrirOvins,TotalAgnelle_0_3_mois*NbreJoursNourrirOvins))</f>
        <v>0</v>
      </c>
      <c r="DS211" s="441">
        <f t="shared" si="60"/>
        <v>0</v>
      </c>
      <c r="DU211" s="281"/>
      <c r="EU211" s="457" t="str">
        <f t="shared" si="66"/>
        <v>concentré jeunes lapins</v>
      </c>
      <c r="EV211" s="458">
        <f t="array" ref="EV211">SUM((IF(QualitéAlimentsPoulainSelleMâle=BONNE,VLOOKUP("Concentré jeunes lapins",AlimentsRationEcurieChevauxMâlesSelle,5,FALSE),0)+(IF(QualitéAlimentsPoulainSelleFemelle=BONNE,VLOOKUP("Concentré jeunes lapins",AlimentsRationEcurieChevauxFemellesSelle,5,FALSE),0)+(IF(QualitéAlimentsJeuneEtalon_12_24_moisSelle=BONNE,VLOOKUP("Concentré jeunes lapins",AlimentsRationEcurieChevauxMâlesSelle,4,FALSE),0)+(IF(QualitéAlimentsJeuneJument_12_24_moisSelle=BONNE,VLOOKUP("Concentré jeunes lapins",AlimentsRationEcurieChevauxFemellesSelle,4,FALSE),0)+(IF(QualitéAlimentsJeuneEtalon_24_36_moisSelle=BONNE,VLOOKUP("Concentré jeunes lapins",AlimentsRationEcurieChevauxMâlesSelle,3,FALSE),0)+(IF(QualitéAlimentsJeuneJument_24_36_moisSelle=BONNE,VLOOKUP("Concentré jeunes lapins",AlimentsRationEcurieChevauxFemellesSelle,3,FALSE),0)+(IF(QualitéAlimentsEtalonSelle=BONNE,VLOOKUP("Concentré jeunes lapins",AlimentsRationEcurieChevauxMâlesSelle,2,FALSE),0)+(IF(QualitéAlimentsJumentSelle=BONNE,VLOOKUP("Concentré jeunes lapins",AlimentsRationEcurieChevauxFemellesSelle,2,FALSE),0))))))))))</f>
        <v>0</v>
      </c>
      <c r="EW211" s="458">
        <f t="array" ref="EW211">SUM((IF(QualitéAlimentsPoulainSelleMâle=MOYENNE,VLOOKUP("Concentré jeunes lapins",AlimentsRationEcurieChevauxMâlesSelle,5,FALSE),0)+(IF(QualitéAlimentsPoulainSelleFemelle=MOYENNE,VLOOKUP("Concentré jeunes lapins",AlimentsRationEcurieChevauxFemellesSelle,5,FALSE),0)+(IF(QualitéAlimentsJeuneEtalon_12_24_moisSelle=MOYENNE,VLOOKUP("Concentré jeunes lapins",AlimentsRationEcurieChevauxMâlesSelle,4,FALSE),0)+(IF(QualitéAlimentsJeuneJument_12_24_moisSelle=MOYENNE,VLOOKUP("Concentré jeunes lapins",AlimentsRationEcurieChevauxFemellesSelle,4,FALSE),0)+(IF(QualitéAlimentsJeuneEtalon_24_36_moisSelle=MOYENNE,VLOOKUP("Concentré jeunes lapins",AlimentsRationEcurieChevauxMâlesSelle,3,FALSE),0)+(IF(QualitéAlimentsJeuneJument_24_36_moisSelle=MOYENNE,VLOOKUP("Concentré jeunes lapins",AlimentsRationEcurieChevauxFemellesSelle,3,FALSE),0)+(IF(QualitéAlimentsEtalonSelle=MOYENNE,VLOOKUP("Concentré jeunes lapins",AlimentsRationEcurieChevauxMâlesSelle,2,FALSE),0)+(IF(QualitéAlimentsJumentSelle=MOYENNE,VLOOKUP("Concentré jeunes lapins",AlimentsRationEcurieChevauxFemellesSelle,2,FALSE),0))))))))))</f>
        <v>0</v>
      </c>
      <c r="EX211" s="458">
        <f t="array" ref="EX211">SUM((IF(QualitéAlimentsPoulainSelleMâle=MAUVAISE,VLOOKUP("Concentré jeunes lapins",AlimentsRationEcurieChevauxMâlesSelle,5,FALSE),0)+(IF(QualitéAlimentsPoulainSelleFemelle=MAUVAISE,VLOOKUP("Concentré jeunes lapins",AlimentsRationEcurieChevauxFemellesSelle,5,FALSE),0)+(IF(QualitéAlimentsJeuneEtalon_12_24_moisSelle=MAUVAISE,VLOOKUP("Concentré jeunes lapins",AlimentsRationEcurieChevauxMâlesSelle,4,FALSE),0)+(IF(QualitéAlimentsJeuneJument_12_24_moisSelle=MAUVAISE,VLOOKUP("Concentré jeunes lapins",AlimentsRationEcurieChevauxFemellesSelle,4,FALSE),0)+(IF(QualitéAlimentsJeuneEtalon_24_36_moisSelle=MAUVAISE,VLOOKUP("Concentré jeunes lapins",AlimentsRationEcurieChevauxMâlesSelle,3,FALSE),0)+(IF(QualitéAlimentsJeuneJument_24_36_moisSelle=MAUVAISE,VLOOKUP("Concentré jeunes lapins",AlimentsRationEcurieChevauxFemellesSelle,3,FALSE),0)+(IF(QualitéAlimentsEtalonSelle=MAUVAISE,VLOOKUP("Concentré jeunes lapins",AlimentsRationEcurieChevauxMâlesSelle,2,FALSE),0)+(IF(QualitéAlimentsJumentSelle=MAUVAISE,VLOOKUP("Concentré jeunes lapins",AlimentsRationEcurieChevauxFemellesSelle,2,FALSE),0))))))))))</f>
        <v>0</v>
      </c>
      <c r="FD211" s="457" t="str">
        <f t="shared" si="65"/>
        <v>Féverole</v>
      </c>
      <c r="FE211" s="458">
        <f t="array" ref="FE211">SUM((IF(QualitéAlimentsPoulainMâleTrait=BONNE,VLOOKUP("Féverole",AlimentsRationEcurieChevauxMâlesTrait,5,FALSE),0)+(IF(QualitéAlimentsPoulainFemelleTrait=BONNE,VLOOKUP("Féverole",AlimentsRationEcurieChevauxFemellesTrait,5,FALSE),0)+(IF(QualitéAlimentsJeuneEtalon_12_24_moisTrait=BONNE,VLOOKUP("Féverole",AlimentsRationEcurieChevauxMâlesTrait,4,FALSE),0)+(IF(QualitéAlimentsJeuneJument_12_24_moisTrait=BONNE,VLOOKUP("Féverole",AlimentsRationEcurieChevauxFemellesTrait,4,FALSE),0)+(IF(QualitéAlimentsJeuneEtalon_24_36_moisTrait=BONNE,VLOOKUP("Féverole",AlimentsRationEcurieChevauxMâlesTrait,3,FALSE),0)+(IF(QualitéAlimentsJeuneJument_24_36_moisTrait=BONNE,VLOOKUP("Féverole",AlimentsRationEcurieChevauxFemellesTrait,3,FALSE),0)+(IF(QualitéAlimentsEtalonTrait=BONNE,VLOOKUP("Féverole",AlimentsRationEcurieChevauxMâlesTrait,2,FALSE),0)+(IF(QualitéAlimentsJumentTrait=BONNE,VLOOKUP("Féverole",AlimentsRationEcurieChevauxFemellesTrait,2,FALSE),0))))))))))</f>
        <v>0</v>
      </c>
      <c r="FF211" s="458">
        <f t="array" ref="FF211">SUM((IF(QualitéAlimentsPoulainMâleTrait=MOYENNE,VLOOKUP("Féverole",AlimentsRationEcurieChevauxMâlesTrait,5,FALSE),0)+(IF(QualitéAlimentsPoulainFemelleTrait=MOYENNE,VLOOKUP("Féverole",AlimentsRationEcurieChevauxFemellesTrait,5,FALSE),0)+(IF(QualitéAlimentsJeuneEtalon_12_24_moisTrait=MOYENNE,VLOOKUP("Féverole",AlimentsRationEcurieChevauxMâlesTrait,4,FALSE),0)+(IF(QualitéAlimentsJeuneJument_12_24_moisTrait=MOYENNE,VLOOKUP("Féverole",AlimentsRationEcurieChevauxFemellesTrait,4,FALSE),0)+(IF(QualitéAlimentsJeuneEtalon_24_36_moisTrait=MOYENNE,VLOOKUP("Féverole",AlimentsRationEcurieChevauxMâlesTrait,3,FALSE),0)+(IF(QualitéAlimentsJeuneJument_24_36_moisTrait=MOYENNE,VLOOKUP("Féverole",AlimentsRationEcurieChevauxFemellesTrait,3,FALSE),0)+(IF(QualitéAlimentsEtalonTrait=MOYENNE,VLOOKUP("Féverole",AlimentsRationEcurieChevauxMâlesTrait,2,FALSE),0)+(IF(QualitéAlimentsJumentTrait=MOYENNE,VLOOKUP("Féverole",AlimentsRationEcurieChevauxFemellesTrait,2,FALSE),0))))))))))</f>
        <v>0</v>
      </c>
      <c r="FG211" s="458">
        <f t="array" ref="FG211">SUM((IF(QualitéAlimentsPoulainMâleTrait=MAUVAISE,VLOOKUP("Féverole",AlimentsRationEcurieChevauxMâlesTrait,5,FALSE),0)+(IF(QualitéAlimentsPoulainFemelleTrait=MAUVAISE,VLOOKUP("Féverole",AlimentsRationEcurieChevauxFemellesTrait,5,FALSE),0)+(IF(QualitéAlimentsJeuneEtalon_12_24_moisTrait=MAUVAISE,VLOOKUP("Féverole",AlimentsRationEcurieChevauxMâlesTrait,4,FALSE),0)+(IF(QualitéAlimentsJeuneJument_12_24_moisTrait=MAUVAISE,VLOOKUP("Féverole",AlimentsRationEcurieChevauxFemellesTrait,4,FALSE),0)+(IF(QualitéAlimentsJeuneEtalon_24_36_moisTrait=MAUVAISE,VLOOKUP("Féverole",AlimentsRationEcurieChevauxMâlesTrait,3,FALSE),0)+(IF(QualitéAlimentsJeuneJument_24_36_moisTrait=MAUVAISE,VLOOKUP("Féverole",AlimentsRationEcurieChevauxFemellesTrait,3,FALSE),0)+(IF(QualitéAlimentsEtalonTrait=MAUVAISE,VLOOKUP("Féverole",AlimentsRationEcurieChevauxMâlesTrait,2,FALSE),0)+(IF(QualitéAlimentsJumentTrait=MAUVAISE,VLOOKUP("Féverole",AlimentsRationEcurieChevauxFemellesTrait,2,FALSE),0))))))))))</f>
        <v>0</v>
      </c>
      <c r="FI211" s="276"/>
      <c r="FN211" s="457" t="str">
        <f t="shared" si="64"/>
        <v>Foin</v>
      </c>
      <c r="FO211" s="458">
        <f t="array" ref="FO211">SUM((IF(QualitéAlimentsPoulainMâlePoney=BONNE,VLOOKUP("Foin",AlimentsRationChevauxMâlesPoney,5,FALSE),0)+(IF(QualitéAlimentsPoulainFemellePoney=BONNE,VLOOKUP("Foin",AlimentsRationChevauxFemellesPoney,5,FALSE),0)+(IF(QualitéAlimentsJeuneEtalon_12_24_moisPoney=BONNE,VLOOKUP("Foin",AlimentsRationChevauxMâlesPoney,4,FALSE),0)+(IF(QualitéAlimentsJeuneJument_12_24_moisPoney=BONNE,VLOOKUP("Foin",AlimentsRationChevauxFemellesPoney,4,FALSE),0)+(IF(QualitéAlimentsJeuneEtalon_24_36_moisPoney=BONNE,VLOOKUP("Foin",AlimentsRationChevauxMâlesPoney,3,FALSE),0)+(IF(QualitéAlimentsJeuneJument_24_36_moisPoney=BONNE,VLOOKUP("Foin",AlimentsRationChevauxFemellesPoney,3,FALSE),0)+(IF(QualitéAlimentsEtalonPoney=BONNE,VLOOKUP("Foin",AlimentsRationChevauxMâlesPoney,2,FALSE),0)+(IF(QualitéAlimentsJumentPoney=BONNE,VLOOKUP("Foin",AlimentsRationChevauxFemellesPoney,2,FALSE),0))))))))))</f>
        <v>0</v>
      </c>
      <c r="FP211" s="458">
        <f t="array" ref="FP211">SUM((IF(QualitéAlimentsPoulainMâlePoney=MOYENNE,VLOOKUP("Foin",AlimentsRationChevauxMâlesPoney,5,FALSE),0)+(IF(QualitéAlimentsPoulainFemellePoney=MOYENNE,VLOOKUP("Foin",AlimentsRationChevauxFemellesPoney,5,FALSE),0)+(IF(QualitéAlimentsJeuneEtalon_12_24_moisPoney=MOYENNE,VLOOKUP("Foin",AlimentsRationChevauxMâlesPoney,4,FALSE),0)+(IF(QualitéAlimentsJeuneJument_12_24_moisPoney=MOYENNE,VLOOKUP("Foin",AlimentsRationChevauxFemellesPoney,4,FALSE),0)+(IF(QualitéAlimentsJeuneEtalon_24_36_moisPoney=MOYENNE,VLOOKUP("Foin",AlimentsRationChevauxMâlesPoney,3,FALSE),0)+(IF(QualitéAlimentsJeuneJument_24_36_moisPoney=MOYENNE,VLOOKUP("Foin",AlimentsRationChevauxFemellesPoney,3,FALSE),0)+(IF(QualitéAlimentsEtalonPoney=MOYENNE,VLOOKUP("Foin",AlimentsRationChevauxMâlesPoney,2,FALSE),0)+(IF(QualitéAlimentsJumentPoney=MOYENNE,VLOOKUP("Foin",AlimentsRationChevauxFemellesPoney,2,FALSE),0))))))))))</f>
        <v>0</v>
      </c>
      <c r="FQ211" s="458">
        <f t="array" ref="FQ211">SUM((IF(QualitéAlimentsPoulainMâlePoney=MAUVAISE,VLOOKUP("Foin",AlimentsRationChevauxMâlesPoney,5,FALSE),0)+(IF(QualitéAlimentsPoulainFemellePoney=MAUVAISE,VLOOKUP("Foin",AlimentsRationChevauxFemellesPoney,5,FALSE),0)+(IF(QualitéAlimentsJeuneEtalon_12_24_moisPoney=MAUVAISE,VLOOKUP("Foin",AlimentsRationChevauxMâlesPoney,4,FALSE),0)+(IF(QualitéAlimentsJeuneJument_12_24_moisPoney=MAUVAISE,VLOOKUP("Foin",AlimentsRationChevauxFemellesPoney,4,FALSE),0)+(IF(QualitéAlimentsJeuneEtalon_24_36_moisPoney=MAUVAISE,VLOOKUP("Foin",AlimentsRationChevauxMâlesPoney,3,FALSE),0)+(IF(QualitéAlimentsJeuneJument_24_36_moisPoney=MAUVAISE,VLOOKUP("Foin",AlimentsRationChevauxFemellesPoney,3,FALSE),0)+(IF(QualitéAlimentsEtalonPoney=MAUVAISE,VLOOKUP("Foin",AlimentsRationChevauxMâlesPoney,2,FALSE),0)+(IF(QualitéAlimentsJumentPoney=MAUVAISE,VLOOKUP("Foin",AlimentsRationChevauxFemellesPoney,2,FALSE),0))))))))))</f>
        <v>0</v>
      </c>
      <c r="FR211" s="281"/>
      <c r="GG211" s="276" t="s">
        <v>955</v>
      </c>
      <c r="GH211" s="276" t="s">
        <v>955</v>
      </c>
      <c r="GI211" s="276" t="s">
        <v>955</v>
      </c>
      <c r="GJ211" s="276" t="s">
        <v>955</v>
      </c>
      <c r="GK211" s="276" t="s">
        <v>955</v>
      </c>
      <c r="GL211" s="276" t="s">
        <v>955</v>
      </c>
      <c r="GM211" s="276" t="s">
        <v>955</v>
      </c>
      <c r="GN211" s="276" t="s">
        <v>955</v>
      </c>
      <c r="GO211" s="276" t="s">
        <v>955</v>
      </c>
      <c r="GP211" s="276" t="s">
        <v>955</v>
      </c>
      <c r="GQ211" s="276" t="s">
        <v>955</v>
      </c>
      <c r="GR211" s="276" t="s">
        <v>955</v>
      </c>
      <c r="GS211" s="276" t="s">
        <v>955</v>
      </c>
      <c r="GT211" s="276" t="s">
        <v>955</v>
      </c>
      <c r="GU211" s="276" t="s">
        <v>955</v>
      </c>
      <c r="GV211" s="276" t="s">
        <v>955</v>
      </c>
    </row>
    <row r="212" spans="1:204" ht="12.75" customHeight="1" x14ac:dyDescent="0.2">
      <c r="A212" s="276"/>
      <c r="B212" s="276"/>
      <c r="BB212" s="350" t="s">
        <v>268</v>
      </c>
      <c r="BC212" s="351">
        <f t="array" ref="BC212">IF(Ration_complète_bovins[somme]&gt;0,0,IFERROR(IF(OR(AND(INDEX(Règles_bovins[Specificite],MATCH(ChoixRationBovins&amp;$BB212,Règles_bovins[Ration]&amp;Règles_bovins[Aliment],0))="s1",IF($BB212=Spécificité1Bovins,1)),
AND(INDEX(Règles_bovins[Specificite],MATCH(ChoixRationBovins&amp;$BB212,Règles_bovins[Ration]&amp;Règles_bovins[Aliment],0))="s2",IF($BB212=Spécificité2Bovins,1)),
INDEX(Règles_bovins[Specificite],MATCH(ChoixRationBovins&amp;$BB212,Règles_bovins[Ration]&amp;Règles_bovins[Aliment],0))="c"),
INDEX(Règles_bovins[Valeur 36 et plus],MATCH(ChoixRationBovins&amp;$BB212,Règles_bovins[Ration]&amp;Règles_bovins[Aliment],0)),0),0)*IF(ChoixBovinsPréHiver=OUI,TotalTaureauxRacesLaitières,TotalTaureaux*NbreJoursNourrirBovins))</f>
        <v>0</v>
      </c>
      <c r="BD212" s="351">
        <f t="array" ref="BD212">IF(Ration_complète_bovins[somme]&gt;0,0,IFERROR(IF(OR(AND(INDEX(Règles_bovins[Specificite],MATCH(ChoixRationBovins&amp;$BB212,Règles_bovins[Ration]&amp;Règles_bovins[Aliment],0))="s1",IF($BB212=Spécificité1Bovins,1)),
AND(INDEX(Règles_bovins[Specificite],MATCH(ChoixRationBovins&amp;$BB212,Règles_bovins[Ration]&amp;Règles_bovins[Aliment],0))="s2",IF($BB212=Spécificité2Bovins,1)),
INDEX(Règles_bovins[Specificite],MATCH(ChoixRationBovins&amp;$BB212,Règles_bovins[Ration]&amp;Règles_bovins[Aliment],0))="c"),
INDEX(Règles_bovins[Valeur 24-36],MATCH(ChoixRationBovins&amp;$BB212,Règles_bovins[Ration]&amp;Règles_bovins[Aliment],0)),0),0)*IF(ChoixBovinsPréHiver=OUI,TotalTaurillon_24_36_RacesLaitières,TotalBovinsMâles_24_36mois*NbreJoursNourrirBovins))</f>
        <v>0</v>
      </c>
      <c r="BE212" s="351">
        <f t="array" ref="BE212">IF(Ration_complète_bovins[somme]&gt;0,0,IFERROR(IF(OR(AND(INDEX(Règles_bovins[Specificite],MATCH(ChoixRationBovins&amp;$BB212,Règles_bovins[Ration]&amp;Règles_bovins[Aliment],0))="s1",IF($BB212=Spécificité1Bovins,1)),
AND(INDEX(Règles_bovins[Specificite],MATCH(ChoixRationBovins&amp;$BB212,Règles_bovins[Ration]&amp;Règles_bovins[Aliment],0))="s2",IF($BB212=Spécificité2Bovins,1)),
INDEX(Règles_bovins[Specificite],MATCH(ChoixRationBovins&amp;$BB212,Règles_bovins[Ration]&amp;Règles_bovins[Aliment],0))="c"),
INDEX(Règles_bovins[Valeur 18-24],MATCH(ChoixRationBovins&amp;$BB212,Règles_bovins[Ration]&amp;Règles_bovins[Aliment],0)),0),0)*IF(ChoixBovinsPréHiver=OUI,TotalTaurillon_18_24_RacesLaitières,TotalBovinsMâles_18_24mois*NbreJoursNourrirBovins))</f>
        <v>0</v>
      </c>
      <c r="BF212" s="351">
        <f t="array" ref="BF212">IF(Ration_complète_bovins[somme]&gt;0,0,IFERROR(IF(OR(AND(INDEX(Règles_bovins[Specificite],MATCH(ChoixRationBovins&amp;$BB212,Règles_bovins[Ration]&amp;Règles_bovins[Aliment],0))="s1",IF($BB212=Spécificité1Bovins,1)),
AND(INDEX(Règles_bovins[Specificite],MATCH(ChoixRationBovins&amp;$BB212,Règles_bovins[Ration]&amp;Règles_bovins[Aliment],0))="s2",IF($BB212=Spécificité2Bovins,1)),
INDEX(Règles_bovins[Specificite],MATCH(ChoixRationBovins&amp;$BB212,Règles_bovins[Ration]&amp;Règles_bovins[Aliment],0))="c"),
INDEX(Règles_bovins[Valeur 12-18],MATCH(ChoixRationBovins&amp;$BB212,Règles_bovins[Ration]&amp;Règles_bovins[Aliment],0)),0),0)*IF(ChoixBovinsPréHiver=OUI,animaux!D35,TotalBovinsMâles_12_18mois*NbreJoursNourrirBovins))</f>
        <v>0</v>
      </c>
      <c r="BG212" s="351">
        <f t="array" ref="BG212">IF(Ration_complète_bovins[somme]&gt;0,0,IFERROR(IF(OR(AND(INDEX(Règles_bovins[Specificite],MATCH(ChoixRationBovins&amp;$BB212,Règles_bovins[Ration]&amp;Règles_bovins[Aliment],0))="s1",IF($BB212=Spécificité1Bovins,1)),
AND(INDEX(Règles_bovins[Specificite],MATCH(ChoixRationBovins&amp;$BB212,Règles_bovins[Ration]&amp;Règles_bovins[Aliment],0))="s2",IF($BB212=Spécificité2Bovins,1)),
INDEX(Règles_bovins[Specificite],MATCH(ChoixRationBovins&amp;$BB212,Règles_bovins[Ration]&amp;Règles_bovins[Aliment],0))="c"),
INDEX(Règles_bovins[Valeur 6-12],MATCH(ChoixRationBovins&amp;$BB212,Règles_bovins[Ration]&amp;Règles_bovins[Aliment],0)),0),0)*IF(ChoixBovinsPréHiver=OUI,TotalVeauMâle_6_12_RacesLaitières,TotalBovinsMâles_6_12mois*NbreJoursNourrirBovins))</f>
        <v>0</v>
      </c>
      <c r="BH212" s="351">
        <f t="array" ref="BH212">IF(Ration_complète_bovins[somme]&gt;0,0,IFERROR(IF(OR(AND(INDEX(Règles_bovins[Specificite],MATCH(ChoixRationBovins&amp;$BB212,Règles_bovins[Ration]&amp;Règles_bovins[Aliment],0))="s1",IF($BB212=Spécificité1Bovins,1)),
AND(INDEX(Règles_bovins[Specificite],MATCH(ChoixRationBovins&amp;$BB212,Règles_bovins[Ration]&amp;Règles_bovins[Aliment],0))="s2",IF($BB212=Spécificité2Bovins,1)),
INDEX(Règles_bovins[Specificite],MATCH(ChoixRationBovins&amp;$BB212,Règles_bovins[Ration]&amp;Règles_bovins[Aliment],0))="c"),
INDEX(Règles_bovins[Valeur 3-6],MATCH(ChoixRationBovins&amp;$BB212,Règles_bovins[Ration]&amp;Règles_bovins[Aliment],0)),0),0)*IF(ChoixBovinsPréHiver=OUI,TotalVeauMâle_3_6_RacesLaitières,TotalBovinsMâles_3_6mois*NbreJoursNourrirBovins))</f>
        <v>0</v>
      </c>
      <c r="BI212" s="351">
        <f t="array" ref="BI212">IF(Ration_complète_bovins[somme]&gt;0,0,IFERROR(IF(OR(AND(INDEX(Règles_bovins[Specificite],MATCH(ChoixRationBovins&amp;$BB212,Règles_bovins[Ration]&amp;Règles_bovins[Aliment],0))="s1",IF($BB212=Spécificité1Bovins,1)),
AND(INDEX(Règles_bovins[Specificite],MATCH(ChoixRationBovins&amp;$BB212,Règles_bovins[Ration]&amp;Règles_bovins[Aliment],0))="s2",IF($BB212=Spécificité2Bovins,1)),
INDEX(Règles_bovins[Specificite],MATCH(ChoixRationBovins&amp;$BB212,Règles_bovins[Ration]&amp;Règles_bovins[Aliment],0))="c"),
INDEX(Règles_bovins[Valeur 0-3],MATCH(ChoixRationBovins&amp;$BB212,Règles_bovins[Ration]&amp;Règles_bovins[Aliment],0)),0),0)*IF(ChoixBovinsPréHiver=OUI,TotalVeauMâle_0_3_RacesLaitières,TotalBovinsMâles_0_3mois*NbreJoursNourrirBovins))</f>
        <v>0</v>
      </c>
      <c r="BJ212" s="352">
        <f t="shared" si="62"/>
        <v>0</v>
      </c>
      <c r="BK212" s="276"/>
      <c r="BL212" s="276"/>
      <c r="BX212" s="350" t="str">
        <f t="shared" si="63"/>
        <v>Lentille</v>
      </c>
      <c r="BY212" s="351">
        <f t="array" ref="BY212">SUM((IF(QualitéAlimentsChevreau_0_3_mois=BONNE,VLOOKUP("Lentille",AlimentsRationCaprinsMâles,5,FALSE),0)+(IF(QualitéAlimentsChevrette_0_3_mois=BONNE,VLOOKUP("Lentille",AlimentsRationCaprinsFemelles,5,FALSE),0)+(IF(QualitéAlimentsChevreau_3_6_mois=BONNE,VLOOKUP("Lentille",AlimentsRationCaprinsMâles,4,FALSE),0)+(IF(QualitéAlimentsChevrette_3_6_mois=BONNE,VLOOKUP("Lentille",AlimentsRationCaprinsFemelles,4,FALSE),0)+(IF(QualitéAlimentsJeuneBouc=BONNE,VLOOKUP("Lentille",AlimentsRationCaprinsMâles,3,FALSE),0)+(IF(QualitéAlimentsJeuneChèvre=BONNE,VLOOKUP("Lentille",AlimentsRationCaprinsFemelles,3,FALSE),0)+(IF(QualitéAlimentsBouc=BONNE,VLOOKUP("Lentille",AlimentsRationCaprinsMâles,2,FALSE),0)+(IF(QualitéAlimentsChèvre=BONNE,VLOOKUP("Lentille",AlimentsRationCaprinsFemelles,2,FALSE),0))))))))))</f>
        <v>0</v>
      </c>
      <c r="BZ212" s="351">
        <f t="array" ref="BZ212">SUM((IF(QualitéAlimentsChevreau_0_3_mois=MOYENNE,VLOOKUP("Lentille",AlimentsRationCaprinsMâles,5,FALSE),0)+(IF(QualitéAlimentsChevrette_0_3_mois=MOYENNE,VLOOKUP("Lentille",AlimentsRationCaprinsFemelles,5,FALSE),0)+(IF(QualitéAlimentsChevreau_3_6_mois=MOYENNE,VLOOKUP("Lentille",AlimentsRationCaprinsMâles,4,FALSE),0)+(IF(QualitéAlimentsChevrette_3_6_mois=MOYENNE,VLOOKUP("Lentille",AlimentsRationCaprinsFemelles,4,FALSE),0)+(IF(QualitéAlimentsJeuneBouc=MOYENNE,VLOOKUP("Lentille",AlimentsRationCaprinsMâles,3,FALSE),0)+(IF(QualitéAlimentsJeuneChèvre=MOYENNE,VLOOKUP("Lentille",AlimentsRationCaprinsFemelles,3,FALSE),0)+(IF(QualitéAlimentsBouc=MOYENNE,VLOOKUP("Lentille",AlimentsRationCaprinsMâles,2,FALSE),0)+(IF(QualitéAlimentsChèvre=MOYENNE,VLOOKUP("Lentille",AlimentsRationCaprinsFemelles,2,FALSE),0))))))))))</f>
        <v>0</v>
      </c>
      <c r="CA212" s="351">
        <f t="array" ref="CA212">SUM((IF(QualitéAlimentsChevreau_0_3_mois=MAUVAISE,VLOOKUP("Lentille",AlimentsRationCaprinsMâles,5,FALSE),0)+(IF(QualitéAlimentsChevrette_0_3_mois=MAUVAISE,VLOOKUP("Lentille",AlimentsRationCaprinsFemelles,5,FALSE),0)+(IF(QualitéAlimentsChevreau_3_6_mois=MAUVAISE,VLOOKUP("Lentille",AlimentsRationCaprinsMâles,4,FALSE),0)+(IF(QualitéAlimentsChevrette_3_6_mois=MAUVAISE,VLOOKUP("Lentille",AlimentsRationCaprinsFemelles,4,FALSE),0)+(IF(QualitéAlimentsJeuneBouc=MAUVAISE,VLOOKUP("Lentille",AlimentsRationCaprinsMâles,3,FALSE),0)+(IF(QualitéAlimentsJeuneChèvre=MAUVAISE,VLOOKUP("Lentille",AlimentsRationCaprinsFemelles,3,FALSE),0)+(IF(QualitéAlimentsBouc=MAUVAISE,VLOOKUP("Lentille",AlimentsRationCaprinsMâles,2,FALSE),0)+(IF(QualitéAlimentsChèvre=MAUVAISE,VLOOKUP("Lentille",AlimentsRationCaprinsFemelles,2,FALSE),0))))))))))</f>
        <v>0</v>
      </c>
      <c r="CB212" s="277"/>
      <c r="CC212" s="277"/>
      <c r="CD212" s="298"/>
      <c r="CE212" s="298"/>
      <c r="CF212" s="298"/>
      <c r="CG212" s="298"/>
      <c r="CH212" s="298"/>
      <c r="CI212" s="277"/>
      <c r="CK212" s="277"/>
      <c r="CL212" s="277"/>
      <c r="CM212" s="277"/>
      <c r="CN212" s="277"/>
      <c r="CO212" s="277"/>
      <c r="CP212" s="277"/>
      <c r="DN212" s="350" t="str">
        <f t="shared" si="61"/>
        <v>Orge</v>
      </c>
      <c r="DO212" s="351">
        <f t="array" ref="DO212">IF(ChoixRationComplèteOvins=OUI,0,IFERROR(IF(OR(AND(INDEX(Règles_ovins[Specificite],MATCH(ChoixRationOvins&amp;$DN212,Règles_ovins[Ration]&amp;Règles_ovins[Aliment],0))="s1",IF($DN212=Spécificité1Ovins,1)),
AND(INDEX(Règles_ovins[Specificite],MATCH(ChoixRationOvins&amp;$DN212,Règles_ovins[Ration]&amp;Règles_ovins[Aliment],0))="s2",IF($DN212=Spécificité2Ovins,1)),
INDEX(Règles_ovins[Specificite],MATCH(ChoixRationOvins&amp;$DN212,Règles_ovins[Ration]&amp;Règles_ovins[Aliment],0))="c"),
INDEX(Règles_ovins[Valeur 12 et plus],MATCH(ChoixRationOvins&amp;$DN212,Règles_ovins[Ration]&amp;Règles_ovins[Aliment],0)),0),0)*IF(ChoixOvinsPréHiver=OUI,SUM(TotalOvinsAdultesRacesLaitières)*NbreJoursNourrirOvins,TotalBrebis*NbreJoursNourrirOvins))</f>
        <v>0</v>
      </c>
      <c r="DP212" s="351">
        <f t="array" ref="DP212">IF(ChoixRationComplèteOvins=OUI,0,IFERROR(IF(OR(AND(INDEX(Règles_ovins[Specificite],MATCH(ChoixRationOvins&amp;$DN212,Règles_ovins[Ration]&amp;Règles_ovins[Aliment],0))="s1",IF($DN212=Spécificité1Ovins,1)),
AND(INDEX(Règles_ovins[Specificite],MATCH(ChoixRationOvins&amp;$DN212,Règles_ovins[Ration]&amp;Règles_ovins[Aliment],0))="s2",IF($DN212=Spécificité2Ovins,1)),
INDEX(Règles_ovins[Specificite],MATCH(ChoixRationOvins&amp;$DN212,Règles_ovins[Ration]&amp;Règles_ovins[Aliment],0))="c"),
INDEX(Règles_ovins[Valeur 6-12],MATCH(ChoixRationOvins&amp;$DN212,Règles_ovins[Ration]&amp;Règles_ovins[Aliment],0)),0),0)*IF(ChoixOvinsPréHiver=OUI,SUM(TotalJeunesOvinsRacesLaitières)*NbreJoursNourrirOvins,TotalJeune_brebis_6_12_mois*NbreJoursNourrirOvins))</f>
        <v>0</v>
      </c>
      <c r="DQ212" s="351">
        <f t="array" ref="DQ212">IF(ChoixRationComplèteOvins=OUI,0,IFERROR(IF(OR(AND(INDEX(Règles_ovins[Specificite],MATCH(ChoixRationOvins&amp;$DN212,Règles_ovins[Ration]&amp;Règles_ovins[Aliment],0))="s1",IF($DN212=Spécificité1Ovins,1)),
AND(INDEX(Règles_ovins[Specificite],MATCH(ChoixRationOvins&amp;$DN212,Règles_ovins[Ration]&amp;Règles_ovins[Aliment],0))="s2",IF($DN212=Spécificité2Ovins,1)),
INDEX(Règles_ovins[Specificite],MATCH(ChoixRationOvins&amp;$DN212,Règles_ovins[Ration]&amp;Règles_ovins[Aliment],0))="c"),
INDEX(Règles_ovins[Valeur 3-6],MATCH(ChoixRationOvins&amp;$DN212,Règles_ovins[Ration]&amp;Règles_ovins[Aliment],0)),0),0)*IF(ChoixOvinsPréHiver=OUI,SUM(TotalOvins_3_6moisRacesLaitières)*NbreJoursNourrirOvins,TotalAgnelle_3_6_mois*NbreJoursNourrirOvins))</f>
        <v>0</v>
      </c>
      <c r="DR212" s="351">
        <f t="array" ref="DR212">IF(ChoixRationComplèteOvins=OUI,0,IFERROR(IF(OR(AND(INDEX(Règles_ovins[Specificite],MATCH(ChoixRationOvins&amp;$DN212,Règles_ovins[Ration]&amp;Règles_ovins[Aliment],0))="s1",IF($DN212=Spécificité1Ovins,1)),
AND(INDEX(Règles_ovins[Specificite],MATCH(ChoixRationOvins&amp;$DN212,Règles_ovins[Ration]&amp;Règles_ovins[Aliment],0))="s2",IF($DN212=Spécificité2Ovins,1)),
INDEX(Règles_ovins[Specificite],MATCH(ChoixRationOvins&amp;$DN212,Règles_ovins[Ration]&amp;Règles_ovins[Aliment],0))="c"),
INDEX(Règles_ovins[Valeur 0-3],MATCH(ChoixRationOvins&amp;$DN212,Règles_ovins[Ration]&amp;Règles_ovins[Aliment],0)),0),0)*IF(ChoixOvinsPréHiver=OUI,SUM(TotalOvins_3_6moisRacesLaitières)*NbreJoursNourrirOvins,TotalAgnelle_0_3_mois*NbreJoursNourrirOvins))</f>
        <v>0</v>
      </c>
      <c r="DS212" s="441">
        <f t="shared" si="60"/>
        <v>0</v>
      </c>
      <c r="DU212" s="281"/>
      <c r="EU212" s="457" t="str">
        <f t="shared" si="66"/>
        <v>concentré jeunes porcins</v>
      </c>
      <c r="EV212" s="458">
        <f t="array" ref="EV212">SUM((IF(QualitéAlimentsPoulainSelleMâle=BONNE,VLOOKUP("Concentré jeunes porcins",AlimentsRationEcurieChevauxMâlesSelle,5,FALSE),0)+(IF(QualitéAlimentsPoulainSelleFemelle=BONNE,VLOOKUP("Concentré jeunes porcins",AlimentsRationEcurieChevauxFemellesSelle,5,FALSE),0)+(IF(QualitéAlimentsJeuneEtalon_12_24_moisSelle=BONNE,VLOOKUP("Concentré jeunes porcins",AlimentsRationEcurieChevauxMâlesSelle,4,FALSE),0)+(IF(QualitéAlimentsJeuneJument_12_24_moisSelle=BONNE,VLOOKUP("Concentré jeunes porcins",AlimentsRationEcurieChevauxFemellesSelle,4,FALSE),0)+(IF(QualitéAlimentsJeuneEtalon_24_36_moisSelle=BONNE,VLOOKUP("Concentré jeunes porcins",AlimentsRationEcurieChevauxMâlesSelle,3,FALSE),0)+(IF(QualitéAlimentsJeuneJument_24_36_moisSelle=BONNE,VLOOKUP("Concentré jeunes porcins",AlimentsRationEcurieChevauxFemellesSelle,3,FALSE),0)+(IF(QualitéAlimentsEtalonSelle=BONNE,VLOOKUP("Concentré jeunes porcins",AlimentsRationEcurieChevauxMâlesSelle,2,FALSE),0)+(IF(QualitéAlimentsJumentSelle=BONNE,VLOOKUP("Concentré jeunes porcins",AlimentsRationEcurieChevauxFemellesSelle,2,FALSE),0))))))))))</f>
        <v>0</v>
      </c>
      <c r="EW212" s="458">
        <f t="array" ref="EW212">SUM((IF(QualitéAlimentsPoulainSelleMâle=MOYENNE,VLOOKUP("Concentré jeunes porcins",AlimentsRationEcurieChevauxMâlesSelle,5,FALSE),0)+(IF(QualitéAlimentsPoulainSelleFemelle=MOYENNE,VLOOKUP("Concentré jeunes porcins",AlimentsRationEcurieChevauxFemellesSelle,5,FALSE),0)+(IF(QualitéAlimentsJeuneEtalon_12_24_moisSelle=MOYENNE,VLOOKUP("Concentré jeunes porcins",AlimentsRationEcurieChevauxMâlesSelle,4,FALSE),0)+(IF(QualitéAlimentsJeuneJument_12_24_moisSelle=MOYENNE,VLOOKUP("Concentré jeunes porcins",AlimentsRationEcurieChevauxFemellesSelle,4,FALSE),0)+(IF(QualitéAlimentsJeuneEtalon_24_36_moisSelle=MOYENNE,VLOOKUP("Concentré jeunes porcins",AlimentsRationEcurieChevauxMâlesSelle,3,FALSE),0)+(IF(QualitéAlimentsJeuneJument_24_36_moisSelle=MOYENNE,VLOOKUP("Concentré jeunes porcins",AlimentsRationEcurieChevauxFemellesSelle,3,FALSE),0)+(IF(QualitéAlimentsEtalonSelle=MOYENNE,VLOOKUP("Concentré jeunes porcins",AlimentsRationEcurieChevauxMâlesSelle,2,FALSE),0)+(IF(QualitéAlimentsJumentSelle=MOYENNE,VLOOKUP("Concentré jeunes porcins",AlimentsRationEcurieChevauxFemellesSelle,2,FALSE),0))))))))))</f>
        <v>0</v>
      </c>
      <c r="EX212" s="458">
        <f t="array" ref="EX212">SUM((IF(QualitéAlimentsPoulainSelleMâle=MAUVAISE,VLOOKUP("Concentré jeunes porcins",AlimentsRationEcurieChevauxMâlesSelle,5,FALSE),0)+(IF(QualitéAlimentsPoulainSelleFemelle=MAUVAISE,VLOOKUP("Concentré jeunes porcins",AlimentsRationEcurieChevauxFemellesSelle,5,FALSE),0)+(IF(QualitéAlimentsJeuneEtalon_12_24_moisSelle=MAUVAISE,VLOOKUP("Concentré jeunes porcins",AlimentsRationEcurieChevauxMâlesSelle,4,FALSE),0)+(IF(QualitéAlimentsJeuneJument_12_24_moisSelle=MAUVAISE,VLOOKUP("Concentré jeunes porcins",AlimentsRationEcurieChevauxFemellesSelle,4,FALSE),0)+(IF(QualitéAlimentsJeuneEtalon_24_36_moisSelle=MAUVAISE,VLOOKUP("Concentré jeunes porcins",AlimentsRationEcurieChevauxMâlesSelle,3,FALSE),0)+(IF(QualitéAlimentsJeuneJument_24_36_moisSelle=MAUVAISE,VLOOKUP("Concentré jeunes porcins",AlimentsRationEcurieChevauxFemellesSelle,3,FALSE),0)+(IF(QualitéAlimentsEtalonSelle=MAUVAISE,VLOOKUP("Concentré jeunes porcins",AlimentsRationEcurieChevauxMâlesSelle,2,FALSE),0)+(IF(QualitéAlimentsJumentSelle=MAUVAISE,VLOOKUP("Concentré jeunes porcins",AlimentsRationEcurieChevauxFemellesSelle,2,FALSE),0))))))))))</f>
        <v>0</v>
      </c>
      <c r="FD212" s="457" t="str">
        <f t="shared" si="65"/>
        <v>Foin</v>
      </c>
      <c r="FE212" s="458">
        <f t="array" ref="FE212">SUM((IF(QualitéAlimentsPoulainMâleTrait=BONNE,VLOOKUP("Foin",AlimentsRationEcurieChevauxMâlesTrait,5,FALSE),0)+(IF(QualitéAlimentsPoulainFemelleTrait=BONNE,VLOOKUP("Foin",AlimentsRationEcurieChevauxFemellesTrait,5,FALSE),0)+(IF(QualitéAlimentsJeuneEtalon_12_24_moisTrait=BONNE,VLOOKUP("Foin",AlimentsRationEcurieChevauxMâlesTrait,4,FALSE),0)+(IF(QualitéAlimentsJeuneJument_12_24_moisTrait=BONNE,VLOOKUP("Foin",AlimentsRationEcurieChevauxFemellesTrait,4,FALSE),0)+(IF(QualitéAlimentsJeuneEtalon_24_36_moisTrait=BONNE,VLOOKUP("Foin",AlimentsRationEcurieChevauxMâlesTrait,3,FALSE),0)+(IF(QualitéAlimentsJeuneJument_24_36_moisTrait=BONNE,VLOOKUP("Foin",AlimentsRationEcurieChevauxFemellesTrait,3,FALSE),0)+(IF(QualitéAlimentsEtalonTrait=BONNE,VLOOKUP("Foin",AlimentsRationEcurieChevauxMâlesTrait,2,FALSE),0)+(IF(QualitéAlimentsJumentTrait=BONNE,VLOOKUP("Foin",AlimentsRationEcurieChevauxFemellesTrait,2,FALSE),0))))))))))</f>
        <v>0</v>
      </c>
      <c r="FF212" s="458">
        <f t="array" ref="FF212">SUM((IF(QualitéAlimentsPoulainMâleTrait=MOYENNE,VLOOKUP("Foin",AlimentsRationEcurieChevauxMâlesTrait,5,FALSE),0)+(IF(QualitéAlimentsPoulainFemelleTrait=MOYENNE,VLOOKUP("Foin",AlimentsRationEcurieChevauxFemellesTrait,5,FALSE),0)+(IF(QualitéAlimentsJeuneEtalon_12_24_moisTrait=MOYENNE,VLOOKUP("Foin",AlimentsRationEcurieChevauxMâlesTrait,4,FALSE),0)+(IF(QualitéAlimentsJeuneJument_12_24_moisTrait=MOYENNE,VLOOKUP("Foin",AlimentsRationEcurieChevauxFemellesTrait,4,FALSE),0)+(IF(QualitéAlimentsJeuneEtalon_24_36_moisTrait=MOYENNE,VLOOKUP("Foin",AlimentsRationEcurieChevauxMâlesTrait,3,FALSE),0)+(IF(QualitéAlimentsJeuneJument_24_36_moisTrait=MOYENNE,VLOOKUP("Foin",AlimentsRationEcurieChevauxFemellesTrait,3,FALSE),0)+(IF(QualitéAlimentsEtalonTrait=MOYENNE,VLOOKUP("Foin",AlimentsRationEcurieChevauxMâlesTrait,2,FALSE),0)+(IF(QualitéAlimentsJumentTrait=MOYENNE,VLOOKUP("Foin",AlimentsRationEcurieChevauxFemellesTrait,2,FALSE),0))))))))))</f>
        <v>0</v>
      </c>
      <c r="FG212" s="458">
        <f t="array" ref="FG212">SUM((IF(QualitéAlimentsPoulainMâleTrait=MAUVAISE,VLOOKUP("Foin",AlimentsRationEcurieChevauxMâlesTrait,5,FALSE),0)+(IF(QualitéAlimentsPoulainFemelleTrait=MAUVAISE,VLOOKUP("Foin",AlimentsRationEcurieChevauxFemellesTrait,5,FALSE),0)+(IF(QualitéAlimentsJeuneEtalon_12_24_moisTrait=MAUVAISE,VLOOKUP("Foin",AlimentsRationEcurieChevauxMâlesTrait,4,FALSE),0)+(IF(QualitéAlimentsJeuneJument_12_24_moisTrait=MAUVAISE,VLOOKUP("Foin",AlimentsRationEcurieChevauxFemellesTrait,4,FALSE),0)+(IF(QualitéAlimentsJeuneEtalon_24_36_moisTrait=MAUVAISE,VLOOKUP("Foin",AlimentsRationEcurieChevauxMâlesTrait,3,FALSE),0)+(IF(QualitéAlimentsJeuneJument_24_36_moisTrait=MAUVAISE,VLOOKUP("Foin",AlimentsRationEcurieChevauxFemellesTrait,3,FALSE),0)+(IF(QualitéAlimentsEtalonTrait=MAUVAISE,VLOOKUP("Foin",AlimentsRationEcurieChevauxMâlesTrait,2,FALSE),0)+(IF(QualitéAlimentsJumentTrait=MAUVAISE,VLOOKUP("Foin",AlimentsRationEcurieChevauxFemellesTrait,2,FALSE),0))))))))))</f>
        <v>0</v>
      </c>
      <c r="FI212" s="276"/>
      <c r="FN212" s="457" t="str">
        <f t="shared" si="64"/>
        <v>Haricot vert</v>
      </c>
      <c r="FO212" s="458">
        <f t="array" ref="FO212">SUM((IF(QualitéAlimentsPoulainMâlePoney=BONNE,VLOOKUP("Haricot vert",AlimentsRationChevauxMâlesPoney,5,FALSE),0)+(IF(QualitéAlimentsPoulainFemellePoney=BONNE,VLOOKUP("Haricot vert",AlimentsRationChevauxFemellesPoney,5,FALSE),0)+(IF(QualitéAlimentsJeuneEtalon_12_24_moisPoney=BONNE,VLOOKUP("Haricot vert",AlimentsRationChevauxMâlesPoney,4,FALSE),0)+(IF(QualitéAlimentsJeuneJument_12_24_moisPoney=BONNE,VLOOKUP("Haricot vert",AlimentsRationChevauxFemellesPoney,4,FALSE),0)+(IF(QualitéAlimentsJeuneEtalon_24_36_moisPoney=BONNE,VLOOKUP("Haricot vert",AlimentsRationChevauxMâlesPoney,3,FALSE),0)+(IF(QualitéAlimentsJeuneJument_24_36_moisPoney=BONNE,VLOOKUP("Haricot vert",AlimentsRationChevauxFemellesPoney,3,FALSE),0)+(IF(QualitéAlimentsEtalonPoney=BONNE,VLOOKUP("Haricot vert",AlimentsRationChevauxMâlesPoney,2,FALSE),0)+(IF(QualitéAlimentsJumentPoney=BONNE,VLOOKUP("Haricot vert",AlimentsRationChevauxFemellesPoney,2,FALSE),0))))))))))</f>
        <v>0</v>
      </c>
      <c r="FP212" s="458">
        <f t="array" ref="FP212">SUM((IF(QualitéAlimentsPoulainMâlePoney=MOYENNE,VLOOKUP("Haricot vert",AlimentsRationChevauxMâlesPoney,5,FALSE),0)+(IF(QualitéAlimentsPoulainFemellePoney=MOYENNE,VLOOKUP("Haricot vert",AlimentsRationChevauxFemellesPoney,5,FALSE),0)+(IF(QualitéAlimentsJeuneEtalon_12_24_moisPoney=MOYENNE,VLOOKUP("Haricot vert",AlimentsRationChevauxMâlesPoney,4,FALSE),0)+(IF(QualitéAlimentsJeuneJument_12_24_moisPoney=MOYENNE,VLOOKUP("Haricot vert",AlimentsRationChevauxFemellesPoney,4,FALSE),0)+(IF(QualitéAlimentsJeuneEtalon_24_36_moisPoney=MOYENNE,VLOOKUP("Haricot vert",AlimentsRationChevauxMâlesPoney,3,FALSE),0)+(IF(QualitéAlimentsJeuneJument_24_36_moisPoney=MOYENNE,VLOOKUP("Haricot vert",AlimentsRationChevauxFemellesPoney,3,FALSE),0)+(IF(QualitéAlimentsEtalonPoney=MOYENNE,VLOOKUP("Haricot vert",AlimentsRationChevauxMâlesPoney,2,FALSE),0)+(IF(QualitéAlimentsJumentPoney=MOYENNE,VLOOKUP("Haricot vert",AlimentsRationChevauxFemellesPoney,2,FALSE),0))))))))))</f>
        <v>0</v>
      </c>
      <c r="FQ212" s="458">
        <f t="array" ref="FQ212">SUM((IF(QualitéAlimentsPoulainMâlePoney=MAUVAISE,VLOOKUP("Haricot vert",AlimentsRationChevauxMâlesPoney,5,FALSE),0)+(IF(QualitéAlimentsPoulainFemellePoney=MAUVAISE,VLOOKUP("Haricot vert",AlimentsRationChevauxFemellesPoney,5,FALSE),0)+(IF(QualitéAlimentsJeuneEtalon_12_24_moisPoney=MAUVAISE,VLOOKUP("Haricot vert",AlimentsRationChevauxMâlesPoney,4,FALSE),0)+(IF(QualitéAlimentsJeuneJument_12_24_moisPoney=MAUVAISE,VLOOKUP("Haricot vert",AlimentsRationChevauxFemellesPoney,4,FALSE),0)+(IF(QualitéAlimentsJeuneEtalon_24_36_moisPoney=MAUVAISE,VLOOKUP("Haricot vert",AlimentsRationChevauxMâlesPoney,3,FALSE),0)+(IF(QualitéAlimentsJeuneJument_24_36_moisPoney=MAUVAISE,VLOOKUP("Haricot vert",AlimentsRationChevauxFemellesPoney,3,FALSE),0)+(IF(QualitéAlimentsEtalonPoney=MAUVAISE,VLOOKUP("Haricot vert",AlimentsRationChevauxMâlesPoney,2,FALSE),0)+(IF(QualitéAlimentsJumentPoney=MAUVAISE,VLOOKUP("Haricot vert",AlimentsRationChevauxFemellesPoney,2,FALSE),0))))))))))</f>
        <v>0</v>
      </c>
      <c r="FR212" s="281"/>
      <c r="GG212" s="276" t="s">
        <v>955</v>
      </c>
      <c r="GH212" s="276" t="s">
        <v>955</v>
      </c>
      <c r="GI212" s="276" t="s">
        <v>955</v>
      </c>
      <c r="GJ212" s="276" t="s">
        <v>955</v>
      </c>
      <c r="GK212" s="276" t="s">
        <v>955</v>
      </c>
      <c r="GL212" s="276" t="s">
        <v>955</v>
      </c>
      <c r="GM212" s="276" t="s">
        <v>955</v>
      </c>
      <c r="GN212" s="276" t="s">
        <v>955</v>
      </c>
      <c r="GO212" s="276" t="s">
        <v>955</v>
      </c>
      <c r="GP212" s="276" t="s">
        <v>955</v>
      </c>
      <c r="GQ212" s="276" t="s">
        <v>955</v>
      </c>
      <c r="GR212" s="276" t="s">
        <v>955</v>
      </c>
      <c r="GS212" s="276" t="s">
        <v>955</v>
      </c>
      <c r="GT212" s="276" t="s">
        <v>955</v>
      </c>
      <c r="GU212" s="276" t="s">
        <v>955</v>
      </c>
      <c r="GV212" s="276" t="s">
        <v>955</v>
      </c>
    </row>
    <row r="213" spans="1:204" ht="12.75" customHeight="1" x14ac:dyDescent="0.2">
      <c r="A213" s="276"/>
      <c r="B213" s="276"/>
      <c r="BB213" s="350" t="s">
        <v>905</v>
      </c>
      <c r="BC213" s="351">
        <f t="array" ref="BC213">IF(Ration_complète_bovins[somme]&gt;0,0,IFERROR(IF(OR(AND(INDEX(Règles_bovins[Specificite],MATCH(ChoixRationBovins&amp;$BB213,Règles_bovins[Ration]&amp;Règles_bovins[Aliment],0))="s1",IF($BB213=Spécificité1Bovins,1)),
AND(INDEX(Règles_bovins[Specificite],MATCH(ChoixRationBovins&amp;$BB213,Règles_bovins[Ration]&amp;Règles_bovins[Aliment],0))="s2",IF($BB213=Spécificité2Bovins,1)),
INDEX(Règles_bovins[Specificite],MATCH(ChoixRationBovins&amp;$BB213,Règles_bovins[Ration]&amp;Règles_bovins[Aliment],0))="c"),
INDEX(Règles_bovins[Valeur 36 et plus],MATCH(ChoixRationBovins&amp;$BB213,Règles_bovins[Ration]&amp;Règles_bovins[Aliment],0)),0),0)*IF(ChoixBovinsPréHiver=OUI,TotalTaureauxRacesLaitières,TotalTaureaux*NbreJoursNourrirBovins))</f>
        <v>0</v>
      </c>
      <c r="BD213" s="351">
        <f t="array" ref="BD213">IF(Ration_complète_bovins[somme]&gt;0,0,IFERROR(IF(OR(AND(INDEX(Règles_bovins[Specificite],MATCH(ChoixRationBovins&amp;$BB213,Règles_bovins[Ration]&amp;Règles_bovins[Aliment],0))="s1",IF($BB213=Spécificité1Bovins,1)),
AND(INDEX(Règles_bovins[Specificite],MATCH(ChoixRationBovins&amp;$BB213,Règles_bovins[Ration]&amp;Règles_bovins[Aliment],0))="s2",IF($BB213=Spécificité2Bovins,1)),
INDEX(Règles_bovins[Specificite],MATCH(ChoixRationBovins&amp;$BB213,Règles_bovins[Ration]&amp;Règles_bovins[Aliment],0))="c"),
INDEX(Règles_bovins[Valeur 24-36],MATCH(ChoixRationBovins&amp;$BB213,Règles_bovins[Ration]&amp;Règles_bovins[Aliment],0)),0),0)*IF(ChoixBovinsPréHiver=OUI,TotalTaurillon_24_36_RacesLaitières,TotalBovinsMâles_24_36mois*NbreJoursNourrirBovins))</f>
        <v>0</v>
      </c>
      <c r="BE213" s="351">
        <f t="array" ref="BE213">IF(Ration_complète_bovins[somme]&gt;0,0,IFERROR(IF(OR(AND(INDEX(Règles_bovins[Specificite],MATCH(ChoixRationBovins&amp;$BB213,Règles_bovins[Ration]&amp;Règles_bovins[Aliment],0))="s1",IF($BB213=Spécificité1Bovins,1)),
AND(INDEX(Règles_bovins[Specificite],MATCH(ChoixRationBovins&amp;$BB213,Règles_bovins[Ration]&amp;Règles_bovins[Aliment],0))="s2",IF($BB213=Spécificité2Bovins,1)),
INDEX(Règles_bovins[Specificite],MATCH(ChoixRationBovins&amp;$BB213,Règles_bovins[Ration]&amp;Règles_bovins[Aliment],0))="c"),
INDEX(Règles_bovins[Valeur 18-24],MATCH(ChoixRationBovins&amp;$BB213,Règles_bovins[Ration]&amp;Règles_bovins[Aliment],0)),0),0)*IF(ChoixBovinsPréHiver=OUI,TotalTaurillon_18_24_RacesLaitières,TotalBovinsMâles_18_24mois*NbreJoursNourrirBovins))</f>
        <v>0</v>
      </c>
      <c r="BF213" s="351">
        <f t="array" ref="BF213">IF(Ration_complète_bovins[somme]&gt;0,0,IFERROR(IF(OR(AND(INDEX(Règles_bovins[Specificite],MATCH(ChoixRationBovins&amp;$BB213,Règles_bovins[Ration]&amp;Règles_bovins[Aliment],0))="s1",IF($BB213=Spécificité1Bovins,1)),
AND(INDEX(Règles_bovins[Specificite],MATCH(ChoixRationBovins&amp;$BB213,Règles_bovins[Ration]&amp;Règles_bovins[Aliment],0))="s2",IF($BB213=Spécificité2Bovins,1)),
INDEX(Règles_bovins[Specificite],MATCH(ChoixRationBovins&amp;$BB213,Règles_bovins[Ration]&amp;Règles_bovins[Aliment],0))="c"),
INDEX(Règles_bovins[Valeur 12-18],MATCH(ChoixRationBovins&amp;$BB213,Règles_bovins[Ration]&amp;Règles_bovins[Aliment],0)),0),0)*IF(ChoixBovinsPréHiver=OUI,animaux!D36,TotalBovinsMâles_12_18mois*NbreJoursNourrirBovins))</f>
        <v>0</v>
      </c>
      <c r="BG213" s="351">
        <f t="array" ref="BG213">IF(Ration_complète_bovins[somme]&gt;0,0,IFERROR(IF(OR(AND(INDEX(Règles_bovins[Specificite],MATCH(ChoixRationBovins&amp;$BB213,Règles_bovins[Ration]&amp;Règles_bovins[Aliment],0))="s1",IF($BB213=Spécificité1Bovins,1)),
AND(INDEX(Règles_bovins[Specificite],MATCH(ChoixRationBovins&amp;$BB213,Règles_bovins[Ration]&amp;Règles_bovins[Aliment],0))="s2",IF($BB213=Spécificité2Bovins,1)),
INDEX(Règles_bovins[Specificite],MATCH(ChoixRationBovins&amp;$BB213,Règles_bovins[Ration]&amp;Règles_bovins[Aliment],0))="c"),
INDEX(Règles_bovins[Valeur 6-12],MATCH(ChoixRationBovins&amp;$BB213,Règles_bovins[Ration]&amp;Règles_bovins[Aliment],0)),0),0)*IF(ChoixBovinsPréHiver=OUI,TotalVeauMâle_6_12_RacesLaitières,TotalBovinsMâles_6_12mois*NbreJoursNourrirBovins))</f>
        <v>0</v>
      </c>
      <c r="BH213" s="351">
        <f t="array" ref="BH213">IF(Ration_complète_bovins[somme]&gt;0,0,IFERROR(IF(OR(AND(INDEX(Règles_bovins[Specificite],MATCH(ChoixRationBovins&amp;$BB213,Règles_bovins[Ration]&amp;Règles_bovins[Aliment],0))="s1",IF($BB213=Spécificité1Bovins,1)),
AND(INDEX(Règles_bovins[Specificite],MATCH(ChoixRationBovins&amp;$BB213,Règles_bovins[Ration]&amp;Règles_bovins[Aliment],0))="s2",IF($BB213=Spécificité2Bovins,1)),
INDEX(Règles_bovins[Specificite],MATCH(ChoixRationBovins&amp;$BB213,Règles_bovins[Ration]&amp;Règles_bovins[Aliment],0))="c"),
INDEX(Règles_bovins[Valeur 3-6],MATCH(ChoixRationBovins&amp;$BB213,Règles_bovins[Ration]&amp;Règles_bovins[Aliment],0)),0),0)*IF(ChoixBovinsPréHiver=OUI,TotalVeauMâle_3_6_RacesLaitières,TotalBovinsMâles_3_6mois*NbreJoursNourrirBovins))</f>
        <v>0</v>
      </c>
      <c r="BI213" s="351">
        <f t="array" ref="BI213">IF(Ration_complète_bovins[somme]&gt;0,0,IFERROR(IF(OR(AND(INDEX(Règles_bovins[Specificite],MATCH(ChoixRationBovins&amp;$BB213,Règles_bovins[Ration]&amp;Règles_bovins[Aliment],0))="s1",IF($BB213=Spécificité1Bovins,1)),
AND(INDEX(Règles_bovins[Specificite],MATCH(ChoixRationBovins&amp;$BB213,Règles_bovins[Ration]&amp;Règles_bovins[Aliment],0))="s2",IF($BB213=Spécificité2Bovins,1)),
INDEX(Règles_bovins[Specificite],MATCH(ChoixRationBovins&amp;$BB213,Règles_bovins[Ration]&amp;Règles_bovins[Aliment],0))="c"),
INDEX(Règles_bovins[Valeur 0-3],MATCH(ChoixRationBovins&amp;$BB213,Règles_bovins[Ration]&amp;Règles_bovins[Aliment],0)),0),0)*IF(ChoixBovinsPréHiver=OUI,TotalVeauMâle_0_3_RacesLaitières,TotalBovinsMâles_0_3mois*NbreJoursNourrirBovins))</f>
        <v>0</v>
      </c>
      <c r="BJ213" s="352">
        <f t="shared" si="62"/>
        <v>0</v>
      </c>
      <c r="BK213" s="276"/>
      <c r="BL213" s="276"/>
      <c r="BX213" s="350" t="str">
        <f t="shared" si="63"/>
        <v>Maïs ensilé</v>
      </c>
      <c r="BY213" s="351">
        <f t="array" ref="BY213">SUM((IF(QualitéAlimentsChevreau_0_3_mois=BONNE,VLOOKUP("Maïs ensilé",AlimentsRationCaprinsMâles,5,FALSE),0)+(IF(QualitéAlimentsChevrette_0_3_mois=BONNE,VLOOKUP("Maïs ensilé",AlimentsRationCaprinsFemelles,5,FALSE),0)+(IF(QualitéAlimentsChevreau_3_6_mois=BONNE,VLOOKUP("Maïs ensilé",AlimentsRationCaprinsMâles,4,FALSE),0)+(IF(QualitéAlimentsChevrette_3_6_mois=BONNE,VLOOKUP("Maïs ensilé",AlimentsRationCaprinsFemelles,4,FALSE),0)+(IF(QualitéAlimentsJeuneBouc=BONNE,VLOOKUP("Maïs ensilé",AlimentsRationCaprinsMâles,3,FALSE),0)+(IF(QualitéAlimentsJeuneChèvre=BONNE,VLOOKUP("Maïs ensilé",AlimentsRationCaprinsFemelles,3,FALSE),0)+(IF(QualitéAlimentsBouc=BONNE,VLOOKUP("Maïs ensilé",AlimentsRationCaprinsMâles,2,FALSE),0)+(IF(QualitéAlimentsChèvre=BONNE,VLOOKUP("Maïs ensilé",AlimentsRationCaprinsFemelles,2,FALSE),0))))))))))</f>
        <v>0</v>
      </c>
      <c r="BZ213" s="351">
        <f t="array" ref="BZ213">SUM((IF(QualitéAlimentsChevreau_0_3_mois=MOYENNE,VLOOKUP("Maïs ensilé",AlimentsRationCaprinsMâles,5,FALSE),0)+(IF(QualitéAlimentsChevrette_0_3_mois=MOYENNE,VLOOKUP("Maïs ensilé",AlimentsRationCaprinsFemelles,5,FALSE),0)+(IF(QualitéAlimentsChevreau_3_6_mois=MOYENNE,VLOOKUP("Maïs ensilé",AlimentsRationCaprinsMâles,4,FALSE),0)+(IF(QualitéAlimentsChevrette_3_6_mois=MOYENNE,VLOOKUP("Maïs ensilé",AlimentsRationCaprinsFemelles,4,FALSE),0)+(IF(QualitéAlimentsJeuneBouc=MOYENNE,VLOOKUP("Maïs ensilé",AlimentsRationCaprinsMâles,3,FALSE),0)+(IF(QualitéAlimentsJeuneChèvre=MOYENNE,VLOOKUP("Maïs ensilé",AlimentsRationCaprinsFemelles,3,FALSE),0)+(IF(QualitéAlimentsBouc=MOYENNE,VLOOKUP("Maïs ensilé",AlimentsRationCaprinsMâles,2,FALSE),0)+(IF(QualitéAlimentsChèvre=MOYENNE,VLOOKUP("Maïs ensilé",AlimentsRationCaprinsFemelles,2,FALSE),0))))))))))</f>
        <v>0</v>
      </c>
      <c r="CA213" s="351">
        <f t="array" ref="CA213">SUM((IF(QualitéAlimentsChevreau_0_3_mois=MAUVAISE,VLOOKUP("Maïs ensilé",AlimentsRationCaprinsMâles,5,FALSE),0)+(IF(QualitéAlimentsChevrette_0_3_mois=MAUVAISE,VLOOKUP("Maïs ensilé",AlimentsRationCaprinsFemelles,5,FALSE),0)+(IF(QualitéAlimentsChevreau_3_6_mois=MAUVAISE,VLOOKUP("Maïs ensilé",AlimentsRationCaprinsMâles,4,FALSE),0)+(IF(QualitéAlimentsChevrette_3_6_mois=MAUVAISE,VLOOKUP("Maïs ensilé",AlimentsRationCaprinsFemelles,4,FALSE),0)+(IF(QualitéAlimentsJeuneBouc=MAUVAISE,VLOOKUP("Maïs ensilé",AlimentsRationCaprinsMâles,3,FALSE),0)+(IF(QualitéAlimentsJeuneChèvre=MAUVAISE,VLOOKUP("Maïs ensilé",AlimentsRationCaprinsFemelles,3,FALSE),0)+(IF(QualitéAlimentsBouc=MAUVAISE,VLOOKUP("Maïs ensilé",AlimentsRationCaprinsMâles,2,FALSE),0)+(IF(QualitéAlimentsChèvre=MAUVAISE,VLOOKUP("Maïs ensilé",AlimentsRationCaprinsFemelles,2,FALSE),0))))))))))</f>
        <v>0</v>
      </c>
      <c r="CB213" s="277"/>
      <c r="CC213" s="277"/>
      <c r="CD213" s="298"/>
      <c r="CE213" s="298"/>
      <c r="CF213" s="298"/>
      <c r="CG213" s="298"/>
      <c r="CH213" s="298"/>
      <c r="CI213" s="277"/>
      <c r="CK213" s="277"/>
      <c r="CL213" s="277"/>
      <c r="CM213" s="277"/>
      <c r="CN213" s="277"/>
      <c r="CO213" s="277"/>
      <c r="CP213" s="277"/>
      <c r="DN213" s="350" t="str">
        <f t="shared" si="61"/>
        <v>Paille</v>
      </c>
      <c r="DO213" s="351">
        <f t="array" ref="DO213">IF(ChoixRationComplèteOvins=OUI,0,IFERROR(IF(OR(AND(INDEX(Règles_ovins[Specificite],MATCH(ChoixRationOvins&amp;$DN213,Règles_ovins[Ration]&amp;Règles_ovins[Aliment],0))="s1",IF($DN213=Spécificité1Ovins,1)),
AND(INDEX(Règles_ovins[Specificite],MATCH(ChoixRationOvins&amp;$DN213,Règles_ovins[Ration]&amp;Règles_ovins[Aliment],0))="s2",IF($DN213=Spécificité2Ovins,1)),
INDEX(Règles_ovins[Specificite],MATCH(ChoixRationOvins&amp;$DN213,Règles_ovins[Ration]&amp;Règles_ovins[Aliment],0))="c"),
INDEX(Règles_ovins[Valeur 12 et plus],MATCH(ChoixRationOvins&amp;$DN213,Règles_ovins[Ration]&amp;Règles_ovins[Aliment],0)),0),0)*IF(ChoixOvinsPréHiver=OUI,SUM(TotalOvinsAdultesRacesLaitières)*NbreJoursNourrirOvins,TotalBrebis*NbreJoursNourrirOvins))</f>
        <v>0</v>
      </c>
      <c r="DP213" s="351">
        <f t="array" ref="DP213">IF(ChoixRationComplèteOvins=OUI,0,IFERROR(IF(OR(AND(INDEX(Règles_ovins[Specificite],MATCH(ChoixRationOvins&amp;$DN213,Règles_ovins[Ration]&amp;Règles_ovins[Aliment],0))="s1",IF($DN213=Spécificité1Ovins,1)),
AND(INDEX(Règles_ovins[Specificite],MATCH(ChoixRationOvins&amp;$DN213,Règles_ovins[Ration]&amp;Règles_ovins[Aliment],0))="s2",IF($DN213=Spécificité2Ovins,1)),
INDEX(Règles_ovins[Specificite],MATCH(ChoixRationOvins&amp;$DN213,Règles_ovins[Ration]&amp;Règles_ovins[Aliment],0))="c"),
INDEX(Règles_ovins[Valeur 6-12],MATCH(ChoixRationOvins&amp;$DN213,Règles_ovins[Ration]&amp;Règles_ovins[Aliment],0)),0),0)*IF(ChoixOvinsPréHiver=OUI,SUM(TotalJeunesOvinsRacesLaitières)*NbreJoursNourrirOvins,TotalJeune_brebis_6_12_mois*NbreJoursNourrirOvins))</f>
        <v>0</v>
      </c>
      <c r="DQ213" s="351">
        <f t="array" ref="DQ213">IF(ChoixRationComplèteOvins=OUI,0,IFERROR(IF(OR(AND(INDEX(Règles_ovins[Specificite],MATCH(ChoixRationOvins&amp;$DN213,Règles_ovins[Ration]&amp;Règles_ovins[Aliment],0))="s1",IF($DN213=Spécificité1Ovins,1)),
AND(INDEX(Règles_ovins[Specificite],MATCH(ChoixRationOvins&amp;$DN213,Règles_ovins[Ration]&amp;Règles_ovins[Aliment],0))="s2",IF($DN213=Spécificité2Ovins,1)),
INDEX(Règles_ovins[Specificite],MATCH(ChoixRationOvins&amp;$DN213,Règles_ovins[Ration]&amp;Règles_ovins[Aliment],0))="c"),
INDEX(Règles_ovins[Valeur 3-6],MATCH(ChoixRationOvins&amp;$DN213,Règles_ovins[Ration]&amp;Règles_ovins[Aliment],0)),0),0)*IF(ChoixOvinsPréHiver=OUI,SUM(TotalOvins_3_6moisRacesLaitières)*NbreJoursNourrirOvins,TotalAgnelle_3_6_mois*NbreJoursNourrirOvins))</f>
        <v>0</v>
      </c>
      <c r="DR213" s="351">
        <f t="array" ref="DR213">IF(ChoixRationComplèteOvins=OUI,0,IFERROR(IF(OR(AND(INDEX(Règles_ovins[Specificite],MATCH(ChoixRationOvins&amp;$DN213,Règles_ovins[Ration]&amp;Règles_ovins[Aliment],0))="s1",IF($DN213=Spécificité1Ovins,1)),
AND(INDEX(Règles_ovins[Specificite],MATCH(ChoixRationOvins&amp;$DN213,Règles_ovins[Ration]&amp;Règles_ovins[Aliment],0))="s2",IF($DN213=Spécificité2Ovins,1)),
INDEX(Règles_ovins[Specificite],MATCH(ChoixRationOvins&amp;$DN213,Règles_ovins[Ration]&amp;Règles_ovins[Aliment],0))="c"),
INDEX(Règles_ovins[Valeur 0-3],MATCH(ChoixRationOvins&amp;$DN213,Règles_ovins[Ration]&amp;Règles_ovins[Aliment],0)),0),0)*IF(ChoixOvinsPréHiver=OUI,SUM(TotalOvins_3_6moisRacesLaitières)*NbreJoursNourrirOvins,TotalAgnelle_0_3_mois*NbreJoursNourrirOvins))</f>
        <v>0</v>
      </c>
      <c r="DS213" s="441">
        <f t="shared" si="60"/>
        <v>0</v>
      </c>
      <c r="EU213" s="457" t="str">
        <f t="shared" si="66"/>
        <v>Ensilage d'herbe</v>
      </c>
      <c r="EV213" s="458">
        <f t="array" ref="EV213">SUM((IF(QualitéAlimentsPoulainSelleMâle=BONNE,VLOOKUP("Ensilage d'herbe",AlimentsRationEcurieChevauxMâlesSelle,5,FALSE),0)+(IF(QualitéAlimentsPoulainSelleFemelle=BONNE,VLOOKUP("Ensilage d'herbe",AlimentsRationEcurieChevauxFemellesSelle,5,FALSE),0)+(IF(QualitéAlimentsJeuneEtalon_12_24_moisSelle=BONNE,VLOOKUP("Ensilage d'herbe",AlimentsRationEcurieChevauxMâlesSelle,4,FALSE),0)+(IF(QualitéAlimentsJeuneJument_12_24_moisSelle=BONNE,VLOOKUP("Ensilage d'herbe",AlimentsRationEcurieChevauxFemellesSelle,4,FALSE),0)+(IF(QualitéAlimentsJeuneEtalon_24_36_moisSelle=BONNE,VLOOKUP("Ensilage d'herbe",AlimentsRationEcurieChevauxMâlesSelle,3,FALSE),0)+(IF(QualitéAlimentsJeuneJument_24_36_moisSelle=BONNE,VLOOKUP("Ensilage d'herbe",AlimentsRationEcurieChevauxFemellesSelle,3,FALSE),0)+(IF(QualitéAlimentsEtalonSelle=BONNE,VLOOKUP("Ensilage d'herbe",AlimentsRationEcurieChevauxMâlesSelle,2,FALSE),0)+(IF(QualitéAlimentsJumentSelle=BONNE,VLOOKUP("Ensilage d'herbe",AlimentsRationEcurieChevauxFemellesSelle,2,FALSE),0))))))))))</f>
        <v>0</v>
      </c>
      <c r="EW213" s="458">
        <f t="array" ref="EW213">SUM((IF(QualitéAlimentsPoulainSelleMâle=MOYENNE,VLOOKUP("Ensilage d'herbe",AlimentsRationEcurieChevauxMâlesSelle,5,FALSE),0)+(IF(QualitéAlimentsPoulainSelleFemelle=MOYENNE,VLOOKUP("Ensilage d'herbe",AlimentsRationEcurieChevauxFemellesSelle,5,FALSE),0)+(IF(QualitéAlimentsJeuneEtalon_12_24_moisSelle=MOYENNE,VLOOKUP("Ensilage d'herbe",AlimentsRationEcurieChevauxMâlesSelle,4,FALSE),0)+(IF(QualitéAlimentsJeuneJument_12_24_moisSelle=MOYENNE,VLOOKUP("Ensilage d'herbe",AlimentsRationEcurieChevauxFemellesSelle,4,FALSE),0)+(IF(QualitéAlimentsJeuneEtalon_24_36_moisSelle=MOYENNE,VLOOKUP("Ensilage d'herbe",AlimentsRationEcurieChevauxMâlesSelle,3,FALSE),0)+(IF(QualitéAlimentsJeuneJument_24_36_moisSelle=MOYENNE,VLOOKUP("Ensilage d'herbe",AlimentsRationEcurieChevauxFemellesSelle,3,FALSE),0)+(IF(QualitéAlimentsEtalonSelle=MOYENNE,VLOOKUP("Ensilage d'herbe",AlimentsRationEcurieChevauxMâlesSelle,2,FALSE),0)+(IF(QualitéAlimentsJumentSelle=MOYENNE,VLOOKUP("Ensilage d'herbe",AlimentsRationEcurieChevauxFemellesSelle,2,FALSE),0))))))))))</f>
        <v>0</v>
      </c>
      <c r="EX213" s="458">
        <f t="array" ref="EX213">SUM((IF(QualitéAlimentsPoulainSelleMâle=MAUVAISE,VLOOKUP("Ensilage d'herbe",AlimentsRationEcurieChevauxMâlesSelle,5,FALSE),0)+(IF(QualitéAlimentsPoulainSelleFemelle=MAUVAISE,VLOOKUP("Ensilage d'herbe",AlimentsRationEcurieChevauxFemellesSelle,5,FALSE),0)+(IF(QualitéAlimentsJeuneEtalon_12_24_moisSelle=MAUVAISE,VLOOKUP("Ensilage d'herbe",AlimentsRationEcurieChevauxMâlesSelle,4,FALSE),0)+(IF(QualitéAlimentsJeuneJument_12_24_moisSelle=MAUVAISE,VLOOKUP("Ensilage d'herbe",AlimentsRationEcurieChevauxFemellesSelle,4,FALSE),0)+(IF(QualitéAlimentsJeuneEtalon_24_36_moisSelle=MAUVAISE,VLOOKUP("Ensilage d'herbe",AlimentsRationEcurieChevauxMâlesSelle,3,FALSE),0)+(IF(QualitéAlimentsJeuneJument_24_36_moisSelle=MAUVAISE,VLOOKUP("Ensilage d'herbe",AlimentsRationEcurieChevauxFemellesSelle,3,FALSE),0)+(IF(QualitéAlimentsEtalonSelle=MAUVAISE,VLOOKUP("Ensilage d'herbe",AlimentsRationEcurieChevauxMâlesSelle,2,FALSE),0)+(IF(QualitéAlimentsJumentSelle=MAUVAISE,VLOOKUP("Ensilage d'herbe",AlimentsRationEcurieChevauxFemellesSelle,2,FALSE),0))))))))))</f>
        <v>0</v>
      </c>
      <c r="FD213" s="457" t="str">
        <f t="shared" si="65"/>
        <v>Haricot vert</v>
      </c>
      <c r="FE213" s="458">
        <f t="array" ref="FE213">SUM((IF(QualitéAlimentsPoulainMâleTrait=BONNE,VLOOKUP("Haricot vert",AlimentsRationEcurieChevauxMâlesTrait,5,FALSE),0)+(IF(QualitéAlimentsPoulainFemelleTrait=BONNE,VLOOKUP("Haricot vert",AlimentsRationEcurieChevauxFemellesTrait,5,FALSE),0)+(IF(QualitéAlimentsJeuneEtalon_12_24_moisTrait=BONNE,VLOOKUP("Haricot vert",AlimentsRationEcurieChevauxMâlesTrait,4,FALSE),0)+(IF(QualitéAlimentsJeuneJument_12_24_moisTrait=BONNE,VLOOKUP("Haricot vert",AlimentsRationEcurieChevauxFemellesTrait,4,FALSE),0)+(IF(QualitéAlimentsJeuneEtalon_24_36_moisTrait=BONNE,VLOOKUP("Haricot vert",AlimentsRationEcurieChevauxMâlesTrait,3,FALSE),0)+(IF(QualitéAlimentsJeuneJument_24_36_moisTrait=BONNE,VLOOKUP("Haricot vert",AlimentsRationEcurieChevauxFemellesTrait,3,FALSE),0)+(IF(QualitéAlimentsEtalonTrait=BONNE,VLOOKUP("Haricot vert",AlimentsRationEcurieChevauxMâlesTrait,2,FALSE),0)+(IF(QualitéAlimentsJumentTrait=BONNE,VLOOKUP("Haricot vert",AlimentsRationEcurieChevauxFemellesTrait,2,FALSE),0))))))))))</f>
        <v>0</v>
      </c>
      <c r="FF213" s="458">
        <f t="array" ref="FF213">SUM((IF(QualitéAlimentsPoulainMâleTrait=MOYENNE,VLOOKUP("Haricot vert",AlimentsRationEcurieChevauxMâlesTrait,5,FALSE),0)+(IF(QualitéAlimentsPoulainFemelleTrait=MOYENNE,VLOOKUP("Haricot vert",AlimentsRationEcurieChevauxFemellesTrait,5,FALSE),0)+(IF(QualitéAlimentsJeuneEtalon_12_24_moisTrait=MOYENNE,VLOOKUP("Haricot vert",AlimentsRationEcurieChevauxMâlesTrait,4,FALSE),0)+(IF(QualitéAlimentsJeuneJument_12_24_moisTrait=MOYENNE,VLOOKUP("Haricot vert",AlimentsRationEcurieChevauxFemellesTrait,4,FALSE),0)+(IF(QualitéAlimentsJeuneEtalon_24_36_moisTrait=MOYENNE,VLOOKUP("Haricot vert",AlimentsRationEcurieChevauxMâlesTrait,3,FALSE),0)+(IF(QualitéAlimentsJeuneJument_24_36_moisTrait=MOYENNE,VLOOKUP("Haricot vert",AlimentsRationEcurieChevauxFemellesTrait,3,FALSE),0)+(IF(QualitéAlimentsEtalonTrait=MOYENNE,VLOOKUP("Haricot vert",AlimentsRationEcurieChevauxMâlesTrait,2,FALSE),0)+(IF(QualitéAlimentsJumentTrait=MOYENNE,VLOOKUP("Haricot vert",AlimentsRationEcurieChevauxFemellesTrait,2,FALSE),0))))))))))</f>
        <v>0</v>
      </c>
      <c r="FG213" s="458">
        <f t="array" ref="FG213">SUM((IF(QualitéAlimentsPoulainMâleTrait=MAUVAISE,VLOOKUP("Haricot vert",AlimentsRationEcurieChevauxMâlesTrait,5,FALSE),0)+(IF(QualitéAlimentsPoulainFemelleTrait=MAUVAISE,VLOOKUP("Haricot vert",AlimentsRationEcurieChevauxFemellesTrait,5,FALSE),0)+(IF(QualitéAlimentsJeuneEtalon_12_24_moisTrait=MAUVAISE,VLOOKUP("Haricot vert",AlimentsRationEcurieChevauxMâlesTrait,4,FALSE),0)+(IF(QualitéAlimentsJeuneJument_12_24_moisTrait=MAUVAISE,VLOOKUP("Haricot vert",AlimentsRationEcurieChevauxFemellesTrait,4,FALSE),0)+(IF(QualitéAlimentsJeuneEtalon_24_36_moisTrait=MAUVAISE,VLOOKUP("Haricot vert",AlimentsRationEcurieChevauxMâlesTrait,3,FALSE),0)+(IF(QualitéAlimentsJeuneJument_24_36_moisTrait=MAUVAISE,VLOOKUP("Haricot vert",AlimentsRationEcurieChevauxFemellesTrait,3,FALSE),0)+(IF(QualitéAlimentsEtalonTrait=MAUVAISE,VLOOKUP("Haricot vert",AlimentsRationEcurieChevauxMâlesTrait,2,FALSE),0)+(IF(QualitéAlimentsJumentTrait=MAUVAISE,VLOOKUP("Haricot vert",AlimentsRationEcurieChevauxFemellesTrait,2,FALSE),0))))))))))</f>
        <v>0</v>
      </c>
      <c r="FI213" s="276"/>
      <c r="FN213" s="457" t="str">
        <f t="shared" si="64"/>
        <v>Lentille</v>
      </c>
      <c r="FO213" s="458">
        <f t="array" ref="FO213">SUM((IF(QualitéAlimentsPoulainMâlePoney=BONNE,VLOOKUP("Lentille",AlimentsRationChevauxMâlesPoney,5,FALSE),0)+(IF(QualitéAlimentsPoulainFemellePoney=BONNE,VLOOKUP("Lentille",AlimentsRationChevauxFemellesPoney,5,FALSE),0)+(IF(QualitéAlimentsJeuneEtalon_12_24_moisPoney=BONNE,VLOOKUP("Lentille",AlimentsRationChevauxMâlesPoney,4,FALSE),0)+(IF(QualitéAlimentsJeuneJument_12_24_moisPoney=BONNE,VLOOKUP("Lentille",AlimentsRationChevauxFemellesPoney,4,FALSE),0)+(IF(QualitéAlimentsJeuneEtalon_24_36_moisPoney=BONNE,VLOOKUP("Lentille",AlimentsRationChevauxMâlesPoney,3,FALSE),0)+(IF(QualitéAlimentsJeuneJument_24_36_moisPoney=BONNE,VLOOKUP("Lentille",AlimentsRationChevauxFemellesPoney,3,FALSE),0)+(IF(QualitéAlimentsEtalonPoney=BONNE,VLOOKUP("Lentille",AlimentsRationChevauxMâlesPoney,2,FALSE),0)+(IF(QualitéAlimentsJumentPoney=BONNE,VLOOKUP("Lentille",AlimentsRationChevauxFemellesPoney,2,FALSE),0))))))))))</f>
        <v>0</v>
      </c>
      <c r="FP213" s="458">
        <f t="array" ref="FP213">SUM((IF(QualitéAlimentsPoulainMâlePoney=MOYENNE,VLOOKUP("Lentille",AlimentsRationChevauxMâlesPoney,5,FALSE),0)+(IF(QualitéAlimentsPoulainFemellePoney=MOYENNE,VLOOKUP("Lentille",AlimentsRationChevauxFemellesPoney,5,FALSE),0)+(IF(QualitéAlimentsJeuneEtalon_12_24_moisPoney=MOYENNE,VLOOKUP("Lentille",AlimentsRationChevauxMâlesPoney,4,FALSE),0)+(IF(QualitéAlimentsJeuneJument_12_24_moisPoney=MOYENNE,VLOOKUP("Lentille",AlimentsRationChevauxFemellesPoney,4,FALSE),0)+(IF(QualitéAlimentsJeuneEtalon_24_36_moisPoney=MOYENNE,VLOOKUP("Lentille",AlimentsRationChevauxMâlesPoney,3,FALSE),0)+(IF(QualitéAlimentsJeuneJument_24_36_moisPoney=MOYENNE,VLOOKUP("Lentille",AlimentsRationChevauxFemellesPoney,3,FALSE),0)+(IF(QualitéAlimentsEtalonPoney=MOYENNE,VLOOKUP("Lentille",AlimentsRationChevauxMâlesPoney,2,FALSE),0)+(IF(QualitéAlimentsJumentPoney=MOYENNE,VLOOKUP("Lentille",AlimentsRationChevauxFemellesPoney,2,FALSE),0))))))))))</f>
        <v>0</v>
      </c>
      <c r="FQ213" s="458">
        <f t="array" ref="FQ213">SUM((IF(QualitéAlimentsPoulainMâlePoney=MAUVAISE,VLOOKUP("Lentille",AlimentsRationChevauxMâlesPoney,5,FALSE),0)+(IF(QualitéAlimentsPoulainFemellePoney=MAUVAISE,VLOOKUP("Lentille",AlimentsRationChevauxFemellesPoney,5,FALSE),0)+(IF(QualitéAlimentsJeuneEtalon_12_24_moisPoney=MAUVAISE,VLOOKUP("Lentille",AlimentsRationChevauxMâlesPoney,4,FALSE),0)+(IF(QualitéAlimentsJeuneJument_12_24_moisPoney=MAUVAISE,VLOOKUP("Lentille",AlimentsRationChevauxFemellesPoney,4,FALSE),0)+(IF(QualitéAlimentsJeuneEtalon_24_36_moisPoney=MAUVAISE,VLOOKUP("Lentille",AlimentsRationChevauxMâlesPoney,3,FALSE),0)+(IF(QualitéAlimentsJeuneJument_24_36_moisPoney=MAUVAISE,VLOOKUP("Lentille",AlimentsRationChevauxFemellesPoney,3,FALSE),0)+(IF(QualitéAlimentsEtalonPoney=MAUVAISE,VLOOKUP("Lentille",AlimentsRationChevauxMâlesPoney,2,FALSE),0)+(IF(QualitéAlimentsJumentPoney=MAUVAISE,VLOOKUP("Lentille",AlimentsRationChevauxFemellesPoney,2,FALSE),0))))))))))</f>
        <v>0</v>
      </c>
      <c r="FR213" s="281"/>
      <c r="GG213" s="276" t="s">
        <v>955</v>
      </c>
      <c r="GH213" s="276" t="s">
        <v>955</v>
      </c>
      <c r="GI213" s="276" t="s">
        <v>955</v>
      </c>
      <c r="GJ213" s="276" t="s">
        <v>955</v>
      </c>
      <c r="GK213" s="276" t="s">
        <v>955</v>
      </c>
      <c r="GL213" s="276" t="s">
        <v>955</v>
      </c>
      <c r="GM213" s="276" t="s">
        <v>955</v>
      </c>
      <c r="GN213" s="276" t="s">
        <v>955</v>
      </c>
      <c r="GO213" s="276" t="s">
        <v>955</v>
      </c>
      <c r="GP213" s="276" t="s">
        <v>955</v>
      </c>
      <c r="GQ213" s="276" t="s">
        <v>955</v>
      </c>
      <c r="GR213" s="276" t="s">
        <v>955</v>
      </c>
      <c r="GS213" s="276" t="s">
        <v>955</v>
      </c>
      <c r="GT213" s="276" t="s">
        <v>955</v>
      </c>
      <c r="GU213" s="276" t="s">
        <v>955</v>
      </c>
      <c r="GV213" s="276" t="s">
        <v>955</v>
      </c>
    </row>
    <row r="214" spans="1:204" ht="12.75" customHeight="1" x14ac:dyDescent="0.2">
      <c r="A214" s="276"/>
      <c r="B214" s="276"/>
      <c r="BB214" s="350" t="s">
        <v>489</v>
      </c>
      <c r="BC214" s="351">
        <f t="array" ref="BC214">IF(Ration_complète_bovins[somme]&gt;0,0,IFERROR(IF(OR(AND(INDEX(Règles_bovins[Specificite],MATCH(ChoixRationBovins&amp;$BB214,Règles_bovins[Ration]&amp;Règles_bovins[Aliment],0))="s1",IF($BB214=Spécificité1Bovins,1)),
AND(INDEX(Règles_bovins[Specificite],MATCH(ChoixRationBovins&amp;$BB214,Règles_bovins[Ration]&amp;Règles_bovins[Aliment],0))="s2",IF($BB214=Spécificité2Bovins,1)),
INDEX(Règles_bovins[Specificite],MATCH(ChoixRationBovins&amp;$BB214,Règles_bovins[Ration]&amp;Règles_bovins[Aliment],0))="c"),
INDEX(Règles_bovins[Valeur 36 et plus],MATCH(ChoixRationBovins&amp;$BB214,Règles_bovins[Ration]&amp;Règles_bovins[Aliment],0)),0),0)*IF(ChoixBovinsPréHiver=OUI,TotalTaureauxRacesLaitières,TotalTaureaux*NbreJoursNourrirBovins))</f>
        <v>0</v>
      </c>
      <c r="BD214" s="351">
        <f t="array" ref="BD214">IF(Ration_complète_bovins[somme]&gt;0,0,IFERROR(IF(OR(AND(INDEX(Règles_bovins[Specificite],MATCH(ChoixRationBovins&amp;$BB214,Règles_bovins[Ration]&amp;Règles_bovins[Aliment],0))="s1",IF($BB214=Spécificité1Bovins,1)),
AND(INDEX(Règles_bovins[Specificite],MATCH(ChoixRationBovins&amp;$BB214,Règles_bovins[Ration]&amp;Règles_bovins[Aliment],0))="s2",IF($BB214=Spécificité2Bovins,1)),
INDEX(Règles_bovins[Specificite],MATCH(ChoixRationBovins&amp;$BB214,Règles_bovins[Ration]&amp;Règles_bovins[Aliment],0))="c"),
INDEX(Règles_bovins[Valeur 24-36],MATCH(ChoixRationBovins&amp;$BB214,Règles_bovins[Ration]&amp;Règles_bovins[Aliment],0)),0),0)*IF(ChoixBovinsPréHiver=OUI,TotalTaurillon_24_36_RacesLaitières,TotalBovinsMâles_24_36mois*NbreJoursNourrirBovins))</f>
        <v>0</v>
      </c>
      <c r="BE214" s="351">
        <f t="array" ref="BE214">IF(Ration_complète_bovins[somme]&gt;0,0,IFERROR(IF(OR(AND(INDEX(Règles_bovins[Specificite],MATCH(ChoixRationBovins&amp;$BB214,Règles_bovins[Ration]&amp;Règles_bovins[Aliment],0))="s1",IF($BB214=Spécificité1Bovins,1)),
AND(INDEX(Règles_bovins[Specificite],MATCH(ChoixRationBovins&amp;$BB214,Règles_bovins[Ration]&amp;Règles_bovins[Aliment],0))="s2",IF($BB214=Spécificité2Bovins,1)),
INDEX(Règles_bovins[Specificite],MATCH(ChoixRationBovins&amp;$BB214,Règles_bovins[Ration]&amp;Règles_bovins[Aliment],0))="c"),
INDEX(Règles_bovins[Valeur 18-24],MATCH(ChoixRationBovins&amp;$BB214,Règles_bovins[Ration]&amp;Règles_bovins[Aliment],0)),0),0)*IF(ChoixBovinsPréHiver=OUI,TotalTaurillon_18_24_RacesLaitières,TotalBovinsMâles_18_24mois*NbreJoursNourrirBovins))</f>
        <v>0</v>
      </c>
      <c r="BF214" s="351">
        <f t="array" ref="BF214">IF(Ration_complète_bovins[somme]&gt;0,0,IFERROR(IF(OR(AND(INDEX(Règles_bovins[Specificite],MATCH(ChoixRationBovins&amp;$BB214,Règles_bovins[Ration]&amp;Règles_bovins[Aliment],0))="s1",IF($BB214=Spécificité1Bovins,1)),
AND(INDEX(Règles_bovins[Specificite],MATCH(ChoixRationBovins&amp;$BB214,Règles_bovins[Ration]&amp;Règles_bovins[Aliment],0))="s2",IF($BB214=Spécificité2Bovins,1)),
INDEX(Règles_bovins[Specificite],MATCH(ChoixRationBovins&amp;$BB214,Règles_bovins[Ration]&amp;Règles_bovins[Aliment],0))="c"),
INDEX(Règles_bovins[Valeur 12-18],MATCH(ChoixRationBovins&amp;$BB214,Règles_bovins[Ration]&amp;Règles_bovins[Aliment],0)),0),0)*IF(ChoixBovinsPréHiver=OUI,animaux!D37,TotalBovinsMâles_12_18mois*NbreJoursNourrirBovins))</f>
        <v>0</v>
      </c>
      <c r="BG214" s="351">
        <f t="array" ref="BG214">IF(Ration_complète_bovins[somme]&gt;0,0,IFERROR(IF(OR(AND(INDEX(Règles_bovins[Specificite],MATCH(ChoixRationBovins&amp;$BB214,Règles_bovins[Ration]&amp;Règles_bovins[Aliment],0))="s1",IF($BB214=Spécificité1Bovins,1)),
AND(INDEX(Règles_bovins[Specificite],MATCH(ChoixRationBovins&amp;$BB214,Règles_bovins[Ration]&amp;Règles_bovins[Aliment],0))="s2",IF($BB214=Spécificité2Bovins,1)),
INDEX(Règles_bovins[Specificite],MATCH(ChoixRationBovins&amp;$BB214,Règles_bovins[Ration]&amp;Règles_bovins[Aliment],0))="c"),
INDEX(Règles_bovins[Valeur 6-12],MATCH(ChoixRationBovins&amp;$BB214,Règles_bovins[Ration]&amp;Règles_bovins[Aliment],0)),0),0)*IF(ChoixBovinsPréHiver=OUI,TotalVeauMâle_6_12_RacesLaitières,TotalBovinsMâles_6_12mois*NbreJoursNourrirBovins))</f>
        <v>0</v>
      </c>
      <c r="BH214" s="351">
        <f t="array" ref="BH214">IF(Ration_complète_bovins[somme]&gt;0,0,IFERROR(IF(OR(AND(INDEX(Règles_bovins[Specificite],MATCH(ChoixRationBovins&amp;$BB214,Règles_bovins[Ration]&amp;Règles_bovins[Aliment],0))="s1",IF($BB214=Spécificité1Bovins,1)),
AND(INDEX(Règles_bovins[Specificite],MATCH(ChoixRationBovins&amp;$BB214,Règles_bovins[Ration]&amp;Règles_bovins[Aliment],0))="s2",IF($BB214=Spécificité2Bovins,1)),
INDEX(Règles_bovins[Specificite],MATCH(ChoixRationBovins&amp;$BB214,Règles_bovins[Ration]&amp;Règles_bovins[Aliment],0))="c"),
INDEX(Règles_bovins[Valeur 3-6],MATCH(ChoixRationBovins&amp;$BB214,Règles_bovins[Ration]&amp;Règles_bovins[Aliment],0)),0),0)*IF(ChoixBovinsPréHiver=OUI,TotalVeauMâle_3_6_RacesLaitières,TotalBovinsMâles_3_6mois*NbreJoursNourrirBovins))</f>
        <v>0</v>
      </c>
      <c r="BI214" s="351">
        <f t="array" ref="BI214">IF(Ration_complète_bovins[somme]&gt;0,0,IFERROR(IF(OR(AND(INDEX(Règles_bovins[Specificite],MATCH(ChoixRationBovins&amp;$BB214,Règles_bovins[Ration]&amp;Règles_bovins[Aliment],0))="s1",IF($BB214=Spécificité1Bovins,1)),
AND(INDEX(Règles_bovins[Specificite],MATCH(ChoixRationBovins&amp;$BB214,Règles_bovins[Ration]&amp;Règles_bovins[Aliment],0))="s2",IF($BB214=Spécificité2Bovins,1)),
INDEX(Règles_bovins[Specificite],MATCH(ChoixRationBovins&amp;$BB214,Règles_bovins[Ration]&amp;Règles_bovins[Aliment],0))="c"),
INDEX(Règles_bovins[Valeur 0-3],MATCH(ChoixRationBovins&amp;$BB214,Règles_bovins[Ration]&amp;Règles_bovins[Aliment],0)),0),0)*IF(ChoixBovinsPréHiver=OUI,TotalVeauMâle_0_3_RacesLaitières,TotalBovinsMâles_0_3mois*NbreJoursNourrirBovins))</f>
        <v>0</v>
      </c>
      <c r="BJ214" s="352">
        <f t="shared" si="62"/>
        <v>0</v>
      </c>
      <c r="BK214" s="276"/>
      <c r="BL214" s="276"/>
      <c r="BX214" s="350" t="str">
        <f t="shared" si="63"/>
        <v>Maïs grain</v>
      </c>
      <c r="BY214" s="351">
        <f t="array" ref="BY214">SUM((IF(QualitéAlimentsChevreau_0_3_mois=BONNE,VLOOKUP("Maïs grain",AlimentsRationCaprinsMâles,5,FALSE),0)+(IF(QualitéAlimentsChevrette_0_3_mois=BONNE,VLOOKUP("Maïs grain",AlimentsRationCaprinsFemelles,5,FALSE),0)+(IF(QualitéAlimentsChevreau_3_6_mois=BONNE,VLOOKUP("Maïs grain",AlimentsRationCaprinsMâles,4,FALSE),0)+(IF(QualitéAlimentsChevrette_3_6_mois=BONNE,VLOOKUP("Maïs grain",AlimentsRationCaprinsFemelles,4,FALSE),0)+(IF(QualitéAlimentsJeuneBouc=BONNE,VLOOKUP("Maïs grain",AlimentsRationCaprinsMâles,3,FALSE),0)+(IF(QualitéAlimentsJeuneChèvre=BONNE,VLOOKUP("Maïs grain",AlimentsRationCaprinsFemelles,3,FALSE),0)+(IF(QualitéAlimentsBouc=BONNE,VLOOKUP("Maïs grain",AlimentsRationCaprinsMâles,2,FALSE),0)+(IF(QualitéAlimentsChèvre=BONNE,VLOOKUP("Maïs grain",AlimentsRationCaprinsFemelles,2,FALSE),0))))))))))</f>
        <v>0</v>
      </c>
      <c r="BZ214" s="351">
        <f t="array" ref="BZ214">SUM((IF(QualitéAlimentsChevreau_0_3_mois=MOYENNE,VLOOKUP("Maïs grain",AlimentsRationCaprinsMâles,5,FALSE),0)+(IF(QualitéAlimentsChevrette_0_3_mois=MOYENNE,VLOOKUP("Maïs grain",AlimentsRationCaprinsFemelles,5,FALSE),0)+(IF(QualitéAlimentsChevreau_3_6_mois=MOYENNE,VLOOKUP("Maïs grain",AlimentsRationCaprinsMâles,4,FALSE),0)+(IF(QualitéAlimentsChevrette_3_6_mois=MOYENNE,VLOOKUP("Maïs grain",AlimentsRationCaprinsFemelles,4,FALSE),0)+(IF(QualitéAlimentsJeuneBouc=MOYENNE,VLOOKUP("Maïs grain",AlimentsRationCaprinsMâles,3,FALSE),0)+(IF(QualitéAlimentsJeuneChèvre=MOYENNE,VLOOKUP("Maïs grain",AlimentsRationCaprinsFemelles,3,FALSE),0)+(IF(QualitéAlimentsBouc=MOYENNE,VLOOKUP("Maïs grain",AlimentsRationCaprinsMâles,2,FALSE),0)+(IF(QualitéAlimentsChèvre=MOYENNE,VLOOKUP("Maïs grain",AlimentsRationCaprinsFemelles,2,FALSE),0))))))))))</f>
        <v>0</v>
      </c>
      <c r="CA214" s="351">
        <f t="array" ref="CA214">SUM((IF(QualitéAlimentsChevreau_0_3_mois=MAUVAISE,VLOOKUP("Maïs grain",AlimentsRationCaprinsMâles,5,FALSE),0)+(IF(QualitéAlimentsChevrette_0_3_mois=MAUVAISE,VLOOKUP("Maïs grain",AlimentsRationCaprinsFemelles,5,FALSE),0)+(IF(QualitéAlimentsChevreau_3_6_mois=MAUVAISE,VLOOKUP("Maïs grain",AlimentsRationCaprinsMâles,4,FALSE),0)+(IF(QualitéAlimentsChevrette_3_6_mois=MAUVAISE,VLOOKUP("Maïs grain",AlimentsRationCaprinsFemelles,4,FALSE),0)+(IF(QualitéAlimentsJeuneBouc=MAUVAISE,VLOOKUP("Maïs grain",AlimentsRationCaprinsMâles,3,FALSE),0)+(IF(QualitéAlimentsJeuneChèvre=MAUVAISE,VLOOKUP("Maïs grain",AlimentsRationCaprinsFemelles,3,FALSE),0)+(IF(QualitéAlimentsBouc=MAUVAISE,VLOOKUP("Maïs grain",AlimentsRationCaprinsMâles,2,FALSE),0)+(IF(QualitéAlimentsChèvre=MAUVAISE,VLOOKUP("Maïs grain",AlimentsRationCaprinsFemelles,2,FALSE),0))))))))))</f>
        <v>0</v>
      </c>
      <c r="CB214" s="277"/>
      <c r="CC214" s="277"/>
      <c r="CD214" s="298"/>
      <c r="CE214" s="298"/>
      <c r="CF214" s="298"/>
      <c r="CG214" s="298"/>
      <c r="CH214" s="298"/>
      <c r="CI214" s="277"/>
      <c r="CK214" s="277"/>
      <c r="CL214" s="277"/>
      <c r="CM214" s="277"/>
      <c r="CN214" s="277"/>
      <c r="CO214" s="277"/>
      <c r="CP214" s="277"/>
      <c r="DN214" s="350" t="str">
        <f t="shared" si="61"/>
        <v>Pois</v>
      </c>
      <c r="DO214" s="351">
        <f t="array" ref="DO214">IF(ChoixRationComplèteOvins=OUI,0,IFERROR(IF(OR(AND(INDEX(Règles_ovins[Specificite],MATCH(ChoixRationOvins&amp;$DN214,Règles_ovins[Ration]&amp;Règles_ovins[Aliment],0))="s1",IF($DN214=Spécificité1Ovins,1)),
AND(INDEX(Règles_ovins[Specificite],MATCH(ChoixRationOvins&amp;$DN214,Règles_ovins[Ration]&amp;Règles_ovins[Aliment],0))="s2",IF($DN214=Spécificité2Ovins,1)),
INDEX(Règles_ovins[Specificite],MATCH(ChoixRationOvins&amp;$DN214,Règles_ovins[Ration]&amp;Règles_ovins[Aliment],0))="c"),
INDEX(Règles_ovins[Valeur 12 et plus],MATCH(ChoixRationOvins&amp;$DN214,Règles_ovins[Ration]&amp;Règles_ovins[Aliment],0)),0),0)*IF(ChoixOvinsPréHiver=OUI,SUM(TotalOvinsAdultesRacesLaitières)*NbreJoursNourrirOvins,TotalBrebis*NbreJoursNourrirOvins))</f>
        <v>0</v>
      </c>
      <c r="DP214" s="351">
        <f t="array" ref="DP214">IF(ChoixRationComplèteOvins=OUI,0,IFERROR(IF(OR(AND(INDEX(Règles_ovins[Specificite],MATCH(ChoixRationOvins&amp;$DN214,Règles_ovins[Ration]&amp;Règles_ovins[Aliment],0))="s1",IF($DN214=Spécificité1Ovins,1)),
AND(INDEX(Règles_ovins[Specificite],MATCH(ChoixRationOvins&amp;$DN214,Règles_ovins[Ration]&amp;Règles_ovins[Aliment],0))="s2",IF($DN214=Spécificité2Ovins,1)),
INDEX(Règles_ovins[Specificite],MATCH(ChoixRationOvins&amp;$DN214,Règles_ovins[Ration]&amp;Règles_ovins[Aliment],0))="c"),
INDEX(Règles_ovins[Valeur 6-12],MATCH(ChoixRationOvins&amp;$DN214,Règles_ovins[Ration]&amp;Règles_ovins[Aliment],0)),0),0)*IF(ChoixOvinsPréHiver=OUI,SUM(TotalJeunesOvinsRacesLaitières)*NbreJoursNourrirOvins,TotalJeune_brebis_6_12_mois*NbreJoursNourrirOvins))</f>
        <v>0</v>
      </c>
      <c r="DQ214" s="351">
        <f t="array" ref="DQ214">IF(ChoixRationComplèteOvins=OUI,0,IFERROR(IF(OR(AND(INDEX(Règles_ovins[Specificite],MATCH(ChoixRationOvins&amp;$DN214,Règles_ovins[Ration]&amp;Règles_ovins[Aliment],0))="s1",IF($DN214=Spécificité1Ovins,1)),
AND(INDEX(Règles_ovins[Specificite],MATCH(ChoixRationOvins&amp;$DN214,Règles_ovins[Ration]&amp;Règles_ovins[Aliment],0))="s2",IF($DN214=Spécificité2Ovins,1)),
INDEX(Règles_ovins[Specificite],MATCH(ChoixRationOvins&amp;$DN214,Règles_ovins[Ration]&amp;Règles_ovins[Aliment],0))="c"),
INDEX(Règles_ovins[Valeur 3-6],MATCH(ChoixRationOvins&amp;$DN214,Règles_ovins[Ration]&amp;Règles_ovins[Aliment],0)),0),0)*IF(ChoixOvinsPréHiver=OUI,SUM(TotalOvins_3_6moisRacesLaitières)*NbreJoursNourrirOvins,TotalAgnelle_3_6_mois*NbreJoursNourrirOvins))</f>
        <v>0</v>
      </c>
      <c r="DR214" s="351">
        <f t="array" ref="DR214">IF(ChoixRationComplèteOvins=OUI,0,IFERROR(IF(OR(AND(INDEX(Règles_ovins[Specificite],MATCH(ChoixRationOvins&amp;$DN214,Règles_ovins[Ration]&amp;Règles_ovins[Aliment],0))="s1",IF($DN214=Spécificité1Ovins,1)),
AND(INDEX(Règles_ovins[Specificite],MATCH(ChoixRationOvins&amp;$DN214,Règles_ovins[Ration]&amp;Règles_ovins[Aliment],0))="s2",IF($DN214=Spécificité2Ovins,1)),
INDEX(Règles_ovins[Specificite],MATCH(ChoixRationOvins&amp;$DN214,Règles_ovins[Ration]&amp;Règles_ovins[Aliment],0))="c"),
INDEX(Règles_ovins[Valeur 0-3],MATCH(ChoixRationOvins&amp;$DN214,Règles_ovins[Ration]&amp;Règles_ovins[Aliment],0)),0),0)*IF(ChoixOvinsPréHiver=OUI,SUM(TotalOvins_3_6moisRacesLaitières)*NbreJoursNourrirOvins,TotalAgnelle_0_3_mois*NbreJoursNourrirOvins))</f>
        <v>0</v>
      </c>
      <c r="DS214" s="441">
        <f t="shared" si="60"/>
        <v>0</v>
      </c>
      <c r="EU214" s="457" t="str">
        <f t="shared" si="66"/>
        <v>Eau</v>
      </c>
      <c r="EV214" s="458">
        <f t="array" ref="EV214">SUM((IF(QualitéAlimentsPoulainSelleMâle=BONNE,VLOOKUP("Eau",AlimentsRationEcurieChevauxMâlesSelle,5,FALSE),0)+(IF(QualitéAlimentsPoulainSelleFemelle=BONNE,VLOOKUP("Eau",AlimentsRationEcurieChevauxFemellesSelle,5,FALSE),0)+(IF(QualitéAlimentsJeuneEtalon_12_24_moisSelle=BONNE,VLOOKUP("Eau",AlimentsRationEcurieChevauxMâlesSelle,4,FALSE),0)+(IF(QualitéAlimentsJeuneJument_12_24_moisSelle=BONNE,VLOOKUP("Eau",AlimentsRationEcurieChevauxFemellesSelle,4,FALSE),0)+(IF(QualitéAlimentsJeuneEtalon_24_36_moisSelle=BONNE,VLOOKUP("Eau",AlimentsRationEcurieChevauxMâlesSelle,3,FALSE),0)+(IF(QualitéAlimentsJeuneJument_24_36_moisSelle=BONNE,VLOOKUP("Eau",AlimentsRationEcurieChevauxFemellesSelle,3,FALSE),0)+(IF(QualitéAlimentsEtalonSelle=BONNE,VLOOKUP("Eau",AlimentsRationEcurieChevauxMâlesSelle,2,FALSE),0)+(IF(QualitéAlimentsJumentSelle=BONNE,VLOOKUP("Eau",AlimentsRationEcurieChevauxFemellesSelle,2,FALSE),0))))))))))</f>
        <v>0</v>
      </c>
      <c r="EW214" s="458">
        <f t="array" ref="EW214">SUM((IF(QualitéAlimentsPoulainSelleMâle=MOYENNE,VLOOKUP("Eau",AlimentsRationEcurieChevauxMâlesSelle,5,FALSE),0)+(IF(QualitéAlimentsPoulainSelleFemelle=MOYENNE,VLOOKUP("Eau",AlimentsRationEcurieChevauxFemellesSelle,5,FALSE),0)+(IF(QualitéAlimentsJeuneEtalon_12_24_moisSelle=MOYENNE,VLOOKUP("Eau",AlimentsRationEcurieChevauxMâlesSelle,4,FALSE),0)+(IF(QualitéAlimentsJeuneJument_12_24_moisSelle=MOYENNE,VLOOKUP("Eau",AlimentsRationEcurieChevauxFemellesSelle,4,FALSE),0)+(IF(QualitéAlimentsJeuneEtalon_24_36_moisSelle=MOYENNE,VLOOKUP("Eau",AlimentsRationEcurieChevauxMâlesSelle,3,FALSE),0)+(IF(QualitéAlimentsJeuneJument_24_36_moisSelle=MOYENNE,VLOOKUP("Eau",AlimentsRationEcurieChevauxFemellesSelle,3,FALSE),0)+(IF(QualitéAlimentsEtalonSelle=MOYENNE,VLOOKUP("Eau",AlimentsRationEcurieChevauxMâlesSelle,2,FALSE),0)+(IF(QualitéAlimentsJumentSelle=MOYENNE,VLOOKUP("Eau",AlimentsRationEcurieChevauxFemellesSelle,2,FALSE),0))))))))))</f>
        <v>0</v>
      </c>
      <c r="EX214" s="458">
        <f t="array" ref="EX214">SUM((IF(QualitéAlimentsPoulainSelleMâle=MAUVAISE,VLOOKUP("Eau",AlimentsRationEcurieChevauxMâlesSelle,5,FALSE),0)+(IF(QualitéAlimentsPoulainSelleFemelle=MAUVAISE,VLOOKUP("Eau",AlimentsRationEcurieChevauxFemellesSelle,5,FALSE),0)+(IF(QualitéAlimentsJeuneEtalon_12_24_moisSelle=MAUVAISE,VLOOKUP("Eau",AlimentsRationEcurieChevauxMâlesSelle,4,FALSE),0)+(IF(QualitéAlimentsJeuneJument_12_24_moisSelle=MAUVAISE,VLOOKUP("Eau",AlimentsRationEcurieChevauxFemellesSelle,4,FALSE),0)+(IF(QualitéAlimentsJeuneEtalon_24_36_moisSelle=MAUVAISE,VLOOKUP("Eau",AlimentsRationEcurieChevauxMâlesSelle,3,FALSE),0)+(IF(QualitéAlimentsJeuneJument_24_36_moisSelle=MAUVAISE,VLOOKUP("Eau",AlimentsRationEcurieChevauxFemellesSelle,3,FALSE),0)+(IF(QualitéAlimentsEtalonSelle=MAUVAISE,VLOOKUP("Eau",AlimentsRationEcurieChevauxMâlesSelle,2,FALSE),0)+(IF(QualitéAlimentsJumentSelle=MAUVAISE,VLOOKUP("Eau",AlimentsRationEcurieChevauxFemellesSelle,2,FALSE),0))))))))))</f>
        <v>0</v>
      </c>
      <c r="FD214" s="457" t="str">
        <f t="shared" si="65"/>
        <v>Lentille</v>
      </c>
      <c r="FE214" s="458">
        <f t="array" ref="FE214">SUM((IF(QualitéAlimentsPoulainMâleTrait=BONNE,VLOOKUP("Lentille",AlimentsRationEcurieChevauxMâlesTrait,5,FALSE),0)+(IF(QualitéAlimentsPoulainFemelleTrait=BONNE,VLOOKUP("Lentille",AlimentsRationEcurieChevauxFemellesTrait,5,FALSE),0)+(IF(QualitéAlimentsJeuneEtalon_12_24_moisTrait=BONNE,VLOOKUP("Lentille",AlimentsRationEcurieChevauxMâlesTrait,4,FALSE),0)+(IF(QualitéAlimentsJeuneJument_12_24_moisTrait=BONNE,VLOOKUP("Lentille",AlimentsRationEcurieChevauxFemellesTrait,4,FALSE),0)+(IF(QualitéAlimentsJeuneEtalon_24_36_moisTrait=BONNE,VLOOKUP("Lentille",AlimentsRationEcurieChevauxMâlesTrait,3,FALSE),0)+(IF(QualitéAlimentsJeuneJument_24_36_moisTrait=BONNE,VLOOKUP("Lentille",AlimentsRationEcurieChevauxFemellesTrait,3,FALSE),0)+(IF(QualitéAlimentsEtalonTrait=BONNE,VLOOKUP("Lentille",AlimentsRationEcurieChevauxMâlesTrait,2,FALSE),0)+(IF(QualitéAlimentsJumentTrait=BONNE,VLOOKUP("Lentille",AlimentsRationEcurieChevauxFemellesTrait,2,FALSE),0))))))))))</f>
        <v>0</v>
      </c>
      <c r="FF214" s="458">
        <f t="array" ref="FF214">SUM((IF(QualitéAlimentsPoulainMâleTrait=MOYENNE,VLOOKUP("Lentille",AlimentsRationEcurieChevauxMâlesTrait,5,FALSE),0)+(IF(QualitéAlimentsPoulainFemelleTrait=MOYENNE,VLOOKUP("Lentille",AlimentsRationEcurieChevauxFemellesTrait,5,FALSE),0)+(IF(QualitéAlimentsJeuneEtalon_12_24_moisTrait=MOYENNE,VLOOKUP("Lentille",AlimentsRationEcurieChevauxMâlesTrait,4,FALSE),0)+(IF(QualitéAlimentsJeuneJument_12_24_moisTrait=MOYENNE,VLOOKUP("Lentille",AlimentsRationEcurieChevauxFemellesTrait,4,FALSE),0)+(IF(QualitéAlimentsJeuneEtalon_24_36_moisTrait=MOYENNE,VLOOKUP("Lentille",AlimentsRationEcurieChevauxMâlesTrait,3,FALSE),0)+(IF(QualitéAlimentsJeuneJument_24_36_moisTrait=MOYENNE,VLOOKUP("Lentille",AlimentsRationEcurieChevauxFemellesTrait,3,FALSE),0)+(IF(QualitéAlimentsEtalonTrait=MOYENNE,VLOOKUP("Lentille",AlimentsRationEcurieChevauxMâlesTrait,2,FALSE),0)+(IF(QualitéAlimentsJumentTrait=MOYENNE,VLOOKUP("Lentille",AlimentsRationEcurieChevauxFemellesTrait,2,FALSE),0))))))))))</f>
        <v>0</v>
      </c>
      <c r="FG214" s="458">
        <f t="array" ref="FG214">SUM((IF(QualitéAlimentsPoulainMâleTrait=MAUVAISE,VLOOKUP("Lentille",AlimentsRationEcurieChevauxMâlesTrait,5,FALSE),0)+(IF(QualitéAlimentsPoulainFemelleTrait=MAUVAISE,VLOOKUP("Lentille",AlimentsRationEcurieChevauxFemellesTrait,5,FALSE),0)+(IF(QualitéAlimentsJeuneEtalon_12_24_moisTrait=MAUVAISE,VLOOKUP("Lentille",AlimentsRationEcurieChevauxMâlesTrait,4,FALSE),0)+(IF(QualitéAlimentsJeuneJument_12_24_moisTrait=MAUVAISE,VLOOKUP("Lentille",AlimentsRationEcurieChevauxFemellesTrait,4,FALSE),0)+(IF(QualitéAlimentsJeuneEtalon_24_36_moisTrait=MAUVAISE,VLOOKUP("Lentille",AlimentsRationEcurieChevauxMâlesTrait,3,FALSE),0)+(IF(QualitéAlimentsJeuneJument_24_36_moisTrait=MAUVAISE,VLOOKUP("Lentille",AlimentsRationEcurieChevauxFemellesTrait,3,FALSE),0)+(IF(QualitéAlimentsEtalonTrait=MAUVAISE,VLOOKUP("Lentille",AlimentsRationEcurieChevauxMâlesTrait,2,FALSE),0)+(IF(QualitéAlimentsJumentTrait=MAUVAISE,VLOOKUP("Lentille",AlimentsRationEcurieChevauxFemellesTrait,2,FALSE),0))))))))))</f>
        <v>0</v>
      </c>
      <c r="FI214" s="276"/>
      <c r="FN214" s="457" t="str">
        <f t="shared" si="64"/>
        <v>Maïs ensilé</v>
      </c>
      <c r="FO214" s="458">
        <f t="array" ref="FO214">SUM((IF(QualitéAlimentsPoulainMâlePoney=BONNE,VLOOKUP("Maïs ensilé",AlimentsRationChevauxMâlesPoney,5,FALSE),0)+(IF(QualitéAlimentsPoulainFemellePoney=BONNE,VLOOKUP("Maïs ensilé",AlimentsRationChevauxFemellesPoney,5,FALSE),0)+(IF(QualitéAlimentsJeuneEtalon_12_24_moisPoney=BONNE,VLOOKUP("Maïs ensilé",AlimentsRationChevauxMâlesPoney,4,FALSE),0)+(IF(QualitéAlimentsJeuneJument_12_24_moisPoney=BONNE,VLOOKUP("Maïs ensilé",AlimentsRationChevauxFemellesPoney,4,FALSE),0)+(IF(QualitéAlimentsJeuneEtalon_24_36_moisPoney=BONNE,VLOOKUP("Maïs ensilé",AlimentsRationChevauxMâlesPoney,3,FALSE),0)+(IF(QualitéAlimentsJeuneJument_24_36_moisPoney=BONNE,VLOOKUP("Maïs ensilé",AlimentsRationChevauxFemellesPoney,3,FALSE),0)+(IF(QualitéAlimentsEtalonPoney=BONNE,VLOOKUP("Maïs ensilé",AlimentsRationChevauxMâlesPoney,2,FALSE),0)+(IF(QualitéAlimentsJumentPoney=BONNE,VLOOKUP("Maïs ensilé",AlimentsRationChevauxFemellesPoney,2,FALSE),0))))))))))</f>
        <v>0</v>
      </c>
      <c r="FP214" s="458">
        <f t="array" ref="FP214">SUM((IF(QualitéAlimentsPoulainMâlePoney=MOYENNE,VLOOKUP("Maïs ensilé",AlimentsRationChevauxMâlesPoney,5,FALSE),0)+(IF(QualitéAlimentsPoulainFemellePoney=MOYENNE,VLOOKUP("Maïs ensilé",AlimentsRationChevauxFemellesPoney,5,FALSE),0)+(IF(QualitéAlimentsJeuneEtalon_12_24_moisPoney=MOYENNE,VLOOKUP("Maïs ensilé",AlimentsRationChevauxMâlesPoney,4,FALSE),0)+(IF(QualitéAlimentsJeuneJument_12_24_moisPoney=MOYENNE,VLOOKUP("Maïs ensilé",AlimentsRationChevauxFemellesPoney,4,FALSE),0)+(IF(QualitéAlimentsJeuneEtalon_24_36_moisPoney=MOYENNE,VLOOKUP("Maïs ensilé",AlimentsRationChevauxMâlesPoney,3,FALSE),0)+(IF(QualitéAlimentsJeuneJument_24_36_moisPoney=MOYENNE,VLOOKUP("Maïs ensilé",AlimentsRationChevauxFemellesPoney,3,FALSE),0)+(IF(QualitéAlimentsEtalonPoney=MOYENNE,VLOOKUP("Maïs ensilé",AlimentsRationChevauxMâlesPoney,2,FALSE),0)+(IF(QualitéAlimentsJumentPoney=MOYENNE,VLOOKUP("Maïs ensilé",AlimentsRationChevauxFemellesPoney,2,FALSE),0))))))))))</f>
        <v>0</v>
      </c>
      <c r="FQ214" s="458">
        <f t="array" ref="FQ214">SUM((IF(QualitéAlimentsPoulainMâlePoney=MAUVAISE,VLOOKUP("Maïs ensilé",AlimentsRationChevauxMâlesPoney,5,FALSE),0)+(IF(QualitéAlimentsPoulainFemellePoney=MAUVAISE,VLOOKUP("Maïs ensilé",AlimentsRationChevauxFemellesPoney,5,FALSE),0)+(IF(QualitéAlimentsJeuneEtalon_12_24_moisPoney=MAUVAISE,VLOOKUP("Maïs ensilé",AlimentsRationChevauxMâlesPoney,4,FALSE),0)+(IF(QualitéAlimentsJeuneJument_12_24_moisPoney=MAUVAISE,VLOOKUP("Maïs ensilé",AlimentsRationChevauxFemellesPoney,4,FALSE),0)+(IF(QualitéAlimentsJeuneEtalon_24_36_moisPoney=MAUVAISE,VLOOKUP("Maïs ensilé",AlimentsRationChevauxMâlesPoney,3,FALSE),0)+(IF(QualitéAlimentsJeuneJument_24_36_moisPoney=MAUVAISE,VLOOKUP("Maïs ensilé",AlimentsRationChevauxFemellesPoney,3,FALSE),0)+(IF(QualitéAlimentsEtalonPoney=MAUVAISE,VLOOKUP("Maïs ensilé",AlimentsRationChevauxMâlesPoney,2,FALSE),0)+(IF(QualitéAlimentsJumentPoney=MAUVAISE,VLOOKUP("Maïs ensilé",AlimentsRationChevauxFemellesPoney,2,FALSE),0))))))))))</f>
        <v>0</v>
      </c>
      <c r="FR214" s="281"/>
      <c r="GG214" s="276" t="s">
        <v>955</v>
      </c>
      <c r="GH214" s="276" t="s">
        <v>955</v>
      </c>
      <c r="GI214" s="276" t="s">
        <v>955</v>
      </c>
      <c r="GJ214" s="276" t="s">
        <v>955</v>
      </c>
      <c r="GK214" s="276" t="s">
        <v>955</v>
      </c>
      <c r="GL214" s="276" t="s">
        <v>955</v>
      </c>
      <c r="GM214" s="276" t="s">
        <v>955</v>
      </c>
      <c r="GN214" s="276" t="s">
        <v>955</v>
      </c>
      <c r="GO214" s="276" t="s">
        <v>955</v>
      </c>
      <c r="GP214" s="276" t="s">
        <v>955</v>
      </c>
      <c r="GQ214" s="276" t="s">
        <v>955</v>
      </c>
      <c r="GR214" s="276" t="s">
        <v>955</v>
      </c>
      <c r="GS214" s="276" t="s">
        <v>955</v>
      </c>
      <c r="GT214" s="276" t="s">
        <v>955</v>
      </c>
      <c r="GU214" s="276" t="s">
        <v>955</v>
      </c>
      <c r="GV214" s="276" t="s">
        <v>955</v>
      </c>
    </row>
    <row r="215" spans="1:204" ht="12.75" customHeight="1" x14ac:dyDescent="0.2">
      <c r="A215" s="276"/>
      <c r="B215" s="276"/>
      <c r="BB215" s="350" t="s">
        <v>510</v>
      </c>
      <c r="BC215" s="351">
        <f t="array" ref="BC215">IF(Ration_complète_bovins[somme]&gt;0,0,IFERROR(IF(OR(AND(INDEX(Règles_bovins[Specificite],MATCH(ChoixRationBovins&amp;$BB215,Règles_bovins[Ration]&amp;Règles_bovins[Aliment],0))="s1",IF($BB215=Spécificité1Bovins,1)),
AND(INDEX(Règles_bovins[Specificite],MATCH(ChoixRationBovins&amp;$BB215,Règles_bovins[Ration]&amp;Règles_bovins[Aliment],0))="s2",IF($BB215=Spécificité2Bovins,1)),
INDEX(Règles_bovins[Specificite],MATCH(ChoixRationBovins&amp;$BB215,Règles_bovins[Ration]&amp;Règles_bovins[Aliment],0))="c"),
INDEX(Règles_bovins[Valeur 36 et plus],MATCH(ChoixRationBovins&amp;$BB215,Règles_bovins[Ration]&amp;Règles_bovins[Aliment],0)),0),0)*IF(ChoixBovinsPréHiver=OUI,TotalTaureauxRacesLaitières,TotalTaureaux*NbreJoursNourrirBovins))</f>
        <v>0</v>
      </c>
      <c r="BD215" s="351">
        <f t="array" ref="BD215">IF(Ration_complète_bovins[somme]&gt;0,0,IFERROR(IF(OR(AND(INDEX(Règles_bovins[Specificite],MATCH(ChoixRationBovins&amp;$BB215,Règles_bovins[Ration]&amp;Règles_bovins[Aliment],0))="s1",IF($BB215=Spécificité1Bovins,1)),
AND(INDEX(Règles_bovins[Specificite],MATCH(ChoixRationBovins&amp;$BB215,Règles_bovins[Ration]&amp;Règles_bovins[Aliment],0))="s2",IF($BB215=Spécificité2Bovins,1)),
INDEX(Règles_bovins[Specificite],MATCH(ChoixRationBovins&amp;$BB215,Règles_bovins[Ration]&amp;Règles_bovins[Aliment],0))="c"),
INDEX(Règles_bovins[Valeur 24-36],MATCH(ChoixRationBovins&amp;$BB215,Règles_bovins[Ration]&amp;Règles_bovins[Aliment],0)),0),0)*IF(ChoixBovinsPréHiver=OUI,TotalTaurillon_24_36_RacesLaitières,TotalBovinsMâles_24_36mois*NbreJoursNourrirBovins))</f>
        <v>0</v>
      </c>
      <c r="BE215" s="351">
        <f t="array" ref="BE215">IF(Ration_complète_bovins[somme]&gt;0,0,IFERROR(IF(OR(AND(INDEX(Règles_bovins[Specificite],MATCH(ChoixRationBovins&amp;$BB215,Règles_bovins[Ration]&amp;Règles_bovins[Aliment],0))="s1",IF($BB215=Spécificité1Bovins,1)),
AND(INDEX(Règles_bovins[Specificite],MATCH(ChoixRationBovins&amp;$BB215,Règles_bovins[Ration]&amp;Règles_bovins[Aliment],0))="s2",IF($BB215=Spécificité2Bovins,1)),
INDEX(Règles_bovins[Specificite],MATCH(ChoixRationBovins&amp;$BB215,Règles_bovins[Ration]&amp;Règles_bovins[Aliment],0))="c"),
INDEX(Règles_bovins[Valeur 18-24],MATCH(ChoixRationBovins&amp;$BB215,Règles_bovins[Ration]&amp;Règles_bovins[Aliment],0)),0),0)*IF(ChoixBovinsPréHiver=OUI,TotalTaurillon_18_24_RacesLaitières,TotalBovinsMâles_18_24mois*NbreJoursNourrirBovins))</f>
        <v>0</v>
      </c>
      <c r="BF215" s="351">
        <f t="array" ref="BF215">IF(Ration_complète_bovins[somme]&gt;0,0,IFERROR(IF(OR(AND(INDEX(Règles_bovins[Specificite],MATCH(ChoixRationBovins&amp;$BB215,Règles_bovins[Ration]&amp;Règles_bovins[Aliment],0))="s1",IF($BB215=Spécificité1Bovins,1)),
AND(INDEX(Règles_bovins[Specificite],MATCH(ChoixRationBovins&amp;$BB215,Règles_bovins[Ration]&amp;Règles_bovins[Aliment],0))="s2",IF($BB215=Spécificité2Bovins,1)),
INDEX(Règles_bovins[Specificite],MATCH(ChoixRationBovins&amp;$BB215,Règles_bovins[Ration]&amp;Règles_bovins[Aliment],0))="c"),
INDEX(Règles_bovins[Valeur 12-18],MATCH(ChoixRationBovins&amp;$BB215,Règles_bovins[Ration]&amp;Règles_bovins[Aliment],0)),0),0)*IF(ChoixBovinsPréHiver=OUI,animaux!D38,TotalBovinsMâles_12_18mois*NbreJoursNourrirBovins))</f>
        <v>0</v>
      </c>
      <c r="BG215" s="351">
        <f t="array" ref="BG215">IF(Ration_complète_bovins[somme]&gt;0,0,IFERROR(IF(OR(AND(INDEX(Règles_bovins[Specificite],MATCH(ChoixRationBovins&amp;$BB215,Règles_bovins[Ration]&amp;Règles_bovins[Aliment],0))="s1",IF($BB215=Spécificité1Bovins,1)),
AND(INDEX(Règles_bovins[Specificite],MATCH(ChoixRationBovins&amp;$BB215,Règles_bovins[Ration]&amp;Règles_bovins[Aliment],0))="s2",IF($BB215=Spécificité2Bovins,1)),
INDEX(Règles_bovins[Specificite],MATCH(ChoixRationBovins&amp;$BB215,Règles_bovins[Ration]&amp;Règles_bovins[Aliment],0))="c"),
INDEX(Règles_bovins[Valeur 6-12],MATCH(ChoixRationBovins&amp;$BB215,Règles_bovins[Ration]&amp;Règles_bovins[Aliment],0)),0),0)*IF(ChoixBovinsPréHiver=OUI,TotalVeauMâle_6_12_RacesLaitières,TotalBovinsMâles_6_12mois*NbreJoursNourrirBovins))</f>
        <v>0</v>
      </c>
      <c r="BH215" s="351">
        <f t="array" ref="BH215">IF(Ration_complète_bovins[somme]&gt;0,0,IFERROR(IF(OR(AND(INDEX(Règles_bovins[Specificite],MATCH(ChoixRationBovins&amp;$BB215,Règles_bovins[Ration]&amp;Règles_bovins[Aliment],0))="s1",IF($BB215=Spécificité1Bovins,1)),
AND(INDEX(Règles_bovins[Specificite],MATCH(ChoixRationBovins&amp;$BB215,Règles_bovins[Ration]&amp;Règles_bovins[Aliment],0))="s2",IF($BB215=Spécificité2Bovins,1)),
INDEX(Règles_bovins[Specificite],MATCH(ChoixRationBovins&amp;$BB215,Règles_bovins[Ration]&amp;Règles_bovins[Aliment],0))="c"),
INDEX(Règles_bovins[Valeur 3-6],MATCH(ChoixRationBovins&amp;$BB215,Règles_bovins[Ration]&amp;Règles_bovins[Aliment],0)),0),0)*IF(ChoixBovinsPréHiver=OUI,TotalVeauMâle_3_6_RacesLaitières,TotalBovinsMâles_3_6mois*NbreJoursNourrirBovins))</f>
        <v>0</v>
      </c>
      <c r="BI215" s="351">
        <f t="array" ref="BI215">IF(Ration_complète_bovins[somme]&gt;0,0,IFERROR(IF(OR(AND(INDEX(Règles_bovins[Specificite],MATCH(ChoixRationBovins&amp;$BB215,Règles_bovins[Ration]&amp;Règles_bovins[Aliment],0))="s1",IF($BB215=Spécificité1Bovins,1)),
AND(INDEX(Règles_bovins[Specificite],MATCH(ChoixRationBovins&amp;$BB215,Règles_bovins[Ration]&amp;Règles_bovins[Aliment],0))="s2",IF($BB215=Spécificité2Bovins,1)),
INDEX(Règles_bovins[Specificite],MATCH(ChoixRationBovins&amp;$BB215,Règles_bovins[Ration]&amp;Règles_bovins[Aliment],0))="c"),
INDEX(Règles_bovins[Valeur 0-3],MATCH(ChoixRationBovins&amp;$BB215,Règles_bovins[Ration]&amp;Règles_bovins[Aliment],0)),0),0)*IF(ChoixBovinsPréHiver=OUI,TotalVeauMâle_0_3_RacesLaitières,TotalBovinsMâles_0_3mois*NbreJoursNourrirBovins))</f>
        <v>0</v>
      </c>
      <c r="BJ215" s="352">
        <f t="shared" si="62"/>
        <v>0</v>
      </c>
      <c r="BK215" s="276"/>
      <c r="BL215" s="276"/>
      <c r="BX215" s="350" t="str">
        <f t="shared" si="63"/>
        <v>Minéraux + vitamines</v>
      </c>
      <c r="BY215" s="351">
        <f t="array" ref="BY215">SUM((IF(QualitéAlimentsChevreau_0_3_mois=BONNE,VLOOKUP("Minéraux + vitamines",AlimentsRationCaprinsMâles,5,FALSE),0)+(IF(QualitéAlimentsChevrette_0_3_mois=BONNE,VLOOKUP("Minéraux + vitamines",AlimentsRationCaprinsFemelles,5,FALSE),0)+(IF(QualitéAlimentsChevreau_3_6_mois=BONNE,VLOOKUP("Minéraux + vitamines",AlimentsRationCaprinsMâles,4,FALSE),0)+(IF(QualitéAlimentsChevrette_3_6_mois=BONNE,VLOOKUP("Minéraux + vitamines",AlimentsRationCaprinsFemelles,4,FALSE),0)+(IF(QualitéAlimentsJeuneBouc=BONNE,VLOOKUP("Minéraux + vitamines",AlimentsRationCaprinsMâles,3,FALSE),0)+(IF(QualitéAlimentsJeuneChèvre=BONNE,VLOOKUP("Minéraux + vitamines",AlimentsRationCaprinsFemelles,3,FALSE),0)+(IF(QualitéAlimentsBouc=BONNE,VLOOKUP("Minéraux + vitamines",AlimentsRationCaprinsMâles,2,FALSE),0)+(IF(QualitéAlimentsChèvre=BONNE,VLOOKUP("Minéraux + vitamines",AlimentsRationCaprinsFemelles,2,FALSE),0))))))))))</f>
        <v>13.120000000000001</v>
      </c>
      <c r="BZ215" s="351">
        <f t="array" ref="BZ215">SUM((IF(QualitéAlimentsChevreau_0_3_mois=MOYENNE,VLOOKUP("Minéraux + vitamines",AlimentsRationCaprinsMâles,5,FALSE),0)+(IF(QualitéAlimentsChevrette_0_3_mois=MOYENNE,VLOOKUP("Minéraux + vitamines",AlimentsRationCaprinsFemelles,5,FALSE),0)+(IF(QualitéAlimentsChevreau_3_6_mois=MOYENNE,VLOOKUP("Minéraux + vitamines",AlimentsRationCaprinsMâles,4,FALSE),0)+(IF(QualitéAlimentsChevrette_3_6_mois=MOYENNE,VLOOKUP("Minéraux + vitamines",AlimentsRationCaprinsFemelles,4,FALSE),0)+(IF(QualitéAlimentsJeuneBouc=MOYENNE,VLOOKUP("Minéraux + vitamines",AlimentsRationCaprinsMâles,3,FALSE),0)+(IF(QualitéAlimentsJeuneChèvre=MOYENNE,VLOOKUP("Minéraux + vitamines",AlimentsRationCaprinsFemelles,3,FALSE),0)+(IF(QualitéAlimentsBouc=MOYENNE,VLOOKUP("Minéraux + vitamines",AlimentsRationCaprinsMâles,2,FALSE),0)+(IF(QualitéAlimentsChèvre=MOYENNE,VLOOKUP("Minéraux + vitamines",AlimentsRationCaprinsFemelles,2,FALSE),0))))))))))</f>
        <v>20.56</v>
      </c>
      <c r="CA215" s="351">
        <f t="array" ref="CA215">SUM((IF(QualitéAlimentsChevreau_0_3_mois=MAUVAISE,VLOOKUP("Minéraux + vitamines",AlimentsRationCaprinsMâles,5,FALSE),0)+(IF(QualitéAlimentsChevrette_0_3_mois=MAUVAISE,VLOOKUP("Minéraux + vitamines",AlimentsRationCaprinsFemelles,5,FALSE),0)+(IF(QualitéAlimentsChevreau_3_6_mois=MAUVAISE,VLOOKUP("Minéraux + vitamines",AlimentsRationCaprinsMâles,4,FALSE),0)+(IF(QualitéAlimentsChevrette_3_6_mois=MAUVAISE,VLOOKUP("Minéraux + vitamines",AlimentsRationCaprinsFemelles,4,FALSE),0)+(IF(QualitéAlimentsJeuneBouc=MAUVAISE,VLOOKUP("Minéraux + vitamines",AlimentsRationCaprinsMâles,3,FALSE),0)+(IF(QualitéAlimentsJeuneChèvre=MAUVAISE,VLOOKUP("Minéraux + vitamines",AlimentsRationCaprinsFemelles,3,FALSE),0)+(IF(QualitéAlimentsBouc=MAUVAISE,VLOOKUP("Minéraux + vitamines",AlimentsRationCaprinsMâles,2,FALSE),0)+(IF(QualitéAlimentsChèvre=MAUVAISE,VLOOKUP("Minéraux + vitamines",AlimentsRationCaprinsFemelles,2,FALSE),0))))))))))</f>
        <v>1.04</v>
      </c>
      <c r="CB215" s="277"/>
      <c r="CC215" s="277"/>
      <c r="CD215" s="298"/>
      <c r="CE215" s="298"/>
      <c r="CF215" s="298"/>
      <c r="CG215" s="298"/>
      <c r="CH215" s="298"/>
      <c r="CI215" s="277"/>
      <c r="CK215" s="277"/>
      <c r="CL215" s="277"/>
      <c r="CM215" s="277"/>
      <c r="CN215" s="277"/>
      <c r="CO215" s="277"/>
      <c r="CP215" s="277"/>
      <c r="DN215" s="350" t="str">
        <f t="shared" si="61"/>
        <v>Pomme de terre</v>
      </c>
      <c r="DO215" s="351">
        <f t="array" ref="DO215">IF(ChoixRationComplèteOvins=OUI,0,IFERROR(IF(OR(AND(INDEX(Règles_ovins[Specificite],MATCH(ChoixRationOvins&amp;$DN215,Règles_ovins[Ration]&amp;Règles_ovins[Aliment],0))="s1",IF($DN215=Spécificité1Ovins,1)),
AND(INDEX(Règles_ovins[Specificite],MATCH(ChoixRationOvins&amp;$DN215,Règles_ovins[Ration]&amp;Règles_ovins[Aliment],0))="s2",IF($DN215=Spécificité2Ovins,1)),
INDEX(Règles_ovins[Specificite],MATCH(ChoixRationOvins&amp;$DN215,Règles_ovins[Ration]&amp;Règles_ovins[Aliment],0))="c"),
INDEX(Règles_ovins[Valeur 12 et plus],MATCH(ChoixRationOvins&amp;$DN215,Règles_ovins[Ration]&amp;Règles_ovins[Aliment],0)),0),0)*IF(ChoixOvinsPréHiver=OUI,SUM(TotalOvinsAdultesRacesLaitières)*NbreJoursNourrirOvins,TotalBrebis*NbreJoursNourrirOvins))</f>
        <v>0</v>
      </c>
      <c r="DP215" s="351">
        <f t="array" ref="DP215">IF(ChoixRationComplèteOvins=OUI,0,IFERROR(IF(OR(AND(INDEX(Règles_ovins[Specificite],MATCH(ChoixRationOvins&amp;$DN215,Règles_ovins[Ration]&amp;Règles_ovins[Aliment],0))="s1",IF($DN215=Spécificité1Ovins,1)),
AND(INDEX(Règles_ovins[Specificite],MATCH(ChoixRationOvins&amp;$DN215,Règles_ovins[Ration]&amp;Règles_ovins[Aliment],0))="s2",IF($DN215=Spécificité2Ovins,1)),
INDEX(Règles_ovins[Specificite],MATCH(ChoixRationOvins&amp;$DN215,Règles_ovins[Ration]&amp;Règles_ovins[Aliment],0))="c"),
INDEX(Règles_ovins[Valeur 6-12],MATCH(ChoixRationOvins&amp;$DN215,Règles_ovins[Ration]&amp;Règles_ovins[Aliment],0)),0),0)*IF(ChoixOvinsPréHiver=OUI,SUM(TotalJeunesOvinsRacesLaitières)*NbreJoursNourrirOvins,TotalJeune_brebis_6_12_mois*NbreJoursNourrirOvins))</f>
        <v>0</v>
      </c>
      <c r="DQ215" s="351">
        <f t="array" ref="DQ215">IF(ChoixRationComplèteOvins=OUI,0,IFERROR(IF(OR(AND(INDEX(Règles_ovins[Specificite],MATCH(ChoixRationOvins&amp;$DN215,Règles_ovins[Ration]&amp;Règles_ovins[Aliment],0))="s1",IF($DN215=Spécificité1Ovins,1)),
AND(INDEX(Règles_ovins[Specificite],MATCH(ChoixRationOvins&amp;$DN215,Règles_ovins[Ration]&amp;Règles_ovins[Aliment],0))="s2",IF($DN215=Spécificité2Ovins,1)),
INDEX(Règles_ovins[Specificite],MATCH(ChoixRationOvins&amp;$DN215,Règles_ovins[Ration]&amp;Règles_ovins[Aliment],0))="c"),
INDEX(Règles_ovins[Valeur 3-6],MATCH(ChoixRationOvins&amp;$DN215,Règles_ovins[Ration]&amp;Règles_ovins[Aliment],0)),0),0)*IF(ChoixOvinsPréHiver=OUI,SUM(TotalOvins_3_6moisRacesLaitières)*NbreJoursNourrirOvins,TotalAgnelle_3_6_mois*NbreJoursNourrirOvins))</f>
        <v>0</v>
      </c>
      <c r="DR215" s="351">
        <f t="array" ref="DR215">IF(ChoixRationComplèteOvins=OUI,0,IFERROR(IF(OR(AND(INDEX(Règles_ovins[Specificite],MATCH(ChoixRationOvins&amp;$DN215,Règles_ovins[Ration]&amp;Règles_ovins[Aliment],0))="s1",IF($DN215=Spécificité1Ovins,1)),
AND(INDEX(Règles_ovins[Specificite],MATCH(ChoixRationOvins&amp;$DN215,Règles_ovins[Ration]&amp;Règles_ovins[Aliment],0))="s2",IF($DN215=Spécificité2Ovins,1)),
INDEX(Règles_ovins[Specificite],MATCH(ChoixRationOvins&amp;$DN215,Règles_ovins[Ration]&amp;Règles_ovins[Aliment],0))="c"),
INDEX(Règles_ovins[Valeur 0-3],MATCH(ChoixRationOvins&amp;$DN215,Règles_ovins[Ration]&amp;Règles_ovins[Aliment],0)),0),0)*IF(ChoixOvinsPréHiver=OUI,SUM(TotalOvins_3_6moisRacesLaitières)*NbreJoursNourrirOvins,TotalAgnelle_0_3_mois*NbreJoursNourrirOvins))</f>
        <v>0</v>
      </c>
      <c r="DS215" s="441">
        <f t="shared" si="60"/>
        <v>0</v>
      </c>
      <c r="EU215" s="457" t="str">
        <f t="shared" si="66"/>
        <v>Epinard</v>
      </c>
      <c r="EV215" s="458">
        <f t="array" ref="EV215">SUM((IF(QualitéAlimentsPoulainSelleMâle=BONNE,VLOOKUP("Epinard",AlimentsRationEcurieChevauxMâlesSelle,5,FALSE),0)+(IF(QualitéAlimentsPoulainSelleFemelle=BONNE,VLOOKUP("Epinard",AlimentsRationEcurieChevauxFemellesSelle,5,FALSE),0)+(IF(QualitéAlimentsJeuneEtalon_12_24_moisSelle=BONNE,VLOOKUP("Epinard",AlimentsRationEcurieChevauxMâlesSelle,4,FALSE),0)+(IF(QualitéAlimentsJeuneJument_12_24_moisSelle=BONNE,VLOOKUP("Epinard",AlimentsRationEcurieChevauxFemellesSelle,4,FALSE),0)+(IF(QualitéAlimentsJeuneEtalon_24_36_moisSelle=BONNE,VLOOKUP("Epinard",AlimentsRationEcurieChevauxMâlesSelle,3,FALSE),0)+(IF(QualitéAlimentsJeuneJument_24_36_moisSelle=BONNE,VLOOKUP("Epinard",AlimentsRationEcurieChevauxFemellesSelle,3,FALSE),0)+(IF(QualitéAlimentsEtalonSelle=BONNE,VLOOKUP("Epinard",AlimentsRationEcurieChevauxMâlesSelle,2,FALSE),0)+(IF(QualitéAlimentsJumentSelle=BONNE,VLOOKUP("Epinard",AlimentsRationEcurieChevauxFemellesSelle,2,FALSE),0))))))))))</f>
        <v>0</v>
      </c>
      <c r="EW215" s="458">
        <f t="array" ref="EW215">SUM((IF(QualitéAlimentsPoulainSelleMâle=MOYENNE,VLOOKUP("Epinard",AlimentsRationEcurieChevauxMâlesSelle,5,FALSE),0)+(IF(QualitéAlimentsPoulainSelleFemelle=MOYENNE,VLOOKUP("Epinard",AlimentsRationEcurieChevauxFemellesSelle,5,FALSE),0)+(IF(QualitéAlimentsJeuneEtalon_12_24_moisSelle=MOYENNE,VLOOKUP("Epinard",AlimentsRationEcurieChevauxMâlesSelle,4,FALSE),0)+(IF(QualitéAlimentsJeuneJument_12_24_moisSelle=MOYENNE,VLOOKUP("Epinard",AlimentsRationEcurieChevauxFemellesSelle,4,FALSE),0)+(IF(QualitéAlimentsJeuneEtalon_24_36_moisSelle=MOYENNE,VLOOKUP("Epinard",AlimentsRationEcurieChevauxMâlesSelle,3,FALSE),0)+(IF(QualitéAlimentsJeuneJument_24_36_moisSelle=MOYENNE,VLOOKUP("Epinard",AlimentsRationEcurieChevauxFemellesSelle,3,FALSE),0)+(IF(QualitéAlimentsEtalonSelle=MOYENNE,VLOOKUP("Epinard",AlimentsRationEcurieChevauxMâlesSelle,2,FALSE),0)+(IF(QualitéAlimentsJumentSelle=MOYENNE,VLOOKUP("Epinard",AlimentsRationEcurieChevauxFemellesSelle,2,FALSE),0))))))))))</f>
        <v>0</v>
      </c>
      <c r="EX215" s="458">
        <f t="array" ref="EX215">SUM((IF(QualitéAlimentsPoulainSelleMâle=MAUVAISE,VLOOKUP("Epinard",AlimentsRationEcurieChevauxMâlesSelle,5,FALSE),0)+(IF(QualitéAlimentsPoulainSelleFemelle=MAUVAISE,VLOOKUP("Epinard",AlimentsRationEcurieChevauxFemellesSelle,5,FALSE),0)+(IF(QualitéAlimentsJeuneEtalon_12_24_moisSelle=MAUVAISE,VLOOKUP("Epinard",AlimentsRationEcurieChevauxMâlesSelle,4,FALSE),0)+(IF(QualitéAlimentsJeuneJument_12_24_moisSelle=MAUVAISE,VLOOKUP("Epinard",AlimentsRationEcurieChevauxFemellesSelle,4,FALSE),0)+(IF(QualitéAlimentsJeuneEtalon_24_36_moisSelle=MAUVAISE,VLOOKUP("Epinard",AlimentsRationEcurieChevauxMâlesSelle,3,FALSE),0)+(IF(QualitéAlimentsJeuneJument_24_36_moisSelle=MAUVAISE,VLOOKUP("Epinard",AlimentsRationEcurieChevauxFemellesSelle,3,FALSE),0)+(IF(QualitéAlimentsEtalonSelle=MAUVAISE,VLOOKUP("Epinard",AlimentsRationEcurieChevauxMâlesSelle,2,FALSE),0)+(IF(QualitéAlimentsJumentSelle=MAUVAISE,VLOOKUP("Epinard",AlimentsRationEcurieChevauxFemellesSelle,2,FALSE),0))))))))))</f>
        <v>0</v>
      </c>
      <c r="FD215" s="457" t="str">
        <f t="shared" si="65"/>
        <v>Maïs ensilé</v>
      </c>
      <c r="FE215" s="458">
        <f t="array" ref="FE215">SUM((IF(QualitéAlimentsPoulainMâleTrait=BONNE,VLOOKUP("Maïs ensilé",AlimentsRationEcurieChevauxMâlesTrait,5,FALSE),0)+(IF(QualitéAlimentsPoulainFemelleTrait=BONNE,VLOOKUP("Maïs ensilé",AlimentsRationEcurieChevauxFemellesTrait,5,FALSE),0)+(IF(QualitéAlimentsJeuneEtalon_12_24_moisTrait=BONNE,VLOOKUP("Maïs ensilé",AlimentsRationEcurieChevauxMâlesTrait,4,FALSE),0)+(IF(QualitéAlimentsJeuneJument_12_24_moisTrait=BONNE,VLOOKUP("Maïs ensilé",AlimentsRationEcurieChevauxFemellesTrait,4,FALSE),0)+(IF(QualitéAlimentsJeuneEtalon_24_36_moisTrait=BONNE,VLOOKUP("Maïs ensilé",AlimentsRationEcurieChevauxMâlesTrait,3,FALSE),0)+(IF(QualitéAlimentsJeuneJument_24_36_moisTrait=BONNE,VLOOKUP("Maïs ensilé",AlimentsRationEcurieChevauxFemellesTrait,3,FALSE),0)+(IF(QualitéAlimentsEtalonTrait=BONNE,VLOOKUP("Maïs ensilé",AlimentsRationEcurieChevauxMâlesTrait,2,FALSE),0)+(IF(QualitéAlimentsJumentTrait=BONNE,VLOOKUP("Maïs ensilé",AlimentsRationEcurieChevauxFemellesTrait,2,FALSE),0))))))))))</f>
        <v>0</v>
      </c>
      <c r="FF215" s="458">
        <f t="array" ref="FF215">SUM((IF(QualitéAlimentsPoulainMâleTrait=MOYENNE,VLOOKUP("Maïs ensilé",AlimentsRationEcurieChevauxMâlesTrait,5,FALSE),0)+(IF(QualitéAlimentsPoulainFemelleTrait=MOYENNE,VLOOKUP("Maïs ensilé",AlimentsRationEcurieChevauxFemellesTrait,5,FALSE),0)+(IF(QualitéAlimentsJeuneEtalon_12_24_moisTrait=MOYENNE,VLOOKUP("Maïs ensilé",AlimentsRationEcurieChevauxMâlesTrait,4,FALSE),0)+(IF(QualitéAlimentsJeuneJument_12_24_moisTrait=MOYENNE,VLOOKUP("Maïs ensilé",AlimentsRationEcurieChevauxFemellesTrait,4,FALSE),0)+(IF(QualitéAlimentsJeuneEtalon_24_36_moisTrait=MOYENNE,VLOOKUP("Maïs ensilé",AlimentsRationEcurieChevauxMâlesTrait,3,FALSE),0)+(IF(QualitéAlimentsJeuneJument_24_36_moisTrait=MOYENNE,VLOOKUP("Maïs ensilé",AlimentsRationEcurieChevauxFemellesTrait,3,FALSE),0)+(IF(QualitéAlimentsEtalonTrait=MOYENNE,VLOOKUP("Maïs ensilé",AlimentsRationEcurieChevauxMâlesTrait,2,FALSE),0)+(IF(QualitéAlimentsJumentTrait=MOYENNE,VLOOKUP("Maïs ensilé",AlimentsRationEcurieChevauxFemellesTrait,2,FALSE),0))))))))))</f>
        <v>0</v>
      </c>
      <c r="FG215" s="458">
        <f t="array" ref="FG215">SUM((IF(QualitéAlimentsPoulainMâleTrait=MAUVAISE,VLOOKUP("Maïs ensilé",AlimentsRationEcurieChevauxMâlesTrait,5,FALSE),0)+(IF(QualitéAlimentsPoulainFemelleTrait=MAUVAISE,VLOOKUP("Maïs ensilé",AlimentsRationEcurieChevauxFemellesTrait,5,FALSE),0)+(IF(QualitéAlimentsJeuneEtalon_12_24_moisTrait=MAUVAISE,VLOOKUP("Maïs ensilé",AlimentsRationEcurieChevauxMâlesTrait,4,FALSE),0)+(IF(QualitéAlimentsJeuneJument_12_24_moisTrait=MAUVAISE,VLOOKUP("Maïs ensilé",AlimentsRationEcurieChevauxFemellesTrait,4,FALSE),0)+(IF(QualitéAlimentsJeuneEtalon_24_36_moisTrait=MAUVAISE,VLOOKUP("Maïs ensilé",AlimentsRationEcurieChevauxMâlesTrait,3,FALSE),0)+(IF(QualitéAlimentsJeuneJument_24_36_moisTrait=MAUVAISE,VLOOKUP("Maïs ensilé",AlimentsRationEcurieChevauxFemellesTrait,3,FALSE),0)+(IF(QualitéAlimentsEtalonTrait=MAUVAISE,VLOOKUP("Maïs ensilé",AlimentsRationEcurieChevauxMâlesTrait,2,FALSE),0)+(IF(QualitéAlimentsJumentTrait=MAUVAISE,VLOOKUP("Maïs ensilé",AlimentsRationEcurieChevauxFemellesTrait,2,FALSE),0))))))))))</f>
        <v>0</v>
      </c>
      <c r="FI215" s="276"/>
      <c r="FN215" s="457" t="str">
        <f t="shared" si="64"/>
        <v>Maïs grain</v>
      </c>
      <c r="FO215" s="458">
        <f t="array" ref="FO215">SUM((IF(QualitéAlimentsPoulainMâlePoney=BONNE,VLOOKUP("Maïs grain",AlimentsRationChevauxMâlesPoney,5,FALSE),0)+(IF(QualitéAlimentsPoulainFemellePoney=BONNE,VLOOKUP("Maïs grain",AlimentsRationChevauxFemellesPoney,5,FALSE),0)+(IF(QualitéAlimentsJeuneEtalon_12_24_moisPoney=BONNE,VLOOKUP("Maïs grain",AlimentsRationChevauxMâlesPoney,4,FALSE),0)+(IF(QualitéAlimentsJeuneJument_12_24_moisPoney=BONNE,VLOOKUP("Maïs grain",AlimentsRationChevauxFemellesPoney,4,FALSE),0)+(IF(QualitéAlimentsJeuneEtalon_24_36_moisPoney=BONNE,VLOOKUP("Maïs grain",AlimentsRationChevauxMâlesPoney,3,FALSE),0)+(IF(QualitéAlimentsJeuneJument_24_36_moisPoney=BONNE,VLOOKUP("Maïs grain",AlimentsRationChevauxFemellesPoney,3,FALSE),0)+(IF(QualitéAlimentsEtalonPoney=BONNE,VLOOKUP("Maïs grain",AlimentsRationChevauxMâlesPoney,2,FALSE),0)+(IF(QualitéAlimentsJumentPoney=BONNE,VLOOKUP("Maïs grain",AlimentsRationChevauxFemellesPoney,2,FALSE),0))))))))))</f>
        <v>0</v>
      </c>
      <c r="FP215" s="458">
        <f t="array" ref="FP215">SUM((IF(QualitéAlimentsPoulainMâlePoney=MOYENNE,VLOOKUP("Maïs grain",AlimentsRationChevauxMâlesPoney,5,FALSE),0)+(IF(QualitéAlimentsPoulainFemellePoney=MOYENNE,VLOOKUP("Maïs grain",AlimentsRationChevauxFemellesPoney,5,FALSE),0)+(IF(QualitéAlimentsJeuneEtalon_12_24_moisPoney=MOYENNE,VLOOKUP("Maïs grain",AlimentsRationChevauxMâlesPoney,4,FALSE),0)+(IF(QualitéAlimentsJeuneJument_12_24_moisPoney=MOYENNE,VLOOKUP("Maïs grain",AlimentsRationChevauxFemellesPoney,4,FALSE),0)+(IF(QualitéAlimentsJeuneEtalon_24_36_moisPoney=MOYENNE,VLOOKUP("Maïs grain",AlimentsRationChevauxMâlesPoney,3,FALSE),0)+(IF(QualitéAlimentsJeuneJument_24_36_moisPoney=MOYENNE,VLOOKUP("Maïs grain",AlimentsRationChevauxFemellesPoney,3,FALSE),0)+(IF(QualitéAlimentsEtalonPoney=MOYENNE,VLOOKUP("Maïs grain",AlimentsRationChevauxMâlesPoney,2,FALSE),0)+(IF(QualitéAlimentsJumentPoney=MOYENNE,VLOOKUP("Maïs grain",AlimentsRationChevauxFemellesPoney,2,FALSE),0))))))))))</f>
        <v>0</v>
      </c>
      <c r="FQ215" s="458">
        <f t="array" ref="FQ215">SUM((IF(QualitéAlimentsPoulainMâlePoney=MAUVAISE,VLOOKUP("Maïs grain",AlimentsRationChevauxMâlesPoney,5,FALSE),0)+(IF(QualitéAlimentsPoulainFemellePoney=MAUVAISE,VLOOKUP("Maïs grain",AlimentsRationChevauxFemellesPoney,5,FALSE),0)+(IF(QualitéAlimentsJeuneEtalon_12_24_moisPoney=MAUVAISE,VLOOKUP("Maïs grain",AlimentsRationChevauxMâlesPoney,4,FALSE),0)+(IF(QualitéAlimentsJeuneJument_12_24_moisPoney=MAUVAISE,VLOOKUP("Maïs grain",AlimentsRationChevauxFemellesPoney,4,FALSE),0)+(IF(QualitéAlimentsJeuneEtalon_24_36_moisPoney=MAUVAISE,VLOOKUP("Maïs grain",AlimentsRationChevauxMâlesPoney,3,FALSE),0)+(IF(QualitéAlimentsJeuneJument_24_36_moisPoney=MAUVAISE,VLOOKUP("Maïs grain",AlimentsRationChevauxFemellesPoney,3,FALSE),0)+(IF(QualitéAlimentsEtalonPoney=MAUVAISE,VLOOKUP("Maïs grain",AlimentsRationChevauxMâlesPoney,2,FALSE),0)+(IF(QualitéAlimentsJumentPoney=MAUVAISE,VLOOKUP("Maïs grain",AlimentsRationChevauxFemellesPoney,2,FALSE),0))))))))))</f>
        <v>0</v>
      </c>
      <c r="FR215" s="281"/>
      <c r="GG215" s="276" t="s">
        <v>955</v>
      </c>
      <c r="GH215" s="276" t="s">
        <v>955</v>
      </c>
      <c r="GI215" s="276" t="s">
        <v>955</v>
      </c>
      <c r="GJ215" s="276" t="s">
        <v>955</v>
      </c>
      <c r="GK215" s="276" t="s">
        <v>955</v>
      </c>
      <c r="GL215" s="276" t="s">
        <v>955</v>
      </c>
      <c r="GM215" s="276" t="s">
        <v>955</v>
      </c>
      <c r="GN215" s="276" t="s">
        <v>955</v>
      </c>
      <c r="GO215" s="276" t="s">
        <v>955</v>
      </c>
      <c r="GP215" s="276" t="s">
        <v>955</v>
      </c>
      <c r="GQ215" s="276" t="s">
        <v>955</v>
      </c>
      <c r="GR215" s="276" t="s">
        <v>955</v>
      </c>
      <c r="GS215" s="276" t="s">
        <v>955</v>
      </c>
      <c r="GT215" s="276" t="s">
        <v>955</v>
      </c>
      <c r="GU215" s="276" t="s">
        <v>955</v>
      </c>
      <c r="GV215" s="276" t="s">
        <v>955</v>
      </c>
    </row>
    <row r="216" spans="1:204" ht="12.75" customHeight="1" x14ac:dyDescent="0.2">
      <c r="A216" s="276"/>
      <c r="B216" s="276"/>
      <c r="BB216" s="350" t="s">
        <v>232</v>
      </c>
      <c r="BC216" s="351">
        <f t="array" ref="BC216">IF(Ration_complète_bovins[somme]&gt;0,0,IFERROR(IF(OR(AND(INDEX(Règles_bovins[Specificite],MATCH(ChoixRationBovins&amp;$BB216,Règles_bovins[Ration]&amp;Règles_bovins[Aliment],0))="s1",IF($BB216=Spécificité1Bovins,1)),
AND(INDEX(Règles_bovins[Specificite],MATCH(ChoixRationBovins&amp;$BB216,Règles_bovins[Ration]&amp;Règles_bovins[Aliment],0))="s2",IF($BB216=Spécificité2Bovins,1)),
INDEX(Règles_bovins[Specificite],MATCH(ChoixRationBovins&amp;$BB216,Règles_bovins[Ration]&amp;Règles_bovins[Aliment],0))="c"),
INDEX(Règles_bovins[Valeur 36 et plus],MATCH(ChoixRationBovins&amp;$BB216,Règles_bovins[Ration]&amp;Règles_bovins[Aliment],0)),0),0)*IF(ChoixBovinsPréHiver=OUI,TotalTaureauxRacesLaitières,TotalTaureaux*NbreJoursNourrirBovins))</f>
        <v>0</v>
      </c>
      <c r="BD216" s="351">
        <f t="array" ref="BD216">IF(Ration_complète_bovins[somme]&gt;0,0,IFERROR(IF(OR(AND(INDEX(Règles_bovins[Specificite],MATCH(ChoixRationBovins&amp;$BB216,Règles_bovins[Ration]&amp;Règles_bovins[Aliment],0))="s1",IF($BB216=Spécificité1Bovins,1)),
AND(INDEX(Règles_bovins[Specificite],MATCH(ChoixRationBovins&amp;$BB216,Règles_bovins[Ration]&amp;Règles_bovins[Aliment],0))="s2",IF($BB216=Spécificité2Bovins,1)),
INDEX(Règles_bovins[Specificite],MATCH(ChoixRationBovins&amp;$BB216,Règles_bovins[Ration]&amp;Règles_bovins[Aliment],0))="c"),
INDEX(Règles_bovins[Valeur 24-36],MATCH(ChoixRationBovins&amp;$BB216,Règles_bovins[Ration]&amp;Règles_bovins[Aliment],0)),0),0)*IF(ChoixBovinsPréHiver=OUI,TotalTaurillon_24_36_RacesLaitières,TotalBovinsMâles_24_36mois*NbreJoursNourrirBovins))</f>
        <v>0</v>
      </c>
      <c r="BE216" s="351">
        <f t="array" ref="BE216">IF(Ration_complète_bovins[somme]&gt;0,0,IFERROR(IF(OR(AND(INDEX(Règles_bovins[Specificite],MATCH(ChoixRationBovins&amp;$BB216,Règles_bovins[Ration]&amp;Règles_bovins[Aliment],0))="s1",IF($BB216=Spécificité1Bovins,1)),
AND(INDEX(Règles_bovins[Specificite],MATCH(ChoixRationBovins&amp;$BB216,Règles_bovins[Ration]&amp;Règles_bovins[Aliment],0))="s2",IF($BB216=Spécificité2Bovins,1)),
INDEX(Règles_bovins[Specificite],MATCH(ChoixRationBovins&amp;$BB216,Règles_bovins[Ration]&amp;Règles_bovins[Aliment],0))="c"),
INDEX(Règles_bovins[Valeur 18-24],MATCH(ChoixRationBovins&amp;$BB216,Règles_bovins[Ration]&amp;Règles_bovins[Aliment],0)),0),0)*IF(ChoixBovinsPréHiver=OUI,TotalTaurillon_18_24_RacesLaitières,TotalBovinsMâles_18_24mois*NbreJoursNourrirBovins))</f>
        <v>0</v>
      </c>
      <c r="BF216" s="351">
        <f t="array" ref="BF216">IF(Ration_complète_bovins[somme]&gt;0,0,IFERROR(IF(OR(AND(INDEX(Règles_bovins[Specificite],MATCH(ChoixRationBovins&amp;$BB216,Règles_bovins[Ration]&amp;Règles_bovins[Aliment],0))="s1",IF($BB216=Spécificité1Bovins,1)),
AND(INDEX(Règles_bovins[Specificite],MATCH(ChoixRationBovins&amp;$BB216,Règles_bovins[Ration]&amp;Règles_bovins[Aliment],0))="s2",IF($BB216=Spécificité2Bovins,1)),
INDEX(Règles_bovins[Specificite],MATCH(ChoixRationBovins&amp;$BB216,Règles_bovins[Ration]&amp;Règles_bovins[Aliment],0))="c"),
INDEX(Règles_bovins[Valeur 12-18],MATCH(ChoixRationBovins&amp;$BB216,Règles_bovins[Ration]&amp;Règles_bovins[Aliment],0)),0),0)*IF(ChoixBovinsPréHiver=OUI,animaux!D39,TotalBovinsMâles_12_18mois*NbreJoursNourrirBovins))</f>
        <v>0</v>
      </c>
      <c r="BG216" s="351">
        <f t="array" ref="BG216">IF(Ration_complète_bovins[somme]&gt;0,0,IFERROR(IF(OR(AND(INDEX(Règles_bovins[Specificite],MATCH(ChoixRationBovins&amp;$BB216,Règles_bovins[Ration]&amp;Règles_bovins[Aliment],0))="s1",IF($BB216=Spécificité1Bovins,1)),
AND(INDEX(Règles_bovins[Specificite],MATCH(ChoixRationBovins&amp;$BB216,Règles_bovins[Ration]&amp;Règles_bovins[Aliment],0))="s2",IF($BB216=Spécificité2Bovins,1)),
INDEX(Règles_bovins[Specificite],MATCH(ChoixRationBovins&amp;$BB216,Règles_bovins[Ration]&amp;Règles_bovins[Aliment],0))="c"),
INDEX(Règles_bovins[Valeur 6-12],MATCH(ChoixRationBovins&amp;$BB216,Règles_bovins[Ration]&amp;Règles_bovins[Aliment],0)),0),0)*IF(ChoixBovinsPréHiver=OUI,TotalVeauMâle_6_12_RacesLaitières,TotalBovinsMâles_6_12mois*NbreJoursNourrirBovins))</f>
        <v>0</v>
      </c>
      <c r="BH216" s="351">
        <f t="array" ref="BH216">IF(Ration_complète_bovins[somme]&gt;0,0,IFERROR(IF(OR(AND(INDEX(Règles_bovins[Specificite],MATCH(ChoixRationBovins&amp;$BB216,Règles_bovins[Ration]&amp;Règles_bovins[Aliment],0))="s1",IF($BB216=Spécificité1Bovins,1)),
AND(INDEX(Règles_bovins[Specificite],MATCH(ChoixRationBovins&amp;$BB216,Règles_bovins[Ration]&amp;Règles_bovins[Aliment],0))="s2",IF($BB216=Spécificité2Bovins,1)),
INDEX(Règles_bovins[Specificite],MATCH(ChoixRationBovins&amp;$BB216,Règles_bovins[Ration]&amp;Règles_bovins[Aliment],0))="c"),
INDEX(Règles_bovins[Valeur 3-6],MATCH(ChoixRationBovins&amp;$BB216,Règles_bovins[Ration]&amp;Règles_bovins[Aliment],0)),0),0)*IF(ChoixBovinsPréHiver=OUI,TotalVeauMâle_3_6_RacesLaitières,TotalBovinsMâles_3_6mois*NbreJoursNourrirBovins))</f>
        <v>0</v>
      </c>
      <c r="BI216" s="351">
        <f t="array" ref="BI216">IF(Ration_complète_bovins[somme]&gt;0,0,IFERROR(IF(OR(AND(INDEX(Règles_bovins[Specificite],MATCH(ChoixRationBovins&amp;$BB216,Règles_bovins[Ration]&amp;Règles_bovins[Aliment],0))="s1",IF($BB216=Spécificité1Bovins,1)),
AND(INDEX(Règles_bovins[Specificite],MATCH(ChoixRationBovins&amp;$BB216,Règles_bovins[Ration]&amp;Règles_bovins[Aliment],0))="s2",IF($BB216=Spécificité2Bovins,1)),
INDEX(Règles_bovins[Specificite],MATCH(ChoixRationBovins&amp;$BB216,Règles_bovins[Ration]&amp;Règles_bovins[Aliment],0))="c"),
INDEX(Règles_bovins[Valeur 0-3],MATCH(ChoixRationBovins&amp;$BB216,Règles_bovins[Ration]&amp;Règles_bovins[Aliment],0)),0),0)*IF(ChoixBovinsPréHiver=OUI,TotalVeauMâle_0_3_RacesLaitières,TotalBovinsMâles_0_3mois*NbreJoursNourrirBovins))</f>
        <v>0</v>
      </c>
      <c r="BJ216" s="352">
        <f t="shared" si="62"/>
        <v>0</v>
      </c>
      <c r="BK216" s="276"/>
      <c r="BL216" s="276"/>
      <c r="BX216" s="350" t="str">
        <f t="shared" si="63"/>
        <v>Orge</v>
      </c>
      <c r="BY216" s="351">
        <f t="array" ref="BY216">SUM((IF(QualitéAlimentsChevreau_0_3_mois=BONNE,VLOOKUP("Orge",AlimentsRationCaprinsMâles,5,FALSE),0)+(IF(QualitéAlimentsChevrette_0_3_mois=BONNE,VLOOKUP("Orge",AlimentsRationCaprinsFemelles,5,FALSE),0)+(IF(QualitéAlimentsChevreau_3_6_mois=BONNE,VLOOKUP("Orge",AlimentsRationCaprinsMâles,4,FALSE),0)+(IF(QualitéAlimentsChevrette_3_6_mois=BONNE,VLOOKUP("Orge",AlimentsRationCaprinsFemelles,4,FALSE),0)+(IF(QualitéAlimentsJeuneBouc=BONNE,VLOOKUP("Orge",AlimentsRationCaprinsMâles,3,FALSE),0)+(IF(QualitéAlimentsJeuneChèvre=BONNE,VLOOKUP("Orge",AlimentsRationCaprinsFemelles,3,FALSE),0)+(IF(QualitéAlimentsBouc=BONNE,VLOOKUP("Orge",AlimentsRationCaprinsMâles,2,FALSE),0)+(IF(QualitéAlimentsChèvre=BONNE,VLOOKUP("Orge",AlimentsRationCaprinsFemelles,2,FALSE),0))))))))))</f>
        <v>398.8</v>
      </c>
      <c r="BZ216" s="351">
        <f t="array" ref="BZ216">SUM((IF(QualitéAlimentsChevreau_0_3_mois=MOYENNE,VLOOKUP("Orge",AlimentsRationCaprinsMâles,5,FALSE),0)+(IF(QualitéAlimentsChevrette_0_3_mois=MOYENNE,VLOOKUP("Orge",AlimentsRationCaprinsFemelles,5,FALSE),0)+(IF(QualitéAlimentsChevreau_3_6_mois=MOYENNE,VLOOKUP("Orge",AlimentsRationCaprinsMâles,4,FALSE),0)+(IF(QualitéAlimentsChevrette_3_6_mois=MOYENNE,VLOOKUP("Orge",AlimentsRationCaprinsFemelles,4,FALSE),0)+(IF(QualitéAlimentsJeuneBouc=MOYENNE,VLOOKUP("Orge",AlimentsRationCaprinsMâles,3,FALSE),0)+(IF(QualitéAlimentsJeuneChèvre=MOYENNE,VLOOKUP("Orge",AlimentsRationCaprinsFemelles,3,FALSE),0)+(IF(QualitéAlimentsBouc=MOYENNE,VLOOKUP("Orge",AlimentsRationCaprinsMâles,2,FALSE),0)+(IF(QualitéAlimentsChèvre=MOYENNE,VLOOKUP("Orge",AlimentsRationCaprinsFemelles,2,FALSE),0))))))))))</f>
        <v>411.20000000000005</v>
      </c>
      <c r="CA216" s="351">
        <f t="array" ref="CA216">SUM((IF(QualitéAlimentsChevreau_0_3_mois=MAUVAISE,VLOOKUP("Orge",AlimentsRationCaprinsMâles,5,FALSE),0)+(IF(QualitéAlimentsChevrette_0_3_mois=MAUVAISE,VLOOKUP("Orge",AlimentsRationCaprinsFemelles,5,FALSE),0)+(IF(QualitéAlimentsChevreau_3_6_mois=MAUVAISE,VLOOKUP("Orge",AlimentsRationCaprinsMâles,4,FALSE),0)+(IF(QualitéAlimentsChevrette_3_6_mois=MAUVAISE,VLOOKUP("Orge",AlimentsRationCaprinsFemelles,4,FALSE),0)+(IF(QualitéAlimentsJeuneBouc=MAUVAISE,VLOOKUP("Orge",AlimentsRationCaprinsMâles,3,FALSE),0)+(IF(QualitéAlimentsJeuneChèvre=MAUVAISE,VLOOKUP("Orge",AlimentsRationCaprinsFemelles,3,FALSE),0)+(IF(QualitéAlimentsBouc=MAUVAISE,VLOOKUP("Orge",AlimentsRationCaprinsMâles,2,FALSE),0)+(IF(QualitéAlimentsChèvre=MAUVAISE,VLOOKUP("Orge",AlimentsRationCaprinsFemelles,2,FALSE),0))))))))))</f>
        <v>20.8</v>
      </c>
      <c r="CB216" s="277"/>
      <c r="CC216" s="277"/>
      <c r="CD216" s="298"/>
      <c r="CE216" s="298"/>
      <c r="CF216" s="298"/>
      <c r="CG216" s="298"/>
      <c r="CH216" s="298"/>
      <c r="CI216" s="277"/>
      <c r="CK216" s="277"/>
      <c r="CL216" s="277"/>
      <c r="CM216" s="277"/>
      <c r="CN216" s="277"/>
      <c r="CO216" s="277"/>
      <c r="CP216" s="277"/>
      <c r="DN216" s="350" t="str">
        <f t="shared" si="61"/>
        <v>Pulpe déshydratée de betterave</v>
      </c>
      <c r="DO216" s="351">
        <f t="array" ref="DO216">IF(ChoixRationComplèteOvins=OUI,0,IFERROR(IF(OR(AND(INDEX(Règles_ovins[Specificite],MATCH(ChoixRationOvins&amp;$DN216,Règles_ovins[Ration]&amp;Règles_ovins[Aliment],0))="s1",IF($DN216=Spécificité1Ovins,1)),
AND(INDEX(Règles_ovins[Specificite],MATCH(ChoixRationOvins&amp;$DN216,Règles_ovins[Ration]&amp;Règles_ovins[Aliment],0))="s2",IF($DN216=Spécificité2Ovins,1)),
INDEX(Règles_ovins[Specificite],MATCH(ChoixRationOvins&amp;$DN216,Règles_ovins[Ration]&amp;Règles_ovins[Aliment],0))="c"),
INDEX(Règles_ovins[Valeur 12 et plus],MATCH(ChoixRationOvins&amp;$DN216,Règles_ovins[Ration]&amp;Règles_ovins[Aliment],0)),0),0)*IF(ChoixOvinsPréHiver=OUI,SUM(TotalOvinsAdultesRacesLaitières)*NbreJoursNourrirOvins,TotalBrebis*NbreJoursNourrirOvins))</f>
        <v>0</v>
      </c>
      <c r="DP216" s="351">
        <f t="array" ref="DP216">IF(ChoixRationComplèteOvins=OUI,0,IFERROR(IF(OR(AND(INDEX(Règles_ovins[Specificite],MATCH(ChoixRationOvins&amp;$DN216,Règles_ovins[Ration]&amp;Règles_ovins[Aliment],0))="s1",IF($DN216=Spécificité1Ovins,1)),
AND(INDEX(Règles_ovins[Specificite],MATCH(ChoixRationOvins&amp;$DN216,Règles_ovins[Ration]&amp;Règles_ovins[Aliment],0))="s2",IF($DN216=Spécificité2Ovins,1)),
INDEX(Règles_ovins[Specificite],MATCH(ChoixRationOvins&amp;$DN216,Règles_ovins[Ration]&amp;Règles_ovins[Aliment],0))="c"),
INDEX(Règles_ovins[Valeur 6-12],MATCH(ChoixRationOvins&amp;$DN216,Règles_ovins[Ration]&amp;Règles_ovins[Aliment],0)),0),0)*IF(ChoixOvinsPréHiver=OUI,SUM(TotalJeunesOvinsRacesLaitières)*NbreJoursNourrirOvins,TotalJeune_brebis_6_12_mois*NbreJoursNourrirOvins))</f>
        <v>0</v>
      </c>
      <c r="DQ216" s="351">
        <f t="array" ref="DQ216">IF(ChoixRationComplèteOvins=OUI,0,IFERROR(IF(OR(AND(INDEX(Règles_ovins[Specificite],MATCH(ChoixRationOvins&amp;$DN216,Règles_ovins[Ration]&amp;Règles_ovins[Aliment],0))="s1",IF($DN216=Spécificité1Ovins,1)),
AND(INDEX(Règles_ovins[Specificite],MATCH(ChoixRationOvins&amp;$DN216,Règles_ovins[Ration]&amp;Règles_ovins[Aliment],0))="s2",IF($DN216=Spécificité2Ovins,1)),
INDEX(Règles_ovins[Specificite],MATCH(ChoixRationOvins&amp;$DN216,Règles_ovins[Ration]&amp;Règles_ovins[Aliment],0))="c"),
INDEX(Règles_ovins[Valeur 3-6],MATCH(ChoixRationOvins&amp;$DN216,Règles_ovins[Ration]&amp;Règles_ovins[Aliment],0)),0),0)*IF(ChoixOvinsPréHiver=OUI,SUM(TotalOvins_3_6moisRacesLaitières)*NbreJoursNourrirOvins,TotalAgnelle_3_6_mois*NbreJoursNourrirOvins))</f>
        <v>0</v>
      </c>
      <c r="DR216" s="351">
        <f t="array" ref="DR216">IF(ChoixRationComplèteOvins=OUI,0,IFERROR(IF(OR(AND(INDEX(Règles_ovins[Specificite],MATCH(ChoixRationOvins&amp;$DN216,Règles_ovins[Ration]&amp;Règles_ovins[Aliment],0))="s1",IF($DN216=Spécificité1Ovins,1)),
AND(INDEX(Règles_ovins[Specificite],MATCH(ChoixRationOvins&amp;$DN216,Règles_ovins[Ration]&amp;Règles_ovins[Aliment],0))="s2",IF($DN216=Spécificité2Ovins,1)),
INDEX(Règles_ovins[Specificite],MATCH(ChoixRationOvins&amp;$DN216,Règles_ovins[Ration]&amp;Règles_ovins[Aliment],0))="c"),
INDEX(Règles_ovins[Valeur 0-3],MATCH(ChoixRationOvins&amp;$DN216,Règles_ovins[Ration]&amp;Règles_ovins[Aliment],0)),0),0)*IF(ChoixOvinsPréHiver=OUI,SUM(TotalOvins_3_6moisRacesLaitières)*NbreJoursNourrirOvins,TotalAgnelle_0_3_mois*NbreJoursNourrirOvins))</f>
        <v>0</v>
      </c>
      <c r="DS216" s="441">
        <f t="shared" si="60"/>
        <v>0</v>
      </c>
      <c r="EU216" s="457" t="str">
        <f t="shared" si="66"/>
        <v>Féverole</v>
      </c>
      <c r="EV216" s="458">
        <f t="array" ref="EV216">SUM((IF(QualitéAlimentsPoulainSelleMâle=BONNE,VLOOKUP("Féverole",AlimentsRationEcurieChevauxMâlesSelle,5,FALSE),0)+(IF(QualitéAlimentsPoulainSelleFemelle=BONNE,VLOOKUP("Féverole",AlimentsRationEcurieChevauxFemellesSelle,5,FALSE),0)+(IF(QualitéAlimentsJeuneEtalon_12_24_moisSelle=BONNE,VLOOKUP("Féverole",AlimentsRationEcurieChevauxMâlesSelle,4,FALSE),0)+(IF(QualitéAlimentsJeuneJument_12_24_moisSelle=BONNE,VLOOKUP("Féverole",AlimentsRationEcurieChevauxFemellesSelle,4,FALSE),0)+(IF(QualitéAlimentsJeuneEtalon_24_36_moisSelle=BONNE,VLOOKUP("Féverole",AlimentsRationEcurieChevauxMâlesSelle,3,FALSE),0)+(IF(QualitéAlimentsJeuneJument_24_36_moisSelle=BONNE,VLOOKUP("Féverole",AlimentsRationEcurieChevauxFemellesSelle,3,FALSE),0)+(IF(QualitéAlimentsEtalonSelle=BONNE,VLOOKUP("Féverole",AlimentsRationEcurieChevauxMâlesSelle,2,FALSE),0)+(IF(QualitéAlimentsJumentSelle=BONNE,VLOOKUP("Féverole",AlimentsRationEcurieChevauxFemellesSelle,2,FALSE),0))))))))))</f>
        <v>0</v>
      </c>
      <c r="EW216" s="458">
        <f t="array" ref="EW216">SUM((IF(QualitéAlimentsPoulainSelleMâle=MOYENNE,VLOOKUP("Féverole",AlimentsRationEcurieChevauxMâlesSelle,5,FALSE),0)+(IF(QualitéAlimentsPoulainSelleFemelle=MOYENNE,VLOOKUP("Féverole",AlimentsRationEcurieChevauxFemellesSelle,5,FALSE),0)+(IF(QualitéAlimentsJeuneEtalon_12_24_moisSelle=MOYENNE,VLOOKUP("Féverole",AlimentsRationEcurieChevauxMâlesSelle,4,FALSE),0)+(IF(QualitéAlimentsJeuneJument_12_24_moisSelle=MOYENNE,VLOOKUP("Féverole",AlimentsRationEcurieChevauxFemellesSelle,4,FALSE),0)+(IF(QualitéAlimentsJeuneEtalon_24_36_moisSelle=MOYENNE,VLOOKUP("Féverole",AlimentsRationEcurieChevauxMâlesSelle,3,FALSE),0)+(IF(QualitéAlimentsJeuneJument_24_36_moisSelle=MOYENNE,VLOOKUP("Féverole",AlimentsRationEcurieChevauxFemellesSelle,3,FALSE),0)+(IF(QualitéAlimentsEtalonSelle=MOYENNE,VLOOKUP("Féverole",AlimentsRationEcurieChevauxMâlesSelle,2,FALSE),0)+(IF(QualitéAlimentsJumentSelle=MOYENNE,VLOOKUP("Féverole",AlimentsRationEcurieChevauxFemellesSelle,2,FALSE),0))))))))))</f>
        <v>0</v>
      </c>
      <c r="EX216" s="458">
        <f t="array" ref="EX216">SUM((IF(QualitéAlimentsPoulainSelleMâle=MAUVAISE,VLOOKUP("Féverole",AlimentsRationEcurieChevauxMâlesSelle,5,FALSE),0)+(IF(QualitéAlimentsPoulainSelleFemelle=MAUVAISE,VLOOKUP("Féverole",AlimentsRationEcurieChevauxFemellesSelle,5,FALSE),0)+(IF(QualitéAlimentsJeuneEtalon_12_24_moisSelle=MAUVAISE,VLOOKUP("Féverole",AlimentsRationEcurieChevauxMâlesSelle,4,FALSE),0)+(IF(QualitéAlimentsJeuneJument_12_24_moisSelle=MAUVAISE,VLOOKUP("Féverole",AlimentsRationEcurieChevauxFemellesSelle,4,FALSE),0)+(IF(QualitéAlimentsJeuneEtalon_24_36_moisSelle=MAUVAISE,VLOOKUP("Féverole",AlimentsRationEcurieChevauxMâlesSelle,3,FALSE),0)+(IF(QualitéAlimentsJeuneJument_24_36_moisSelle=MAUVAISE,VLOOKUP("Féverole",AlimentsRationEcurieChevauxFemellesSelle,3,FALSE),0)+(IF(QualitéAlimentsEtalonSelle=MAUVAISE,VLOOKUP("Féverole",AlimentsRationEcurieChevauxMâlesSelle,2,FALSE),0)+(IF(QualitéAlimentsJumentSelle=MAUVAISE,VLOOKUP("Féverole",AlimentsRationEcurieChevauxFemellesSelle,2,FALSE),0))))))))))</f>
        <v>0</v>
      </c>
      <c r="FD216" s="457" t="str">
        <f t="shared" si="65"/>
        <v>Maïs grain</v>
      </c>
      <c r="FE216" s="458">
        <f t="array" ref="FE216">SUM((IF(QualitéAlimentsPoulainMâleTrait=BONNE,VLOOKUP("Maïs grain",AlimentsRationEcurieChevauxMâlesTrait,5,FALSE),0)+(IF(QualitéAlimentsPoulainFemelleTrait=BONNE,VLOOKUP("Maïs grain",AlimentsRationEcurieChevauxFemellesTrait,5,FALSE),0)+(IF(QualitéAlimentsJeuneEtalon_12_24_moisTrait=BONNE,VLOOKUP("Maïs grain",AlimentsRationEcurieChevauxMâlesTrait,4,FALSE),0)+(IF(QualitéAlimentsJeuneJument_12_24_moisTrait=BONNE,VLOOKUP("Maïs grain",AlimentsRationEcurieChevauxFemellesTrait,4,FALSE),0)+(IF(QualitéAlimentsJeuneEtalon_24_36_moisTrait=BONNE,VLOOKUP("Maïs grain",AlimentsRationEcurieChevauxMâlesTrait,3,FALSE),0)+(IF(QualitéAlimentsJeuneJument_24_36_moisTrait=BONNE,VLOOKUP("Maïs grain",AlimentsRationEcurieChevauxFemellesTrait,3,FALSE),0)+(IF(QualitéAlimentsEtalonTrait=BONNE,VLOOKUP("Maïs grain",AlimentsRationEcurieChevauxMâlesTrait,2,FALSE),0)+(IF(QualitéAlimentsJumentTrait=BONNE,VLOOKUP("Maïs grain",AlimentsRationEcurieChevauxFemellesTrait,2,FALSE),0))))))))))</f>
        <v>0</v>
      </c>
      <c r="FF216" s="458">
        <f t="array" ref="FF216">SUM((IF(QualitéAlimentsPoulainMâleTrait=MOYENNE,VLOOKUP("Maïs grain",AlimentsRationEcurieChevauxMâlesTrait,5,FALSE),0)+(IF(QualitéAlimentsPoulainFemelleTrait=MOYENNE,VLOOKUP("Maïs grain",AlimentsRationEcurieChevauxFemellesTrait,5,FALSE),0)+(IF(QualitéAlimentsJeuneEtalon_12_24_moisTrait=MOYENNE,VLOOKUP("Maïs grain",AlimentsRationEcurieChevauxMâlesTrait,4,FALSE),0)+(IF(QualitéAlimentsJeuneJument_12_24_moisTrait=MOYENNE,VLOOKUP("Maïs grain",AlimentsRationEcurieChevauxFemellesTrait,4,FALSE),0)+(IF(QualitéAlimentsJeuneEtalon_24_36_moisTrait=MOYENNE,VLOOKUP("Maïs grain",AlimentsRationEcurieChevauxMâlesTrait,3,FALSE),0)+(IF(QualitéAlimentsJeuneJument_24_36_moisTrait=MOYENNE,VLOOKUP("Maïs grain",AlimentsRationEcurieChevauxFemellesTrait,3,FALSE),0)+(IF(QualitéAlimentsEtalonTrait=MOYENNE,VLOOKUP("Maïs grain",AlimentsRationEcurieChevauxMâlesTrait,2,FALSE),0)+(IF(QualitéAlimentsJumentTrait=MOYENNE,VLOOKUP("Maïs grain",AlimentsRationEcurieChevauxFemellesTrait,2,FALSE),0))))))))))</f>
        <v>0</v>
      </c>
      <c r="FG216" s="458">
        <f t="array" ref="FG216">SUM((IF(QualitéAlimentsPoulainMâleTrait=MAUVAISE,VLOOKUP("Maïs grain",AlimentsRationEcurieChevauxMâlesTrait,5,FALSE),0)+(IF(QualitéAlimentsPoulainFemelleTrait=MAUVAISE,VLOOKUP("Maïs grain",AlimentsRationEcurieChevauxFemellesTrait,5,FALSE),0)+(IF(QualitéAlimentsJeuneEtalon_12_24_moisTrait=MAUVAISE,VLOOKUP("Maïs grain",AlimentsRationEcurieChevauxMâlesTrait,4,FALSE),0)+(IF(QualitéAlimentsJeuneJument_12_24_moisTrait=MAUVAISE,VLOOKUP("Maïs grain",AlimentsRationEcurieChevauxFemellesTrait,4,FALSE),0)+(IF(QualitéAlimentsJeuneEtalon_24_36_moisTrait=MAUVAISE,VLOOKUP("Maïs grain",AlimentsRationEcurieChevauxMâlesTrait,3,FALSE),0)+(IF(QualitéAlimentsJeuneJument_24_36_moisTrait=MAUVAISE,VLOOKUP("Maïs grain",AlimentsRationEcurieChevauxFemellesTrait,3,FALSE),0)+(IF(QualitéAlimentsEtalonTrait=MAUVAISE,VLOOKUP("Maïs grain",AlimentsRationEcurieChevauxMâlesTrait,2,FALSE),0)+(IF(QualitéAlimentsJumentTrait=MAUVAISE,VLOOKUP("Maïs grain",AlimentsRationEcurieChevauxFemellesTrait,2,FALSE),0))))))))))</f>
        <v>0</v>
      </c>
      <c r="FI216" s="276"/>
      <c r="FN216" s="457" t="str">
        <f t="shared" si="64"/>
        <v>Minéraux + vitamines</v>
      </c>
      <c r="FO216" s="458">
        <f t="array" ref="FO216">SUM((IF(QualitéAlimentsPoulainMâlePoney=BONNE,VLOOKUP("Minéraux + vitamines",AlimentsRationChevauxMâlesPoney,5,FALSE),0)+(IF(QualitéAlimentsPoulainFemellePoney=BONNE,VLOOKUP("Minéraux + vitamines",AlimentsRationChevauxFemellesPoney,5,FALSE),0)+(IF(QualitéAlimentsJeuneEtalon_12_24_moisPoney=BONNE,VLOOKUP("Minéraux + vitamines",AlimentsRationChevauxMâlesPoney,4,FALSE),0)+(IF(QualitéAlimentsJeuneJument_12_24_moisPoney=BONNE,VLOOKUP("Minéraux + vitamines",AlimentsRationChevauxFemellesPoney,4,FALSE),0)+(IF(QualitéAlimentsJeuneEtalon_24_36_moisPoney=BONNE,VLOOKUP("Minéraux + vitamines",AlimentsRationChevauxMâlesPoney,3,FALSE),0)+(IF(QualitéAlimentsJeuneJument_24_36_moisPoney=BONNE,VLOOKUP("Minéraux + vitamines",AlimentsRationChevauxFemellesPoney,3,FALSE),0)+(IF(QualitéAlimentsEtalonPoney=BONNE,VLOOKUP("Minéraux + vitamines",AlimentsRationChevauxMâlesPoney,2,FALSE),0)+(IF(QualitéAlimentsJumentPoney=BONNE,VLOOKUP("Minéraux + vitamines",AlimentsRationChevauxFemellesPoney,2,FALSE),0))))))))))</f>
        <v>0</v>
      </c>
      <c r="FP216" s="458">
        <f t="array" ref="FP216">SUM((IF(QualitéAlimentsPoulainMâlePoney=MOYENNE,VLOOKUP("Minéraux + vitamines",AlimentsRationChevauxMâlesPoney,5,FALSE),0)+(IF(QualitéAlimentsPoulainFemellePoney=MOYENNE,VLOOKUP("Minéraux + vitamines",AlimentsRationChevauxFemellesPoney,5,FALSE),0)+(IF(QualitéAlimentsJeuneEtalon_12_24_moisPoney=MOYENNE,VLOOKUP("Minéraux + vitamines",AlimentsRationChevauxMâlesPoney,4,FALSE),0)+(IF(QualitéAlimentsJeuneJument_12_24_moisPoney=MOYENNE,VLOOKUP("Minéraux + vitamines",AlimentsRationChevauxFemellesPoney,4,FALSE),0)+(IF(QualitéAlimentsJeuneEtalon_24_36_moisPoney=MOYENNE,VLOOKUP("Minéraux + vitamines",AlimentsRationChevauxMâlesPoney,3,FALSE),0)+(IF(QualitéAlimentsJeuneJument_24_36_moisPoney=MOYENNE,VLOOKUP("Minéraux + vitamines",AlimentsRationChevauxFemellesPoney,3,FALSE),0)+(IF(QualitéAlimentsEtalonPoney=MOYENNE,VLOOKUP("Minéraux + vitamines",AlimentsRationChevauxMâlesPoney,2,FALSE),0)+(IF(QualitéAlimentsJumentPoney=MOYENNE,VLOOKUP("Minéraux + vitamines",AlimentsRationChevauxFemellesPoney,2,FALSE),0))))))))))</f>
        <v>0</v>
      </c>
      <c r="FQ216" s="458">
        <f t="array" ref="FQ216">SUM((IF(QualitéAlimentsPoulainMâlePoney=MAUVAISE,VLOOKUP("Minéraux + vitamines",AlimentsRationChevauxMâlesPoney,5,FALSE),0)+(IF(QualitéAlimentsPoulainFemellePoney=MAUVAISE,VLOOKUP("Minéraux + vitamines",AlimentsRationChevauxFemellesPoney,5,FALSE),0)+(IF(QualitéAlimentsJeuneEtalon_12_24_moisPoney=MAUVAISE,VLOOKUP("Minéraux + vitamines",AlimentsRationChevauxMâlesPoney,4,FALSE),0)+(IF(QualitéAlimentsJeuneJument_12_24_moisPoney=MAUVAISE,VLOOKUP("Minéraux + vitamines",AlimentsRationChevauxFemellesPoney,4,FALSE),0)+(IF(QualitéAlimentsJeuneEtalon_24_36_moisPoney=MAUVAISE,VLOOKUP("Minéraux + vitamines",AlimentsRationChevauxMâlesPoney,3,FALSE),0)+(IF(QualitéAlimentsJeuneJument_24_36_moisPoney=MAUVAISE,VLOOKUP("Minéraux + vitamines",AlimentsRationChevauxFemellesPoney,3,FALSE),0)+(IF(QualitéAlimentsEtalonPoney=MAUVAISE,VLOOKUP("Minéraux + vitamines",AlimentsRationChevauxMâlesPoney,2,FALSE),0)+(IF(QualitéAlimentsJumentPoney=MAUVAISE,VLOOKUP("Minéraux + vitamines",AlimentsRationChevauxFemellesPoney,2,FALSE),0))))))))))</f>
        <v>0</v>
      </c>
      <c r="FR216" s="281"/>
      <c r="GG216" s="276" t="s">
        <v>955</v>
      </c>
      <c r="GH216" s="276" t="s">
        <v>955</v>
      </c>
      <c r="GI216" s="276" t="s">
        <v>955</v>
      </c>
      <c r="GJ216" s="276" t="s">
        <v>955</v>
      </c>
      <c r="GK216" s="276" t="s">
        <v>955</v>
      </c>
      <c r="GL216" s="276" t="s">
        <v>955</v>
      </c>
      <c r="GM216" s="276" t="s">
        <v>955</v>
      </c>
      <c r="GN216" s="276" t="s">
        <v>955</v>
      </c>
      <c r="GO216" s="276" t="s">
        <v>955</v>
      </c>
      <c r="GP216" s="276" t="s">
        <v>955</v>
      </c>
      <c r="GQ216" s="276" t="s">
        <v>955</v>
      </c>
      <c r="GR216" s="276" t="s">
        <v>955</v>
      </c>
      <c r="GS216" s="276" t="s">
        <v>955</v>
      </c>
      <c r="GT216" s="276" t="s">
        <v>955</v>
      </c>
      <c r="GU216" s="276" t="s">
        <v>955</v>
      </c>
      <c r="GV216" s="276" t="s">
        <v>955</v>
      </c>
    </row>
    <row r="217" spans="1:204" ht="12.75" customHeight="1" x14ac:dyDescent="0.2">
      <c r="A217" s="276"/>
      <c r="B217" s="276"/>
      <c r="BB217" s="350" t="s">
        <v>59</v>
      </c>
      <c r="BC217" s="351">
        <f t="array" ref="BC217">IF(Ration_complète_bovins[somme]&gt;0,0,IFERROR(IF(OR(AND(INDEX(Règles_bovins[Specificite],MATCH(ChoixRationBovins&amp;$BB217,Règles_bovins[Ration]&amp;Règles_bovins[Aliment],0))="s1",IF($BB217=Spécificité1Bovins,1)),
AND(INDEX(Règles_bovins[Specificite],MATCH(ChoixRationBovins&amp;$BB217,Règles_bovins[Ration]&amp;Règles_bovins[Aliment],0))="s2",IF($BB217=Spécificité2Bovins,1)),
INDEX(Règles_bovins[Specificite],MATCH(ChoixRationBovins&amp;$BB217,Règles_bovins[Ration]&amp;Règles_bovins[Aliment],0))="c"),
INDEX(Règles_bovins[Valeur 36 et plus],MATCH(ChoixRationBovins&amp;$BB217,Règles_bovins[Ration]&amp;Règles_bovins[Aliment],0)),0),0)*IF(ChoixBovinsPréHiver=OUI,TotalTaureauxRacesLaitières,TotalTaureaux*NbreJoursNourrirBovins))</f>
        <v>0</v>
      </c>
      <c r="BD217" s="351">
        <f t="array" ref="BD217">IF(Ration_complète_bovins[somme]&gt;0,0,IFERROR(IF(OR(AND(INDEX(Règles_bovins[Specificite],MATCH(ChoixRationBovins&amp;$BB217,Règles_bovins[Ration]&amp;Règles_bovins[Aliment],0))="s1",IF($BB217=Spécificité1Bovins,1)),
AND(INDEX(Règles_bovins[Specificite],MATCH(ChoixRationBovins&amp;$BB217,Règles_bovins[Ration]&amp;Règles_bovins[Aliment],0))="s2",IF($BB217=Spécificité2Bovins,1)),
INDEX(Règles_bovins[Specificite],MATCH(ChoixRationBovins&amp;$BB217,Règles_bovins[Ration]&amp;Règles_bovins[Aliment],0))="c"),
INDEX(Règles_bovins[Valeur 24-36],MATCH(ChoixRationBovins&amp;$BB217,Règles_bovins[Ration]&amp;Règles_bovins[Aliment],0)),0),0)*IF(ChoixBovinsPréHiver=OUI,TotalTaurillon_24_36_RacesLaitières,TotalBovinsMâles_24_36mois*NbreJoursNourrirBovins))</f>
        <v>0</v>
      </c>
      <c r="BE217" s="351">
        <f t="array" ref="BE217">IF(Ration_complète_bovins[somme]&gt;0,0,IFERROR(IF(OR(AND(INDEX(Règles_bovins[Specificite],MATCH(ChoixRationBovins&amp;$BB217,Règles_bovins[Ration]&amp;Règles_bovins[Aliment],0))="s1",IF($BB217=Spécificité1Bovins,1)),
AND(INDEX(Règles_bovins[Specificite],MATCH(ChoixRationBovins&amp;$BB217,Règles_bovins[Ration]&amp;Règles_bovins[Aliment],0))="s2",IF($BB217=Spécificité2Bovins,1)),
INDEX(Règles_bovins[Specificite],MATCH(ChoixRationBovins&amp;$BB217,Règles_bovins[Ration]&amp;Règles_bovins[Aliment],0))="c"),
INDEX(Règles_bovins[Valeur 18-24],MATCH(ChoixRationBovins&amp;$BB217,Règles_bovins[Ration]&amp;Règles_bovins[Aliment],0)),0),0)*IF(ChoixBovinsPréHiver=OUI,TotalTaurillon_18_24_RacesLaitières,TotalBovinsMâles_18_24mois*NbreJoursNourrirBovins))</f>
        <v>0</v>
      </c>
      <c r="BF217" s="351">
        <f t="array" ref="BF217">IF(Ration_complète_bovins[somme]&gt;0,0,IFERROR(IF(OR(AND(INDEX(Règles_bovins[Specificite],MATCH(ChoixRationBovins&amp;$BB217,Règles_bovins[Ration]&amp;Règles_bovins[Aliment],0))="s1",IF($BB217=Spécificité1Bovins,1)),
AND(INDEX(Règles_bovins[Specificite],MATCH(ChoixRationBovins&amp;$BB217,Règles_bovins[Ration]&amp;Règles_bovins[Aliment],0))="s2",IF($BB217=Spécificité2Bovins,1)),
INDEX(Règles_bovins[Specificite],MATCH(ChoixRationBovins&amp;$BB217,Règles_bovins[Ration]&amp;Règles_bovins[Aliment],0))="c"),
INDEX(Règles_bovins[Valeur 12-18],MATCH(ChoixRationBovins&amp;$BB217,Règles_bovins[Ration]&amp;Règles_bovins[Aliment],0)),0),0)*IF(ChoixBovinsPréHiver=OUI,animaux!D40,TotalBovinsMâles_12_18mois*NbreJoursNourrirBovins))</f>
        <v>0</v>
      </c>
      <c r="BG217" s="351">
        <f t="array" ref="BG217">IF(Ration_complète_bovins[somme]&gt;0,0,IFERROR(IF(OR(AND(INDEX(Règles_bovins[Specificite],MATCH(ChoixRationBovins&amp;$BB217,Règles_bovins[Ration]&amp;Règles_bovins[Aliment],0))="s1",IF($BB217=Spécificité1Bovins,1)),
AND(INDEX(Règles_bovins[Specificite],MATCH(ChoixRationBovins&amp;$BB217,Règles_bovins[Ration]&amp;Règles_bovins[Aliment],0))="s2",IF($BB217=Spécificité2Bovins,1)),
INDEX(Règles_bovins[Specificite],MATCH(ChoixRationBovins&amp;$BB217,Règles_bovins[Ration]&amp;Règles_bovins[Aliment],0))="c"),
INDEX(Règles_bovins[Valeur 6-12],MATCH(ChoixRationBovins&amp;$BB217,Règles_bovins[Ration]&amp;Règles_bovins[Aliment],0)),0),0)*IF(ChoixBovinsPréHiver=OUI,TotalVeauMâle_6_12_RacesLaitières,TotalBovinsMâles_6_12mois*NbreJoursNourrirBovins))</f>
        <v>0</v>
      </c>
      <c r="BH217" s="351">
        <f t="array" ref="BH217">IF(Ration_complète_bovins[somme]&gt;0,0,IFERROR(IF(OR(AND(INDEX(Règles_bovins[Specificite],MATCH(ChoixRationBovins&amp;$BB217,Règles_bovins[Ration]&amp;Règles_bovins[Aliment],0))="s1",IF($BB217=Spécificité1Bovins,1)),
AND(INDEX(Règles_bovins[Specificite],MATCH(ChoixRationBovins&amp;$BB217,Règles_bovins[Ration]&amp;Règles_bovins[Aliment],0))="s2",IF($BB217=Spécificité2Bovins,1)),
INDEX(Règles_bovins[Specificite],MATCH(ChoixRationBovins&amp;$BB217,Règles_bovins[Ration]&amp;Règles_bovins[Aliment],0))="c"),
INDEX(Règles_bovins[Valeur 3-6],MATCH(ChoixRationBovins&amp;$BB217,Règles_bovins[Ration]&amp;Règles_bovins[Aliment],0)),0),0)*IF(ChoixBovinsPréHiver=OUI,TotalVeauMâle_3_6_RacesLaitières,TotalBovinsMâles_3_6mois*NbreJoursNourrirBovins))</f>
        <v>0</v>
      </c>
      <c r="BI217" s="351">
        <f t="array" ref="BI217">IF(Ration_complète_bovins[somme]&gt;0,0,IFERROR(IF(OR(AND(INDEX(Règles_bovins[Specificite],MATCH(ChoixRationBovins&amp;$BB217,Règles_bovins[Ration]&amp;Règles_bovins[Aliment],0))="s1",IF($BB217=Spécificité1Bovins,1)),
AND(INDEX(Règles_bovins[Specificite],MATCH(ChoixRationBovins&amp;$BB217,Règles_bovins[Ration]&amp;Règles_bovins[Aliment],0))="s2",IF($BB217=Spécificité2Bovins,1)),
INDEX(Règles_bovins[Specificite],MATCH(ChoixRationBovins&amp;$BB217,Règles_bovins[Ration]&amp;Règles_bovins[Aliment],0))="c"),
INDEX(Règles_bovins[Valeur 0-3],MATCH(ChoixRationBovins&amp;$BB217,Règles_bovins[Ration]&amp;Règles_bovins[Aliment],0)),0),0)*IF(ChoixBovinsPréHiver=OUI,TotalVeauMâle_0_3_RacesLaitières,TotalBovinsMâles_0_3mois*NbreJoursNourrirBovins))</f>
        <v>0</v>
      </c>
      <c r="BJ217" s="352">
        <f t="shared" si="62"/>
        <v>0</v>
      </c>
      <c r="BK217" s="276"/>
      <c r="BL217" s="276"/>
      <c r="BX217" s="350" t="str">
        <f t="shared" si="63"/>
        <v>Paille</v>
      </c>
      <c r="BY217" s="351">
        <f t="array" ref="BY217">SUM((IF(QualitéAlimentsChevreau_0_3_mois=BONNE,VLOOKUP("Paille",AlimentsRationCaprinsMâles,5,FALSE),0)+(IF(QualitéAlimentsChevrette_0_3_mois=BONNE,VLOOKUP("Paille",AlimentsRationCaprinsFemelles,5,FALSE),0)+(IF(QualitéAlimentsChevreau_3_6_mois=BONNE,VLOOKUP("Paille",AlimentsRationCaprinsMâles,4,FALSE),0)+(IF(QualitéAlimentsChevrette_3_6_mois=BONNE,VLOOKUP("Paille",AlimentsRationCaprinsFemelles,4,FALSE),0)+(IF(QualitéAlimentsJeuneBouc=BONNE,VLOOKUP("Paille",AlimentsRationCaprinsMâles,3,FALSE),0)+(IF(QualitéAlimentsJeuneChèvre=BONNE,VLOOKUP("Paille",AlimentsRationCaprinsFemelles,3,FALSE),0)+(IF(QualitéAlimentsBouc=BONNE,VLOOKUP("Paille",AlimentsRationCaprinsMâles,2,FALSE),0)+(IF(QualitéAlimentsChèvre=BONNE,VLOOKUP("Paille",AlimentsRationCaprinsFemelles,2,FALSE),0))))))))))</f>
        <v>0</v>
      </c>
      <c r="BZ217" s="351">
        <f t="array" ref="BZ217">SUM((IF(QualitéAlimentsChevreau_0_3_mois=MOYENNE,VLOOKUP("Paille",AlimentsRationCaprinsMâles,5,FALSE),0)+(IF(QualitéAlimentsChevrette_0_3_mois=MOYENNE,VLOOKUP("Paille",AlimentsRationCaprinsFemelles,5,FALSE),0)+(IF(QualitéAlimentsChevreau_3_6_mois=MOYENNE,VLOOKUP("Paille",AlimentsRationCaprinsMâles,4,FALSE),0)+(IF(QualitéAlimentsChevrette_3_6_mois=MOYENNE,VLOOKUP("Paille",AlimentsRationCaprinsFemelles,4,FALSE),0)+(IF(QualitéAlimentsJeuneBouc=MOYENNE,VLOOKUP("Paille",AlimentsRationCaprinsMâles,3,FALSE),0)+(IF(QualitéAlimentsJeuneChèvre=MOYENNE,VLOOKUP("Paille",AlimentsRationCaprinsFemelles,3,FALSE),0)+(IF(QualitéAlimentsBouc=MOYENNE,VLOOKUP("Paille",AlimentsRationCaprinsMâles,2,FALSE),0)+(IF(QualitéAlimentsChèvre=MOYENNE,VLOOKUP("Paille",AlimentsRationCaprinsFemelles,2,FALSE),0))))))))))</f>
        <v>0</v>
      </c>
      <c r="CA217" s="351">
        <f t="array" ref="CA217">SUM((IF(QualitéAlimentsChevreau_0_3_mois=MAUVAISE,VLOOKUP("Paille",AlimentsRationCaprinsMâles,5,FALSE),0)+(IF(QualitéAlimentsChevrette_0_3_mois=MAUVAISE,VLOOKUP("Paille",AlimentsRationCaprinsFemelles,5,FALSE),0)+(IF(QualitéAlimentsChevreau_3_6_mois=MAUVAISE,VLOOKUP("Paille",AlimentsRationCaprinsMâles,4,FALSE),0)+(IF(QualitéAlimentsChevrette_3_6_mois=MAUVAISE,VLOOKUP("Paille",AlimentsRationCaprinsFemelles,4,FALSE),0)+(IF(QualitéAlimentsJeuneBouc=MAUVAISE,VLOOKUP("Paille",AlimentsRationCaprinsMâles,3,FALSE),0)+(IF(QualitéAlimentsJeuneChèvre=MAUVAISE,VLOOKUP("Paille",AlimentsRationCaprinsFemelles,3,FALSE),0)+(IF(QualitéAlimentsBouc=MAUVAISE,VLOOKUP("Paille",AlimentsRationCaprinsMâles,2,FALSE),0)+(IF(QualitéAlimentsChèvre=MAUVAISE,VLOOKUP("Paille",AlimentsRationCaprinsFemelles,2,FALSE),0)+LitièreCaprins[[#Totals],[Litière]])))))))))</f>
        <v>6480</v>
      </c>
      <c r="CB217" s="297"/>
      <c r="CC217" s="297"/>
      <c r="CD217" s="298"/>
      <c r="CE217" s="298"/>
      <c r="CF217" s="298"/>
      <c r="CG217" s="298"/>
      <c r="CH217" s="298"/>
      <c r="CI217" s="277"/>
      <c r="CK217" s="277"/>
      <c r="CL217" s="277"/>
      <c r="CM217" s="277"/>
      <c r="CN217" s="277"/>
      <c r="CO217" s="277"/>
      <c r="CP217" s="277"/>
      <c r="DN217" s="350" t="str">
        <f t="shared" si="61"/>
        <v>Ration complète</v>
      </c>
      <c r="DO217" s="351">
        <f t="array" ref="DO217">IF(ChoixRationComplèteOvins=OUI,0,IFERROR(IF(OR(AND(INDEX(Règles_ovins[Specificite],MATCH(ChoixRationOvins&amp;$DN217,Règles_ovins[Ration]&amp;Règles_ovins[Aliment],0))="s1",IF($DN217=Spécificité1Ovins,1)),
AND(INDEX(Règles_ovins[Specificite],MATCH(ChoixRationOvins&amp;$DN217,Règles_ovins[Ration]&amp;Règles_ovins[Aliment],0))="s2",IF($DN217=Spécificité2Ovins,1)),
INDEX(Règles_ovins[Specificite],MATCH(ChoixRationOvins&amp;$DN217,Règles_ovins[Ration]&amp;Règles_ovins[Aliment],0))="c"),
INDEX(Règles_ovins[Valeur 12 et plus],MATCH(ChoixRationOvins&amp;$DN217,Règles_ovins[Ration]&amp;Règles_ovins[Aliment],0)),0),0)*IF(ChoixOvinsPréHiver=OUI,SUM(TotalOvinsAdultesRacesLaitières)*NbreJoursNourrirOvins,TotalBrebis*NbreJoursNourrirOvins))</f>
        <v>0</v>
      </c>
      <c r="DP217" s="351">
        <f t="array" ref="DP217">IF(ChoixRationComplèteOvins=OUI,0,IFERROR(IF(OR(AND(INDEX(Règles_ovins[Specificite],MATCH(ChoixRationOvins&amp;$DN217,Règles_ovins[Ration]&amp;Règles_ovins[Aliment],0))="s1",IF($DN217=Spécificité1Ovins,1)),
AND(INDEX(Règles_ovins[Specificite],MATCH(ChoixRationOvins&amp;$DN217,Règles_ovins[Ration]&amp;Règles_ovins[Aliment],0))="s2",IF($DN217=Spécificité2Ovins,1)),
INDEX(Règles_ovins[Specificite],MATCH(ChoixRationOvins&amp;$DN217,Règles_ovins[Ration]&amp;Règles_ovins[Aliment],0))="c"),
INDEX(Règles_ovins[Valeur 6-12],MATCH(ChoixRationOvins&amp;$DN217,Règles_ovins[Ration]&amp;Règles_ovins[Aliment],0)),0),0)*IF(ChoixOvinsPréHiver=OUI,SUM(TotalJeunesOvinsRacesLaitières)*NbreJoursNourrirOvins,TotalJeune_brebis_6_12_mois*NbreJoursNourrirOvins))</f>
        <v>0</v>
      </c>
      <c r="DQ217" s="351">
        <f t="array" ref="DQ217">IF(ChoixRationComplèteOvins=OUI,0,IFERROR(IF(OR(AND(INDEX(Règles_ovins[Specificite],MATCH(ChoixRationOvins&amp;$DN217,Règles_ovins[Ration]&amp;Règles_ovins[Aliment],0))="s1",IF($DN217=Spécificité1Ovins,1)),
AND(INDEX(Règles_ovins[Specificite],MATCH(ChoixRationOvins&amp;$DN217,Règles_ovins[Ration]&amp;Règles_ovins[Aliment],0))="s2",IF($DN217=Spécificité2Ovins,1)),
INDEX(Règles_ovins[Specificite],MATCH(ChoixRationOvins&amp;$DN217,Règles_ovins[Ration]&amp;Règles_ovins[Aliment],0))="c"),
INDEX(Règles_ovins[Valeur 3-6],MATCH(ChoixRationOvins&amp;$DN217,Règles_ovins[Ration]&amp;Règles_ovins[Aliment],0)),0),0)*IF(ChoixOvinsPréHiver=OUI,SUM(TotalOvins_3_6moisRacesLaitières)*NbreJoursNourrirOvins,TotalAgnelle_3_6_mois*NbreJoursNourrirOvins))</f>
        <v>0</v>
      </c>
      <c r="DR217" s="351">
        <f t="array" ref="DR217">IF(ChoixRationComplèteOvins=OUI,0,IFERROR(IF(OR(AND(INDEX(Règles_ovins[Specificite],MATCH(ChoixRationOvins&amp;$DN217,Règles_ovins[Ration]&amp;Règles_ovins[Aliment],0))="s1",IF($DN217=Spécificité1Ovins,1)),
AND(INDEX(Règles_ovins[Specificite],MATCH(ChoixRationOvins&amp;$DN217,Règles_ovins[Ration]&amp;Règles_ovins[Aliment],0))="s2",IF($DN217=Spécificité2Ovins,1)),
INDEX(Règles_ovins[Specificite],MATCH(ChoixRationOvins&amp;$DN217,Règles_ovins[Ration]&amp;Règles_ovins[Aliment],0))="c"),
INDEX(Règles_ovins[Valeur 0-3],MATCH(ChoixRationOvins&amp;$DN217,Règles_ovins[Ration]&amp;Règles_ovins[Aliment],0)),0),0)*IF(ChoixOvinsPréHiver=OUI,SUM(TotalOvins_3_6moisRacesLaitières)*NbreJoursNourrirOvins,TotalAgnelle_0_3_mois*NbreJoursNourrirOvins))</f>
        <v>0</v>
      </c>
      <c r="DS217" s="441">
        <f t="shared" si="60"/>
        <v>0</v>
      </c>
      <c r="EU217" s="457" t="str">
        <f t="shared" si="66"/>
        <v>Foin</v>
      </c>
      <c r="EV217" s="458">
        <f t="array" ref="EV217">SUM((IF(QualitéAlimentsPoulainSelleMâle=BONNE,VLOOKUP("Foin",AlimentsRationEcurieChevauxMâlesSelle,5,FALSE),0)+(IF(QualitéAlimentsPoulainSelleFemelle=BONNE,VLOOKUP("Foin",AlimentsRationEcurieChevauxFemellesSelle,5,FALSE),0)+(IF(QualitéAlimentsJeuneEtalon_12_24_moisSelle=BONNE,VLOOKUP("Foin",AlimentsRationEcurieChevauxMâlesSelle,4,FALSE),0)+(IF(QualitéAlimentsJeuneJument_12_24_moisSelle=BONNE,VLOOKUP("Foin",AlimentsRationEcurieChevauxFemellesSelle,4,FALSE),0)+(IF(QualitéAlimentsJeuneEtalon_24_36_moisSelle=BONNE,VLOOKUP("Foin",AlimentsRationEcurieChevauxMâlesSelle,3,FALSE),0)+(IF(QualitéAlimentsJeuneJument_24_36_moisSelle=BONNE,VLOOKUP("Foin",AlimentsRationEcurieChevauxFemellesSelle,3,FALSE),0)+(IF(QualitéAlimentsEtalonSelle=BONNE,VLOOKUP("Foin",AlimentsRationEcurieChevauxMâlesSelle,2,FALSE),0)+(IF(QualitéAlimentsJumentSelle=BONNE,VLOOKUP("Foin",AlimentsRationEcurieChevauxFemellesSelle,2,FALSE),0))))))))))</f>
        <v>0</v>
      </c>
      <c r="EW217" s="458">
        <f t="array" ref="EW217">SUM((IF(QualitéAlimentsPoulainSelleMâle=MOYENNE,VLOOKUP("Foin",AlimentsRationEcurieChevauxMâlesSelle,5,FALSE),0)+(IF(QualitéAlimentsPoulainSelleFemelle=MOYENNE,VLOOKUP("Foin",AlimentsRationEcurieChevauxFemellesSelle,5,FALSE),0)+(IF(QualitéAlimentsJeuneEtalon_12_24_moisSelle=MOYENNE,VLOOKUP("Foin",AlimentsRationEcurieChevauxMâlesSelle,4,FALSE),0)+(IF(QualitéAlimentsJeuneJument_12_24_moisSelle=MOYENNE,VLOOKUP("Foin",AlimentsRationEcurieChevauxFemellesSelle,4,FALSE),0)+(IF(QualitéAlimentsJeuneEtalon_24_36_moisSelle=MOYENNE,VLOOKUP("Foin",AlimentsRationEcurieChevauxMâlesSelle,3,FALSE),0)+(IF(QualitéAlimentsJeuneJument_24_36_moisSelle=MOYENNE,VLOOKUP("Foin",AlimentsRationEcurieChevauxFemellesSelle,3,FALSE),0)+(IF(QualitéAlimentsEtalonSelle=MOYENNE,VLOOKUP("Foin",AlimentsRationEcurieChevauxMâlesSelle,2,FALSE),0)+(IF(QualitéAlimentsJumentSelle=MOYENNE,VLOOKUP("Foin",AlimentsRationEcurieChevauxFemellesSelle,2,FALSE),0))))))))))</f>
        <v>0</v>
      </c>
      <c r="EX217" s="458">
        <f t="array" ref="EX217">SUM((IF(QualitéAlimentsPoulainSelleMâle=MAUVAISE,VLOOKUP("Foin",AlimentsRationEcurieChevauxMâlesSelle,5,FALSE),0)+(IF(QualitéAlimentsPoulainSelleFemelle=MAUVAISE,VLOOKUP("Foin",AlimentsRationEcurieChevauxFemellesSelle,5,FALSE),0)+(IF(QualitéAlimentsJeuneEtalon_12_24_moisSelle=MAUVAISE,VLOOKUP("Foin",AlimentsRationEcurieChevauxMâlesSelle,4,FALSE),0)+(IF(QualitéAlimentsJeuneJument_12_24_moisSelle=MAUVAISE,VLOOKUP("Foin",AlimentsRationEcurieChevauxFemellesSelle,4,FALSE),0)+(IF(QualitéAlimentsJeuneEtalon_24_36_moisSelle=MAUVAISE,VLOOKUP("Foin",AlimentsRationEcurieChevauxMâlesSelle,3,FALSE),0)+(IF(QualitéAlimentsJeuneJument_24_36_moisSelle=MAUVAISE,VLOOKUP("Foin",AlimentsRationEcurieChevauxFemellesSelle,3,FALSE),0)+(IF(QualitéAlimentsEtalonSelle=MAUVAISE,VLOOKUP("Foin",AlimentsRationEcurieChevauxMâlesSelle,2,FALSE),0)+(IF(QualitéAlimentsJumentSelle=MAUVAISE,VLOOKUP("Foin",AlimentsRationEcurieChevauxFemellesSelle,2,FALSE),0))))))))))</f>
        <v>0</v>
      </c>
      <c r="FD217" s="457" t="str">
        <f t="shared" si="65"/>
        <v>Minéraux + vitamines</v>
      </c>
      <c r="FE217" s="458">
        <f t="array" ref="FE217">SUM((IF(QualitéAlimentsPoulainMâleTrait=BONNE,VLOOKUP("Minéraux + vitamines",AlimentsRationEcurieChevauxMâlesTrait,5,FALSE),0)+(IF(QualitéAlimentsPoulainFemelleTrait=BONNE,VLOOKUP("Minéraux + vitamines",AlimentsRationEcurieChevauxFemellesTrait,5,FALSE),0)+(IF(QualitéAlimentsJeuneEtalon_12_24_moisTrait=BONNE,VLOOKUP("Minéraux + vitamines",AlimentsRationEcurieChevauxMâlesTrait,4,FALSE),0)+(IF(QualitéAlimentsJeuneJument_12_24_moisTrait=BONNE,VLOOKUP("Minéraux + vitamines",AlimentsRationEcurieChevauxFemellesTrait,4,FALSE),0)+(IF(QualitéAlimentsJeuneEtalon_24_36_moisTrait=BONNE,VLOOKUP("Minéraux + vitamines",AlimentsRationEcurieChevauxMâlesTrait,3,FALSE),0)+(IF(QualitéAlimentsJeuneJument_24_36_moisTrait=BONNE,VLOOKUP("Minéraux + vitamines",AlimentsRationEcurieChevauxFemellesTrait,3,FALSE),0)+(IF(QualitéAlimentsEtalonTrait=BONNE,VLOOKUP("Minéraux + vitamines",AlimentsRationEcurieChevauxMâlesTrait,2,FALSE),0)+(IF(QualitéAlimentsJumentTrait=BONNE,VLOOKUP("Minéraux + vitamines",AlimentsRationEcurieChevauxFemellesTrait,2,FALSE),0))))))))))</f>
        <v>0</v>
      </c>
      <c r="FF217" s="458">
        <f t="array" ref="FF217">SUM((IF(QualitéAlimentsPoulainMâleTrait=MOYENNE,VLOOKUP("Minéraux + vitamines",AlimentsRationEcurieChevauxMâlesTrait,5,FALSE),0)+(IF(QualitéAlimentsPoulainFemelleTrait=MOYENNE,VLOOKUP("Minéraux + vitamines",AlimentsRationEcurieChevauxFemellesTrait,5,FALSE),0)+(IF(QualitéAlimentsJeuneEtalon_12_24_moisTrait=MOYENNE,VLOOKUP("Minéraux + vitamines",AlimentsRationEcurieChevauxMâlesTrait,4,FALSE),0)+(IF(QualitéAlimentsJeuneJument_12_24_moisTrait=MOYENNE,VLOOKUP("Minéraux + vitamines",AlimentsRationEcurieChevauxFemellesTrait,4,FALSE),0)+(IF(QualitéAlimentsJeuneEtalon_24_36_moisTrait=MOYENNE,VLOOKUP("Minéraux + vitamines",AlimentsRationEcurieChevauxMâlesTrait,3,FALSE),0)+(IF(QualitéAlimentsJeuneJument_24_36_moisTrait=MOYENNE,VLOOKUP("Minéraux + vitamines",AlimentsRationEcurieChevauxFemellesTrait,3,FALSE),0)+(IF(QualitéAlimentsEtalonTrait=MOYENNE,VLOOKUP("Minéraux + vitamines",AlimentsRationEcurieChevauxMâlesTrait,2,FALSE),0)+(IF(QualitéAlimentsJumentTrait=MOYENNE,VLOOKUP("Minéraux + vitamines",AlimentsRationEcurieChevauxFemellesTrait,2,FALSE),0))))))))))</f>
        <v>0</v>
      </c>
      <c r="FG217" s="458">
        <f t="array" ref="FG217">SUM((IF(QualitéAlimentsPoulainMâleTrait=MAUVAISE,VLOOKUP("Minéraux + vitamines",AlimentsRationEcurieChevauxMâlesTrait,5,FALSE),0)+(IF(QualitéAlimentsPoulainFemelleTrait=MAUVAISE,VLOOKUP("Minéraux + vitamines",AlimentsRationEcurieChevauxFemellesTrait,5,FALSE),0)+(IF(QualitéAlimentsJeuneEtalon_12_24_moisTrait=MAUVAISE,VLOOKUP("Minéraux + vitamines",AlimentsRationEcurieChevauxMâlesTrait,4,FALSE),0)+(IF(QualitéAlimentsJeuneJument_12_24_moisTrait=MAUVAISE,VLOOKUP("Minéraux + vitamines",AlimentsRationEcurieChevauxFemellesTrait,4,FALSE),0)+(IF(QualitéAlimentsJeuneEtalon_24_36_moisTrait=MAUVAISE,VLOOKUP("Minéraux + vitamines",AlimentsRationEcurieChevauxMâlesTrait,3,FALSE),0)+(IF(QualitéAlimentsJeuneJument_24_36_moisTrait=MAUVAISE,VLOOKUP("Minéraux + vitamines",AlimentsRationEcurieChevauxFemellesTrait,3,FALSE),0)+(IF(QualitéAlimentsEtalonTrait=MAUVAISE,VLOOKUP("Minéraux + vitamines",AlimentsRationEcurieChevauxMâlesTrait,2,FALSE),0)+(IF(QualitéAlimentsJumentTrait=MAUVAISE,VLOOKUP("Minéraux + vitamines",AlimentsRationEcurieChevauxFemellesTrait,2,FALSE),0))))))))))</f>
        <v>0</v>
      </c>
      <c r="FI217" s="276"/>
      <c r="FN217" s="457" t="str">
        <f t="shared" si="64"/>
        <v>Orge</v>
      </c>
      <c r="FO217" s="458">
        <f t="array" ref="FO217">SUM((IF(QualitéAlimentsPoulainMâlePoney=BONNE,VLOOKUP("Orge",AlimentsRationChevauxMâlesPoney,5,FALSE),0)+(IF(QualitéAlimentsPoulainFemellePoney=BONNE,VLOOKUP("Orge",AlimentsRationChevauxFemellesPoney,5,FALSE),0)+(IF(QualitéAlimentsJeuneEtalon_12_24_moisPoney=BONNE,VLOOKUP("Orge",AlimentsRationChevauxMâlesPoney,4,FALSE),0)+(IF(QualitéAlimentsJeuneJument_12_24_moisPoney=BONNE,VLOOKUP("Orge",AlimentsRationChevauxFemellesPoney,4,FALSE),0)+(IF(QualitéAlimentsJeuneEtalon_24_36_moisPoney=BONNE,VLOOKUP("Orge",AlimentsRationChevauxMâlesPoney,3,FALSE),0)+(IF(QualitéAlimentsJeuneJument_24_36_moisPoney=BONNE,VLOOKUP("Orge",AlimentsRationChevauxFemellesPoney,3,FALSE),0)+(IF(QualitéAlimentsEtalonPoney=BONNE,VLOOKUP("Orge",AlimentsRationChevauxMâlesPoney,2,FALSE),0)+(IF(QualitéAlimentsJumentPoney=BONNE,VLOOKUP("Orge",AlimentsRationChevauxFemellesPoney,2,FALSE),0))))))))))</f>
        <v>0</v>
      </c>
      <c r="FP217" s="458">
        <f t="array" ref="FP217">SUM((IF(QualitéAlimentsPoulainMâlePoney=MOYENNE,VLOOKUP("Orge",AlimentsRationChevauxMâlesPoney,5,FALSE),0)+(IF(QualitéAlimentsPoulainFemellePoney=MOYENNE,VLOOKUP("Orge",AlimentsRationChevauxFemellesPoney,5,FALSE),0)+(IF(QualitéAlimentsJeuneEtalon_12_24_moisPoney=MOYENNE,VLOOKUP("Orge",AlimentsRationChevauxMâlesPoney,4,FALSE),0)+(IF(QualitéAlimentsJeuneJument_12_24_moisPoney=MOYENNE,VLOOKUP("Orge",AlimentsRationChevauxFemellesPoney,4,FALSE),0)+(IF(QualitéAlimentsJeuneEtalon_24_36_moisPoney=MOYENNE,VLOOKUP("Orge",AlimentsRationChevauxMâlesPoney,3,FALSE),0)+(IF(QualitéAlimentsJeuneJument_24_36_moisPoney=MOYENNE,VLOOKUP("Orge",AlimentsRationChevauxFemellesPoney,3,FALSE),0)+(IF(QualitéAlimentsEtalonPoney=MOYENNE,VLOOKUP("Orge",AlimentsRationChevauxMâlesPoney,2,FALSE),0)+(IF(QualitéAlimentsJumentPoney=MOYENNE,VLOOKUP("Orge",AlimentsRationChevauxFemellesPoney,2,FALSE),0))))))))))</f>
        <v>0</v>
      </c>
      <c r="FQ217" s="458">
        <f t="array" ref="FQ217">SUM((IF(QualitéAlimentsPoulainMâlePoney=MAUVAISE,VLOOKUP("Orge",AlimentsRationChevauxMâlesPoney,5,FALSE),0)+(IF(QualitéAlimentsPoulainFemellePoney=MAUVAISE,VLOOKUP("Orge",AlimentsRationChevauxFemellesPoney,5,FALSE),0)+(IF(QualitéAlimentsJeuneEtalon_12_24_moisPoney=MAUVAISE,VLOOKUP("Orge",AlimentsRationChevauxMâlesPoney,4,FALSE),0)+(IF(QualitéAlimentsJeuneJument_12_24_moisPoney=MAUVAISE,VLOOKUP("Orge",AlimentsRationChevauxFemellesPoney,4,FALSE),0)+(IF(QualitéAlimentsJeuneEtalon_24_36_moisPoney=MAUVAISE,VLOOKUP("Orge",AlimentsRationChevauxMâlesPoney,3,FALSE),0)+(IF(QualitéAlimentsJeuneJument_24_36_moisPoney=MAUVAISE,VLOOKUP("Orge",AlimentsRationChevauxFemellesPoney,3,FALSE),0)+(IF(QualitéAlimentsEtalonPoney=MAUVAISE,VLOOKUP("Orge",AlimentsRationChevauxMâlesPoney,2,FALSE),0)+(IF(QualitéAlimentsJumentPoney=MAUVAISE,VLOOKUP("Orge",AlimentsRationChevauxFemellesPoney,2,FALSE),0))))))))))</f>
        <v>0</v>
      </c>
      <c r="FR217" s="281"/>
      <c r="GG217" s="276" t="s">
        <v>955</v>
      </c>
      <c r="GH217" s="276" t="s">
        <v>955</v>
      </c>
      <c r="GI217" s="276" t="s">
        <v>955</v>
      </c>
      <c r="GJ217" s="276" t="s">
        <v>955</v>
      </c>
      <c r="GK217" s="276" t="s">
        <v>955</v>
      </c>
      <c r="GL217" s="276" t="s">
        <v>955</v>
      </c>
      <c r="GM217" s="276" t="s">
        <v>955</v>
      </c>
      <c r="GN217" s="276" t="s">
        <v>955</v>
      </c>
      <c r="GO217" s="276" t="s">
        <v>955</v>
      </c>
      <c r="GP217" s="276" t="s">
        <v>955</v>
      </c>
      <c r="GQ217" s="276" t="s">
        <v>955</v>
      </c>
      <c r="GR217" s="276" t="s">
        <v>955</v>
      </c>
      <c r="GS217" s="276" t="s">
        <v>955</v>
      </c>
      <c r="GT217" s="276" t="s">
        <v>955</v>
      </c>
      <c r="GU217" s="276" t="s">
        <v>955</v>
      </c>
      <c r="GV217" s="276" t="s">
        <v>955</v>
      </c>
    </row>
    <row r="218" spans="1:204" ht="12.75" customHeight="1" x14ac:dyDescent="0.2">
      <c r="A218" s="276"/>
      <c r="B218" s="276"/>
      <c r="BB218" s="350" t="s">
        <v>906</v>
      </c>
      <c r="BC218" s="351">
        <f t="array" ref="BC218">IF(Ration_complète_bovins[somme]&gt;0,0,IFERROR(IF(OR(AND(INDEX(Règles_bovins[Specificite],MATCH(ChoixRationBovins&amp;$BB218,Règles_bovins[Ration]&amp;Règles_bovins[Aliment],0))="s1",IF($BB218=Spécificité1Bovins,1)),
AND(INDEX(Règles_bovins[Specificite],MATCH(ChoixRationBovins&amp;$BB218,Règles_bovins[Ration]&amp;Règles_bovins[Aliment],0))="s2",IF($BB218=Spécificité2Bovins,1)),
INDEX(Règles_bovins[Specificite],MATCH(ChoixRationBovins&amp;$BB218,Règles_bovins[Ration]&amp;Règles_bovins[Aliment],0))="c"),
INDEX(Règles_bovins[Valeur 36 et plus],MATCH(ChoixRationBovins&amp;$BB218,Règles_bovins[Ration]&amp;Règles_bovins[Aliment],0)),0),0)*IF(ChoixBovinsPréHiver=OUI,TotalTaureauxRacesLaitières,TotalTaureaux*NbreJoursNourrirBovins))</f>
        <v>0</v>
      </c>
      <c r="BD218" s="351">
        <f t="array" ref="BD218">IF(Ration_complète_bovins[somme]&gt;0,0,IFERROR(IF(OR(AND(INDEX(Règles_bovins[Specificite],MATCH(ChoixRationBovins&amp;$BB218,Règles_bovins[Ration]&amp;Règles_bovins[Aliment],0))="s1",IF($BB218=Spécificité1Bovins,1)),
AND(INDEX(Règles_bovins[Specificite],MATCH(ChoixRationBovins&amp;$BB218,Règles_bovins[Ration]&amp;Règles_bovins[Aliment],0))="s2",IF($BB218=Spécificité2Bovins,1)),
INDEX(Règles_bovins[Specificite],MATCH(ChoixRationBovins&amp;$BB218,Règles_bovins[Ration]&amp;Règles_bovins[Aliment],0))="c"),
INDEX(Règles_bovins[Valeur 24-36],MATCH(ChoixRationBovins&amp;$BB218,Règles_bovins[Ration]&amp;Règles_bovins[Aliment],0)),0),0)*IF(ChoixBovinsPréHiver=OUI,TotalTaurillon_24_36_RacesLaitières,TotalBovinsMâles_24_36mois*NbreJoursNourrirBovins))</f>
        <v>0</v>
      </c>
      <c r="BE218" s="351">
        <f t="array" ref="BE218">IF(Ration_complète_bovins[somme]&gt;0,0,IFERROR(IF(OR(AND(INDEX(Règles_bovins[Specificite],MATCH(ChoixRationBovins&amp;$BB218,Règles_bovins[Ration]&amp;Règles_bovins[Aliment],0))="s1",IF($BB218=Spécificité1Bovins,1)),
AND(INDEX(Règles_bovins[Specificite],MATCH(ChoixRationBovins&amp;$BB218,Règles_bovins[Ration]&amp;Règles_bovins[Aliment],0))="s2",IF($BB218=Spécificité2Bovins,1)),
INDEX(Règles_bovins[Specificite],MATCH(ChoixRationBovins&amp;$BB218,Règles_bovins[Ration]&amp;Règles_bovins[Aliment],0))="c"),
INDEX(Règles_bovins[Valeur 18-24],MATCH(ChoixRationBovins&amp;$BB218,Règles_bovins[Ration]&amp;Règles_bovins[Aliment],0)),0),0)*IF(ChoixBovinsPréHiver=OUI,TotalTaurillon_18_24_RacesLaitières,TotalBovinsMâles_18_24mois*NbreJoursNourrirBovins))</f>
        <v>0</v>
      </c>
      <c r="BF218" s="351">
        <f t="array" ref="BF218">IF(Ration_complète_bovins[somme]&gt;0,0,IFERROR(IF(OR(AND(INDEX(Règles_bovins[Specificite],MATCH(ChoixRationBovins&amp;$BB218,Règles_bovins[Ration]&amp;Règles_bovins[Aliment],0))="s1",IF($BB218=Spécificité1Bovins,1)),
AND(INDEX(Règles_bovins[Specificite],MATCH(ChoixRationBovins&amp;$BB218,Règles_bovins[Ration]&amp;Règles_bovins[Aliment],0))="s2",IF($BB218=Spécificité2Bovins,1)),
INDEX(Règles_bovins[Specificite],MATCH(ChoixRationBovins&amp;$BB218,Règles_bovins[Ration]&amp;Règles_bovins[Aliment],0))="c"),
INDEX(Règles_bovins[Valeur 12-18],MATCH(ChoixRationBovins&amp;$BB218,Règles_bovins[Ration]&amp;Règles_bovins[Aliment],0)),0),0)*IF(ChoixBovinsPréHiver=OUI,animaux!D41,TotalBovinsMâles_12_18mois*NbreJoursNourrirBovins))</f>
        <v>0</v>
      </c>
      <c r="BG218" s="351">
        <f t="array" ref="BG218">IF(Ration_complète_bovins[somme]&gt;0,0,IFERROR(IF(OR(AND(INDEX(Règles_bovins[Specificite],MATCH(ChoixRationBovins&amp;$BB218,Règles_bovins[Ration]&amp;Règles_bovins[Aliment],0))="s1",IF($BB218=Spécificité1Bovins,1)),
AND(INDEX(Règles_bovins[Specificite],MATCH(ChoixRationBovins&amp;$BB218,Règles_bovins[Ration]&amp;Règles_bovins[Aliment],0))="s2",IF($BB218=Spécificité2Bovins,1)),
INDEX(Règles_bovins[Specificite],MATCH(ChoixRationBovins&amp;$BB218,Règles_bovins[Ration]&amp;Règles_bovins[Aliment],0))="c"),
INDEX(Règles_bovins[Valeur 6-12],MATCH(ChoixRationBovins&amp;$BB218,Règles_bovins[Ration]&amp;Règles_bovins[Aliment],0)),0),0)*IF(ChoixBovinsPréHiver=OUI,TotalVeauMâle_6_12_RacesLaitières,TotalBovinsMâles_6_12mois*NbreJoursNourrirBovins))</f>
        <v>0</v>
      </c>
      <c r="BH218" s="351">
        <f t="array" ref="BH218">IF(Ration_complète_bovins[somme]&gt;0,0,IFERROR(IF(OR(AND(INDEX(Règles_bovins[Specificite],MATCH(ChoixRationBovins&amp;$BB218,Règles_bovins[Ration]&amp;Règles_bovins[Aliment],0))="s1",IF($BB218=Spécificité1Bovins,1)),
AND(INDEX(Règles_bovins[Specificite],MATCH(ChoixRationBovins&amp;$BB218,Règles_bovins[Ration]&amp;Règles_bovins[Aliment],0))="s2",IF($BB218=Spécificité2Bovins,1)),
INDEX(Règles_bovins[Specificite],MATCH(ChoixRationBovins&amp;$BB218,Règles_bovins[Ration]&amp;Règles_bovins[Aliment],0))="c"),
INDEX(Règles_bovins[Valeur 3-6],MATCH(ChoixRationBovins&amp;$BB218,Règles_bovins[Ration]&amp;Règles_bovins[Aliment],0)),0),0)*IF(ChoixBovinsPréHiver=OUI,TotalVeauMâle_3_6_RacesLaitières,TotalBovinsMâles_3_6mois*NbreJoursNourrirBovins))</f>
        <v>0</v>
      </c>
      <c r="BI218" s="351">
        <f t="array" ref="BI218">IF(Ration_complète_bovins[somme]&gt;0,0,IFERROR(IF(OR(AND(INDEX(Règles_bovins[Specificite],MATCH(ChoixRationBovins&amp;$BB218,Règles_bovins[Ration]&amp;Règles_bovins[Aliment],0))="s1",IF($BB218=Spécificité1Bovins,1)),
AND(INDEX(Règles_bovins[Specificite],MATCH(ChoixRationBovins&amp;$BB218,Règles_bovins[Ration]&amp;Règles_bovins[Aliment],0))="s2",IF($BB218=Spécificité2Bovins,1)),
INDEX(Règles_bovins[Specificite],MATCH(ChoixRationBovins&amp;$BB218,Règles_bovins[Ration]&amp;Règles_bovins[Aliment],0))="c"),
INDEX(Règles_bovins[Valeur 0-3],MATCH(ChoixRationBovins&amp;$BB218,Règles_bovins[Ration]&amp;Règles_bovins[Aliment],0)),0),0)*IF(ChoixBovinsPréHiver=OUI,TotalVeauMâle_0_3_RacesLaitières,TotalBovinsMâles_0_3mois*NbreJoursNourrirBovins))</f>
        <v>0</v>
      </c>
      <c r="BJ218" s="352">
        <f t="shared" si="62"/>
        <v>0</v>
      </c>
      <c r="BK218" s="276"/>
      <c r="BL218" s="276"/>
      <c r="BX218" s="350" t="str">
        <f t="shared" si="63"/>
        <v>Pois</v>
      </c>
      <c r="BY218" s="351">
        <f t="array" ref="BY218">SUM((IF(QualitéAlimentsChevreau_0_3_mois=BONNE,VLOOKUP("Pois",AlimentsRationCaprinsMâles,5,FALSE),0)+(IF(QualitéAlimentsChevrette_0_3_mois=BONNE,VLOOKUP("Pois",AlimentsRationCaprinsFemelles,5,FALSE),0)+(IF(QualitéAlimentsChevreau_3_6_mois=BONNE,VLOOKUP("Pois",AlimentsRationCaprinsMâles,4,FALSE),0)+(IF(QualitéAlimentsChevrette_3_6_mois=BONNE,VLOOKUP("Pois",AlimentsRationCaprinsFemelles,4,FALSE),0)+(IF(QualitéAlimentsJeuneBouc=BONNE,VLOOKUP("Pois",AlimentsRationCaprinsMâles,3,FALSE),0)+(IF(QualitéAlimentsJeuneChèvre=BONNE,VLOOKUP("Pois",AlimentsRationCaprinsFemelles,3,FALSE),0)+(IF(QualitéAlimentsBouc=BONNE,VLOOKUP("Pois",AlimentsRationCaprinsMâles,2,FALSE),0)+(IF(QualitéAlimentsChèvre=BONNE,VLOOKUP("Pois",AlimentsRationCaprinsFemelles,2,FALSE),0))))))))))</f>
        <v>0</v>
      </c>
      <c r="BZ218" s="351">
        <f t="array" ref="BZ218">SUM((IF(QualitéAlimentsChevreau_0_3_mois=MOYENNE,VLOOKUP("Pois",AlimentsRationCaprinsMâles,5,FALSE),0)+(IF(QualitéAlimentsChevrette_0_3_mois=MOYENNE,VLOOKUP("Pois",AlimentsRationCaprinsFemelles,5,FALSE),0)+(IF(QualitéAlimentsChevreau_3_6_mois=MOYENNE,VLOOKUP("Pois",AlimentsRationCaprinsMâles,4,FALSE),0)+(IF(QualitéAlimentsChevrette_3_6_mois=MOYENNE,VLOOKUP("Pois",AlimentsRationCaprinsFemelles,4,FALSE),0)+(IF(QualitéAlimentsJeuneBouc=MOYENNE,VLOOKUP("Pois",AlimentsRationCaprinsMâles,3,FALSE),0)+(IF(QualitéAlimentsJeuneChèvre=MOYENNE,VLOOKUP("Pois",AlimentsRationCaprinsFemelles,3,FALSE),0)+(IF(QualitéAlimentsBouc=MOYENNE,VLOOKUP("Pois",AlimentsRationCaprinsMâles,2,FALSE),0)+(IF(QualitéAlimentsChèvre=MOYENNE,VLOOKUP("Pois",AlimentsRationCaprinsFemelles,2,FALSE),0))))))))))</f>
        <v>0</v>
      </c>
      <c r="CA218" s="351">
        <f t="array" ref="CA218">SUM((IF(QualitéAlimentsChevreau_0_3_mois=MAUVAISE,VLOOKUP("Pois",AlimentsRationCaprinsMâles,5,FALSE),0)+(IF(QualitéAlimentsChevrette_0_3_mois=MAUVAISE,VLOOKUP("Pois",AlimentsRationCaprinsFemelles,5,FALSE),0)+(IF(QualitéAlimentsChevreau_3_6_mois=MAUVAISE,VLOOKUP("Pois",AlimentsRationCaprinsMâles,4,FALSE),0)+(IF(QualitéAlimentsChevrette_3_6_mois=MAUVAISE,VLOOKUP("Pois",AlimentsRationCaprinsFemelles,4,FALSE),0)+(IF(QualitéAlimentsJeuneBouc=MAUVAISE,VLOOKUP("Pois",AlimentsRationCaprinsMâles,3,FALSE),0)+(IF(QualitéAlimentsJeuneChèvre=MAUVAISE,VLOOKUP("Pois",AlimentsRationCaprinsFemelles,3,FALSE),0)+(IF(QualitéAlimentsBouc=MAUVAISE,VLOOKUP("Pois",AlimentsRationCaprinsMâles,2,FALSE),0)+(IF(QualitéAlimentsChèvre=MAUVAISE,VLOOKUP("Pois",AlimentsRationCaprinsFemelles,2,FALSE),0))))))))))</f>
        <v>0</v>
      </c>
      <c r="CB218" s="277"/>
      <c r="CC218" s="277"/>
      <c r="CD218" s="298"/>
      <c r="CE218" s="298"/>
      <c r="CF218" s="298"/>
      <c r="CG218" s="298"/>
      <c r="CH218" s="298"/>
      <c r="CI218" s="277"/>
      <c r="CK218" s="277"/>
      <c r="CL218" s="277"/>
      <c r="CM218" s="277"/>
      <c r="CN218" s="277"/>
      <c r="CO218" s="277"/>
      <c r="CP218" s="277"/>
      <c r="DN218" s="350" t="str">
        <f t="shared" si="61"/>
        <v>Seigle</v>
      </c>
      <c r="DO218" s="351">
        <f t="array" ref="DO218">IF(ChoixRationComplèteOvins=OUI,0,IFERROR(IF(OR(AND(INDEX(Règles_ovins[Specificite],MATCH(ChoixRationOvins&amp;$DN218,Règles_ovins[Ration]&amp;Règles_ovins[Aliment],0))="s1",IF($DN218=Spécificité1Ovins,1)),
AND(INDEX(Règles_ovins[Specificite],MATCH(ChoixRationOvins&amp;$DN218,Règles_ovins[Ration]&amp;Règles_ovins[Aliment],0))="s2",IF($DN218=Spécificité2Ovins,1)),
INDEX(Règles_ovins[Specificite],MATCH(ChoixRationOvins&amp;$DN218,Règles_ovins[Ration]&amp;Règles_ovins[Aliment],0))="c"),
INDEX(Règles_ovins[Valeur 12 et plus],MATCH(ChoixRationOvins&amp;$DN218,Règles_ovins[Ration]&amp;Règles_ovins[Aliment],0)),0),0)*IF(ChoixOvinsPréHiver=OUI,SUM(TotalOvinsAdultesRacesLaitières)*NbreJoursNourrirOvins,TotalBrebis*NbreJoursNourrirOvins))</f>
        <v>0</v>
      </c>
      <c r="DP218" s="351">
        <f t="array" ref="DP218">IF(ChoixRationComplèteOvins=OUI,0,IFERROR(IF(OR(AND(INDEX(Règles_ovins[Specificite],MATCH(ChoixRationOvins&amp;$DN218,Règles_ovins[Ration]&amp;Règles_ovins[Aliment],0))="s1",IF($DN218=Spécificité1Ovins,1)),
AND(INDEX(Règles_ovins[Specificite],MATCH(ChoixRationOvins&amp;$DN218,Règles_ovins[Ration]&amp;Règles_ovins[Aliment],0))="s2",IF($DN218=Spécificité2Ovins,1)),
INDEX(Règles_ovins[Specificite],MATCH(ChoixRationOvins&amp;$DN218,Règles_ovins[Ration]&amp;Règles_ovins[Aliment],0))="c"),
INDEX(Règles_ovins[Valeur 6-12],MATCH(ChoixRationOvins&amp;$DN218,Règles_ovins[Ration]&amp;Règles_ovins[Aliment],0)),0),0)*IF(ChoixOvinsPréHiver=OUI,SUM(TotalJeunesOvinsRacesLaitières)*NbreJoursNourrirOvins,TotalJeune_brebis_6_12_mois*NbreJoursNourrirOvins))</f>
        <v>0</v>
      </c>
      <c r="DQ218" s="351">
        <f t="array" ref="DQ218">IF(ChoixRationComplèteOvins=OUI,0,IFERROR(IF(OR(AND(INDEX(Règles_ovins[Specificite],MATCH(ChoixRationOvins&amp;$DN218,Règles_ovins[Ration]&amp;Règles_ovins[Aliment],0))="s1",IF($DN218=Spécificité1Ovins,1)),
AND(INDEX(Règles_ovins[Specificite],MATCH(ChoixRationOvins&amp;$DN218,Règles_ovins[Ration]&amp;Règles_ovins[Aliment],0))="s2",IF($DN218=Spécificité2Ovins,1)),
INDEX(Règles_ovins[Specificite],MATCH(ChoixRationOvins&amp;$DN218,Règles_ovins[Ration]&amp;Règles_ovins[Aliment],0))="c"),
INDEX(Règles_ovins[Valeur 3-6],MATCH(ChoixRationOvins&amp;$DN218,Règles_ovins[Ration]&amp;Règles_ovins[Aliment],0)),0),0)*IF(ChoixOvinsPréHiver=OUI,SUM(TotalOvins_3_6moisRacesLaitières)*NbreJoursNourrirOvins,TotalAgnelle_3_6_mois*NbreJoursNourrirOvins))</f>
        <v>0</v>
      </c>
      <c r="DR218" s="351">
        <f t="array" ref="DR218">IF(ChoixRationComplèteOvins=OUI,0,IFERROR(IF(OR(AND(INDEX(Règles_ovins[Specificite],MATCH(ChoixRationOvins&amp;$DN218,Règles_ovins[Ration]&amp;Règles_ovins[Aliment],0))="s1",IF($DN218=Spécificité1Ovins,1)),
AND(INDEX(Règles_ovins[Specificite],MATCH(ChoixRationOvins&amp;$DN218,Règles_ovins[Ration]&amp;Règles_ovins[Aliment],0))="s2",IF($DN218=Spécificité2Ovins,1)),
INDEX(Règles_ovins[Specificite],MATCH(ChoixRationOvins&amp;$DN218,Règles_ovins[Ration]&amp;Règles_ovins[Aliment],0))="c"),
INDEX(Règles_ovins[Valeur 0-3],MATCH(ChoixRationOvins&amp;$DN218,Règles_ovins[Ration]&amp;Règles_ovins[Aliment],0)),0),0)*IF(ChoixOvinsPréHiver=OUI,SUM(TotalOvins_3_6moisRacesLaitières)*NbreJoursNourrirOvins,TotalAgnelle_0_3_mois*NbreJoursNourrirOvins))</f>
        <v>0</v>
      </c>
      <c r="DS218" s="441">
        <f t="shared" si="60"/>
        <v>0</v>
      </c>
      <c r="EU218" s="457" t="str">
        <f t="shared" si="66"/>
        <v>Haricot vert</v>
      </c>
      <c r="EV218" s="458">
        <f t="array" ref="EV218">SUM((IF(QualitéAlimentsPoulainSelleMâle=BONNE,VLOOKUP("Haricot vert",AlimentsRationEcurieChevauxMâlesSelle,5,FALSE),0)+(IF(QualitéAlimentsPoulainSelleFemelle=BONNE,VLOOKUP("Haricot vert",AlimentsRationEcurieChevauxFemellesSelle,5,FALSE),0)+(IF(QualitéAlimentsJeuneEtalon_12_24_moisSelle=BONNE,VLOOKUP("Haricot vert",AlimentsRationEcurieChevauxMâlesSelle,4,FALSE),0)+(IF(QualitéAlimentsJeuneJument_12_24_moisSelle=BONNE,VLOOKUP("Haricot vert",AlimentsRationEcurieChevauxFemellesSelle,4,FALSE),0)+(IF(QualitéAlimentsJeuneEtalon_24_36_moisSelle=BONNE,VLOOKUP("Haricot vert",AlimentsRationEcurieChevauxMâlesSelle,3,FALSE),0)+(IF(QualitéAlimentsJeuneJument_24_36_moisSelle=BONNE,VLOOKUP("Haricot vert",AlimentsRationEcurieChevauxFemellesSelle,3,FALSE),0)+(IF(QualitéAlimentsEtalonSelle=BONNE,VLOOKUP("Haricot vert",AlimentsRationEcurieChevauxMâlesSelle,2,FALSE),0)+(IF(QualitéAlimentsJumentSelle=BONNE,VLOOKUP("Haricot vert",AlimentsRationEcurieChevauxFemellesSelle,2,FALSE),0))))))))))</f>
        <v>0</v>
      </c>
      <c r="EW218" s="458">
        <f t="array" ref="EW218">SUM((IF(QualitéAlimentsPoulainSelleMâle=MOYENNE,VLOOKUP("Haricot vert",AlimentsRationEcurieChevauxMâlesSelle,5,FALSE),0)+(IF(QualitéAlimentsPoulainSelleFemelle=MOYENNE,VLOOKUP("Haricot vert",AlimentsRationEcurieChevauxFemellesSelle,5,FALSE),0)+(IF(QualitéAlimentsJeuneEtalon_12_24_moisSelle=MOYENNE,VLOOKUP("Haricot vert",AlimentsRationEcurieChevauxMâlesSelle,4,FALSE),0)+(IF(QualitéAlimentsJeuneJument_12_24_moisSelle=MOYENNE,VLOOKUP("Haricot vert",AlimentsRationEcurieChevauxFemellesSelle,4,FALSE),0)+(IF(QualitéAlimentsJeuneEtalon_24_36_moisSelle=MOYENNE,VLOOKUP("Haricot vert",AlimentsRationEcurieChevauxMâlesSelle,3,FALSE),0)+(IF(QualitéAlimentsJeuneJument_24_36_moisSelle=MOYENNE,VLOOKUP("Haricot vert",AlimentsRationEcurieChevauxFemellesSelle,3,FALSE),0)+(IF(QualitéAlimentsEtalonSelle=MOYENNE,VLOOKUP("Haricot vert",AlimentsRationEcurieChevauxMâlesSelle,2,FALSE),0)+(IF(QualitéAlimentsJumentSelle=MOYENNE,VLOOKUP("Haricot vert",AlimentsRationEcurieChevauxFemellesSelle,2,FALSE),0))))))))))</f>
        <v>0</v>
      </c>
      <c r="EX218" s="458">
        <f t="array" ref="EX218">SUM((IF(QualitéAlimentsPoulainSelleMâle=MAUVAISE,VLOOKUP("Haricot vert",AlimentsRationEcurieChevauxMâlesSelle,5,FALSE),0)+(IF(QualitéAlimentsPoulainSelleFemelle=MAUVAISE,VLOOKUP("Haricot vert",AlimentsRationEcurieChevauxFemellesSelle,5,FALSE),0)+(IF(QualitéAlimentsJeuneEtalon_12_24_moisSelle=MAUVAISE,VLOOKUP("Haricot vert",AlimentsRationEcurieChevauxMâlesSelle,4,FALSE),0)+(IF(QualitéAlimentsJeuneJument_12_24_moisSelle=MAUVAISE,VLOOKUP("Haricot vert",AlimentsRationEcurieChevauxFemellesSelle,4,FALSE),0)+(IF(QualitéAlimentsJeuneEtalon_24_36_moisSelle=MAUVAISE,VLOOKUP("Haricot vert",AlimentsRationEcurieChevauxMâlesSelle,3,FALSE),0)+(IF(QualitéAlimentsJeuneJument_24_36_moisSelle=MAUVAISE,VLOOKUP("Haricot vert",AlimentsRationEcurieChevauxFemellesSelle,3,FALSE),0)+(IF(QualitéAlimentsEtalonSelle=MAUVAISE,VLOOKUP("Haricot vert",AlimentsRationEcurieChevauxMâlesSelle,2,FALSE),0)+(IF(QualitéAlimentsJumentSelle=MAUVAISE,VLOOKUP("Haricot vert",AlimentsRationEcurieChevauxFemellesSelle,2,FALSE),0))))))))))</f>
        <v>0</v>
      </c>
      <c r="FD218" s="457" t="str">
        <f t="shared" si="65"/>
        <v>Orge</v>
      </c>
      <c r="FE218" s="458">
        <f t="array" ref="FE218">SUM((IF(QualitéAlimentsPoulainMâleTrait=BONNE,VLOOKUP("Orge",AlimentsRationEcurieChevauxMâlesTrait,5,FALSE),0)+(IF(QualitéAlimentsPoulainFemelleTrait=BONNE,VLOOKUP("Orge",AlimentsRationEcurieChevauxFemellesTrait,5,FALSE),0)+(IF(QualitéAlimentsJeuneEtalon_12_24_moisTrait=BONNE,VLOOKUP("Orge",AlimentsRationEcurieChevauxMâlesTrait,4,FALSE),0)+(IF(QualitéAlimentsJeuneJument_12_24_moisTrait=BONNE,VLOOKUP("Orge",AlimentsRationEcurieChevauxFemellesTrait,4,FALSE),0)+(IF(QualitéAlimentsJeuneEtalon_24_36_moisTrait=BONNE,VLOOKUP("Orge",AlimentsRationEcurieChevauxMâlesTrait,3,FALSE),0)+(IF(QualitéAlimentsJeuneJument_24_36_moisTrait=BONNE,VLOOKUP("Orge",AlimentsRationEcurieChevauxFemellesTrait,3,FALSE),0)+(IF(QualitéAlimentsEtalonTrait=BONNE,VLOOKUP("Orge",AlimentsRationEcurieChevauxMâlesTrait,2,FALSE),0)+(IF(QualitéAlimentsJumentTrait=BONNE,VLOOKUP("Orge",AlimentsRationEcurieChevauxFemellesTrait,2,FALSE),0))))))))))</f>
        <v>0</v>
      </c>
      <c r="FF218" s="458">
        <f t="array" ref="FF218">SUM((IF(QualitéAlimentsPoulainMâleTrait=MOYENNE,VLOOKUP("Orge",AlimentsRationEcurieChevauxMâlesTrait,5,FALSE),0)+(IF(QualitéAlimentsPoulainFemelleTrait=MOYENNE,VLOOKUP("Orge",AlimentsRationEcurieChevauxFemellesTrait,5,FALSE),0)+(IF(QualitéAlimentsJeuneEtalon_12_24_moisTrait=MOYENNE,VLOOKUP("Orge",AlimentsRationEcurieChevauxMâlesTrait,4,FALSE),0)+(IF(QualitéAlimentsJeuneJument_12_24_moisTrait=MOYENNE,VLOOKUP("Orge",AlimentsRationEcurieChevauxFemellesTrait,4,FALSE),0)+(IF(QualitéAlimentsJeuneEtalon_24_36_moisTrait=MOYENNE,VLOOKUP("Orge",AlimentsRationEcurieChevauxMâlesTrait,3,FALSE),0)+(IF(QualitéAlimentsJeuneJument_24_36_moisTrait=MOYENNE,VLOOKUP("Orge",AlimentsRationEcurieChevauxFemellesTrait,3,FALSE),0)+(IF(QualitéAlimentsEtalonTrait=MOYENNE,VLOOKUP("Orge",AlimentsRationEcurieChevauxMâlesTrait,2,FALSE),0)+(IF(QualitéAlimentsJumentTrait=MOYENNE,VLOOKUP("Orge",AlimentsRationEcurieChevauxFemellesTrait,2,FALSE),0))))))))))</f>
        <v>0</v>
      </c>
      <c r="FG218" s="458">
        <f t="array" ref="FG218">SUM((IF(QualitéAlimentsPoulainMâleTrait=MAUVAISE,VLOOKUP("Orge",AlimentsRationEcurieChevauxMâlesTrait,5,FALSE),0)+(IF(QualitéAlimentsPoulainFemelleTrait=MAUVAISE,VLOOKUP("Orge",AlimentsRationEcurieChevauxFemellesTrait,5,FALSE),0)+(IF(QualitéAlimentsJeuneEtalon_12_24_moisTrait=MAUVAISE,VLOOKUP("Orge",AlimentsRationEcurieChevauxMâlesTrait,4,FALSE),0)+(IF(QualitéAlimentsJeuneJument_12_24_moisTrait=MAUVAISE,VLOOKUP("Orge",AlimentsRationEcurieChevauxFemellesTrait,4,FALSE),0)+(IF(QualitéAlimentsJeuneEtalon_24_36_moisTrait=MAUVAISE,VLOOKUP("Orge",AlimentsRationEcurieChevauxMâlesTrait,3,FALSE),0)+(IF(QualitéAlimentsJeuneJument_24_36_moisTrait=MAUVAISE,VLOOKUP("Orge",AlimentsRationEcurieChevauxFemellesTrait,3,FALSE),0)+(IF(QualitéAlimentsEtalonTrait=MAUVAISE,VLOOKUP("Orge",AlimentsRationEcurieChevauxMâlesTrait,2,FALSE),0)+(IF(QualitéAlimentsJumentTrait=MAUVAISE,VLOOKUP("Orge",AlimentsRationEcurieChevauxFemellesTrait,2,FALSE),0))))))))))</f>
        <v>0</v>
      </c>
      <c r="FI218" s="276"/>
      <c r="FN218" s="457" t="str">
        <f t="shared" si="64"/>
        <v>Paille</v>
      </c>
      <c r="FO218" s="458">
        <f t="array" ref="FO218">SUM((IF(QualitéAlimentsPoulainMâlePoney=BONNE,VLOOKUP("Paille",AlimentsRationChevauxMâlesPoney,5,FALSE),0)+(IF(QualitéAlimentsPoulainFemellePoney=BONNE,VLOOKUP("Paille",AlimentsRationChevauxFemellesPoney,5,FALSE),0)+(IF(QualitéAlimentsJeuneEtalon_12_24_moisPoney=BONNE,VLOOKUP("Paille",AlimentsRationChevauxMâlesPoney,4,FALSE),0)+(IF(QualitéAlimentsJeuneJument_12_24_moisPoney=BONNE,VLOOKUP("Paille",AlimentsRationChevauxFemellesPoney,4,FALSE),0)+(IF(QualitéAlimentsJeuneEtalon_24_36_moisPoney=BONNE,VLOOKUP("Paille",AlimentsRationChevauxMâlesPoney,3,FALSE),0)+(IF(QualitéAlimentsJeuneJument_24_36_moisPoney=BONNE,VLOOKUP("Paille",AlimentsRationChevauxFemellesPoney,3,FALSE),0)+(IF(QualitéAlimentsEtalonPoney=BONNE,VLOOKUP("Paille",AlimentsRationChevauxMâlesPoney,2,FALSE),0)+(IF(QualitéAlimentsJumentPoney=BONNE,VLOOKUP("Paille",AlimentsRationChevauxFemellesPoney,2,FALSE),0))))))))))</f>
        <v>0</v>
      </c>
      <c r="FP218" s="458">
        <f t="array" ref="FP218">SUM((IF(QualitéAlimentsPoulainMâlePoney=MOYENNE,VLOOKUP("Paille",AlimentsRationChevauxMâlesPoney,5,FALSE),0)+(IF(QualitéAlimentsPoulainFemellePoney=MOYENNE,VLOOKUP("Paille",AlimentsRationChevauxFemellesPoney,5,FALSE),0)+(IF(QualitéAlimentsJeuneEtalon_12_24_moisPoney=MOYENNE,VLOOKUP("Paille",AlimentsRationChevauxMâlesPoney,4,FALSE),0)+(IF(QualitéAlimentsJeuneJument_12_24_moisPoney=MOYENNE,VLOOKUP("Paille",AlimentsRationChevauxFemellesPoney,4,FALSE),0)+(IF(QualitéAlimentsJeuneEtalon_24_36_moisPoney=MOYENNE,VLOOKUP("Paille",AlimentsRationChevauxMâlesPoney,3,FALSE),0)+(IF(QualitéAlimentsJeuneJument_24_36_moisPoney=MOYENNE,VLOOKUP("Paille",AlimentsRationChevauxFemellesPoney,3,FALSE),0)+(IF(QualitéAlimentsEtalonPoney=MOYENNE,VLOOKUP("Paille",AlimentsRationChevauxMâlesPoney,2,FALSE),0)+(IF(QualitéAlimentsJumentPoney=MOYENNE,VLOOKUP("Paille",AlimentsRationChevauxFemellesPoney,2,FALSE),0))))))))))</f>
        <v>0</v>
      </c>
      <c r="FQ218" s="458">
        <f t="array" ref="FQ218">SUM((IF(QualitéAlimentsPoulainMâlePoney=MAUVAISE,VLOOKUP("Paille",AlimentsRationChevauxMâlesPoney,5,FALSE),0)+(IF(QualitéAlimentsPoulainFemellePoney=MAUVAISE,VLOOKUP("Paille",AlimentsRationChevauxFemellesPoney,5,FALSE),0)+(IF(QualitéAlimentsJeuneEtalon_12_24_moisPoney=MAUVAISE,VLOOKUP("Paille",AlimentsRationChevauxMâlesPoney,4,FALSE),0)+(IF(QualitéAlimentsJeuneJument_12_24_moisPoney=MAUVAISE,VLOOKUP("Paille",AlimentsRationChevauxFemellesPoney,4,FALSE),0)+(IF(QualitéAlimentsJeuneEtalon_24_36_moisPoney=MAUVAISE,VLOOKUP("Paille",AlimentsRationChevauxMâlesPoney,3,FALSE),0)+(IF(QualitéAlimentsJeuneJument_24_36_moisPoney=MAUVAISE,VLOOKUP("Paille",AlimentsRationChevauxFemellesPoney,3,FALSE),0)+(IF(QualitéAlimentsEtalonPoney=MAUVAISE,VLOOKUP("Paille",AlimentsRationChevauxMâlesPoney,2,FALSE),0)+(IF(QualitéAlimentsJumentPoney=MAUVAISE,VLOOKUP("Paille",AlimentsRationChevauxFemellesPoney,2,FALSE),0)+SUM(LitièrePoneys[[#Totals],[hiver dedans]:[hiver dehors]]))))))))))</f>
        <v>0</v>
      </c>
      <c r="FR218" s="281"/>
      <c r="GG218" s="276" t="s">
        <v>955</v>
      </c>
      <c r="GH218" s="276" t="s">
        <v>955</v>
      </c>
      <c r="GI218" s="276" t="s">
        <v>955</v>
      </c>
      <c r="GJ218" s="276" t="s">
        <v>955</v>
      </c>
      <c r="GK218" s="276" t="s">
        <v>955</v>
      </c>
      <c r="GL218" s="276" t="s">
        <v>955</v>
      </c>
      <c r="GM218" s="276" t="s">
        <v>955</v>
      </c>
      <c r="GN218" s="276" t="s">
        <v>955</v>
      </c>
      <c r="GO218" s="276" t="s">
        <v>955</v>
      </c>
      <c r="GP218" s="276" t="s">
        <v>955</v>
      </c>
      <c r="GQ218" s="276" t="s">
        <v>955</v>
      </c>
      <c r="GR218" s="276" t="s">
        <v>955</v>
      </c>
      <c r="GS218" s="276" t="s">
        <v>955</v>
      </c>
      <c r="GT218" s="276" t="s">
        <v>955</v>
      </c>
      <c r="GU218" s="276" t="s">
        <v>955</v>
      </c>
      <c r="GV218" s="276" t="s">
        <v>955</v>
      </c>
    </row>
    <row r="219" spans="1:204" ht="12.75" customHeight="1" x14ac:dyDescent="0.2">
      <c r="A219" s="276"/>
      <c r="B219" s="276"/>
      <c r="BB219" s="350" t="s">
        <v>508</v>
      </c>
      <c r="BC219" s="351">
        <f t="array" ref="BC219">IF(Ration_complète_bovins[somme]&gt;0,0,IFERROR(IF(OR(AND(INDEX(Règles_bovins[Specificite],MATCH(ChoixRationBovins&amp;$BB219,Règles_bovins[Ration]&amp;Règles_bovins[Aliment],0))="s1",IF($BB219=Spécificité1Bovins,1)),
AND(INDEX(Règles_bovins[Specificite],MATCH(ChoixRationBovins&amp;$BB219,Règles_bovins[Ration]&amp;Règles_bovins[Aliment],0))="s2",IF($BB219=Spécificité2Bovins,1)),
INDEX(Règles_bovins[Specificite],MATCH(ChoixRationBovins&amp;$BB219,Règles_bovins[Ration]&amp;Règles_bovins[Aliment],0))="c"),
INDEX(Règles_bovins[Valeur 36 et plus],MATCH(ChoixRationBovins&amp;$BB219,Règles_bovins[Ration]&amp;Règles_bovins[Aliment],0)),0),0)*IF(ChoixBovinsPréHiver=OUI,TotalTaureauxRacesLaitières,TotalTaureaux*NbreJoursNourrirBovins))</f>
        <v>0</v>
      </c>
      <c r="BD219" s="351">
        <f t="array" ref="BD219">IF(Ration_complète_bovins[somme]&gt;0,0,IFERROR(IF(OR(AND(INDEX(Règles_bovins[Specificite],MATCH(ChoixRationBovins&amp;$BB219,Règles_bovins[Ration]&amp;Règles_bovins[Aliment],0))="s1",IF($BB219=Spécificité1Bovins,1)),
AND(INDEX(Règles_bovins[Specificite],MATCH(ChoixRationBovins&amp;$BB219,Règles_bovins[Ration]&amp;Règles_bovins[Aliment],0))="s2",IF($BB219=Spécificité2Bovins,1)),
INDEX(Règles_bovins[Specificite],MATCH(ChoixRationBovins&amp;$BB219,Règles_bovins[Ration]&amp;Règles_bovins[Aliment],0))="c"),
INDEX(Règles_bovins[Valeur 24-36],MATCH(ChoixRationBovins&amp;$BB219,Règles_bovins[Ration]&amp;Règles_bovins[Aliment],0)),0),0)*IF(ChoixBovinsPréHiver=OUI,TotalTaurillon_24_36_RacesLaitières,TotalBovinsMâles_24_36mois*NbreJoursNourrirBovins))</f>
        <v>0</v>
      </c>
      <c r="BE219" s="351">
        <f t="array" ref="BE219">IF(Ration_complète_bovins[somme]&gt;0,0,IFERROR(IF(OR(AND(INDEX(Règles_bovins[Specificite],MATCH(ChoixRationBovins&amp;$BB219,Règles_bovins[Ration]&amp;Règles_bovins[Aliment],0))="s1",IF($BB219=Spécificité1Bovins,1)),
AND(INDEX(Règles_bovins[Specificite],MATCH(ChoixRationBovins&amp;$BB219,Règles_bovins[Ration]&amp;Règles_bovins[Aliment],0))="s2",IF($BB219=Spécificité2Bovins,1)),
INDEX(Règles_bovins[Specificite],MATCH(ChoixRationBovins&amp;$BB219,Règles_bovins[Ration]&amp;Règles_bovins[Aliment],0))="c"),
INDEX(Règles_bovins[Valeur 18-24],MATCH(ChoixRationBovins&amp;$BB219,Règles_bovins[Ration]&amp;Règles_bovins[Aliment],0)),0),0)*IF(ChoixBovinsPréHiver=OUI,TotalTaurillon_18_24_RacesLaitières,TotalBovinsMâles_18_24mois*NbreJoursNourrirBovins))</f>
        <v>0</v>
      </c>
      <c r="BF219" s="351">
        <f t="array" ref="BF219">IF(Ration_complète_bovins[somme]&gt;0,0,IFERROR(IF(OR(AND(INDEX(Règles_bovins[Specificite],MATCH(ChoixRationBovins&amp;$BB219,Règles_bovins[Ration]&amp;Règles_bovins[Aliment],0))="s1",IF($BB219=Spécificité1Bovins,1)),
AND(INDEX(Règles_bovins[Specificite],MATCH(ChoixRationBovins&amp;$BB219,Règles_bovins[Ration]&amp;Règles_bovins[Aliment],0))="s2",IF($BB219=Spécificité2Bovins,1)),
INDEX(Règles_bovins[Specificite],MATCH(ChoixRationBovins&amp;$BB219,Règles_bovins[Ration]&amp;Règles_bovins[Aliment],0))="c"),
INDEX(Règles_bovins[Valeur 12-18],MATCH(ChoixRationBovins&amp;$BB219,Règles_bovins[Ration]&amp;Règles_bovins[Aliment],0)),0),0)*IF(ChoixBovinsPréHiver=OUI,animaux!D42,TotalBovinsMâles_12_18mois*NbreJoursNourrirBovins))</f>
        <v>0</v>
      </c>
      <c r="BG219" s="351">
        <f t="array" ref="BG219">IF(Ration_complète_bovins[somme]&gt;0,0,IFERROR(IF(OR(AND(INDEX(Règles_bovins[Specificite],MATCH(ChoixRationBovins&amp;$BB219,Règles_bovins[Ration]&amp;Règles_bovins[Aliment],0))="s1",IF($BB219=Spécificité1Bovins,1)),
AND(INDEX(Règles_bovins[Specificite],MATCH(ChoixRationBovins&amp;$BB219,Règles_bovins[Ration]&amp;Règles_bovins[Aliment],0))="s2",IF($BB219=Spécificité2Bovins,1)),
INDEX(Règles_bovins[Specificite],MATCH(ChoixRationBovins&amp;$BB219,Règles_bovins[Ration]&amp;Règles_bovins[Aliment],0))="c"),
INDEX(Règles_bovins[Valeur 6-12],MATCH(ChoixRationBovins&amp;$BB219,Règles_bovins[Ration]&amp;Règles_bovins[Aliment],0)),0),0)*IF(ChoixBovinsPréHiver=OUI,TotalVeauMâle_6_12_RacesLaitières,TotalBovinsMâles_6_12mois*NbreJoursNourrirBovins))</f>
        <v>0</v>
      </c>
      <c r="BH219" s="351">
        <f t="array" ref="BH219">IF(Ration_complète_bovins[somme]&gt;0,0,IFERROR(IF(OR(AND(INDEX(Règles_bovins[Specificite],MATCH(ChoixRationBovins&amp;$BB219,Règles_bovins[Ration]&amp;Règles_bovins[Aliment],0))="s1",IF($BB219=Spécificité1Bovins,1)),
AND(INDEX(Règles_bovins[Specificite],MATCH(ChoixRationBovins&amp;$BB219,Règles_bovins[Ration]&amp;Règles_bovins[Aliment],0))="s2",IF($BB219=Spécificité2Bovins,1)),
INDEX(Règles_bovins[Specificite],MATCH(ChoixRationBovins&amp;$BB219,Règles_bovins[Ration]&amp;Règles_bovins[Aliment],0))="c"),
INDEX(Règles_bovins[Valeur 3-6],MATCH(ChoixRationBovins&amp;$BB219,Règles_bovins[Ration]&amp;Règles_bovins[Aliment],0)),0),0)*IF(ChoixBovinsPréHiver=OUI,TotalVeauMâle_3_6_RacesLaitières,TotalBovinsMâles_3_6mois*NbreJoursNourrirBovins))</f>
        <v>0</v>
      </c>
      <c r="BI219" s="351">
        <f t="array" ref="BI219">IF(Ration_complète_bovins[somme]&gt;0,0,IFERROR(IF(OR(AND(INDEX(Règles_bovins[Specificite],MATCH(ChoixRationBovins&amp;$BB219,Règles_bovins[Ration]&amp;Règles_bovins[Aliment],0))="s1",IF($BB219=Spécificité1Bovins,1)),
AND(INDEX(Règles_bovins[Specificite],MATCH(ChoixRationBovins&amp;$BB219,Règles_bovins[Ration]&amp;Règles_bovins[Aliment],0))="s2",IF($BB219=Spécificité2Bovins,1)),
INDEX(Règles_bovins[Specificite],MATCH(ChoixRationBovins&amp;$BB219,Règles_bovins[Ration]&amp;Règles_bovins[Aliment],0))="c"),
INDEX(Règles_bovins[Valeur 0-3],MATCH(ChoixRationBovins&amp;$BB219,Règles_bovins[Ration]&amp;Règles_bovins[Aliment],0)),0),0)*IF(ChoixBovinsPréHiver=OUI,TotalVeauMâle_0_3_RacesLaitières,TotalBovinsMâles_0_3mois*NbreJoursNourrirBovins))</f>
        <v>0</v>
      </c>
      <c r="BJ219" s="352">
        <f t="shared" si="62"/>
        <v>0</v>
      </c>
      <c r="BK219" s="276"/>
      <c r="BL219" s="276"/>
      <c r="BX219" s="350" t="str">
        <f t="shared" si="63"/>
        <v>Pomme de terre</v>
      </c>
      <c r="BY219" s="351">
        <f t="array" ref="BY219">SUM((IF(QualitéAlimentsChevreau_0_3_mois=BONNE,VLOOKUP("Pomme de terre",AlimentsRationCaprinsMâles,5,FALSE),0)+(IF(QualitéAlimentsChevrette_0_3_mois=BONNE,VLOOKUP("Pomme de terre",AlimentsRationCaprinsFemelles,5,FALSE),0)+(IF(QualitéAlimentsChevreau_3_6_mois=BONNE,VLOOKUP("Pomme de terre",AlimentsRationCaprinsMâles,4,FALSE),0)+(IF(QualitéAlimentsChevrette_3_6_mois=BONNE,VLOOKUP("Pomme de terre",AlimentsRationCaprinsFemelles,4,FALSE),0)+(IF(QualitéAlimentsJeuneBouc=BONNE,VLOOKUP("Pomme de terre",AlimentsRationCaprinsMâles,3,FALSE),0)+(IF(QualitéAlimentsJeuneChèvre=BONNE,VLOOKUP("Pomme de terre",AlimentsRationCaprinsFemelles,3,FALSE),0)+(IF(QualitéAlimentsBouc=BONNE,VLOOKUP("Pomme de terre",AlimentsRationCaprinsMâles,2,FALSE),0)+(IF(QualitéAlimentsChèvre=BONNE,VLOOKUP("Pomme de terre",AlimentsRationCaprinsFemelles,2,FALSE),0))))))))))</f>
        <v>0</v>
      </c>
      <c r="BZ219" s="351">
        <f t="array" ref="BZ219">SUM((IF(QualitéAlimentsChevreau_0_3_mois=MOYENNE,VLOOKUP("Pomme de terre",AlimentsRationCaprinsMâles,5,FALSE),0)+(IF(QualitéAlimentsChevrette_0_3_mois=MOYENNE,VLOOKUP("Pomme de terre",AlimentsRationCaprinsFemelles,5,FALSE),0)+(IF(QualitéAlimentsChevreau_3_6_mois=MOYENNE,VLOOKUP("Pomme de terre",AlimentsRationCaprinsMâles,4,FALSE),0)+(IF(QualitéAlimentsChevrette_3_6_mois=MOYENNE,VLOOKUP("Pomme de terre",AlimentsRationCaprinsFemelles,4,FALSE),0)+(IF(QualitéAlimentsJeuneBouc=MOYENNE,VLOOKUP("Pomme de terre",AlimentsRationCaprinsMâles,3,FALSE),0)+(IF(QualitéAlimentsJeuneChèvre=MOYENNE,VLOOKUP("Pomme de terre",AlimentsRationCaprinsFemelles,3,FALSE),0)+(IF(QualitéAlimentsBouc=MOYENNE,VLOOKUP("Pomme de terre",AlimentsRationCaprinsMâles,2,FALSE),0)+(IF(QualitéAlimentsChèvre=MOYENNE,VLOOKUP("Pomme de terre",AlimentsRationCaprinsFemelles,2,FALSE),0))))))))))</f>
        <v>0</v>
      </c>
      <c r="CA219" s="351">
        <f t="array" ref="CA219">SUM((IF(QualitéAlimentsChevreau_0_3_mois=MAUVAISE,VLOOKUP("Pomme de terre",AlimentsRationCaprinsMâles,5,FALSE),0)+(IF(QualitéAlimentsChevrette_0_3_mois=MAUVAISE,VLOOKUP("Pomme de terre",AlimentsRationCaprinsFemelles,5,FALSE),0)+(IF(QualitéAlimentsChevreau_3_6_mois=MAUVAISE,VLOOKUP("Pomme de terre",AlimentsRationCaprinsMâles,4,FALSE),0)+(IF(QualitéAlimentsChevrette_3_6_mois=MAUVAISE,VLOOKUP("Pomme de terre",AlimentsRationCaprinsFemelles,4,FALSE),0)+(IF(QualitéAlimentsJeuneBouc=MAUVAISE,VLOOKUP("Pomme de terre",AlimentsRationCaprinsMâles,3,FALSE),0)+(IF(QualitéAlimentsJeuneChèvre=MAUVAISE,VLOOKUP("Pomme de terre",AlimentsRationCaprinsFemelles,3,FALSE),0)+(IF(QualitéAlimentsBouc=MAUVAISE,VLOOKUP("Pomme de terre",AlimentsRationCaprinsMâles,2,FALSE),0)+(IF(QualitéAlimentsChèvre=MAUVAISE,VLOOKUP("Pomme de terre",AlimentsRationCaprinsFemelles,2,FALSE),0))))))))))</f>
        <v>0</v>
      </c>
      <c r="CB219" s="277"/>
      <c r="CC219" s="277"/>
      <c r="CD219" s="298"/>
      <c r="CE219" s="298"/>
      <c r="CF219" s="298"/>
      <c r="CG219" s="298"/>
      <c r="CH219" s="298"/>
      <c r="CI219" s="277"/>
      <c r="CK219" s="277"/>
      <c r="CL219" s="277"/>
      <c r="CM219" s="277"/>
      <c r="CN219" s="277"/>
      <c r="CO219" s="277"/>
      <c r="CP219" s="277"/>
      <c r="DN219" s="350" t="str">
        <f t="shared" si="61"/>
        <v>Soja</v>
      </c>
      <c r="DO219" s="351">
        <f t="array" ref="DO219">IF(ChoixRationComplèteOvins=OUI,0,IFERROR(IF(OR(AND(INDEX(Règles_ovins[Specificite],MATCH(ChoixRationOvins&amp;$DN219,Règles_ovins[Ration]&amp;Règles_ovins[Aliment],0))="s1",IF($DN219=Spécificité1Ovins,1)),
AND(INDEX(Règles_ovins[Specificite],MATCH(ChoixRationOvins&amp;$DN219,Règles_ovins[Ration]&amp;Règles_ovins[Aliment],0))="s2",IF($DN219=Spécificité2Ovins,1)),
INDEX(Règles_ovins[Specificite],MATCH(ChoixRationOvins&amp;$DN219,Règles_ovins[Ration]&amp;Règles_ovins[Aliment],0))="c"),
INDEX(Règles_ovins[Valeur 12 et plus],MATCH(ChoixRationOvins&amp;$DN219,Règles_ovins[Ration]&amp;Règles_ovins[Aliment],0)),0),0)*IF(ChoixOvinsPréHiver=OUI,SUM(TotalOvinsAdultesRacesLaitières)*NbreJoursNourrirOvins,TotalBrebis*NbreJoursNourrirOvins))</f>
        <v>0</v>
      </c>
      <c r="DP219" s="351">
        <f t="array" ref="DP219">IF(ChoixRationComplèteOvins=OUI,0,IFERROR(IF(OR(AND(INDEX(Règles_ovins[Specificite],MATCH(ChoixRationOvins&amp;$DN219,Règles_ovins[Ration]&amp;Règles_ovins[Aliment],0))="s1",IF($DN219=Spécificité1Ovins,1)),
AND(INDEX(Règles_ovins[Specificite],MATCH(ChoixRationOvins&amp;$DN219,Règles_ovins[Ration]&amp;Règles_ovins[Aliment],0))="s2",IF($DN219=Spécificité2Ovins,1)),
INDEX(Règles_ovins[Specificite],MATCH(ChoixRationOvins&amp;$DN219,Règles_ovins[Ration]&amp;Règles_ovins[Aliment],0))="c"),
INDEX(Règles_ovins[Valeur 6-12],MATCH(ChoixRationOvins&amp;$DN219,Règles_ovins[Ration]&amp;Règles_ovins[Aliment],0)),0),0)*IF(ChoixOvinsPréHiver=OUI,SUM(TotalJeunesOvinsRacesLaitières)*NbreJoursNourrirOvins,TotalJeune_brebis_6_12_mois*NbreJoursNourrirOvins))</f>
        <v>0</v>
      </c>
      <c r="DQ219" s="351">
        <f t="array" ref="DQ219">IF(ChoixRationComplèteOvins=OUI,0,IFERROR(IF(OR(AND(INDEX(Règles_ovins[Specificite],MATCH(ChoixRationOvins&amp;$DN219,Règles_ovins[Ration]&amp;Règles_ovins[Aliment],0))="s1",IF($DN219=Spécificité1Ovins,1)),
AND(INDEX(Règles_ovins[Specificite],MATCH(ChoixRationOvins&amp;$DN219,Règles_ovins[Ration]&amp;Règles_ovins[Aliment],0))="s2",IF($DN219=Spécificité2Ovins,1)),
INDEX(Règles_ovins[Specificite],MATCH(ChoixRationOvins&amp;$DN219,Règles_ovins[Ration]&amp;Règles_ovins[Aliment],0))="c"),
INDEX(Règles_ovins[Valeur 3-6],MATCH(ChoixRationOvins&amp;$DN219,Règles_ovins[Ration]&amp;Règles_ovins[Aliment],0)),0),0)*IF(ChoixOvinsPréHiver=OUI,SUM(TotalOvins_3_6moisRacesLaitières)*NbreJoursNourrirOvins,TotalAgnelle_3_6_mois*NbreJoursNourrirOvins))</f>
        <v>0</v>
      </c>
      <c r="DR219" s="351">
        <f t="array" ref="DR219">IF(ChoixRationComplèteOvins=OUI,0,IFERROR(IF(OR(AND(INDEX(Règles_ovins[Specificite],MATCH(ChoixRationOvins&amp;$DN219,Règles_ovins[Ration]&amp;Règles_ovins[Aliment],0))="s1",IF($DN219=Spécificité1Ovins,1)),
AND(INDEX(Règles_ovins[Specificite],MATCH(ChoixRationOvins&amp;$DN219,Règles_ovins[Ration]&amp;Règles_ovins[Aliment],0))="s2",IF($DN219=Spécificité2Ovins,1)),
INDEX(Règles_ovins[Specificite],MATCH(ChoixRationOvins&amp;$DN219,Règles_ovins[Ration]&amp;Règles_ovins[Aliment],0))="c"),
INDEX(Règles_ovins[Valeur 0-3],MATCH(ChoixRationOvins&amp;$DN219,Règles_ovins[Ration]&amp;Règles_ovins[Aliment],0)),0),0)*IF(ChoixOvinsPréHiver=OUI,SUM(TotalOvins_3_6moisRacesLaitières)*NbreJoursNourrirOvins,TotalAgnelle_0_3_mois*NbreJoursNourrirOvins))</f>
        <v>0</v>
      </c>
      <c r="DS219" s="441">
        <f t="shared" si="60"/>
        <v>0</v>
      </c>
      <c r="EU219" s="457" t="str">
        <f t="shared" si="66"/>
        <v>Lentille</v>
      </c>
      <c r="EV219" s="458">
        <f t="array" ref="EV219">SUM((IF(QualitéAlimentsPoulainSelleMâle=BONNE,VLOOKUP("Lentille",AlimentsRationEcurieChevauxMâlesSelle,5,FALSE),0)+(IF(QualitéAlimentsPoulainSelleFemelle=BONNE,VLOOKUP("Lentille",AlimentsRationEcurieChevauxFemellesSelle,5,FALSE),0)+(IF(QualitéAlimentsJeuneEtalon_12_24_moisSelle=BONNE,VLOOKUP("Lentille",AlimentsRationEcurieChevauxMâlesSelle,4,FALSE),0)+(IF(QualitéAlimentsJeuneJument_12_24_moisSelle=BONNE,VLOOKUP("Lentille",AlimentsRationEcurieChevauxFemellesSelle,4,FALSE),0)+(IF(QualitéAlimentsJeuneEtalon_24_36_moisSelle=BONNE,VLOOKUP("Lentille",AlimentsRationEcurieChevauxMâlesSelle,3,FALSE),0)+(IF(QualitéAlimentsJeuneJument_24_36_moisSelle=BONNE,VLOOKUP("Lentille",AlimentsRationEcurieChevauxFemellesSelle,3,FALSE),0)+(IF(QualitéAlimentsEtalonSelle=BONNE,VLOOKUP("Lentille",AlimentsRationEcurieChevauxMâlesSelle,2,FALSE),0)+(IF(QualitéAlimentsJumentSelle=BONNE,VLOOKUP("Lentille",AlimentsRationEcurieChevauxFemellesSelle,2,FALSE),0))))))))))</f>
        <v>0</v>
      </c>
      <c r="EW219" s="458">
        <f t="array" ref="EW219">SUM((IF(QualitéAlimentsPoulainSelleMâle=MOYENNE,VLOOKUP("Lentille",AlimentsRationEcurieChevauxMâlesSelle,5,FALSE),0)+(IF(QualitéAlimentsPoulainSelleFemelle=MOYENNE,VLOOKUP("Lentille",AlimentsRationEcurieChevauxFemellesSelle,5,FALSE),0)+(IF(QualitéAlimentsJeuneEtalon_12_24_moisSelle=MOYENNE,VLOOKUP("Lentille",AlimentsRationEcurieChevauxMâlesSelle,4,FALSE),0)+(IF(QualitéAlimentsJeuneJument_12_24_moisSelle=MOYENNE,VLOOKUP("Lentille",AlimentsRationEcurieChevauxFemellesSelle,4,FALSE),0)+(IF(QualitéAlimentsJeuneEtalon_24_36_moisSelle=MOYENNE,VLOOKUP("Lentille",AlimentsRationEcurieChevauxMâlesSelle,3,FALSE),0)+(IF(QualitéAlimentsJeuneJument_24_36_moisSelle=MOYENNE,VLOOKUP("Lentille",AlimentsRationEcurieChevauxFemellesSelle,3,FALSE),0)+(IF(QualitéAlimentsEtalonSelle=MOYENNE,VLOOKUP("Lentille",AlimentsRationEcurieChevauxMâlesSelle,2,FALSE),0)+(IF(QualitéAlimentsJumentSelle=MOYENNE,VLOOKUP("Lentille",AlimentsRationEcurieChevauxFemellesSelle,2,FALSE),0))))))))))</f>
        <v>0</v>
      </c>
      <c r="EX219" s="458">
        <f t="array" ref="EX219">SUM((IF(QualitéAlimentsPoulainSelleMâle=MAUVAISE,VLOOKUP("Lentille",AlimentsRationEcurieChevauxMâlesSelle,5,FALSE),0)+(IF(QualitéAlimentsPoulainSelleFemelle=MAUVAISE,VLOOKUP("Lentille",AlimentsRationEcurieChevauxFemellesSelle,5,FALSE),0)+(IF(QualitéAlimentsJeuneEtalon_12_24_moisSelle=MAUVAISE,VLOOKUP("Lentille",AlimentsRationEcurieChevauxMâlesSelle,4,FALSE),0)+(IF(QualitéAlimentsJeuneJument_12_24_moisSelle=MAUVAISE,VLOOKUP("Lentille",AlimentsRationEcurieChevauxFemellesSelle,4,FALSE),0)+(IF(QualitéAlimentsJeuneEtalon_24_36_moisSelle=MAUVAISE,VLOOKUP("Lentille",AlimentsRationEcurieChevauxMâlesSelle,3,FALSE),0)+(IF(QualitéAlimentsJeuneJument_24_36_moisSelle=MAUVAISE,VLOOKUP("Lentille",AlimentsRationEcurieChevauxFemellesSelle,3,FALSE),0)+(IF(QualitéAlimentsEtalonSelle=MAUVAISE,VLOOKUP("Lentille",AlimentsRationEcurieChevauxMâlesSelle,2,FALSE),0)+(IF(QualitéAlimentsJumentSelle=MAUVAISE,VLOOKUP("Lentille",AlimentsRationEcurieChevauxFemellesSelle,2,FALSE),0))))))))))</f>
        <v>0</v>
      </c>
      <c r="FD219" s="457" t="str">
        <f t="shared" si="65"/>
        <v>Paille</v>
      </c>
      <c r="FE219" s="458">
        <f t="array" ref="FE219">SUM((IF(QualitéAlimentsPoulainMâleTrait=BONNE,VLOOKUP("Paille",AlimentsRationEcurieChevauxMâlesTrait,5,FALSE),0)+(IF(QualitéAlimentsPoulainFemelleTrait=BONNE,VLOOKUP("Paille",AlimentsRationEcurieChevauxFemellesTrait,5,FALSE),0)+(IF(QualitéAlimentsJeuneEtalon_12_24_moisTrait=BONNE,VLOOKUP("Paille",AlimentsRationEcurieChevauxMâlesTrait,4,FALSE),0)+(IF(QualitéAlimentsJeuneJument_12_24_moisTrait=BONNE,VLOOKUP("Paille",AlimentsRationEcurieChevauxFemellesTrait,4,FALSE),0)+(IF(QualitéAlimentsJeuneEtalon_24_36_moisTrait=BONNE,VLOOKUP("Paille",AlimentsRationEcurieChevauxMâlesTrait,3,FALSE),0)+(IF(QualitéAlimentsJeuneJument_24_36_moisTrait=BONNE,VLOOKUP("Paille",AlimentsRationEcurieChevauxFemellesTrait,3,FALSE),0)+(IF(QualitéAlimentsEtalonTrait=BONNE,VLOOKUP("Paille",AlimentsRationEcurieChevauxMâlesTrait,2,FALSE),0)+(IF(QualitéAlimentsJumentTrait=BONNE,VLOOKUP("Paille",AlimentsRationEcurieChevauxFemellesTrait,2,FALSE),0))))))))))</f>
        <v>0</v>
      </c>
      <c r="FF219" s="458">
        <f t="array" ref="FF219">SUM((IF(QualitéAlimentsPoulainMâleTrait=MOYENNE,VLOOKUP("Paille",AlimentsRationEcurieChevauxMâlesTrait,5,FALSE),0)+(IF(QualitéAlimentsPoulainFemelleTrait=MOYENNE,VLOOKUP("Paille",AlimentsRationEcurieChevauxFemellesTrait,5,FALSE),0)+(IF(QualitéAlimentsJeuneEtalon_12_24_moisTrait=MOYENNE,VLOOKUP("Paille",AlimentsRationEcurieChevauxMâlesTrait,4,FALSE),0)+(IF(QualitéAlimentsJeuneJument_12_24_moisTrait=MOYENNE,VLOOKUP("Paille",AlimentsRationEcurieChevauxFemellesTrait,4,FALSE),0)+(IF(QualitéAlimentsJeuneEtalon_24_36_moisTrait=MOYENNE,VLOOKUP("Paille",AlimentsRationEcurieChevauxMâlesTrait,3,FALSE),0)+(IF(QualitéAlimentsJeuneJument_24_36_moisTrait=MOYENNE,VLOOKUP("Paille",AlimentsRationEcurieChevauxFemellesTrait,3,FALSE),0)+(IF(QualitéAlimentsEtalonTrait=MOYENNE,VLOOKUP("Paille",AlimentsRationEcurieChevauxMâlesTrait,2,FALSE),0)+(IF(QualitéAlimentsJumentTrait=MOYENNE,VLOOKUP("Paille",AlimentsRationEcurieChevauxFemellesTrait,2,FALSE),0))))))))))</f>
        <v>0</v>
      </c>
      <c r="FG219" s="458">
        <f t="array" ref="FG219">SUM((IF(QualitéAlimentsPoulainMâleTrait=MAUVAISE,VLOOKUP("Paille",AlimentsRationEcurieChevauxMâlesTrait,5,FALSE),0)+(IF(QualitéAlimentsPoulainFemelleTrait=MAUVAISE,VLOOKUP("Paille",AlimentsRationEcurieChevauxFemellesTrait,5,FALSE),0)+(IF(QualitéAlimentsJeuneEtalon_12_24_moisTrait=MAUVAISE,VLOOKUP("Paille",AlimentsRationEcurieChevauxMâlesTrait,4,FALSE),0)+(IF(QualitéAlimentsJeuneJument_12_24_moisTrait=MAUVAISE,VLOOKUP("Paille",AlimentsRationEcurieChevauxFemellesTrait,4,FALSE),0)+(IF(QualitéAlimentsJeuneEtalon_24_36_moisTrait=MAUVAISE,VLOOKUP("Paille",AlimentsRationEcurieChevauxMâlesTrait,3,FALSE),0)+(IF(QualitéAlimentsJeuneJument_24_36_moisTrait=MAUVAISE,VLOOKUP("Paille",AlimentsRationEcurieChevauxFemellesTrait,3,FALSE),0)+(IF(QualitéAlimentsEtalonTrait=MAUVAISE,VLOOKUP("Paille",AlimentsRationEcurieChevauxMâlesTrait,2,FALSE),0)+(IF(QualitéAlimentsJumentTrait=MAUVAISE,VLOOKUP("Paille",AlimentsRationEcurieChevauxFemellesTrait,2,FALSE),0)+SUM(LitièreChevauxTrait[[#Totals],[hiver dedans]:[hiver dehors]]))))))))))</f>
        <v>0</v>
      </c>
      <c r="FI219" s="276"/>
      <c r="FN219" s="457" t="str">
        <f t="shared" si="64"/>
        <v>Pois</v>
      </c>
      <c r="FO219" s="458">
        <f t="array" ref="FO219">SUM((IF(QualitéAlimentsPoulainMâlePoney=BONNE,VLOOKUP("Pois",AlimentsRationChevauxMâlesPoney,5,FALSE),0)+(IF(QualitéAlimentsPoulainFemellePoney=BONNE,VLOOKUP("Pois",AlimentsRationChevauxFemellesPoney,5,FALSE),0)+(IF(QualitéAlimentsJeuneEtalon_12_24_moisPoney=BONNE,VLOOKUP("Pois",AlimentsRationChevauxMâlesPoney,4,FALSE),0)+(IF(QualitéAlimentsJeuneJument_12_24_moisPoney=BONNE,VLOOKUP("Pois",AlimentsRationChevauxFemellesPoney,4,FALSE),0)+(IF(QualitéAlimentsJeuneEtalon_24_36_moisPoney=BONNE,VLOOKUP("Pois",AlimentsRationChevauxMâlesPoney,3,FALSE),0)+(IF(QualitéAlimentsJeuneJument_24_36_moisPoney=BONNE,VLOOKUP("Pois",AlimentsRationChevauxFemellesPoney,3,FALSE),0)+(IF(QualitéAlimentsEtalonPoney=BONNE,VLOOKUP("Pois",AlimentsRationChevauxMâlesPoney,2,FALSE),0)+(IF(QualitéAlimentsJumentPoney=BONNE,VLOOKUP("Pois",AlimentsRationChevauxFemellesPoney,2,FALSE),0))))))))))</f>
        <v>0</v>
      </c>
      <c r="FP219" s="458">
        <f t="array" ref="FP219">SUM((IF(QualitéAlimentsPoulainMâlePoney=MOYENNE,VLOOKUP("Pois",AlimentsRationChevauxMâlesPoney,5,FALSE),0)+(IF(QualitéAlimentsPoulainFemellePoney=MOYENNE,VLOOKUP("Pois",AlimentsRationChevauxFemellesPoney,5,FALSE),0)+(IF(QualitéAlimentsJeuneEtalon_12_24_moisPoney=MOYENNE,VLOOKUP("Pois",AlimentsRationChevauxMâlesPoney,4,FALSE),0)+(IF(QualitéAlimentsJeuneJument_12_24_moisPoney=MOYENNE,VLOOKUP("Pois",AlimentsRationChevauxFemellesPoney,4,FALSE),0)+(IF(QualitéAlimentsJeuneEtalon_24_36_moisPoney=MOYENNE,VLOOKUP("Pois",AlimentsRationChevauxMâlesPoney,3,FALSE),0)+(IF(QualitéAlimentsJeuneJument_24_36_moisPoney=MOYENNE,VLOOKUP("Pois",AlimentsRationChevauxFemellesPoney,3,FALSE),0)+(IF(QualitéAlimentsEtalonPoney=MOYENNE,VLOOKUP("Pois",AlimentsRationChevauxMâlesPoney,2,FALSE),0)+(IF(QualitéAlimentsJumentPoney=MOYENNE,VLOOKUP("Pois",AlimentsRationChevauxFemellesPoney,2,FALSE),0))))))))))</f>
        <v>0</v>
      </c>
      <c r="FQ219" s="458">
        <f t="array" ref="FQ219">SUM((IF(QualitéAlimentsPoulainMâlePoney=MAUVAISE,VLOOKUP("Pois",AlimentsRationChevauxMâlesPoney,5,FALSE),0)+(IF(QualitéAlimentsPoulainFemellePoney=MAUVAISE,VLOOKUP("Pois",AlimentsRationChevauxFemellesPoney,5,FALSE),0)+(IF(QualitéAlimentsJeuneEtalon_12_24_moisPoney=MAUVAISE,VLOOKUP("Pois",AlimentsRationChevauxMâlesPoney,4,FALSE),0)+(IF(QualitéAlimentsJeuneJument_12_24_moisPoney=MAUVAISE,VLOOKUP("Pois",AlimentsRationChevauxFemellesPoney,4,FALSE),0)+(IF(QualitéAlimentsJeuneEtalon_24_36_moisPoney=MAUVAISE,VLOOKUP("Pois",AlimentsRationChevauxMâlesPoney,3,FALSE),0)+(IF(QualitéAlimentsJeuneJument_24_36_moisPoney=MAUVAISE,VLOOKUP("Pois",AlimentsRationChevauxFemellesPoney,3,FALSE),0)+(IF(QualitéAlimentsEtalonPoney=MAUVAISE,VLOOKUP("Pois",AlimentsRationChevauxMâlesPoney,2,FALSE),0)+(IF(QualitéAlimentsJumentPoney=MAUVAISE,VLOOKUP("Pois",AlimentsRationChevauxFemellesPoney,2,FALSE),0))))))))))</f>
        <v>0</v>
      </c>
      <c r="FR219" s="281"/>
      <c r="GG219" s="276" t="s">
        <v>955</v>
      </c>
      <c r="GH219" s="276" t="s">
        <v>955</v>
      </c>
      <c r="GI219" s="276" t="s">
        <v>955</v>
      </c>
      <c r="GJ219" s="276" t="s">
        <v>955</v>
      </c>
      <c r="GK219" s="276" t="s">
        <v>955</v>
      </c>
      <c r="GL219" s="276" t="s">
        <v>955</v>
      </c>
      <c r="GM219" s="276" t="s">
        <v>955</v>
      </c>
      <c r="GN219" s="276" t="s">
        <v>955</v>
      </c>
      <c r="GO219" s="276" t="s">
        <v>955</v>
      </c>
      <c r="GP219" s="276" t="s">
        <v>955</v>
      </c>
      <c r="GQ219" s="276" t="s">
        <v>955</v>
      </c>
      <c r="GR219" s="276" t="s">
        <v>955</v>
      </c>
      <c r="GS219" s="276" t="s">
        <v>955</v>
      </c>
      <c r="GT219" s="276" t="s">
        <v>955</v>
      </c>
      <c r="GU219" s="276" t="s">
        <v>955</v>
      </c>
      <c r="GV219" s="276" t="s">
        <v>955</v>
      </c>
    </row>
    <row r="220" spans="1:204" ht="12.75" customHeight="1" x14ac:dyDescent="0.2">
      <c r="A220" s="276"/>
      <c r="B220" s="276"/>
      <c r="BB220" s="350" t="s">
        <v>378</v>
      </c>
      <c r="BC220" s="351">
        <f t="array" ref="BC220">IF(Ration_complète_bovins[somme]&gt;0,0,IFERROR(IF(OR(AND(INDEX(Règles_bovins[Specificite],MATCH(ChoixRationBovins&amp;$BB220,Règles_bovins[Ration]&amp;Règles_bovins[Aliment],0))="s1",IF($BB220=Spécificité1Bovins,1)),
AND(INDEX(Règles_bovins[Specificite],MATCH(ChoixRationBovins&amp;$BB220,Règles_bovins[Ration]&amp;Règles_bovins[Aliment],0))="s2",IF($BB220=Spécificité2Bovins,1)),
INDEX(Règles_bovins[Specificite],MATCH(ChoixRationBovins&amp;$BB220,Règles_bovins[Ration]&amp;Règles_bovins[Aliment],0))="c"),
INDEX(Règles_bovins[Valeur 36 et plus],MATCH(ChoixRationBovins&amp;$BB220,Règles_bovins[Ration]&amp;Règles_bovins[Aliment],0)),0),0)*IF(ChoixBovinsPréHiver=OUI,TotalTaureauxRacesLaitières,TotalTaureaux*NbreJoursNourrirBovins))</f>
        <v>0</v>
      </c>
      <c r="BD220" s="351">
        <f t="array" ref="BD220">IF(Ration_complète_bovins[somme]&gt;0,0,IFERROR(IF(OR(AND(INDEX(Règles_bovins[Specificite],MATCH(ChoixRationBovins&amp;$BB220,Règles_bovins[Ration]&amp;Règles_bovins[Aliment],0))="s1",IF($BB220=Spécificité1Bovins,1)),
AND(INDEX(Règles_bovins[Specificite],MATCH(ChoixRationBovins&amp;$BB220,Règles_bovins[Ration]&amp;Règles_bovins[Aliment],0))="s2",IF($BB220=Spécificité2Bovins,1)),
INDEX(Règles_bovins[Specificite],MATCH(ChoixRationBovins&amp;$BB220,Règles_bovins[Ration]&amp;Règles_bovins[Aliment],0))="c"),
INDEX(Règles_bovins[Valeur 24-36],MATCH(ChoixRationBovins&amp;$BB220,Règles_bovins[Ration]&amp;Règles_bovins[Aliment],0)),0),0)*IF(ChoixBovinsPréHiver=OUI,TotalTaurillon_24_36_RacesLaitières,TotalBovinsMâles_24_36mois*NbreJoursNourrirBovins))</f>
        <v>0</v>
      </c>
      <c r="BE220" s="351">
        <f t="array" ref="BE220">IF(Ration_complète_bovins[somme]&gt;0,0,IFERROR(IF(OR(AND(INDEX(Règles_bovins[Specificite],MATCH(ChoixRationBovins&amp;$BB220,Règles_bovins[Ration]&amp;Règles_bovins[Aliment],0))="s1",IF($BB220=Spécificité1Bovins,1)),
AND(INDEX(Règles_bovins[Specificite],MATCH(ChoixRationBovins&amp;$BB220,Règles_bovins[Ration]&amp;Règles_bovins[Aliment],0))="s2",IF($BB220=Spécificité2Bovins,1)),
INDEX(Règles_bovins[Specificite],MATCH(ChoixRationBovins&amp;$BB220,Règles_bovins[Ration]&amp;Règles_bovins[Aliment],0))="c"),
INDEX(Règles_bovins[Valeur 18-24],MATCH(ChoixRationBovins&amp;$BB220,Règles_bovins[Ration]&amp;Règles_bovins[Aliment],0)),0),0)*IF(ChoixBovinsPréHiver=OUI,TotalTaurillon_18_24_RacesLaitières,TotalBovinsMâles_18_24mois*NbreJoursNourrirBovins))</f>
        <v>0</v>
      </c>
      <c r="BF220" s="351">
        <f t="array" ref="BF220">IF(Ration_complète_bovins[somme]&gt;0,0,IFERROR(IF(OR(AND(INDEX(Règles_bovins[Specificite],MATCH(ChoixRationBovins&amp;$BB220,Règles_bovins[Ration]&amp;Règles_bovins[Aliment],0))="s1",IF($BB220=Spécificité1Bovins,1)),
AND(INDEX(Règles_bovins[Specificite],MATCH(ChoixRationBovins&amp;$BB220,Règles_bovins[Ration]&amp;Règles_bovins[Aliment],0))="s2",IF($BB220=Spécificité2Bovins,1)),
INDEX(Règles_bovins[Specificite],MATCH(ChoixRationBovins&amp;$BB220,Règles_bovins[Ration]&amp;Règles_bovins[Aliment],0))="c"),
INDEX(Règles_bovins[Valeur 12-18],MATCH(ChoixRationBovins&amp;$BB220,Règles_bovins[Ration]&amp;Règles_bovins[Aliment],0)),0),0)*IF(ChoixBovinsPréHiver=OUI,animaux!D43,TotalBovinsMâles_12_18mois*NbreJoursNourrirBovins))</f>
        <v>0</v>
      </c>
      <c r="BG220" s="351">
        <f t="array" ref="BG220">IF(Ration_complète_bovins[somme]&gt;0,0,IFERROR(IF(OR(AND(INDEX(Règles_bovins[Specificite],MATCH(ChoixRationBovins&amp;$BB220,Règles_bovins[Ration]&amp;Règles_bovins[Aliment],0))="s1",IF($BB220=Spécificité1Bovins,1)),
AND(INDEX(Règles_bovins[Specificite],MATCH(ChoixRationBovins&amp;$BB220,Règles_bovins[Ration]&amp;Règles_bovins[Aliment],0))="s2",IF($BB220=Spécificité2Bovins,1)),
INDEX(Règles_bovins[Specificite],MATCH(ChoixRationBovins&amp;$BB220,Règles_bovins[Ration]&amp;Règles_bovins[Aliment],0))="c"),
INDEX(Règles_bovins[Valeur 6-12],MATCH(ChoixRationBovins&amp;$BB220,Règles_bovins[Ration]&amp;Règles_bovins[Aliment],0)),0),0)*IF(ChoixBovinsPréHiver=OUI,TotalVeauMâle_6_12_RacesLaitières,TotalBovinsMâles_6_12mois*NbreJoursNourrirBovins))</f>
        <v>0</v>
      </c>
      <c r="BH220" s="351">
        <f t="array" ref="BH220">IF(Ration_complète_bovins[somme]&gt;0,0,IFERROR(IF(OR(AND(INDEX(Règles_bovins[Specificite],MATCH(ChoixRationBovins&amp;$BB220,Règles_bovins[Ration]&amp;Règles_bovins[Aliment],0))="s1",IF($BB220=Spécificité1Bovins,1)),
AND(INDEX(Règles_bovins[Specificite],MATCH(ChoixRationBovins&amp;$BB220,Règles_bovins[Ration]&amp;Règles_bovins[Aliment],0))="s2",IF($BB220=Spécificité2Bovins,1)),
INDEX(Règles_bovins[Specificite],MATCH(ChoixRationBovins&amp;$BB220,Règles_bovins[Ration]&amp;Règles_bovins[Aliment],0))="c"),
INDEX(Règles_bovins[Valeur 3-6],MATCH(ChoixRationBovins&amp;$BB220,Règles_bovins[Ration]&amp;Règles_bovins[Aliment],0)),0),0)*IF(ChoixBovinsPréHiver=OUI,TotalVeauMâle_3_6_RacesLaitières,TotalBovinsMâles_3_6mois*NbreJoursNourrirBovins))</f>
        <v>0</v>
      </c>
      <c r="BI220" s="351">
        <f t="array" ref="BI220">IF(Ration_complète_bovins[somme]&gt;0,0,IFERROR(IF(OR(AND(INDEX(Règles_bovins[Specificite],MATCH(ChoixRationBovins&amp;$BB220,Règles_bovins[Ration]&amp;Règles_bovins[Aliment],0))="s1",IF($BB220=Spécificité1Bovins,1)),
AND(INDEX(Règles_bovins[Specificite],MATCH(ChoixRationBovins&amp;$BB220,Règles_bovins[Ration]&amp;Règles_bovins[Aliment],0))="s2",IF($BB220=Spécificité2Bovins,1)),
INDEX(Règles_bovins[Specificite],MATCH(ChoixRationBovins&amp;$BB220,Règles_bovins[Ration]&amp;Règles_bovins[Aliment],0))="c"),
INDEX(Règles_bovins[Valeur 0-3],MATCH(ChoixRationBovins&amp;$BB220,Règles_bovins[Ration]&amp;Règles_bovins[Aliment],0)),0),0)*IF(ChoixBovinsPréHiver=OUI,TotalVeauMâle_0_3_RacesLaitières,TotalBovinsMâles_0_3mois*NbreJoursNourrirBovins))</f>
        <v>0</v>
      </c>
      <c r="BJ220" s="352">
        <f t="shared" si="62"/>
        <v>0</v>
      </c>
      <c r="BK220" s="276"/>
      <c r="BL220" s="276"/>
      <c r="BX220" s="350" t="str">
        <f t="shared" si="63"/>
        <v>Pulpe déshydratée de betterave</v>
      </c>
      <c r="BY220" s="351">
        <f t="array" ref="BY220">SUM((IF(QualitéAlimentsChevreau_0_3_mois=BONNE,VLOOKUP("Pulpe déshydratée de betterave",AlimentsRationCaprinsMâles,5,FALSE),0)+(IF(QualitéAlimentsChevrette_0_3_mois=BONNE,VLOOKUP("Pulpe déshydratée de betterave",AlimentsRationCaprinsFemelles,5,FALSE),0)+(IF(QualitéAlimentsChevreau_3_6_mois=BONNE,VLOOKUP("Pulpe déshydratée de betterave",AlimentsRationCaprinsMâles,4,FALSE),0)+(IF(QualitéAlimentsChevrette_3_6_mois=BONNE,VLOOKUP("Pulpe déshydratée de betterave",AlimentsRationCaprinsFemelles,4,FALSE),0)+(IF(QualitéAlimentsJeuneBouc=BONNE,VLOOKUP("Pulpe déshydratée de betterave",AlimentsRationCaprinsMâles,3,FALSE),0)+(IF(QualitéAlimentsJeuneChèvre=BONNE,VLOOKUP("Pulpe déshydratée de betterave",AlimentsRationCaprinsFemelles,3,FALSE),0)+(IF(QualitéAlimentsBouc=BONNE,VLOOKUP("Pulpe déshydratée de betterave",AlimentsRationCaprinsMâles,2,FALSE),0)+(IF(QualitéAlimentsChèvre=BONNE,VLOOKUP("Pulpe déshydratée de betterave",AlimentsRationCaprinsFemelles,2,FALSE),0))))))))))</f>
        <v>0</v>
      </c>
      <c r="BZ220" s="351">
        <f t="array" ref="BZ220">SUM((IF(QualitéAlimentsChevreau_0_3_mois=MOYENNE,VLOOKUP("Pulpe déshydratée de betterave",AlimentsRationCaprinsMâles,5,FALSE),0)+(IF(QualitéAlimentsChevrette_0_3_mois=MOYENNE,VLOOKUP("Pulpe déshydratée de betterave",AlimentsRationCaprinsFemelles,5,FALSE),0)+(IF(QualitéAlimentsChevreau_3_6_mois=MOYENNE,VLOOKUP("Pulpe déshydratée de betterave",AlimentsRationCaprinsMâles,4,FALSE),0)+(IF(QualitéAlimentsChevrette_3_6_mois=MOYENNE,VLOOKUP("Pulpe déshydratée de betterave",AlimentsRationCaprinsFemelles,4,FALSE),0)+(IF(QualitéAlimentsJeuneBouc=MOYENNE,VLOOKUP("Pulpe déshydratée de betterave",AlimentsRationCaprinsMâles,3,FALSE),0)+(IF(QualitéAlimentsJeuneChèvre=MOYENNE,VLOOKUP("Pulpe déshydratée de betterave",AlimentsRationCaprinsFemelles,3,FALSE),0)+(IF(QualitéAlimentsBouc=MOYENNE,VLOOKUP("Pulpe déshydratée de betterave",AlimentsRationCaprinsMâles,2,FALSE),0)+(IF(QualitéAlimentsChèvre=MOYENNE,VLOOKUP("Pulpe déshydratée de betterave",AlimentsRationCaprinsFemelles,2,FALSE),0))))))))))</f>
        <v>0</v>
      </c>
      <c r="CA220" s="351">
        <f t="array" ref="CA220">SUM((IF(QualitéAlimentsChevreau_0_3_mois=MAUVAISE,VLOOKUP("Pulpe déshydratée de betterave",AlimentsRationCaprinsMâles,5,FALSE),0)+(IF(QualitéAlimentsChevrette_0_3_mois=MAUVAISE,VLOOKUP("Pulpe déshydratée de betterave",AlimentsRationCaprinsFemelles,5,FALSE),0)+(IF(QualitéAlimentsChevreau_3_6_mois=MAUVAISE,VLOOKUP("Pulpe déshydratée de betterave",AlimentsRationCaprinsMâles,4,FALSE),0)+(IF(QualitéAlimentsChevrette_3_6_mois=MAUVAISE,VLOOKUP("Pulpe déshydratée de betterave",AlimentsRationCaprinsFemelles,4,FALSE),0)+(IF(QualitéAlimentsJeuneBouc=MAUVAISE,VLOOKUP("Pulpe déshydratée de betterave",AlimentsRationCaprinsMâles,3,FALSE),0)+(IF(QualitéAlimentsJeuneChèvre=MAUVAISE,VLOOKUP("Pulpe déshydratée de betterave",AlimentsRationCaprinsFemelles,3,FALSE),0)+(IF(QualitéAlimentsBouc=MAUVAISE,VLOOKUP("Pulpe déshydratée de betterave",AlimentsRationCaprinsMâles,2,FALSE),0)+(IF(QualitéAlimentsChèvre=MAUVAISE,VLOOKUP("Pulpe déshydratée de betterave",AlimentsRationCaprinsFemelles,2,FALSE),0))))))))))</f>
        <v>0</v>
      </c>
      <c r="CB220" s="277"/>
      <c r="CC220" s="277"/>
      <c r="CD220" s="298"/>
      <c r="CE220" s="298"/>
      <c r="CF220" s="298"/>
      <c r="CG220" s="298"/>
      <c r="CH220" s="298"/>
      <c r="CI220" s="277"/>
      <c r="CK220" s="277"/>
      <c r="CL220" s="277"/>
      <c r="CM220" s="277"/>
      <c r="CN220" s="277"/>
      <c r="CO220" s="277"/>
      <c r="CP220" s="277"/>
      <c r="DN220" s="350" t="str">
        <f t="shared" si="61"/>
        <v>Sorgho ensilé</v>
      </c>
      <c r="DO220" s="351">
        <f t="array" ref="DO220">IF(ChoixRationComplèteOvins=OUI,0,IFERROR(IF(OR(AND(INDEX(Règles_ovins[Specificite],MATCH(ChoixRationOvins&amp;$DN220,Règles_ovins[Ration]&amp;Règles_ovins[Aliment],0))="s1",IF($DN220=Spécificité1Ovins,1)),
AND(INDEX(Règles_ovins[Specificite],MATCH(ChoixRationOvins&amp;$DN220,Règles_ovins[Ration]&amp;Règles_ovins[Aliment],0))="s2",IF($DN220=Spécificité2Ovins,1)),
INDEX(Règles_ovins[Specificite],MATCH(ChoixRationOvins&amp;$DN220,Règles_ovins[Ration]&amp;Règles_ovins[Aliment],0))="c"),
INDEX(Règles_ovins[Valeur 12 et plus],MATCH(ChoixRationOvins&amp;$DN220,Règles_ovins[Ration]&amp;Règles_ovins[Aliment],0)),0),0)*IF(ChoixOvinsPréHiver=OUI,SUM(TotalOvinsAdultesRacesLaitières)*NbreJoursNourrirOvins,TotalBrebis*NbreJoursNourrirOvins))</f>
        <v>0</v>
      </c>
      <c r="DP220" s="351">
        <f t="array" ref="DP220">IF(ChoixRationComplèteOvins=OUI,0,IFERROR(IF(OR(AND(INDEX(Règles_ovins[Specificite],MATCH(ChoixRationOvins&amp;$DN220,Règles_ovins[Ration]&amp;Règles_ovins[Aliment],0))="s1",IF($DN220=Spécificité1Ovins,1)),
AND(INDEX(Règles_ovins[Specificite],MATCH(ChoixRationOvins&amp;$DN220,Règles_ovins[Ration]&amp;Règles_ovins[Aliment],0))="s2",IF($DN220=Spécificité2Ovins,1)),
INDEX(Règles_ovins[Specificite],MATCH(ChoixRationOvins&amp;$DN220,Règles_ovins[Ration]&amp;Règles_ovins[Aliment],0))="c"),
INDEX(Règles_ovins[Valeur 6-12],MATCH(ChoixRationOvins&amp;$DN220,Règles_ovins[Ration]&amp;Règles_ovins[Aliment],0)),0),0)*IF(ChoixOvinsPréHiver=OUI,SUM(TotalJeunesOvinsRacesLaitières)*NbreJoursNourrirOvins,TotalJeune_brebis_6_12_mois*NbreJoursNourrirOvins))</f>
        <v>0</v>
      </c>
      <c r="DQ220" s="351">
        <f t="array" ref="DQ220">IF(ChoixRationComplèteOvins=OUI,0,IFERROR(IF(OR(AND(INDEX(Règles_ovins[Specificite],MATCH(ChoixRationOvins&amp;$DN220,Règles_ovins[Ration]&amp;Règles_ovins[Aliment],0))="s1",IF($DN220=Spécificité1Ovins,1)),
AND(INDEX(Règles_ovins[Specificite],MATCH(ChoixRationOvins&amp;$DN220,Règles_ovins[Ration]&amp;Règles_ovins[Aliment],0))="s2",IF($DN220=Spécificité2Ovins,1)),
INDEX(Règles_ovins[Specificite],MATCH(ChoixRationOvins&amp;$DN220,Règles_ovins[Ration]&amp;Règles_ovins[Aliment],0))="c"),
INDEX(Règles_ovins[Valeur 3-6],MATCH(ChoixRationOvins&amp;$DN220,Règles_ovins[Ration]&amp;Règles_ovins[Aliment],0)),0),0)*IF(ChoixOvinsPréHiver=OUI,SUM(TotalOvins_3_6moisRacesLaitières)*NbreJoursNourrirOvins,TotalAgnelle_3_6_mois*NbreJoursNourrirOvins))</f>
        <v>0</v>
      </c>
      <c r="DR220" s="351">
        <f t="array" ref="DR220">IF(ChoixRationComplèteOvins=OUI,0,IFERROR(IF(OR(AND(INDEX(Règles_ovins[Specificite],MATCH(ChoixRationOvins&amp;$DN220,Règles_ovins[Ration]&amp;Règles_ovins[Aliment],0))="s1",IF($DN220=Spécificité1Ovins,1)),
AND(INDEX(Règles_ovins[Specificite],MATCH(ChoixRationOvins&amp;$DN220,Règles_ovins[Ration]&amp;Règles_ovins[Aliment],0))="s2",IF($DN220=Spécificité2Ovins,1)),
INDEX(Règles_ovins[Specificite],MATCH(ChoixRationOvins&amp;$DN220,Règles_ovins[Ration]&amp;Règles_ovins[Aliment],0))="c"),
INDEX(Règles_ovins[Valeur 0-3],MATCH(ChoixRationOvins&amp;$DN220,Règles_ovins[Ration]&amp;Règles_ovins[Aliment],0)),0),0)*IF(ChoixOvinsPréHiver=OUI,SUM(TotalOvins_3_6moisRacesLaitières)*NbreJoursNourrirOvins,TotalAgnelle_0_3_mois*NbreJoursNourrirOvins))</f>
        <v>0</v>
      </c>
      <c r="DS220" s="441">
        <f t="shared" si="60"/>
        <v>0</v>
      </c>
      <c r="EU220" s="457" t="str">
        <f t="shared" si="66"/>
        <v>Maïs ensilé</v>
      </c>
      <c r="EV220" s="458">
        <f t="array" ref="EV220">SUM((IF(QualitéAlimentsPoulainSelleMâle=BONNE,VLOOKUP("Maïs ensilé",AlimentsRationEcurieChevauxMâlesSelle,5,FALSE),0)+(IF(QualitéAlimentsPoulainSelleFemelle=BONNE,VLOOKUP("Maïs ensilé",AlimentsRationEcurieChevauxFemellesSelle,5,FALSE),0)+(IF(QualitéAlimentsJeuneEtalon_12_24_moisSelle=BONNE,VLOOKUP("Maïs ensilé",AlimentsRationEcurieChevauxMâlesSelle,4,FALSE),0)+(IF(QualitéAlimentsJeuneJument_12_24_moisSelle=BONNE,VLOOKUP("Maïs ensilé",AlimentsRationEcurieChevauxFemellesSelle,4,FALSE),0)+(IF(QualitéAlimentsJeuneEtalon_24_36_moisSelle=BONNE,VLOOKUP("Maïs ensilé",AlimentsRationEcurieChevauxMâlesSelle,3,FALSE),0)+(IF(QualitéAlimentsJeuneJument_24_36_moisSelle=BONNE,VLOOKUP("Maïs ensilé",AlimentsRationEcurieChevauxFemellesSelle,3,FALSE),0)+(IF(QualitéAlimentsEtalonSelle=BONNE,VLOOKUP("Maïs ensilé",AlimentsRationEcurieChevauxMâlesSelle,2,FALSE),0)+(IF(QualitéAlimentsJumentSelle=BONNE,VLOOKUP("Maïs ensilé",AlimentsRationEcurieChevauxFemellesSelle,2,FALSE),0))))))))))</f>
        <v>0</v>
      </c>
      <c r="EW220" s="458">
        <f t="array" ref="EW220">SUM((IF(QualitéAlimentsPoulainSelleMâle=MOYENNE,VLOOKUP("Maïs ensilé",AlimentsRationEcurieChevauxMâlesSelle,5,FALSE),0)+(IF(QualitéAlimentsPoulainSelleFemelle=MOYENNE,VLOOKUP("Maïs ensilé",AlimentsRationEcurieChevauxFemellesSelle,5,FALSE),0)+(IF(QualitéAlimentsJeuneEtalon_12_24_moisSelle=MOYENNE,VLOOKUP("Maïs ensilé",AlimentsRationEcurieChevauxMâlesSelle,4,FALSE),0)+(IF(QualitéAlimentsJeuneJument_12_24_moisSelle=MOYENNE,VLOOKUP("Maïs ensilé",AlimentsRationEcurieChevauxFemellesSelle,4,FALSE),0)+(IF(QualitéAlimentsJeuneEtalon_24_36_moisSelle=MOYENNE,VLOOKUP("Maïs ensilé",AlimentsRationEcurieChevauxMâlesSelle,3,FALSE),0)+(IF(QualitéAlimentsJeuneJument_24_36_moisSelle=MOYENNE,VLOOKUP("Maïs ensilé",AlimentsRationEcurieChevauxFemellesSelle,3,FALSE),0)+(IF(QualitéAlimentsEtalonSelle=MOYENNE,VLOOKUP("Maïs ensilé",AlimentsRationEcurieChevauxMâlesSelle,2,FALSE),0)+(IF(QualitéAlimentsJumentSelle=MOYENNE,VLOOKUP("Maïs ensilé",AlimentsRationEcurieChevauxFemellesSelle,2,FALSE),0))))))))))</f>
        <v>0</v>
      </c>
      <c r="EX220" s="458">
        <f t="array" ref="EX220">SUM((IF(QualitéAlimentsPoulainSelleMâle=MAUVAISE,VLOOKUP("Maïs ensilé",AlimentsRationEcurieChevauxMâlesSelle,5,FALSE),0)+(IF(QualitéAlimentsPoulainSelleFemelle=MAUVAISE,VLOOKUP("Maïs ensilé",AlimentsRationEcurieChevauxFemellesSelle,5,FALSE),0)+(IF(QualitéAlimentsJeuneEtalon_12_24_moisSelle=MAUVAISE,VLOOKUP("Maïs ensilé",AlimentsRationEcurieChevauxMâlesSelle,4,FALSE),0)+(IF(QualitéAlimentsJeuneJument_12_24_moisSelle=MAUVAISE,VLOOKUP("Maïs ensilé",AlimentsRationEcurieChevauxFemellesSelle,4,FALSE),0)+(IF(QualitéAlimentsJeuneEtalon_24_36_moisSelle=MAUVAISE,VLOOKUP("Maïs ensilé",AlimentsRationEcurieChevauxMâlesSelle,3,FALSE),0)+(IF(QualitéAlimentsJeuneJument_24_36_moisSelle=MAUVAISE,VLOOKUP("Maïs ensilé",AlimentsRationEcurieChevauxFemellesSelle,3,FALSE),0)+(IF(QualitéAlimentsEtalonSelle=MAUVAISE,VLOOKUP("Maïs ensilé",AlimentsRationEcurieChevauxMâlesSelle,2,FALSE),0)+(IF(QualitéAlimentsJumentSelle=MAUVAISE,VLOOKUP("Maïs ensilé",AlimentsRationEcurieChevauxFemellesSelle,2,FALSE),0))))))))))</f>
        <v>0</v>
      </c>
      <c r="FD220" s="457" t="str">
        <f t="shared" si="65"/>
        <v>Pois</v>
      </c>
      <c r="FE220" s="458">
        <f t="array" ref="FE220">SUM((IF(QualitéAlimentsPoulainMâleTrait=BONNE,VLOOKUP("Pois",AlimentsRationEcurieChevauxMâlesTrait,5,FALSE),0)+(IF(QualitéAlimentsPoulainFemelleTrait=BONNE,VLOOKUP("Pois",AlimentsRationEcurieChevauxFemellesTrait,5,FALSE),0)+(IF(QualitéAlimentsJeuneEtalon_12_24_moisTrait=BONNE,VLOOKUP("Pois",AlimentsRationEcurieChevauxMâlesTrait,4,FALSE),0)+(IF(QualitéAlimentsJeuneJument_12_24_moisTrait=BONNE,VLOOKUP("Pois",AlimentsRationEcurieChevauxFemellesTrait,4,FALSE),0)+(IF(QualitéAlimentsJeuneEtalon_24_36_moisTrait=BONNE,VLOOKUP("Pois",AlimentsRationEcurieChevauxMâlesTrait,3,FALSE),0)+(IF(QualitéAlimentsJeuneJument_24_36_moisTrait=BONNE,VLOOKUP("Pois",AlimentsRationEcurieChevauxFemellesTrait,3,FALSE),0)+(IF(QualitéAlimentsEtalonTrait=BONNE,VLOOKUP("Pois",AlimentsRationEcurieChevauxMâlesTrait,2,FALSE),0)+(IF(QualitéAlimentsJumentTrait=BONNE,VLOOKUP("Pois",AlimentsRationEcurieChevauxFemellesTrait,2,FALSE),0))))))))))</f>
        <v>0</v>
      </c>
      <c r="FF220" s="458">
        <f t="array" ref="FF220">SUM((IF(QualitéAlimentsPoulainMâleTrait=MOYENNE,VLOOKUP("Pois",AlimentsRationEcurieChevauxMâlesTrait,5,FALSE),0)+(IF(QualitéAlimentsPoulainFemelleTrait=MOYENNE,VLOOKUP("Pois",AlimentsRationEcurieChevauxFemellesTrait,5,FALSE),0)+(IF(QualitéAlimentsJeuneEtalon_12_24_moisTrait=MOYENNE,VLOOKUP("Pois",AlimentsRationEcurieChevauxMâlesTrait,4,FALSE),0)+(IF(QualitéAlimentsJeuneJument_12_24_moisTrait=MOYENNE,VLOOKUP("Pois",AlimentsRationEcurieChevauxFemellesTrait,4,FALSE),0)+(IF(QualitéAlimentsJeuneEtalon_24_36_moisTrait=MOYENNE,VLOOKUP("Pois",AlimentsRationEcurieChevauxMâlesTrait,3,FALSE),0)+(IF(QualitéAlimentsJeuneJument_24_36_moisTrait=MOYENNE,VLOOKUP("Pois",AlimentsRationEcurieChevauxFemellesTrait,3,FALSE),0)+(IF(QualitéAlimentsEtalonTrait=MOYENNE,VLOOKUP("Pois",AlimentsRationEcurieChevauxMâlesTrait,2,FALSE),0)+(IF(QualitéAlimentsJumentTrait=MOYENNE,VLOOKUP("Pois",AlimentsRationEcurieChevauxFemellesTrait,2,FALSE),0))))))))))</f>
        <v>0</v>
      </c>
      <c r="FG220" s="458">
        <f t="array" ref="FG220">SUM((IF(QualitéAlimentsPoulainMâleTrait=MAUVAISE,VLOOKUP("Pois",AlimentsRationEcurieChevauxMâlesTrait,5,FALSE),0)+(IF(QualitéAlimentsPoulainFemelleTrait=MAUVAISE,VLOOKUP("Pois",AlimentsRationEcurieChevauxFemellesTrait,5,FALSE),0)+(IF(QualitéAlimentsJeuneEtalon_12_24_moisTrait=MAUVAISE,VLOOKUP("Pois",AlimentsRationEcurieChevauxMâlesTrait,4,FALSE),0)+(IF(QualitéAlimentsJeuneJument_12_24_moisTrait=MAUVAISE,VLOOKUP("Pois",AlimentsRationEcurieChevauxFemellesTrait,4,FALSE),0)+(IF(QualitéAlimentsJeuneEtalon_24_36_moisTrait=MAUVAISE,VLOOKUP("Pois",AlimentsRationEcurieChevauxMâlesTrait,3,FALSE),0)+(IF(QualitéAlimentsJeuneJument_24_36_moisTrait=MAUVAISE,VLOOKUP("Pois",AlimentsRationEcurieChevauxFemellesTrait,3,FALSE),0)+(IF(QualitéAlimentsEtalonTrait=MAUVAISE,VLOOKUP("Pois",AlimentsRationEcurieChevauxMâlesTrait,2,FALSE),0)+(IF(QualitéAlimentsJumentTrait=MAUVAISE,VLOOKUP("Pois",AlimentsRationEcurieChevauxFemellesTrait,2,FALSE),0))))))))))</f>
        <v>0</v>
      </c>
      <c r="FI220" s="276"/>
      <c r="FN220" s="457" t="str">
        <f t="shared" si="64"/>
        <v>Pomme de terre</v>
      </c>
      <c r="FO220" s="458">
        <f t="array" ref="FO220">SUM((IF(QualitéAlimentsPoulainMâlePoney=BONNE,VLOOKUP("Pomme de terre",AlimentsRationChevauxMâlesPoney,5,FALSE),0)+(IF(QualitéAlimentsPoulainFemellePoney=BONNE,VLOOKUP("Pomme de terre",AlimentsRationChevauxFemellesPoney,5,FALSE),0)+(IF(QualitéAlimentsJeuneEtalon_12_24_moisPoney=BONNE,VLOOKUP("Pomme de terre",AlimentsRationChevauxMâlesPoney,4,FALSE),0)+(IF(QualitéAlimentsJeuneJument_12_24_moisPoney=BONNE,VLOOKUP("Pomme de terre",AlimentsRationChevauxFemellesPoney,4,FALSE),0)+(IF(QualitéAlimentsJeuneEtalon_24_36_moisPoney=BONNE,VLOOKUP("Pomme de terre",AlimentsRationChevauxMâlesPoney,3,FALSE),0)+(IF(QualitéAlimentsJeuneJument_24_36_moisPoney=BONNE,VLOOKUP("Pomme de terre",AlimentsRationChevauxFemellesPoney,3,FALSE),0)+(IF(QualitéAlimentsEtalonPoney=BONNE,VLOOKUP("Pomme de terre",AlimentsRationChevauxMâlesPoney,2,FALSE),0)+(IF(QualitéAlimentsJumentPoney=BONNE,VLOOKUP("Pomme de terre",AlimentsRationChevauxFemellesPoney,2,FALSE),0))))))))))</f>
        <v>0</v>
      </c>
      <c r="FP220" s="458">
        <f t="array" ref="FP220">SUM((IF(QualitéAlimentsPoulainMâlePoney=MOYENNE,VLOOKUP("Pomme de terre",AlimentsRationChevauxMâlesPoney,5,FALSE),0)+(IF(QualitéAlimentsPoulainFemellePoney=MOYENNE,VLOOKUP("Pomme de terre",AlimentsRationChevauxFemellesPoney,5,FALSE),0)+(IF(QualitéAlimentsJeuneEtalon_12_24_moisPoney=MOYENNE,VLOOKUP("Pomme de terre",AlimentsRationChevauxMâlesPoney,4,FALSE),0)+(IF(QualitéAlimentsJeuneJument_12_24_moisPoney=MOYENNE,VLOOKUP("Pomme de terre",AlimentsRationChevauxFemellesPoney,4,FALSE),0)+(IF(QualitéAlimentsJeuneEtalon_24_36_moisPoney=MOYENNE,VLOOKUP("Pomme de terre",AlimentsRationChevauxMâlesPoney,3,FALSE),0)+(IF(QualitéAlimentsJeuneJument_24_36_moisPoney=MOYENNE,VLOOKUP("Pomme de terre",AlimentsRationChevauxFemellesPoney,3,FALSE),0)+(IF(QualitéAlimentsEtalonPoney=MOYENNE,VLOOKUP("Pomme de terre",AlimentsRationChevauxMâlesPoney,2,FALSE),0)+(IF(QualitéAlimentsJumentPoney=MOYENNE,VLOOKUP("Pomme de terre",AlimentsRationChevauxFemellesPoney,2,FALSE),0))))))))))</f>
        <v>0</v>
      </c>
      <c r="FQ220" s="458">
        <f t="array" ref="FQ220">SUM((IF(QualitéAlimentsPoulainMâlePoney=MAUVAISE,VLOOKUP("Pomme de terre",AlimentsRationChevauxMâlesPoney,5,FALSE),0)+(IF(QualitéAlimentsPoulainFemellePoney=MAUVAISE,VLOOKUP("Pomme de terre",AlimentsRationChevauxFemellesPoney,5,FALSE),0)+(IF(QualitéAlimentsJeuneEtalon_12_24_moisPoney=MAUVAISE,VLOOKUP("Pomme de terre",AlimentsRationChevauxMâlesPoney,4,FALSE),0)+(IF(QualitéAlimentsJeuneJument_12_24_moisPoney=MAUVAISE,VLOOKUP("Pomme de terre",AlimentsRationChevauxFemellesPoney,4,FALSE),0)+(IF(QualitéAlimentsJeuneEtalon_24_36_moisPoney=MAUVAISE,VLOOKUP("Pomme de terre",AlimentsRationChevauxMâlesPoney,3,FALSE),0)+(IF(QualitéAlimentsJeuneJument_24_36_moisPoney=MAUVAISE,VLOOKUP("Pomme de terre",AlimentsRationChevauxFemellesPoney,3,FALSE),0)+(IF(QualitéAlimentsEtalonPoney=MAUVAISE,VLOOKUP("Pomme de terre",AlimentsRationChevauxMâlesPoney,2,FALSE),0)+(IF(QualitéAlimentsJumentPoney=MAUVAISE,VLOOKUP("Pomme de terre",AlimentsRationChevauxFemellesPoney,2,FALSE),0))))))))))</f>
        <v>0</v>
      </c>
      <c r="FR220" s="281"/>
      <c r="GG220" s="276" t="s">
        <v>955</v>
      </c>
      <c r="GH220" s="276" t="s">
        <v>955</v>
      </c>
      <c r="GI220" s="276" t="s">
        <v>955</v>
      </c>
      <c r="GJ220" s="276" t="s">
        <v>955</v>
      </c>
      <c r="GK220" s="276" t="s">
        <v>955</v>
      </c>
      <c r="GL220" s="276" t="s">
        <v>955</v>
      </c>
      <c r="GM220" s="276" t="s">
        <v>955</v>
      </c>
      <c r="GN220" s="276" t="s">
        <v>955</v>
      </c>
      <c r="GO220" s="276" t="s">
        <v>955</v>
      </c>
      <c r="GP220" s="276" t="s">
        <v>955</v>
      </c>
      <c r="GQ220" s="276" t="s">
        <v>955</v>
      </c>
      <c r="GR220" s="276" t="s">
        <v>955</v>
      </c>
      <c r="GS220" s="276" t="s">
        <v>955</v>
      </c>
      <c r="GT220" s="276" t="s">
        <v>955</v>
      </c>
      <c r="GU220" s="276" t="s">
        <v>955</v>
      </c>
      <c r="GV220" s="276" t="s">
        <v>955</v>
      </c>
    </row>
    <row r="221" spans="1:204" ht="12.75" customHeight="1" x14ac:dyDescent="0.2">
      <c r="A221" s="276"/>
      <c r="B221" s="276"/>
      <c r="BB221" s="350" t="s">
        <v>57</v>
      </c>
      <c r="BC221" s="351">
        <f t="array" ref="BC221">IF(Ration_complète_bovins[somme]&gt;0,0,IFERROR(IF(OR(AND(INDEX(Règles_bovins[Specificite],MATCH(ChoixRationBovins&amp;$BB221,Règles_bovins[Ration]&amp;Règles_bovins[Aliment],0))="s1",IF($BB221=Spécificité1Bovins,1)),
AND(INDEX(Règles_bovins[Specificite],MATCH(ChoixRationBovins&amp;$BB221,Règles_bovins[Ration]&amp;Règles_bovins[Aliment],0))="s2",IF($BB221=Spécificité2Bovins,1)),
INDEX(Règles_bovins[Specificite],MATCH(ChoixRationBovins&amp;$BB221,Règles_bovins[Ration]&amp;Règles_bovins[Aliment],0))="c"),
INDEX(Règles_bovins[Valeur 36 et plus],MATCH(ChoixRationBovins&amp;$BB221,Règles_bovins[Ration]&amp;Règles_bovins[Aliment],0)),0),0)*IF(ChoixBovinsPréHiver=OUI,TotalTaureauxRacesLaitières,TotalTaureaux*NbreJoursNourrirBovins))</f>
        <v>0</v>
      </c>
      <c r="BD221" s="351">
        <f t="array" ref="BD221">IF(Ration_complète_bovins[somme]&gt;0,0,IFERROR(IF(OR(AND(INDEX(Règles_bovins[Specificite],MATCH(ChoixRationBovins&amp;$BB221,Règles_bovins[Ration]&amp;Règles_bovins[Aliment],0))="s1",IF($BB221=Spécificité1Bovins,1)),
AND(INDEX(Règles_bovins[Specificite],MATCH(ChoixRationBovins&amp;$BB221,Règles_bovins[Ration]&amp;Règles_bovins[Aliment],0))="s2",IF($BB221=Spécificité2Bovins,1)),
INDEX(Règles_bovins[Specificite],MATCH(ChoixRationBovins&amp;$BB221,Règles_bovins[Ration]&amp;Règles_bovins[Aliment],0))="c"),
INDEX(Règles_bovins[Valeur 24-36],MATCH(ChoixRationBovins&amp;$BB221,Règles_bovins[Ration]&amp;Règles_bovins[Aliment],0)),0),0)*IF(ChoixBovinsPréHiver=OUI,TotalTaurillon_24_36_RacesLaitières,TotalBovinsMâles_24_36mois*NbreJoursNourrirBovins))</f>
        <v>0</v>
      </c>
      <c r="BE221" s="351">
        <f t="array" ref="BE221">IF(Ration_complète_bovins[somme]&gt;0,0,IFERROR(IF(OR(AND(INDEX(Règles_bovins[Specificite],MATCH(ChoixRationBovins&amp;$BB221,Règles_bovins[Ration]&amp;Règles_bovins[Aliment],0))="s1",IF($BB221=Spécificité1Bovins,1)),
AND(INDEX(Règles_bovins[Specificite],MATCH(ChoixRationBovins&amp;$BB221,Règles_bovins[Ration]&amp;Règles_bovins[Aliment],0))="s2",IF($BB221=Spécificité2Bovins,1)),
INDEX(Règles_bovins[Specificite],MATCH(ChoixRationBovins&amp;$BB221,Règles_bovins[Ration]&amp;Règles_bovins[Aliment],0))="c"),
INDEX(Règles_bovins[Valeur 18-24],MATCH(ChoixRationBovins&amp;$BB221,Règles_bovins[Ration]&amp;Règles_bovins[Aliment],0)),0),0)*IF(ChoixBovinsPréHiver=OUI,TotalTaurillon_18_24_RacesLaitières,TotalBovinsMâles_18_24mois*NbreJoursNourrirBovins))</f>
        <v>0</v>
      </c>
      <c r="BF221" s="351">
        <f t="array" ref="BF221">IF(Ration_complète_bovins[somme]&gt;0,0,IFERROR(IF(OR(AND(INDEX(Règles_bovins[Specificite],MATCH(ChoixRationBovins&amp;$BB221,Règles_bovins[Ration]&amp;Règles_bovins[Aliment],0))="s1",IF($BB221=Spécificité1Bovins,1)),
AND(INDEX(Règles_bovins[Specificite],MATCH(ChoixRationBovins&amp;$BB221,Règles_bovins[Ration]&amp;Règles_bovins[Aliment],0))="s2",IF($BB221=Spécificité2Bovins,1)),
INDEX(Règles_bovins[Specificite],MATCH(ChoixRationBovins&amp;$BB221,Règles_bovins[Ration]&amp;Règles_bovins[Aliment],0))="c"),
INDEX(Règles_bovins[Valeur 12-18],MATCH(ChoixRationBovins&amp;$BB221,Règles_bovins[Ration]&amp;Règles_bovins[Aliment],0)),0),0)*IF(ChoixBovinsPréHiver=OUI,animaux!D44,TotalBovinsMâles_12_18mois*NbreJoursNourrirBovins))</f>
        <v>0</v>
      </c>
      <c r="BG221" s="351">
        <f t="array" ref="BG221">IF(Ration_complète_bovins[somme]&gt;0,0,IFERROR(IF(OR(AND(INDEX(Règles_bovins[Specificite],MATCH(ChoixRationBovins&amp;$BB221,Règles_bovins[Ration]&amp;Règles_bovins[Aliment],0))="s1",IF($BB221=Spécificité1Bovins,1)),
AND(INDEX(Règles_bovins[Specificite],MATCH(ChoixRationBovins&amp;$BB221,Règles_bovins[Ration]&amp;Règles_bovins[Aliment],0))="s2",IF($BB221=Spécificité2Bovins,1)),
INDEX(Règles_bovins[Specificite],MATCH(ChoixRationBovins&amp;$BB221,Règles_bovins[Ration]&amp;Règles_bovins[Aliment],0))="c"),
INDEX(Règles_bovins[Valeur 6-12],MATCH(ChoixRationBovins&amp;$BB221,Règles_bovins[Ration]&amp;Règles_bovins[Aliment],0)),0),0)*IF(ChoixBovinsPréHiver=OUI,TotalVeauMâle_6_12_RacesLaitières,TotalBovinsMâles_6_12mois*NbreJoursNourrirBovins))</f>
        <v>0</v>
      </c>
      <c r="BH221" s="351">
        <f t="array" ref="BH221">IF(Ration_complète_bovins[somme]&gt;0,0,IFERROR(IF(OR(AND(INDEX(Règles_bovins[Specificite],MATCH(ChoixRationBovins&amp;$BB221,Règles_bovins[Ration]&amp;Règles_bovins[Aliment],0))="s1",IF($BB221=Spécificité1Bovins,1)),
AND(INDEX(Règles_bovins[Specificite],MATCH(ChoixRationBovins&amp;$BB221,Règles_bovins[Ration]&amp;Règles_bovins[Aliment],0))="s2",IF($BB221=Spécificité2Bovins,1)),
INDEX(Règles_bovins[Specificite],MATCH(ChoixRationBovins&amp;$BB221,Règles_bovins[Ration]&amp;Règles_bovins[Aliment],0))="c"),
INDEX(Règles_bovins[Valeur 3-6],MATCH(ChoixRationBovins&amp;$BB221,Règles_bovins[Ration]&amp;Règles_bovins[Aliment],0)),0),0)*IF(ChoixBovinsPréHiver=OUI,TotalVeauMâle_3_6_RacesLaitières,TotalBovinsMâles_3_6mois*NbreJoursNourrirBovins))</f>
        <v>0</v>
      </c>
      <c r="BI221" s="351">
        <f t="array" ref="BI221">IF(Ration_complète_bovins[somme]&gt;0,0,IFERROR(IF(OR(AND(INDEX(Règles_bovins[Specificite],MATCH(ChoixRationBovins&amp;$BB221,Règles_bovins[Ration]&amp;Règles_bovins[Aliment],0))="s1",IF($BB221=Spécificité1Bovins,1)),
AND(INDEX(Règles_bovins[Specificite],MATCH(ChoixRationBovins&amp;$BB221,Règles_bovins[Ration]&amp;Règles_bovins[Aliment],0))="s2",IF($BB221=Spécificité2Bovins,1)),
INDEX(Règles_bovins[Specificite],MATCH(ChoixRationBovins&amp;$BB221,Règles_bovins[Ration]&amp;Règles_bovins[Aliment],0))="c"),
INDEX(Règles_bovins[Valeur 0-3],MATCH(ChoixRationBovins&amp;$BB221,Règles_bovins[Ration]&amp;Règles_bovins[Aliment],0)),0),0)*IF(ChoixBovinsPréHiver=OUI,TotalVeauMâle_0_3_RacesLaitières,TotalBovinsMâles_0_3mois*NbreJoursNourrirBovins))</f>
        <v>0</v>
      </c>
      <c r="BJ221" s="352">
        <f t="shared" si="62"/>
        <v>0</v>
      </c>
      <c r="BK221" s="276"/>
      <c r="BL221" s="276"/>
      <c r="BX221" s="350" t="str">
        <f t="shared" si="63"/>
        <v>Ration complète</v>
      </c>
      <c r="BY221" s="351">
        <f t="array" ref="BY221">SUM((IF(QualitéAlimentsChevreau_0_3_mois=BONNE,VLOOKUP("Ration complète",AlimentsRationCaprinsMâles,5,FALSE),0)+(IF(QualitéAlimentsChevrette_0_3_mois=BONNE,VLOOKUP("Ration complète",AlimentsRationCaprinsFemelles,5,FALSE),0)+(IF(QualitéAlimentsChevreau_3_6_mois=BONNE,VLOOKUP("Ration complète",AlimentsRationCaprinsMâles,4,FALSE),0)+(IF(QualitéAlimentsChevrette_3_6_mois=BONNE,VLOOKUP("Ration complète",AlimentsRationCaprinsFemelles,4,FALSE),0)+(IF(QualitéAlimentsJeuneBouc=BONNE,VLOOKUP("Ration complète",AlimentsRationCaprinsMâles,3,FALSE),0)+(IF(QualitéAlimentsJeuneChèvre=BONNE,VLOOKUP("Ration complète",AlimentsRationCaprinsFemelles,3,FALSE),0)+(IF(QualitéAlimentsBouc=BONNE,VLOOKUP("Ration complète",AlimentsRationCaprinsMâles,2,FALSE),0)+(IF(QualitéAlimentsChèvre=BONNE,VLOOKUP("Ration complète",AlimentsRationCaprinsFemelles,2,FALSE),0))))))))))</f>
        <v>0</v>
      </c>
      <c r="BZ221" s="351">
        <f t="array" ref="BZ221">SUM((IF(QualitéAlimentsChevreau_0_3_mois=MOYENNE,VLOOKUP("Ration complète",AlimentsRationCaprinsMâles,5,FALSE),0)+(IF(QualitéAlimentsChevrette_0_3_mois=MOYENNE,VLOOKUP("Ration complète",AlimentsRationCaprinsFemelles,5,FALSE),0)+(IF(QualitéAlimentsChevreau_3_6_mois=MOYENNE,VLOOKUP("Ration complète",AlimentsRationCaprinsMâles,4,FALSE),0)+(IF(QualitéAlimentsChevrette_3_6_mois=MOYENNE,VLOOKUP("Ration complète",AlimentsRationCaprinsFemelles,4,FALSE),0)+(IF(QualitéAlimentsJeuneBouc=MOYENNE,VLOOKUP("Ration complète",AlimentsRationCaprinsMâles,3,FALSE),0)+(IF(QualitéAlimentsJeuneChèvre=MOYENNE,VLOOKUP("Ration complète",AlimentsRationCaprinsFemelles,3,FALSE),0)+(IF(QualitéAlimentsBouc=MOYENNE,VLOOKUP("Ration complète",AlimentsRationCaprinsMâles,2,FALSE),0)+(IF(QualitéAlimentsChèvre=MOYENNE,VLOOKUP("Ration complète",AlimentsRationCaprinsFemelles,2,FALSE),0))))))))))</f>
        <v>0</v>
      </c>
      <c r="CA221" s="351">
        <f t="array" ref="CA221">SUM((IF(QualitéAlimentsChevreau_0_3_mois=MAUVAISE,VLOOKUP("Ration complète",AlimentsRationCaprinsMâles,5,FALSE),0)+(IF(QualitéAlimentsChevrette_0_3_mois=MAUVAISE,VLOOKUP("Ration complète",AlimentsRationCaprinsFemelles,5,FALSE),0)+(IF(QualitéAlimentsChevreau_3_6_mois=MAUVAISE,VLOOKUP("Ration complète",AlimentsRationCaprinsMâles,4,FALSE),0)+(IF(QualitéAlimentsChevrette_3_6_mois=MAUVAISE,VLOOKUP("Ration complète",AlimentsRationCaprinsFemelles,4,FALSE),0)+(IF(QualitéAlimentsJeuneBouc=MAUVAISE,VLOOKUP("Ration complète",AlimentsRationCaprinsMâles,3,FALSE),0)+(IF(QualitéAlimentsJeuneChèvre=MAUVAISE,VLOOKUP("Ration complète",AlimentsRationCaprinsFemelles,3,FALSE),0)+(IF(QualitéAlimentsBouc=MAUVAISE,VLOOKUP("Ration complète",AlimentsRationCaprinsMâles,2,FALSE),0)+(IF(QualitéAlimentsChèvre=MAUVAISE,VLOOKUP("Ration complète",AlimentsRationCaprinsFemelles,2,FALSE),0))))))))))</f>
        <v>0</v>
      </c>
      <c r="CB221" s="277"/>
      <c r="CC221" s="277"/>
      <c r="CD221" s="298"/>
      <c r="CE221" s="298"/>
      <c r="CF221" s="298"/>
      <c r="CG221" s="298"/>
      <c r="CH221" s="298"/>
      <c r="CI221" s="277"/>
      <c r="CK221" s="277"/>
      <c r="CL221" s="277"/>
      <c r="CM221" s="277"/>
      <c r="CN221" s="277"/>
      <c r="CO221" s="277"/>
      <c r="CP221" s="277"/>
      <c r="DN221" s="350" t="str">
        <f t="shared" si="61"/>
        <v>Tournesol</v>
      </c>
      <c r="DO221" s="351">
        <f t="array" ref="DO221">IF(ChoixRationComplèteOvins=OUI,0,IFERROR(IF(OR(AND(INDEX(Règles_ovins[Specificite],MATCH(ChoixRationOvins&amp;$DN221,Règles_ovins[Ration]&amp;Règles_ovins[Aliment],0))="s1",IF($DN221=Spécificité1Ovins,1)),
AND(INDEX(Règles_ovins[Specificite],MATCH(ChoixRationOvins&amp;$DN221,Règles_ovins[Ration]&amp;Règles_ovins[Aliment],0))="s2",IF($DN221=Spécificité2Ovins,1)),
INDEX(Règles_ovins[Specificite],MATCH(ChoixRationOvins&amp;$DN221,Règles_ovins[Ration]&amp;Règles_ovins[Aliment],0))="c"),
INDEX(Règles_ovins[Valeur 12 et plus],MATCH(ChoixRationOvins&amp;$DN221,Règles_ovins[Ration]&amp;Règles_ovins[Aliment],0)),0),0)*IF(ChoixOvinsPréHiver=OUI,SUM(TotalOvinsAdultesRacesLaitières)*NbreJoursNourrirOvins,TotalBrebis*NbreJoursNourrirOvins))</f>
        <v>0</v>
      </c>
      <c r="DP221" s="351">
        <f t="array" ref="DP221">IF(ChoixRationComplèteOvins=OUI,0,IFERROR(IF(OR(AND(INDEX(Règles_ovins[Specificite],MATCH(ChoixRationOvins&amp;$DN221,Règles_ovins[Ration]&amp;Règles_ovins[Aliment],0))="s1",IF($DN221=Spécificité1Ovins,1)),
AND(INDEX(Règles_ovins[Specificite],MATCH(ChoixRationOvins&amp;$DN221,Règles_ovins[Ration]&amp;Règles_ovins[Aliment],0))="s2",IF($DN221=Spécificité2Ovins,1)),
INDEX(Règles_ovins[Specificite],MATCH(ChoixRationOvins&amp;$DN221,Règles_ovins[Ration]&amp;Règles_ovins[Aliment],0))="c"),
INDEX(Règles_ovins[Valeur 6-12],MATCH(ChoixRationOvins&amp;$DN221,Règles_ovins[Ration]&amp;Règles_ovins[Aliment],0)),0),0)*IF(ChoixOvinsPréHiver=OUI,SUM(TotalJeunesOvinsRacesLaitières)*NbreJoursNourrirOvins,TotalJeune_brebis_6_12_mois*NbreJoursNourrirOvins))</f>
        <v>0</v>
      </c>
      <c r="DQ221" s="351">
        <f t="array" ref="DQ221">IF(ChoixRationComplèteOvins=OUI,0,IFERROR(IF(OR(AND(INDEX(Règles_ovins[Specificite],MATCH(ChoixRationOvins&amp;$DN221,Règles_ovins[Ration]&amp;Règles_ovins[Aliment],0))="s1",IF($DN221=Spécificité1Ovins,1)),
AND(INDEX(Règles_ovins[Specificite],MATCH(ChoixRationOvins&amp;$DN221,Règles_ovins[Ration]&amp;Règles_ovins[Aliment],0))="s2",IF($DN221=Spécificité2Ovins,1)),
INDEX(Règles_ovins[Specificite],MATCH(ChoixRationOvins&amp;$DN221,Règles_ovins[Ration]&amp;Règles_ovins[Aliment],0))="c"),
INDEX(Règles_ovins[Valeur 3-6],MATCH(ChoixRationOvins&amp;$DN221,Règles_ovins[Ration]&amp;Règles_ovins[Aliment],0)),0),0)*IF(ChoixOvinsPréHiver=OUI,SUM(TotalOvins_3_6moisRacesLaitières)*NbreJoursNourrirOvins,TotalAgnelle_3_6_mois*NbreJoursNourrirOvins))</f>
        <v>0</v>
      </c>
      <c r="DR221" s="351">
        <f t="array" ref="DR221">IF(ChoixRationComplèteOvins=OUI,0,IFERROR(IF(OR(AND(INDEX(Règles_ovins[Specificite],MATCH(ChoixRationOvins&amp;$DN221,Règles_ovins[Ration]&amp;Règles_ovins[Aliment],0))="s1",IF($DN221=Spécificité1Ovins,1)),
AND(INDEX(Règles_ovins[Specificite],MATCH(ChoixRationOvins&amp;$DN221,Règles_ovins[Ration]&amp;Règles_ovins[Aliment],0))="s2",IF($DN221=Spécificité2Ovins,1)),
INDEX(Règles_ovins[Specificite],MATCH(ChoixRationOvins&amp;$DN221,Règles_ovins[Ration]&amp;Règles_ovins[Aliment],0))="c"),
INDEX(Règles_ovins[Valeur 0-3],MATCH(ChoixRationOvins&amp;$DN221,Règles_ovins[Ration]&amp;Règles_ovins[Aliment],0)),0),0)*IF(ChoixOvinsPréHiver=OUI,SUM(TotalOvins_3_6moisRacesLaitières)*NbreJoursNourrirOvins,TotalAgnelle_0_3_mois*NbreJoursNourrirOvins))</f>
        <v>0</v>
      </c>
      <c r="DS221" s="441">
        <f t="shared" si="60"/>
        <v>0</v>
      </c>
      <c r="EU221" s="457" t="str">
        <f t="shared" si="66"/>
        <v>Maïs grain</v>
      </c>
      <c r="EV221" s="458">
        <f t="array" ref="EV221">SUM((IF(QualitéAlimentsPoulainSelleMâle=BONNE,VLOOKUP("Maïs grain",AlimentsRationEcurieChevauxMâlesSelle,5,FALSE),0)+(IF(QualitéAlimentsPoulainSelleFemelle=BONNE,VLOOKUP("Maïs grain",AlimentsRationEcurieChevauxFemellesSelle,5,FALSE),0)+(IF(QualitéAlimentsJeuneEtalon_12_24_moisSelle=BONNE,VLOOKUP("Maïs grain",AlimentsRationEcurieChevauxMâlesSelle,4,FALSE),0)+(IF(QualitéAlimentsJeuneJument_12_24_moisSelle=BONNE,VLOOKUP("Maïs grain",AlimentsRationEcurieChevauxFemellesSelle,4,FALSE),0)+(IF(QualitéAlimentsJeuneEtalon_24_36_moisSelle=BONNE,VLOOKUP("Maïs grain",AlimentsRationEcurieChevauxMâlesSelle,3,FALSE),0)+(IF(QualitéAlimentsJeuneJument_24_36_moisSelle=BONNE,VLOOKUP("Maïs grain",AlimentsRationEcurieChevauxFemellesSelle,3,FALSE),0)+(IF(QualitéAlimentsEtalonSelle=BONNE,VLOOKUP("Maïs grain",AlimentsRationEcurieChevauxMâlesSelle,2,FALSE),0)+(IF(QualitéAlimentsJumentSelle=BONNE,VLOOKUP("Maïs grain",AlimentsRationEcurieChevauxFemellesSelle,2,FALSE),0))))))))))</f>
        <v>0</v>
      </c>
      <c r="EW221" s="458">
        <f t="array" ref="EW221">SUM((IF(QualitéAlimentsPoulainSelleMâle=MOYENNE,VLOOKUP("Maïs grain",AlimentsRationEcurieChevauxMâlesSelle,5,FALSE),0)+(IF(QualitéAlimentsPoulainSelleFemelle=MOYENNE,VLOOKUP("Maïs grain",AlimentsRationEcurieChevauxFemellesSelle,5,FALSE),0)+(IF(QualitéAlimentsJeuneEtalon_12_24_moisSelle=MOYENNE,VLOOKUP("Maïs grain",AlimentsRationEcurieChevauxMâlesSelle,4,FALSE),0)+(IF(QualitéAlimentsJeuneJument_12_24_moisSelle=MOYENNE,VLOOKUP("Maïs grain",AlimentsRationEcurieChevauxFemellesSelle,4,FALSE),0)+(IF(QualitéAlimentsJeuneEtalon_24_36_moisSelle=MOYENNE,VLOOKUP("Maïs grain",AlimentsRationEcurieChevauxMâlesSelle,3,FALSE),0)+(IF(QualitéAlimentsJeuneJument_24_36_moisSelle=MOYENNE,VLOOKUP("Maïs grain",AlimentsRationEcurieChevauxFemellesSelle,3,FALSE),0)+(IF(QualitéAlimentsEtalonSelle=MOYENNE,VLOOKUP("Maïs grain",AlimentsRationEcurieChevauxMâlesSelle,2,FALSE),0)+(IF(QualitéAlimentsJumentSelle=MOYENNE,VLOOKUP("Maïs grain",AlimentsRationEcurieChevauxFemellesSelle,2,FALSE),0))))))))))</f>
        <v>0</v>
      </c>
      <c r="EX221" s="458">
        <f t="array" ref="EX221">SUM((IF(QualitéAlimentsPoulainSelleMâle=MAUVAISE,VLOOKUP("Maïs grain",AlimentsRationEcurieChevauxMâlesSelle,5,FALSE),0)+(IF(QualitéAlimentsPoulainSelleFemelle=MAUVAISE,VLOOKUP("Maïs grain",AlimentsRationEcurieChevauxFemellesSelle,5,FALSE),0)+(IF(QualitéAlimentsJeuneEtalon_12_24_moisSelle=MAUVAISE,VLOOKUP("Maïs grain",AlimentsRationEcurieChevauxMâlesSelle,4,FALSE),0)+(IF(QualitéAlimentsJeuneJument_12_24_moisSelle=MAUVAISE,VLOOKUP("Maïs grain",AlimentsRationEcurieChevauxFemellesSelle,4,FALSE),0)+(IF(QualitéAlimentsJeuneEtalon_24_36_moisSelle=MAUVAISE,VLOOKUP("Maïs grain",AlimentsRationEcurieChevauxMâlesSelle,3,FALSE),0)+(IF(QualitéAlimentsJeuneJument_24_36_moisSelle=MAUVAISE,VLOOKUP("Maïs grain",AlimentsRationEcurieChevauxFemellesSelle,3,FALSE),0)+(IF(QualitéAlimentsEtalonSelle=MAUVAISE,VLOOKUP("Maïs grain",AlimentsRationEcurieChevauxMâlesSelle,2,FALSE),0)+(IF(QualitéAlimentsJumentSelle=MAUVAISE,VLOOKUP("Maïs grain",AlimentsRationEcurieChevauxFemellesSelle,2,FALSE),0))))))))))</f>
        <v>0</v>
      </c>
      <c r="FD221" s="457" t="str">
        <f t="shared" si="65"/>
        <v>Pomme de terre</v>
      </c>
      <c r="FE221" s="458">
        <f t="array" ref="FE221">SUM((IF(QualitéAlimentsPoulainMâleTrait=BONNE,VLOOKUP("Pomme de terre",AlimentsRationEcurieChevauxMâlesTrait,5,FALSE),0)+(IF(QualitéAlimentsPoulainFemelleTrait=BONNE,VLOOKUP("Pomme de terre",AlimentsRationEcurieChevauxFemellesTrait,5,FALSE),0)+(IF(QualitéAlimentsJeuneEtalon_12_24_moisTrait=BONNE,VLOOKUP("Pomme de terre",AlimentsRationEcurieChevauxMâlesTrait,4,FALSE),0)+(IF(QualitéAlimentsJeuneJument_12_24_moisTrait=BONNE,VLOOKUP("Pomme de terre",AlimentsRationEcurieChevauxFemellesTrait,4,FALSE),0)+(IF(QualitéAlimentsJeuneEtalon_24_36_moisTrait=BONNE,VLOOKUP("Pomme de terre",AlimentsRationEcurieChevauxMâlesTrait,3,FALSE),0)+(IF(QualitéAlimentsJeuneJument_24_36_moisTrait=BONNE,VLOOKUP("Pomme de terre",AlimentsRationEcurieChevauxFemellesTrait,3,FALSE),0)+(IF(QualitéAlimentsEtalonTrait=BONNE,VLOOKUP("Pomme de terre",AlimentsRationEcurieChevauxMâlesTrait,2,FALSE),0)+(IF(QualitéAlimentsJumentTrait=BONNE,VLOOKUP("Pomme de terre",AlimentsRationEcurieChevauxFemellesTrait,2,FALSE),0))))))))))</f>
        <v>0</v>
      </c>
      <c r="FF221" s="458">
        <f t="array" ref="FF221">SUM((IF(QualitéAlimentsPoulainMâleTrait=MOYENNE,VLOOKUP("Pomme de terre",AlimentsRationEcurieChevauxMâlesTrait,5,FALSE),0)+(IF(QualitéAlimentsPoulainFemelleTrait=MOYENNE,VLOOKUP("Pomme de terre",AlimentsRationEcurieChevauxFemellesTrait,5,FALSE),0)+(IF(QualitéAlimentsJeuneEtalon_12_24_moisTrait=MOYENNE,VLOOKUP("Pomme de terre",AlimentsRationEcurieChevauxMâlesTrait,4,FALSE),0)+(IF(QualitéAlimentsJeuneJument_12_24_moisTrait=MOYENNE,VLOOKUP("Pomme de terre",AlimentsRationEcurieChevauxFemellesTrait,4,FALSE),0)+(IF(QualitéAlimentsJeuneEtalon_24_36_moisTrait=MOYENNE,VLOOKUP("Pomme de terre",AlimentsRationEcurieChevauxMâlesTrait,3,FALSE),0)+(IF(QualitéAlimentsJeuneJument_24_36_moisTrait=MOYENNE,VLOOKUP("Pomme de terre",AlimentsRationEcurieChevauxFemellesTrait,3,FALSE),0)+(IF(QualitéAlimentsEtalonTrait=MOYENNE,VLOOKUP("Pomme de terre",AlimentsRationEcurieChevauxMâlesTrait,2,FALSE),0)+(IF(QualitéAlimentsJumentTrait=MOYENNE,VLOOKUP("Pomme de terre",AlimentsRationEcurieChevauxFemellesTrait,2,FALSE),0))))))))))</f>
        <v>0</v>
      </c>
      <c r="FG221" s="458">
        <f t="array" ref="FG221">SUM((IF(QualitéAlimentsPoulainMâleTrait=MAUVAISE,VLOOKUP("Pomme de terre",AlimentsRationEcurieChevauxMâlesTrait,5,FALSE),0)+(IF(QualitéAlimentsPoulainFemelleTrait=MAUVAISE,VLOOKUP("Pomme de terre",AlimentsRationEcurieChevauxFemellesTrait,5,FALSE),0)+(IF(QualitéAlimentsJeuneEtalon_12_24_moisTrait=MAUVAISE,VLOOKUP("Pomme de terre",AlimentsRationEcurieChevauxMâlesTrait,4,FALSE),0)+(IF(QualitéAlimentsJeuneJument_12_24_moisTrait=MAUVAISE,VLOOKUP("Pomme de terre",AlimentsRationEcurieChevauxFemellesTrait,4,FALSE),0)+(IF(QualitéAlimentsJeuneEtalon_24_36_moisTrait=MAUVAISE,VLOOKUP("Pomme de terre",AlimentsRationEcurieChevauxMâlesTrait,3,FALSE),0)+(IF(QualitéAlimentsJeuneJument_24_36_moisTrait=MAUVAISE,VLOOKUP("Pomme de terre",AlimentsRationEcurieChevauxFemellesTrait,3,FALSE),0)+(IF(QualitéAlimentsEtalonTrait=MAUVAISE,VLOOKUP("Pomme de terre",AlimentsRationEcurieChevauxMâlesTrait,2,FALSE),0)+(IF(QualitéAlimentsJumentTrait=MAUVAISE,VLOOKUP("Pomme de terre",AlimentsRationEcurieChevauxFemellesTrait,2,FALSE),0))))))))))</f>
        <v>0</v>
      </c>
      <c r="FI221" s="276"/>
      <c r="FN221" s="457" t="str">
        <f t="shared" si="64"/>
        <v>Pulpe déshydratée de betterave</v>
      </c>
      <c r="FO221" s="458">
        <f t="array" ref="FO221">SUM((IF(QualitéAlimentsPoulainMâlePoney=BONNE,VLOOKUP("Pulpe déshydratée de betterave",AlimentsRationChevauxMâlesPoney,5,FALSE),0)+(IF(QualitéAlimentsPoulainFemellePoney=BONNE,VLOOKUP("Pulpe déshydratée de betterave",AlimentsRationChevauxFemellesPoney,5,FALSE),0)+(IF(QualitéAlimentsJeuneEtalon_12_24_moisPoney=BONNE,VLOOKUP("Pulpe déshydratée de betterave",AlimentsRationChevauxMâlesPoney,4,FALSE),0)+(IF(QualitéAlimentsJeuneJument_12_24_moisPoney=BONNE,VLOOKUP("Pulpe déshydratée de betterave",AlimentsRationChevauxFemellesPoney,4,FALSE),0)+(IF(QualitéAlimentsJeuneEtalon_24_36_moisPoney=BONNE,VLOOKUP("Pulpe déshydratée de betterave",AlimentsRationChevauxMâlesPoney,3,FALSE),0)+(IF(QualitéAlimentsJeuneJument_24_36_moisPoney=BONNE,VLOOKUP("Pulpe déshydratée de betterave",AlimentsRationChevauxFemellesPoney,3,FALSE),0)+(IF(QualitéAlimentsEtalonPoney=BONNE,VLOOKUP("Pulpe déshydratée de betterave",AlimentsRationChevauxMâlesPoney,2,FALSE),0)+(IF(QualitéAlimentsJumentPoney=BONNE,VLOOKUP("Pulpe déshydratée de betterave",AlimentsRationChevauxFemellesPoney,2,FALSE),0))))))))))</f>
        <v>0</v>
      </c>
      <c r="FP221" s="458">
        <f t="array" ref="FP221">SUM((IF(QualitéAlimentsPoulainMâlePoney=MOYENNE,VLOOKUP("Pulpe déshydratée de betterave",AlimentsRationChevauxMâlesPoney,5,FALSE),0)+(IF(QualitéAlimentsPoulainFemellePoney=MOYENNE,VLOOKUP("Pulpe déshydratée de betterave",AlimentsRationChevauxFemellesPoney,5,FALSE),0)+(IF(QualitéAlimentsJeuneEtalon_12_24_moisPoney=MOYENNE,VLOOKUP("Pulpe déshydratée de betterave",AlimentsRationChevauxMâlesPoney,4,FALSE),0)+(IF(QualitéAlimentsJeuneJument_12_24_moisPoney=MOYENNE,VLOOKUP("Pulpe déshydratée de betterave",AlimentsRationChevauxFemellesPoney,4,FALSE),0)+(IF(QualitéAlimentsJeuneEtalon_24_36_moisPoney=MOYENNE,VLOOKUP("Pulpe déshydratée de betterave",AlimentsRationChevauxMâlesPoney,3,FALSE),0)+(IF(QualitéAlimentsJeuneJument_24_36_moisPoney=MOYENNE,VLOOKUP("Pulpe déshydratée de betterave",AlimentsRationChevauxFemellesPoney,3,FALSE),0)+(IF(QualitéAlimentsEtalonPoney=MOYENNE,VLOOKUP("Pulpe déshydratée de betterave",AlimentsRationChevauxMâlesPoney,2,FALSE),0)+(IF(QualitéAlimentsJumentPoney=MOYENNE,VLOOKUP("Pulpe déshydratée de betterave",AlimentsRationChevauxFemellesPoney,2,FALSE),0))))))))))</f>
        <v>0</v>
      </c>
      <c r="FQ221" s="458">
        <f t="array" ref="FQ221">SUM((IF(QualitéAlimentsPoulainMâlePoney=MAUVAISE,VLOOKUP("Pulpe déshydratée de betterave",AlimentsRationChevauxMâlesPoney,5,FALSE),0)+(IF(QualitéAlimentsPoulainFemellePoney=MAUVAISE,VLOOKUP("Pulpe déshydratée de betterave",AlimentsRationChevauxFemellesPoney,5,FALSE),0)+(IF(QualitéAlimentsJeuneEtalon_12_24_moisPoney=MAUVAISE,VLOOKUP("Pulpe déshydratée de betterave",AlimentsRationChevauxMâlesPoney,4,FALSE),0)+(IF(QualitéAlimentsJeuneJument_12_24_moisPoney=MAUVAISE,VLOOKUP("Pulpe déshydratée de betterave",AlimentsRationChevauxFemellesPoney,4,FALSE),0)+(IF(QualitéAlimentsJeuneEtalon_24_36_moisPoney=MAUVAISE,VLOOKUP("Pulpe déshydratée de betterave",AlimentsRationChevauxMâlesPoney,3,FALSE),0)+(IF(QualitéAlimentsJeuneJument_24_36_moisPoney=MAUVAISE,VLOOKUP("Pulpe déshydratée de betterave",AlimentsRationChevauxFemellesPoney,3,FALSE),0)+(IF(QualitéAlimentsEtalonPoney=MAUVAISE,VLOOKUP("Pulpe déshydratée de betterave",AlimentsRationChevauxMâlesPoney,2,FALSE),0)+(IF(QualitéAlimentsJumentPoney=MAUVAISE,VLOOKUP("Pulpe déshydratée de betterave",AlimentsRationChevauxFemellesPoney,2,FALSE),0))))))))))</f>
        <v>0</v>
      </c>
      <c r="FR221" s="281"/>
      <c r="GG221" s="276" t="s">
        <v>955</v>
      </c>
      <c r="GH221" s="276" t="s">
        <v>955</v>
      </c>
      <c r="GI221" s="276" t="s">
        <v>955</v>
      </c>
      <c r="GJ221" s="276" t="s">
        <v>955</v>
      </c>
      <c r="GK221" s="276" t="s">
        <v>955</v>
      </c>
      <c r="GL221" s="276" t="s">
        <v>955</v>
      </c>
      <c r="GM221" s="276" t="s">
        <v>955</v>
      </c>
      <c r="GN221" s="276" t="s">
        <v>955</v>
      </c>
      <c r="GO221" s="276" t="s">
        <v>955</v>
      </c>
      <c r="GP221" s="276" t="s">
        <v>955</v>
      </c>
      <c r="GQ221" s="276" t="s">
        <v>955</v>
      </c>
      <c r="GR221" s="276" t="s">
        <v>955</v>
      </c>
      <c r="GS221" s="276" t="s">
        <v>955</v>
      </c>
      <c r="GT221" s="276" t="s">
        <v>955</v>
      </c>
      <c r="GU221" s="276" t="s">
        <v>955</v>
      </c>
      <c r="GV221" s="276" t="s">
        <v>955</v>
      </c>
    </row>
    <row r="222" spans="1:204" ht="12.75" customHeight="1" x14ac:dyDescent="0.2">
      <c r="A222" s="276"/>
      <c r="B222" s="276"/>
      <c r="BB222" s="350" t="s">
        <v>488</v>
      </c>
      <c r="BC222" s="351">
        <f t="array" ref="BC222">IF(Ration_complète_bovins[somme]&gt;0,0,IFERROR(IF(OR(AND(INDEX(Règles_bovins[Specificite],MATCH(ChoixRationBovins&amp;$BB222,Règles_bovins[Ration]&amp;Règles_bovins[Aliment],0))="s1",IF($BB222=Spécificité1Bovins,1)),
AND(INDEX(Règles_bovins[Specificite],MATCH(ChoixRationBovins&amp;$BB222,Règles_bovins[Ration]&amp;Règles_bovins[Aliment],0))="s2",IF($BB222=Spécificité2Bovins,1)),
INDEX(Règles_bovins[Specificite],MATCH(ChoixRationBovins&amp;$BB222,Règles_bovins[Ration]&amp;Règles_bovins[Aliment],0))="c"),
INDEX(Règles_bovins[Valeur 36 et plus],MATCH(ChoixRationBovins&amp;$BB222,Règles_bovins[Ration]&amp;Règles_bovins[Aliment],0)),0),0)*IF(ChoixBovinsPréHiver=OUI,TotalTaureauxRacesLaitières,TotalTaureaux*NbreJoursNourrirBovins))</f>
        <v>0</v>
      </c>
      <c r="BD222" s="351">
        <f t="array" ref="BD222">IF(Ration_complète_bovins[somme]&gt;0,0,IFERROR(IF(OR(AND(INDEX(Règles_bovins[Specificite],MATCH(ChoixRationBovins&amp;$BB222,Règles_bovins[Ration]&amp;Règles_bovins[Aliment],0))="s1",IF($BB222=Spécificité1Bovins,1)),
AND(INDEX(Règles_bovins[Specificite],MATCH(ChoixRationBovins&amp;$BB222,Règles_bovins[Ration]&amp;Règles_bovins[Aliment],0))="s2",IF($BB222=Spécificité2Bovins,1)),
INDEX(Règles_bovins[Specificite],MATCH(ChoixRationBovins&amp;$BB222,Règles_bovins[Ration]&amp;Règles_bovins[Aliment],0))="c"),
INDEX(Règles_bovins[Valeur 24-36],MATCH(ChoixRationBovins&amp;$BB222,Règles_bovins[Ration]&amp;Règles_bovins[Aliment],0)),0),0)*IF(ChoixBovinsPréHiver=OUI,TotalTaurillon_24_36_RacesLaitières,TotalBovinsMâles_24_36mois*NbreJoursNourrirBovins))</f>
        <v>0</v>
      </c>
      <c r="BE222" s="351">
        <f t="array" ref="BE222">IF(Ration_complète_bovins[somme]&gt;0,0,IFERROR(IF(OR(AND(INDEX(Règles_bovins[Specificite],MATCH(ChoixRationBovins&amp;$BB222,Règles_bovins[Ration]&amp;Règles_bovins[Aliment],0))="s1",IF($BB222=Spécificité1Bovins,1)),
AND(INDEX(Règles_bovins[Specificite],MATCH(ChoixRationBovins&amp;$BB222,Règles_bovins[Ration]&amp;Règles_bovins[Aliment],0))="s2",IF($BB222=Spécificité2Bovins,1)),
INDEX(Règles_bovins[Specificite],MATCH(ChoixRationBovins&amp;$BB222,Règles_bovins[Ration]&amp;Règles_bovins[Aliment],0))="c"),
INDEX(Règles_bovins[Valeur 18-24],MATCH(ChoixRationBovins&amp;$BB222,Règles_bovins[Ration]&amp;Règles_bovins[Aliment],0)),0),0)*IF(ChoixBovinsPréHiver=OUI,TotalTaurillon_18_24_RacesLaitières,TotalBovinsMâles_18_24mois*NbreJoursNourrirBovins))</f>
        <v>0</v>
      </c>
      <c r="BF222" s="351">
        <f t="array" ref="BF222">IF(Ration_complète_bovins[somme]&gt;0,0,IFERROR(IF(OR(AND(INDEX(Règles_bovins[Specificite],MATCH(ChoixRationBovins&amp;$BB222,Règles_bovins[Ration]&amp;Règles_bovins[Aliment],0))="s1",IF($BB222=Spécificité1Bovins,1)),
AND(INDEX(Règles_bovins[Specificite],MATCH(ChoixRationBovins&amp;$BB222,Règles_bovins[Ration]&amp;Règles_bovins[Aliment],0))="s2",IF($BB222=Spécificité2Bovins,1)),
INDEX(Règles_bovins[Specificite],MATCH(ChoixRationBovins&amp;$BB222,Règles_bovins[Ration]&amp;Règles_bovins[Aliment],0))="c"),
INDEX(Règles_bovins[Valeur 12-18],MATCH(ChoixRationBovins&amp;$BB222,Règles_bovins[Ration]&amp;Règles_bovins[Aliment],0)),0),0)*IF(ChoixBovinsPréHiver=OUI,animaux!D45,TotalBovinsMâles_12_18mois*NbreJoursNourrirBovins))</f>
        <v>0</v>
      </c>
      <c r="BG222" s="351">
        <f t="array" ref="BG222">IF(Ration_complète_bovins[somme]&gt;0,0,IFERROR(IF(OR(AND(INDEX(Règles_bovins[Specificite],MATCH(ChoixRationBovins&amp;$BB222,Règles_bovins[Ration]&amp;Règles_bovins[Aliment],0))="s1",IF($BB222=Spécificité1Bovins,1)),
AND(INDEX(Règles_bovins[Specificite],MATCH(ChoixRationBovins&amp;$BB222,Règles_bovins[Ration]&amp;Règles_bovins[Aliment],0))="s2",IF($BB222=Spécificité2Bovins,1)),
INDEX(Règles_bovins[Specificite],MATCH(ChoixRationBovins&amp;$BB222,Règles_bovins[Ration]&amp;Règles_bovins[Aliment],0))="c"),
INDEX(Règles_bovins[Valeur 6-12],MATCH(ChoixRationBovins&amp;$BB222,Règles_bovins[Ration]&amp;Règles_bovins[Aliment],0)),0),0)*IF(ChoixBovinsPréHiver=OUI,TotalVeauMâle_6_12_RacesLaitières,TotalBovinsMâles_6_12mois*NbreJoursNourrirBovins))</f>
        <v>0</v>
      </c>
      <c r="BH222" s="351">
        <f t="array" ref="BH222">IF(Ration_complète_bovins[somme]&gt;0,0,IFERROR(IF(OR(AND(INDEX(Règles_bovins[Specificite],MATCH(ChoixRationBovins&amp;$BB222,Règles_bovins[Ration]&amp;Règles_bovins[Aliment],0))="s1",IF($BB222=Spécificité1Bovins,1)),
AND(INDEX(Règles_bovins[Specificite],MATCH(ChoixRationBovins&amp;$BB222,Règles_bovins[Ration]&amp;Règles_bovins[Aliment],0))="s2",IF($BB222=Spécificité2Bovins,1)),
INDEX(Règles_bovins[Specificite],MATCH(ChoixRationBovins&amp;$BB222,Règles_bovins[Ration]&amp;Règles_bovins[Aliment],0))="c"),
INDEX(Règles_bovins[Valeur 3-6],MATCH(ChoixRationBovins&amp;$BB222,Règles_bovins[Ration]&amp;Règles_bovins[Aliment],0)),0),0)*IF(ChoixBovinsPréHiver=OUI,TotalVeauMâle_3_6_RacesLaitières,TotalBovinsMâles_3_6mois*NbreJoursNourrirBovins))</f>
        <v>0</v>
      </c>
      <c r="BI222" s="351">
        <f t="array" ref="BI222">IF(Ration_complète_bovins[somme]&gt;0,0,IFERROR(IF(OR(AND(INDEX(Règles_bovins[Specificite],MATCH(ChoixRationBovins&amp;$BB222,Règles_bovins[Ration]&amp;Règles_bovins[Aliment],0))="s1",IF($BB222=Spécificité1Bovins,1)),
AND(INDEX(Règles_bovins[Specificite],MATCH(ChoixRationBovins&amp;$BB222,Règles_bovins[Ration]&amp;Règles_bovins[Aliment],0))="s2",IF($BB222=Spécificité2Bovins,1)),
INDEX(Règles_bovins[Specificite],MATCH(ChoixRationBovins&amp;$BB222,Règles_bovins[Ration]&amp;Règles_bovins[Aliment],0))="c"),
INDEX(Règles_bovins[Valeur 0-3],MATCH(ChoixRationBovins&amp;$BB222,Règles_bovins[Ration]&amp;Règles_bovins[Aliment],0)),0),0)*IF(ChoixBovinsPréHiver=OUI,TotalVeauMâle_0_3_RacesLaitières,TotalBovinsMâles_0_3mois*NbreJoursNourrirBovins))</f>
        <v>0</v>
      </c>
      <c r="BJ222" s="352">
        <f t="shared" si="62"/>
        <v>0</v>
      </c>
      <c r="BK222" s="276"/>
      <c r="BL222" s="276"/>
      <c r="BX222" s="350" t="str">
        <f t="shared" si="63"/>
        <v>Seigle</v>
      </c>
      <c r="BY222" s="351">
        <f t="array" ref="BY222">SUM((IF(QualitéAlimentsChevreau_0_3_mois=BONNE,VLOOKUP("Seigle",AlimentsRationCaprinsMâles,5,FALSE),0)+(IF(QualitéAlimentsChevrette_0_3_mois=BONNE,VLOOKUP("Seigle",AlimentsRationCaprinsFemelles,5,FALSE),0)+(IF(QualitéAlimentsChevreau_3_6_mois=BONNE,VLOOKUP("Seigle",AlimentsRationCaprinsMâles,4,FALSE),0)+(IF(QualitéAlimentsChevrette_3_6_mois=BONNE,VLOOKUP("Seigle",AlimentsRationCaprinsFemelles,4,FALSE),0)+(IF(QualitéAlimentsJeuneBouc=BONNE,VLOOKUP("Seigle",AlimentsRationCaprinsMâles,3,FALSE),0)+(IF(QualitéAlimentsJeuneChèvre=BONNE,VLOOKUP("Seigle",AlimentsRationCaprinsFemelles,3,FALSE),0)+(IF(QualitéAlimentsBouc=BONNE,VLOOKUP("Seigle",AlimentsRationCaprinsMâles,2,FALSE),0)+(IF(QualitéAlimentsChèvre=BONNE,VLOOKUP("Seigle",AlimentsRationCaprinsFemelles,2,FALSE),0))))))))))</f>
        <v>0</v>
      </c>
      <c r="BZ222" s="351">
        <f t="array" ref="BZ222">SUM((IF(QualitéAlimentsChevreau_0_3_mois=MOYENNE,VLOOKUP("Seigle",AlimentsRationCaprinsMâles,5,FALSE),0)+(IF(QualitéAlimentsChevrette_0_3_mois=MOYENNE,VLOOKUP("Seigle",AlimentsRationCaprinsFemelles,5,FALSE),0)+(IF(QualitéAlimentsChevreau_3_6_mois=MOYENNE,VLOOKUP("Seigle",AlimentsRationCaprinsMâles,4,FALSE),0)+(IF(QualitéAlimentsChevrette_3_6_mois=MOYENNE,VLOOKUP("Seigle",AlimentsRationCaprinsFemelles,4,FALSE),0)+(IF(QualitéAlimentsJeuneBouc=MOYENNE,VLOOKUP("Seigle",AlimentsRationCaprinsMâles,3,FALSE),0)+(IF(QualitéAlimentsJeuneChèvre=MOYENNE,VLOOKUP("Seigle",AlimentsRationCaprinsFemelles,3,FALSE),0)+(IF(QualitéAlimentsBouc=MOYENNE,VLOOKUP("Seigle",AlimentsRationCaprinsMâles,2,FALSE),0)+(IF(QualitéAlimentsChèvre=MOYENNE,VLOOKUP("Seigle",AlimentsRationCaprinsFemelles,2,FALSE),0))))))))))</f>
        <v>0</v>
      </c>
      <c r="CA222" s="351">
        <f t="array" ref="CA222">SUM((IF(QualitéAlimentsChevreau_0_3_mois=MAUVAISE,VLOOKUP("Seigle",AlimentsRationCaprinsMâles,5,FALSE),0)+(IF(QualitéAlimentsChevrette_0_3_mois=MAUVAISE,VLOOKUP("Seigle",AlimentsRationCaprinsFemelles,5,FALSE),0)+(IF(QualitéAlimentsChevreau_3_6_mois=MAUVAISE,VLOOKUP("Seigle",AlimentsRationCaprinsMâles,4,FALSE),0)+(IF(QualitéAlimentsChevrette_3_6_mois=MAUVAISE,VLOOKUP("Seigle",AlimentsRationCaprinsFemelles,4,FALSE),0)+(IF(QualitéAlimentsJeuneBouc=MAUVAISE,VLOOKUP("Seigle",AlimentsRationCaprinsMâles,3,FALSE),0)+(IF(QualitéAlimentsJeuneChèvre=MAUVAISE,VLOOKUP("Seigle",AlimentsRationCaprinsFemelles,3,FALSE),0)+(IF(QualitéAlimentsBouc=MAUVAISE,VLOOKUP("Seigle",AlimentsRationCaprinsMâles,2,FALSE),0)+(IF(QualitéAlimentsChèvre=MAUVAISE,VLOOKUP("Seigle",AlimentsRationCaprinsFemelles,2,FALSE),0))))))))))</f>
        <v>0</v>
      </c>
      <c r="CB222" s="277"/>
      <c r="CC222" s="277"/>
      <c r="CD222" s="298"/>
      <c r="CE222" s="298"/>
      <c r="CF222" s="298"/>
      <c r="CG222" s="298"/>
      <c r="CH222" s="298"/>
      <c r="CI222" s="277"/>
      <c r="CK222" s="277"/>
      <c r="CL222" s="277"/>
      <c r="CM222" s="277"/>
      <c r="CN222" s="277"/>
      <c r="CO222" s="277"/>
      <c r="CP222" s="277"/>
      <c r="DN222" s="350" t="str">
        <f t="shared" si="61"/>
        <v>Tourteau de colza</v>
      </c>
      <c r="DO222" s="351">
        <f t="array" ref="DO222">IF(ChoixRationComplèteOvins=OUI,0,IFERROR(IF(OR(AND(INDEX(Règles_ovins[Specificite],MATCH(ChoixRationOvins&amp;$DN222,Règles_ovins[Ration]&amp;Règles_ovins[Aliment],0))="s1",IF($DN222=Spécificité1Ovins,1)),
AND(INDEX(Règles_ovins[Specificite],MATCH(ChoixRationOvins&amp;$DN222,Règles_ovins[Ration]&amp;Règles_ovins[Aliment],0))="s2",IF($DN222=Spécificité2Ovins,1)),
INDEX(Règles_ovins[Specificite],MATCH(ChoixRationOvins&amp;$DN222,Règles_ovins[Ration]&amp;Règles_ovins[Aliment],0))="c"),
INDEX(Règles_ovins[Valeur 12 et plus],MATCH(ChoixRationOvins&amp;$DN222,Règles_ovins[Ration]&amp;Règles_ovins[Aliment],0)),0),0)*IF(ChoixOvinsPréHiver=OUI,SUM(TotalOvinsAdultesRacesLaitières)*NbreJoursNourrirOvins,TotalBrebis*NbreJoursNourrirOvins))</f>
        <v>0</v>
      </c>
      <c r="DP222" s="351">
        <f t="array" ref="DP222">IF(ChoixRationComplèteOvins=OUI,0,IFERROR(IF(OR(AND(INDEX(Règles_ovins[Specificite],MATCH(ChoixRationOvins&amp;$DN222,Règles_ovins[Ration]&amp;Règles_ovins[Aliment],0))="s1",IF($DN222=Spécificité1Ovins,1)),
AND(INDEX(Règles_ovins[Specificite],MATCH(ChoixRationOvins&amp;$DN222,Règles_ovins[Ration]&amp;Règles_ovins[Aliment],0))="s2",IF($DN222=Spécificité2Ovins,1)),
INDEX(Règles_ovins[Specificite],MATCH(ChoixRationOvins&amp;$DN222,Règles_ovins[Ration]&amp;Règles_ovins[Aliment],0))="c"),
INDEX(Règles_ovins[Valeur 6-12],MATCH(ChoixRationOvins&amp;$DN222,Règles_ovins[Ration]&amp;Règles_ovins[Aliment],0)),0),0)*IF(ChoixOvinsPréHiver=OUI,SUM(TotalJeunesOvinsRacesLaitières)*NbreJoursNourrirOvins,TotalJeune_brebis_6_12_mois*NbreJoursNourrirOvins))</f>
        <v>0</v>
      </c>
      <c r="DQ222" s="351">
        <f t="array" ref="DQ222">IF(ChoixRationComplèteOvins=OUI,0,IFERROR(IF(OR(AND(INDEX(Règles_ovins[Specificite],MATCH(ChoixRationOvins&amp;$DN222,Règles_ovins[Ration]&amp;Règles_ovins[Aliment],0))="s1",IF($DN222=Spécificité1Ovins,1)),
AND(INDEX(Règles_ovins[Specificite],MATCH(ChoixRationOvins&amp;$DN222,Règles_ovins[Ration]&amp;Règles_ovins[Aliment],0))="s2",IF($DN222=Spécificité2Ovins,1)),
INDEX(Règles_ovins[Specificite],MATCH(ChoixRationOvins&amp;$DN222,Règles_ovins[Ration]&amp;Règles_ovins[Aliment],0))="c"),
INDEX(Règles_ovins[Valeur 3-6],MATCH(ChoixRationOvins&amp;$DN222,Règles_ovins[Ration]&amp;Règles_ovins[Aliment],0)),0),0)*IF(ChoixOvinsPréHiver=OUI,SUM(TotalOvins_3_6moisRacesLaitières)*NbreJoursNourrirOvins,TotalAgnelle_3_6_mois*NbreJoursNourrirOvins))</f>
        <v>0</v>
      </c>
      <c r="DR222" s="351">
        <f t="array" ref="DR222">IF(ChoixRationComplèteOvins=OUI,0,IFERROR(IF(OR(AND(INDEX(Règles_ovins[Specificite],MATCH(ChoixRationOvins&amp;$DN222,Règles_ovins[Ration]&amp;Règles_ovins[Aliment],0))="s1",IF($DN222=Spécificité1Ovins,1)),
AND(INDEX(Règles_ovins[Specificite],MATCH(ChoixRationOvins&amp;$DN222,Règles_ovins[Ration]&amp;Règles_ovins[Aliment],0))="s2",IF($DN222=Spécificité2Ovins,1)),
INDEX(Règles_ovins[Specificite],MATCH(ChoixRationOvins&amp;$DN222,Règles_ovins[Ration]&amp;Règles_ovins[Aliment],0))="c"),
INDEX(Règles_ovins[Valeur 0-3],MATCH(ChoixRationOvins&amp;$DN222,Règles_ovins[Ration]&amp;Règles_ovins[Aliment],0)),0),0)*IF(ChoixOvinsPréHiver=OUI,SUM(TotalOvins_3_6moisRacesLaitières)*NbreJoursNourrirOvins,TotalAgnelle_0_3_mois*NbreJoursNourrirOvins))</f>
        <v>0</v>
      </c>
      <c r="DS222" s="441">
        <f t="shared" si="60"/>
        <v>0</v>
      </c>
      <c r="EU222" s="457" t="str">
        <f t="shared" si="66"/>
        <v>Minéraux + vitamines</v>
      </c>
      <c r="EV222" s="458">
        <f t="array" ref="EV222">SUM((IF(QualitéAlimentsPoulainSelleMâle=BONNE,VLOOKUP("Minéraux + vitamines",AlimentsRationEcurieChevauxMâlesSelle,5,FALSE),0)+(IF(QualitéAlimentsPoulainSelleFemelle=BONNE,VLOOKUP("Minéraux + vitamines",AlimentsRationEcurieChevauxFemellesSelle,5,FALSE),0)+(IF(QualitéAlimentsJeuneEtalon_12_24_moisSelle=BONNE,VLOOKUP("Minéraux + vitamines",AlimentsRationEcurieChevauxMâlesSelle,4,FALSE),0)+(IF(QualitéAlimentsJeuneJument_12_24_moisSelle=BONNE,VLOOKUP("Minéraux + vitamines",AlimentsRationEcurieChevauxFemellesSelle,4,FALSE),0)+(IF(QualitéAlimentsJeuneEtalon_24_36_moisSelle=BONNE,VLOOKUP("Minéraux + vitamines",AlimentsRationEcurieChevauxMâlesSelle,3,FALSE),0)+(IF(QualitéAlimentsJeuneJument_24_36_moisSelle=BONNE,VLOOKUP("Minéraux + vitamines",AlimentsRationEcurieChevauxFemellesSelle,3,FALSE),0)+(IF(QualitéAlimentsEtalonSelle=BONNE,VLOOKUP("Minéraux + vitamines",AlimentsRationEcurieChevauxMâlesSelle,2,FALSE),0)+(IF(QualitéAlimentsJumentSelle=BONNE,VLOOKUP("Minéraux + vitamines",AlimentsRationEcurieChevauxFemellesSelle,2,FALSE),0))))))))))</f>
        <v>0</v>
      </c>
      <c r="EW222" s="458">
        <f t="array" ref="EW222">SUM((IF(QualitéAlimentsPoulainSelleMâle=MOYENNE,VLOOKUP("Minéraux + vitamines",AlimentsRationEcurieChevauxMâlesSelle,5,FALSE),0)+(IF(QualitéAlimentsPoulainSelleFemelle=MOYENNE,VLOOKUP("Minéraux + vitamines",AlimentsRationEcurieChevauxFemellesSelle,5,FALSE),0)+(IF(QualitéAlimentsJeuneEtalon_12_24_moisSelle=MOYENNE,VLOOKUP("Minéraux + vitamines",AlimentsRationEcurieChevauxMâlesSelle,4,FALSE),0)+(IF(QualitéAlimentsJeuneJument_12_24_moisSelle=MOYENNE,VLOOKUP("Minéraux + vitamines",AlimentsRationEcurieChevauxFemellesSelle,4,FALSE),0)+(IF(QualitéAlimentsJeuneEtalon_24_36_moisSelle=MOYENNE,VLOOKUP("Minéraux + vitamines",AlimentsRationEcurieChevauxMâlesSelle,3,FALSE),0)+(IF(QualitéAlimentsJeuneJument_24_36_moisSelle=MOYENNE,VLOOKUP("Minéraux + vitamines",AlimentsRationEcurieChevauxFemellesSelle,3,FALSE),0)+(IF(QualitéAlimentsEtalonSelle=MOYENNE,VLOOKUP("Minéraux + vitamines",AlimentsRationEcurieChevauxMâlesSelle,2,FALSE),0)+(IF(QualitéAlimentsJumentSelle=MOYENNE,VLOOKUP("Minéraux + vitamines",AlimentsRationEcurieChevauxFemellesSelle,2,FALSE),0))))))))))</f>
        <v>0</v>
      </c>
      <c r="EX222" s="458">
        <f t="array" ref="EX222">SUM((IF(QualitéAlimentsPoulainSelleMâle=MAUVAISE,VLOOKUP("Minéraux + vitamines",AlimentsRationEcurieChevauxMâlesSelle,5,FALSE),0)+(IF(QualitéAlimentsPoulainSelleFemelle=MAUVAISE,VLOOKUP("Minéraux + vitamines",AlimentsRationEcurieChevauxFemellesSelle,5,FALSE),0)+(IF(QualitéAlimentsJeuneEtalon_12_24_moisSelle=MAUVAISE,VLOOKUP("Minéraux + vitamines",AlimentsRationEcurieChevauxMâlesSelle,4,FALSE),0)+(IF(QualitéAlimentsJeuneJument_12_24_moisSelle=MAUVAISE,VLOOKUP("Minéraux + vitamines",AlimentsRationEcurieChevauxFemellesSelle,4,FALSE),0)+(IF(QualitéAlimentsJeuneEtalon_24_36_moisSelle=MAUVAISE,VLOOKUP("Minéraux + vitamines",AlimentsRationEcurieChevauxMâlesSelle,3,FALSE),0)+(IF(QualitéAlimentsJeuneJument_24_36_moisSelle=MAUVAISE,VLOOKUP("Minéraux + vitamines",AlimentsRationEcurieChevauxFemellesSelle,3,FALSE),0)+(IF(QualitéAlimentsEtalonSelle=MAUVAISE,VLOOKUP("Minéraux + vitamines",AlimentsRationEcurieChevauxMâlesSelle,2,FALSE),0)+(IF(QualitéAlimentsJumentSelle=MAUVAISE,VLOOKUP("Minéraux + vitamines",AlimentsRationEcurieChevauxFemellesSelle,2,FALSE),0))))))))))</f>
        <v>0</v>
      </c>
      <c r="FD222" s="457" t="str">
        <f t="shared" si="65"/>
        <v>Pulpe déshydratée de betterave</v>
      </c>
      <c r="FE222" s="458">
        <f t="array" ref="FE222">SUM((IF(QualitéAlimentsPoulainMâleTrait=BONNE,VLOOKUP("Pulpe déshydratée de betterave",AlimentsRationEcurieChevauxMâlesTrait,5,FALSE),0)+(IF(QualitéAlimentsPoulainFemelleTrait=BONNE,VLOOKUP("Pulpe déshydratée de betterave",AlimentsRationEcurieChevauxFemellesTrait,5,FALSE),0)+(IF(QualitéAlimentsJeuneEtalon_12_24_moisTrait=BONNE,VLOOKUP("Pulpe déshydratée de betterave",AlimentsRationEcurieChevauxMâlesTrait,4,FALSE),0)+(IF(QualitéAlimentsJeuneJument_12_24_moisTrait=BONNE,VLOOKUP("Pulpe déshydratée de betterave",AlimentsRationEcurieChevauxFemellesTrait,4,FALSE),0)+(IF(QualitéAlimentsJeuneEtalon_24_36_moisTrait=BONNE,VLOOKUP("Pulpe déshydratée de betterave",AlimentsRationEcurieChevauxMâlesTrait,3,FALSE),0)+(IF(QualitéAlimentsJeuneJument_24_36_moisTrait=BONNE,VLOOKUP("Pulpe déshydratée de betterave",AlimentsRationEcurieChevauxFemellesTrait,3,FALSE),0)+(IF(QualitéAlimentsEtalonTrait=BONNE,VLOOKUP("Pulpe déshydratée de betterave",AlimentsRationEcurieChevauxMâlesTrait,2,FALSE),0)+(IF(QualitéAlimentsJumentTrait=BONNE,VLOOKUP("Pulpe déshydratée de betterave",AlimentsRationEcurieChevauxFemellesTrait,2,FALSE),0))))))))))</f>
        <v>0</v>
      </c>
      <c r="FF222" s="458">
        <f t="array" ref="FF222">SUM((IF(QualitéAlimentsPoulainMâleTrait=MOYENNE,VLOOKUP("Pulpe déshydratée de betterave",AlimentsRationEcurieChevauxMâlesTrait,5,FALSE),0)+(IF(QualitéAlimentsPoulainFemelleTrait=MOYENNE,VLOOKUP("Pulpe déshydratée de betterave",AlimentsRationEcurieChevauxFemellesTrait,5,FALSE),0)+(IF(QualitéAlimentsJeuneEtalon_12_24_moisTrait=MOYENNE,VLOOKUP("Pulpe déshydratée de betterave",AlimentsRationEcurieChevauxMâlesTrait,4,FALSE),0)+(IF(QualitéAlimentsJeuneJument_12_24_moisTrait=MOYENNE,VLOOKUP("Pulpe déshydratée de betterave",AlimentsRationEcurieChevauxFemellesTrait,4,FALSE),0)+(IF(QualitéAlimentsJeuneEtalon_24_36_moisTrait=MOYENNE,VLOOKUP("Pulpe déshydratée de betterave",AlimentsRationEcurieChevauxMâlesTrait,3,FALSE),0)+(IF(QualitéAlimentsJeuneJument_24_36_moisTrait=MOYENNE,VLOOKUP("Pulpe déshydratée de betterave",AlimentsRationEcurieChevauxFemellesTrait,3,FALSE),0)+(IF(QualitéAlimentsEtalonTrait=MOYENNE,VLOOKUP("Pulpe déshydratée de betterave",AlimentsRationEcurieChevauxMâlesTrait,2,FALSE),0)+(IF(QualitéAlimentsJumentTrait=MOYENNE,VLOOKUP("Pulpe déshydratée de betterave",AlimentsRationEcurieChevauxFemellesTrait,2,FALSE),0))))))))))</f>
        <v>0</v>
      </c>
      <c r="FG222" s="458">
        <f t="array" ref="FG222">SUM((IF(QualitéAlimentsPoulainMâleTrait=MAUVAISE,VLOOKUP("Pulpe déshydratée de betterave",AlimentsRationEcurieChevauxMâlesTrait,5,FALSE),0)+(IF(QualitéAlimentsPoulainFemelleTrait=MAUVAISE,VLOOKUP("Pulpe déshydratée de betterave",AlimentsRationEcurieChevauxFemellesTrait,5,FALSE),0)+(IF(QualitéAlimentsJeuneEtalon_12_24_moisTrait=MAUVAISE,VLOOKUP("Pulpe déshydratée de betterave",AlimentsRationEcurieChevauxMâlesTrait,4,FALSE),0)+(IF(QualitéAlimentsJeuneJument_12_24_moisTrait=MAUVAISE,VLOOKUP("Pulpe déshydratée de betterave",AlimentsRationEcurieChevauxFemellesTrait,4,FALSE),0)+(IF(QualitéAlimentsJeuneEtalon_24_36_moisTrait=MAUVAISE,VLOOKUP("Pulpe déshydratée de betterave",AlimentsRationEcurieChevauxMâlesTrait,3,FALSE),0)+(IF(QualitéAlimentsJeuneJument_24_36_moisTrait=MAUVAISE,VLOOKUP("Pulpe déshydratée de betterave",AlimentsRationEcurieChevauxFemellesTrait,3,FALSE),0)+(IF(QualitéAlimentsEtalonTrait=MAUVAISE,VLOOKUP("Pulpe déshydratée de betterave",AlimentsRationEcurieChevauxMâlesTrait,2,FALSE),0)+(IF(QualitéAlimentsJumentTrait=MAUVAISE,VLOOKUP("Pulpe déshydratée de betterave",AlimentsRationEcurieChevauxFemellesTrait,2,FALSE),0))))))))))</f>
        <v>0</v>
      </c>
      <c r="FI222" s="276"/>
      <c r="FN222" s="457" t="str">
        <f t="shared" si="64"/>
        <v>Ration complète</v>
      </c>
      <c r="FO222" s="458">
        <f t="array" ref="FO222">SUM((IF(QualitéAlimentsPoulainMâlePoney=BONNE,VLOOKUP("Ration complète",AlimentsRationChevauxMâlesPoney,5,FALSE),0)+(IF(QualitéAlimentsPoulainFemellePoney=BONNE,VLOOKUP("Ration complète",AlimentsRationChevauxFemellesPoney,5,FALSE),0)+(IF(QualitéAlimentsJeuneEtalon_12_24_moisPoney=BONNE,VLOOKUP("Ration complète",AlimentsRationChevauxMâlesPoney,4,FALSE),0)+(IF(QualitéAlimentsJeuneJument_12_24_moisPoney=BONNE,VLOOKUP("Ration complète",AlimentsRationChevauxFemellesPoney,4,FALSE),0)+(IF(QualitéAlimentsJeuneEtalon_24_36_moisPoney=BONNE,VLOOKUP("Ration complète",AlimentsRationChevauxMâlesPoney,3,FALSE),0)+(IF(QualitéAlimentsJeuneJument_24_36_moisPoney=BONNE,VLOOKUP("Ration complète",AlimentsRationChevauxFemellesPoney,3,FALSE),0)+(IF(QualitéAlimentsEtalonPoney=BONNE,VLOOKUP("Ration complète",AlimentsRationChevauxMâlesPoney,2,FALSE),0)+(IF(QualitéAlimentsJumentPoney=BONNE,VLOOKUP("Ration complète",AlimentsRationChevauxFemellesPoney,2,FALSE),0))))))))))</f>
        <v>0</v>
      </c>
      <c r="FP222" s="458">
        <f t="array" ref="FP222">SUM((IF(QualitéAlimentsPoulainMâlePoney=MOYENNE,VLOOKUP("Ration complète",AlimentsRationChevauxMâlesPoney,5,FALSE),0)+(IF(QualitéAlimentsPoulainFemellePoney=MOYENNE,VLOOKUP("Ration complète",AlimentsRationChevauxFemellesPoney,5,FALSE),0)+(IF(QualitéAlimentsJeuneEtalon_12_24_moisPoney=MOYENNE,VLOOKUP("Ration complète",AlimentsRationChevauxMâlesPoney,4,FALSE),0)+(IF(QualitéAlimentsJeuneJument_12_24_moisPoney=MOYENNE,VLOOKUP("Ration complète",AlimentsRationChevauxFemellesPoney,4,FALSE),0)+(IF(QualitéAlimentsJeuneEtalon_24_36_moisPoney=MOYENNE,VLOOKUP("Ration complète",AlimentsRationChevauxMâlesPoney,3,FALSE),0)+(IF(QualitéAlimentsJeuneJument_24_36_moisPoney=MOYENNE,VLOOKUP("Ration complète",AlimentsRationChevauxFemellesPoney,3,FALSE),0)+(IF(QualitéAlimentsEtalonPoney=MOYENNE,VLOOKUP("Ration complète",AlimentsRationChevauxMâlesPoney,2,FALSE),0)+(IF(QualitéAlimentsJumentPoney=MOYENNE,VLOOKUP("Ration complète",AlimentsRationChevauxFemellesPoney,2,FALSE),0))))))))))</f>
        <v>0</v>
      </c>
      <c r="FQ222" s="458">
        <f t="array" ref="FQ222">SUM((IF(QualitéAlimentsPoulainMâlePoney=MAUVAISE,VLOOKUP("Ration complète",AlimentsRationChevauxMâlesPoney,5,FALSE),0)+(IF(QualitéAlimentsPoulainFemellePoney=MAUVAISE,VLOOKUP("Ration complète",AlimentsRationChevauxFemellesPoney,5,FALSE),0)+(IF(QualitéAlimentsJeuneEtalon_12_24_moisPoney=MAUVAISE,VLOOKUP("Ration complète",AlimentsRationChevauxMâlesPoney,4,FALSE),0)+(IF(QualitéAlimentsJeuneJument_12_24_moisPoney=MAUVAISE,VLOOKUP("Ration complète",AlimentsRationChevauxFemellesPoney,4,FALSE),0)+(IF(QualitéAlimentsJeuneEtalon_24_36_moisPoney=MAUVAISE,VLOOKUP("Ration complète",AlimentsRationChevauxMâlesPoney,3,FALSE),0)+(IF(QualitéAlimentsJeuneJument_24_36_moisPoney=MAUVAISE,VLOOKUP("Ration complète",AlimentsRationChevauxFemellesPoney,3,FALSE),0)+(IF(QualitéAlimentsEtalonPoney=MAUVAISE,VLOOKUP("Ration complète",AlimentsRationChevauxMâlesPoney,2,FALSE),0)+(IF(QualitéAlimentsJumentPoney=MAUVAISE,VLOOKUP("Ration complète",AlimentsRationChevauxFemellesPoney,2,FALSE),0))))))))))</f>
        <v>0</v>
      </c>
      <c r="FR222" s="281"/>
      <c r="GG222" s="276" t="s">
        <v>955</v>
      </c>
      <c r="GH222" s="276" t="s">
        <v>955</v>
      </c>
      <c r="GI222" s="276" t="s">
        <v>955</v>
      </c>
      <c r="GJ222" s="276" t="s">
        <v>955</v>
      </c>
      <c r="GK222" s="276" t="s">
        <v>955</v>
      </c>
      <c r="GL222" s="276" t="s">
        <v>955</v>
      </c>
      <c r="GM222" s="276" t="s">
        <v>955</v>
      </c>
      <c r="GN222" s="276" t="s">
        <v>955</v>
      </c>
      <c r="GO222" s="276" t="s">
        <v>955</v>
      </c>
      <c r="GP222" s="276" t="s">
        <v>955</v>
      </c>
      <c r="GQ222" s="276" t="s">
        <v>955</v>
      </c>
      <c r="GR222" s="276" t="s">
        <v>955</v>
      </c>
      <c r="GS222" s="276" t="s">
        <v>955</v>
      </c>
      <c r="GT222" s="276" t="s">
        <v>955</v>
      </c>
      <c r="GU222" s="276" t="s">
        <v>955</v>
      </c>
      <c r="GV222" s="276" t="s">
        <v>955</v>
      </c>
    </row>
    <row r="223" spans="1:204" ht="12.75" customHeight="1" x14ac:dyDescent="0.2">
      <c r="A223" s="276"/>
      <c r="B223" s="276"/>
      <c r="BB223" s="350" t="s">
        <v>231</v>
      </c>
      <c r="BC223" s="351">
        <f t="array" ref="BC223">IF(Ration_complète_bovins[somme]&gt;0,0,IFERROR(IF(OR(AND(INDEX(Règles_bovins[Specificite],MATCH(ChoixRationBovins&amp;$BB223,Règles_bovins[Ration]&amp;Règles_bovins[Aliment],0))="s1",IF($BB223=Spécificité1Bovins,1)),
AND(INDEX(Règles_bovins[Specificite],MATCH(ChoixRationBovins&amp;$BB223,Règles_bovins[Ration]&amp;Règles_bovins[Aliment],0))="s2",IF($BB223=Spécificité2Bovins,1)),
INDEX(Règles_bovins[Specificite],MATCH(ChoixRationBovins&amp;$BB223,Règles_bovins[Ration]&amp;Règles_bovins[Aliment],0))="c"),
INDEX(Règles_bovins[Valeur 36 et plus],MATCH(ChoixRationBovins&amp;$BB223,Règles_bovins[Ration]&amp;Règles_bovins[Aliment],0)),0),0)*IF(ChoixBovinsPréHiver=OUI,TotalTaureauxRacesLaitières,TotalTaureaux*NbreJoursNourrirBovins))</f>
        <v>0</v>
      </c>
      <c r="BD223" s="351">
        <f t="array" ref="BD223">IF(Ration_complète_bovins[somme]&gt;0,0,IFERROR(IF(OR(AND(INDEX(Règles_bovins[Specificite],MATCH(ChoixRationBovins&amp;$BB223,Règles_bovins[Ration]&amp;Règles_bovins[Aliment],0))="s1",IF($BB223=Spécificité1Bovins,1)),
AND(INDEX(Règles_bovins[Specificite],MATCH(ChoixRationBovins&amp;$BB223,Règles_bovins[Ration]&amp;Règles_bovins[Aliment],0))="s2",IF($BB223=Spécificité2Bovins,1)),
INDEX(Règles_bovins[Specificite],MATCH(ChoixRationBovins&amp;$BB223,Règles_bovins[Ration]&amp;Règles_bovins[Aliment],0))="c"),
INDEX(Règles_bovins[Valeur 24-36],MATCH(ChoixRationBovins&amp;$BB223,Règles_bovins[Ration]&amp;Règles_bovins[Aliment],0)),0),0)*IF(ChoixBovinsPréHiver=OUI,TotalTaurillon_24_36_RacesLaitières,TotalBovinsMâles_24_36mois*NbreJoursNourrirBovins))</f>
        <v>0</v>
      </c>
      <c r="BE223" s="351">
        <f t="array" ref="BE223">IF(Ration_complète_bovins[somme]&gt;0,0,IFERROR(IF(OR(AND(INDEX(Règles_bovins[Specificite],MATCH(ChoixRationBovins&amp;$BB223,Règles_bovins[Ration]&amp;Règles_bovins[Aliment],0))="s1",IF($BB223=Spécificité1Bovins,1)),
AND(INDEX(Règles_bovins[Specificite],MATCH(ChoixRationBovins&amp;$BB223,Règles_bovins[Ration]&amp;Règles_bovins[Aliment],0))="s2",IF($BB223=Spécificité2Bovins,1)),
INDEX(Règles_bovins[Specificite],MATCH(ChoixRationBovins&amp;$BB223,Règles_bovins[Ration]&amp;Règles_bovins[Aliment],0))="c"),
INDEX(Règles_bovins[Valeur 18-24],MATCH(ChoixRationBovins&amp;$BB223,Règles_bovins[Ration]&amp;Règles_bovins[Aliment],0)),0),0)*IF(ChoixBovinsPréHiver=OUI,TotalTaurillon_18_24_RacesLaitières,TotalBovinsMâles_18_24mois*NbreJoursNourrirBovins))</f>
        <v>0</v>
      </c>
      <c r="BF223" s="351">
        <f t="array" ref="BF223">IF(Ration_complète_bovins[somme]&gt;0,0,IFERROR(IF(OR(AND(INDEX(Règles_bovins[Specificite],MATCH(ChoixRationBovins&amp;$BB223,Règles_bovins[Ration]&amp;Règles_bovins[Aliment],0))="s1",IF($BB223=Spécificité1Bovins,1)),
AND(INDEX(Règles_bovins[Specificite],MATCH(ChoixRationBovins&amp;$BB223,Règles_bovins[Ration]&amp;Règles_bovins[Aliment],0))="s2",IF($BB223=Spécificité2Bovins,1)),
INDEX(Règles_bovins[Specificite],MATCH(ChoixRationBovins&amp;$BB223,Règles_bovins[Ration]&amp;Règles_bovins[Aliment],0))="c"),
INDEX(Règles_bovins[Valeur 12-18],MATCH(ChoixRationBovins&amp;$BB223,Règles_bovins[Ration]&amp;Règles_bovins[Aliment],0)),0),0)*IF(ChoixBovinsPréHiver=OUI,animaux!D46,TotalBovinsMâles_12_18mois*NbreJoursNourrirBovins))</f>
        <v>0</v>
      </c>
      <c r="BG223" s="351">
        <f t="array" ref="BG223">IF(Ration_complète_bovins[somme]&gt;0,0,IFERROR(IF(OR(AND(INDEX(Règles_bovins[Specificite],MATCH(ChoixRationBovins&amp;$BB223,Règles_bovins[Ration]&amp;Règles_bovins[Aliment],0))="s1",IF($BB223=Spécificité1Bovins,1)),
AND(INDEX(Règles_bovins[Specificite],MATCH(ChoixRationBovins&amp;$BB223,Règles_bovins[Ration]&amp;Règles_bovins[Aliment],0))="s2",IF($BB223=Spécificité2Bovins,1)),
INDEX(Règles_bovins[Specificite],MATCH(ChoixRationBovins&amp;$BB223,Règles_bovins[Ration]&amp;Règles_bovins[Aliment],0))="c"),
INDEX(Règles_bovins[Valeur 6-12],MATCH(ChoixRationBovins&amp;$BB223,Règles_bovins[Ration]&amp;Règles_bovins[Aliment],0)),0),0)*IF(ChoixBovinsPréHiver=OUI,TotalVeauMâle_6_12_RacesLaitières,TotalBovinsMâles_6_12mois*NbreJoursNourrirBovins))</f>
        <v>0</v>
      </c>
      <c r="BH223" s="351">
        <f t="array" ref="BH223">IF(Ration_complète_bovins[somme]&gt;0,0,IFERROR(IF(OR(AND(INDEX(Règles_bovins[Specificite],MATCH(ChoixRationBovins&amp;$BB223,Règles_bovins[Ration]&amp;Règles_bovins[Aliment],0))="s1",IF($BB223=Spécificité1Bovins,1)),
AND(INDEX(Règles_bovins[Specificite],MATCH(ChoixRationBovins&amp;$BB223,Règles_bovins[Ration]&amp;Règles_bovins[Aliment],0))="s2",IF($BB223=Spécificité2Bovins,1)),
INDEX(Règles_bovins[Specificite],MATCH(ChoixRationBovins&amp;$BB223,Règles_bovins[Ration]&amp;Règles_bovins[Aliment],0))="c"),
INDEX(Règles_bovins[Valeur 3-6],MATCH(ChoixRationBovins&amp;$BB223,Règles_bovins[Ration]&amp;Règles_bovins[Aliment],0)),0),0)*IF(ChoixBovinsPréHiver=OUI,TotalVeauMâle_3_6_RacesLaitières,TotalBovinsMâles_3_6mois*NbreJoursNourrirBovins))</f>
        <v>0</v>
      </c>
      <c r="BI223" s="351">
        <f t="array" ref="BI223">IF(Ration_complète_bovins[somme]&gt;0,0,IFERROR(IF(OR(AND(INDEX(Règles_bovins[Specificite],MATCH(ChoixRationBovins&amp;$BB223,Règles_bovins[Ration]&amp;Règles_bovins[Aliment],0))="s1",IF($BB223=Spécificité1Bovins,1)),
AND(INDEX(Règles_bovins[Specificite],MATCH(ChoixRationBovins&amp;$BB223,Règles_bovins[Ration]&amp;Règles_bovins[Aliment],0))="s2",IF($BB223=Spécificité2Bovins,1)),
INDEX(Règles_bovins[Specificite],MATCH(ChoixRationBovins&amp;$BB223,Règles_bovins[Ration]&amp;Règles_bovins[Aliment],0))="c"),
INDEX(Règles_bovins[Valeur 0-3],MATCH(ChoixRationBovins&amp;$BB223,Règles_bovins[Ration]&amp;Règles_bovins[Aliment],0)),0),0)*IF(ChoixBovinsPréHiver=OUI,TotalVeauMâle_0_3_RacesLaitières,TotalBovinsMâles_0_3mois*NbreJoursNourrirBovins))</f>
        <v>0</v>
      </c>
      <c r="BJ223" s="352">
        <f t="shared" si="62"/>
        <v>0</v>
      </c>
      <c r="BK223" s="276"/>
      <c r="BX223" s="350" t="str">
        <f t="shared" si="63"/>
        <v>Soja</v>
      </c>
      <c r="BY223" s="351">
        <f t="array" ref="BY223">SUM((IF(QualitéAlimentsChevreau_0_3_mois=BONNE,VLOOKUP("Soja",AlimentsRationCaprinsMâles,5,FALSE),0)+(IF(QualitéAlimentsChevrette_0_3_mois=BONNE,VLOOKUP("Soja",AlimentsRationCaprinsFemelles,5,FALSE),0)+(IF(QualitéAlimentsChevreau_3_6_mois=BONNE,VLOOKUP("Soja",AlimentsRationCaprinsMâles,4,FALSE),0)+(IF(QualitéAlimentsChevrette_3_6_mois=BONNE,VLOOKUP("Soja",AlimentsRationCaprinsFemelles,4,FALSE),0)+(IF(QualitéAlimentsJeuneBouc=BONNE,VLOOKUP("Soja",AlimentsRationCaprinsMâles,3,FALSE),0)+(IF(QualitéAlimentsJeuneChèvre=BONNE,VLOOKUP("Soja",AlimentsRationCaprinsFemelles,3,FALSE),0)+(IF(QualitéAlimentsBouc=BONNE,VLOOKUP("Soja",AlimentsRationCaprinsMâles,2,FALSE),0)+(IF(QualitéAlimentsChèvre=BONNE,VLOOKUP("Soja",AlimentsRationCaprinsFemelles,2,FALSE),0))))))))))</f>
        <v>0</v>
      </c>
      <c r="BZ223" s="351">
        <f t="array" ref="BZ223">SUM((IF(QualitéAlimentsChevreau_0_3_mois=MOYENNE,VLOOKUP("Soja",AlimentsRationCaprinsMâles,5,FALSE),0)+(IF(QualitéAlimentsChevrette_0_3_mois=MOYENNE,VLOOKUP("Soja",AlimentsRationCaprinsFemelles,5,FALSE),0)+(IF(QualitéAlimentsChevreau_3_6_mois=MOYENNE,VLOOKUP("Soja",AlimentsRationCaprinsMâles,4,FALSE),0)+(IF(QualitéAlimentsChevrette_3_6_mois=MOYENNE,VLOOKUP("Soja",AlimentsRationCaprinsFemelles,4,FALSE),0)+(IF(QualitéAlimentsJeuneBouc=MOYENNE,VLOOKUP("Soja",AlimentsRationCaprinsMâles,3,FALSE),0)+(IF(QualitéAlimentsJeuneChèvre=MOYENNE,VLOOKUP("Soja",AlimentsRationCaprinsFemelles,3,FALSE),0)+(IF(QualitéAlimentsBouc=MOYENNE,VLOOKUP("Soja",AlimentsRationCaprinsMâles,2,FALSE),0)+(IF(QualitéAlimentsChèvre=MOYENNE,VLOOKUP("Soja",AlimentsRationCaprinsFemelles,2,FALSE),0))))))))))</f>
        <v>0</v>
      </c>
      <c r="CA223" s="351">
        <f t="array" ref="CA223">SUM((IF(QualitéAlimentsChevreau_0_3_mois=MAUVAISE,VLOOKUP("Soja",AlimentsRationCaprinsMâles,5,FALSE),0)+(IF(QualitéAlimentsChevrette_0_3_mois=MAUVAISE,VLOOKUP("Soja",AlimentsRationCaprinsFemelles,5,FALSE),0)+(IF(QualitéAlimentsChevreau_3_6_mois=MAUVAISE,VLOOKUP("Soja",AlimentsRationCaprinsMâles,4,FALSE),0)+(IF(QualitéAlimentsChevrette_3_6_mois=MAUVAISE,VLOOKUP("Soja",AlimentsRationCaprinsFemelles,4,FALSE),0)+(IF(QualitéAlimentsJeuneBouc=MAUVAISE,VLOOKUP("Soja",AlimentsRationCaprinsMâles,3,FALSE),0)+(IF(QualitéAlimentsJeuneChèvre=MAUVAISE,VLOOKUP("Soja",AlimentsRationCaprinsFemelles,3,FALSE),0)+(IF(QualitéAlimentsBouc=MAUVAISE,VLOOKUP("Soja",AlimentsRationCaprinsMâles,2,FALSE),0)+(IF(QualitéAlimentsChèvre=MAUVAISE,VLOOKUP("Soja",AlimentsRationCaprinsFemelles,2,FALSE),0))))))))))</f>
        <v>0</v>
      </c>
      <c r="CB223" s="277"/>
      <c r="CC223" s="277"/>
      <c r="CD223" s="298"/>
      <c r="CE223" s="298"/>
      <c r="CF223" s="298"/>
      <c r="CG223" s="298"/>
      <c r="CH223" s="298"/>
      <c r="CI223" s="277"/>
      <c r="CK223" s="277"/>
      <c r="CL223" s="277"/>
      <c r="CM223" s="277"/>
      <c r="CN223" s="277"/>
      <c r="CO223" s="277"/>
      <c r="CP223" s="277"/>
      <c r="DN223" s="350" t="str">
        <f t="shared" si="61"/>
        <v>Tourteau de tournesol</v>
      </c>
      <c r="DO223" s="351">
        <f t="array" ref="DO223">IF(ChoixRationComplèteOvins=OUI,0,IFERROR(IF(OR(AND(INDEX(Règles_ovins[Specificite],MATCH(ChoixRationOvins&amp;$DN223,Règles_ovins[Ration]&amp;Règles_ovins[Aliment],0))="s1",IF($DN223=Spécificité1Ovins,1)),
AND(INDEX(Règles_ovins[Specificite],MATCH(ChoixRationOvins&amp;$DN223,Règles_ovins[Ration]&amp;Règles_ovins[Aliment],0))="s2",IF($DN223=Spécificité2Ovins,1)),
INDEX(Règles_ovins[Specificite],MATCH(ChoixRationOvins&amp;$DN223,Règles_ovins[Ration]&amp;Règles_ovins[Aliment],0))="c"),
INDEX(Règles_ovins[Valeur 12 et plus],MATCH(ChoixRationOvins&amp;$DN223,Règles_ovins[Ration]&amp;Règles_ovins[Aliment],0)),0),0)*IF(ChoixOvinsPréHiver=OUI,SUM(TotalOvinsAdultesRacesLaitières)*NbreJoursNourrirOvins,TotalBrebis*NbreJoursNourrirOvins))</f>
        <v>0</v>
      </c>
      <c r="DP223" s="351">
        <f t="array" ref="DP223">IF(ChoixRationComplèteOvins=OUI,0,IFERROR(IF(OR(AND(INDEX(Règles_ovins[Specificite],MATCH(ChoixRationOvins&amp;$DN223,Règles_ovins[Ration]&amp;Règles_ovins[Aliment],0))="s1",IF($DN223=Spécificité1Ovins,1)),
AND(INDEX(Règles_ovins[Specificite],MATCH(ChoixRationOvins&amp;$DN223,Règles_ovins[Ration]&amp;Règles_ovins[Aliment],0))="s2",IF($DN223=Spécificité2Ovins,1)),
INDEX(Règles_ovins[Specificite],MATCH(ChoixRationOvins&amp;$DN223,Règles_ovins[Ration]&amp;Règles_ovins[Aliment],0))="c"),
INDEX(Règles_ovins[Valeur 6-12],MATCH(ChoixRationOvins&amp;$DN223,Règles_ovins[Ration]&amp;Règles_ovins[Aliment],0)),0),0)*IF(ChoixOvinsPréHiver=OUI,SUM(TotalJeunesOvinsRacesLaitières)*NbreJoursNourrirOvins,TotalJeune_brebis_6_12_mois*NbreJoursNourrirOvins))</f>
        <v>0</v>
      </c>
      <c r="DQ223" s="351">
        <f t="array" ref="DQ223">IF(ChoixRationComplèteOvins=OUI,0,IFERROR(IF(OR(AND(INDEX(Règles_ovins[Specificite],MATCH(ChoixRationOvins&amp;$DN223,Règles_ovins[Ration]&amp;Règles_ovins[Aliment],0))="s1",IF($DN223=Spécificité1Ovins,1)),
AND(INDEX(Règles_ovins[Specificite],MATCH(ChoixRationOvins&amp;$DN223,Règles_ovins[Ration]&amp;Règles_ovins[Aliment],0))="s2",IF($DN223=Spécificité2Ovins,1)),
INDEX(Règles_ovins[Specificite],MATCH(ChoixRationOvins&amp;$DN223,Règles_ovins[Ration]&amp;Règles_ovins[Aliment],0))="c"),
INDEX(Règles_ovins[Valeur 3-6],MATCH(ChoixRationOvins&amp;$DN223,Règles_ovins[Ration]&amp;Règles_ovins[Aliment],0)),0),0)*IF(ChoixOvinsPréHiver=OUI,SUM(TotalOvins_3_6moisRacesLaitières)*NbreJoursNourrirOvins,TotalAgnelle_3_6_mois*NbreJoursNourrirOvins))</f>
        <v>0</v>
      </c>
      <c r="DR223" s="351">
        <f t="array" ref="DR223">IF(ChoixRationComplèteOvins=OUI,0,IFERROR(IF(OR(AND(INDEX(Règles_ovins[Specificite],MATCH(ChoixRationOvins&amp;$DN223,Règles_ovins[Ration]&amp;Règles_ovins[Aliment],0))="s1",IF($DN223=Spécificité1Ovins,1)),
AND(INDEX(Règles_ovins[Specificite],MATCH(ChoixRationOvins&amp;$DN223,Règles_ovins[Ration]&amp;Règles_ovins[Aliment],0))="s2",IF($DN223=Spécificité2Ovins,1)),
INDEX(Règles_ovins[Specificite],MATCH(ChoixRationOvins&amp;$DN223,Règles_ovins[Ration]&amp;Règles_ovins[Aliment],0))="c"),
INDEX(Règles_ovins[Valeur 0-3],MATCH(ChoixRationOvins&amp;$DN223,Règles_ovins[Ration]&amp;Règles_ovins[Aliment],0)),0),0)*IF(ChoixOvinsPréHiver=OUI,SUM(TotalOvins_3_6moisRacesLaitières)*NbreJoursNourrirOvins,TotalAgnelle_0_3_mois*NbreJoursNourrirOvins))</f>
        <v>0</v>
      </c>
      <c r="DS223" s="441">
        <f t="shared" si="60"/>
        <v>0</v>
      </c>
      <c r="EU223" s="457" t="str">
        <f t="shared" si="66"/>
        <v>Orge</v>
      </c>
      <c r="EV223" s="458">
        <f t="array" ref="EV223">SUM((IF(QualitéAlimentsPoulainSelleMâle=BONNE,VLOOKUP("Orge",AlimentsRationEcurieChevauxMâlesSelle,5,FALSE),0)+(IF(QualitéAlimentsPoulainSelleFemelle=BONNE,VLOOKUP("Orge",AlimentsRationEcurieChevauxFemellesSelle,5,FALSE),0)+(IF(QualitéAlimentsJeuneEtalon_12_24_moisSelle=BONNE,VLOOKUP("Orge",AlimentsRationEcurieChevauxMâlesSelle,4,FALSE),0)+(IF(QualitéAlimentsJeuneJument_12_24_moisSelle=BONNE,VLOOKUP("Orge",AlimentsRationEcurieChevauxFemellesSelle,4,FALSE),0)+(IF(QualitéAlimentsJeuneEtalon_24_36_moisSelle=BONNE,VLOOKUP("Orge",AlimentsRationEcurieChevauxMâlesSelle,3,FALSE),0)+(IF(QualitéAlimentsJeuneJument_24_36_moisSelle=BONNE,VLOOKUP("Orge",AlimentsRationEcurieChevauxFemellesSelle,3,FALSE),0)+(IF(QualitéAlimentsEtalonSelle=BONNE,VLOOKUP("Orge",AlimentsRationEcurieChevauxMâlesSelle,2,FALSE),0)+(IF(QualitéAlimentsJumentSelle=BONNE,VLOOKUP("Orge",AlimentsRationEcurieChevauxFemellesSelle,2,FALSE),0))))))))))</f>
        <v>0</v>
      </c>
      <c r="EW223" s="458">
        <f t="array" ref="EW223">SUM((IF(QualitéAlimentsPoulainSelleMâle=MOYENNE,VLOOKUP("Orge",AlimentsRationEcurieChevauxMâlesSelle,5,FALSE),0)+(IF(QualitéAlimentsPoulainSelleFemelle=MOYENNE,VLOOKUP("Orge",AlimentsRationEcurieChevauxFemellesSelle,5,FALSE),0)+(IF(QualitéAlimentsJeuneEtalon_12_24_moisSelle=MOYENNE,VLOOKUP("Orge",AlimentsRationEcurieChevauxMâlesSelle,4,FALSE),0)+(IF(QualitéAlimentsJeuneJument_12_24_moisSelle=MOYENNE,VLOOKUP("Orge",AlimentsRationEcurieChevauxFemellesSelle,4,FALSE),0)+(IF(QualitéAlimentsJeuneEtalon_24_36_moisSelle=MOYENNE,VLOOKUP("Orge",AlimentsRationEcurieChevauxMâlesSelle,3,FALSE),0)+(IF(QualitéAlimentsJeuneJument_24_36_moisSelle=MOYENNE,VLOOKUP("Orge",AlimentsRationEcurieChevauxFemellesSelle,3,FALSE),0)+(IF(QualitéAlimentsEtalonSelle=MOYENNE,VLOOKUP("Orge",AlimentsRationEcurieChevauxMâlesSelle,2,FALSE),0)+(IF(QualitéAlimentsJumentSelle=MOYENNE,VLOOKUP("Orge",AlimentsRationEcurieChevauxFemellesSelle,2,FALSE),0))))))))))</f>
        <v>0</v>
      </c>
      <c r="EX223" s="458">
        <f t="array" ref="EX223">SUM((IF(QualitéAlimentsPoulainSelleMâle=MAUVAISE,VLOOKUP("Orge",AlimentsRationEcurieChevauxMâlesSelle,5,FALSE),0)+(IF(QualitéAlimentsPoulainSelleFemelle=MAUVAISE,VLOOKUP("Orge",AlimentsRationEcurieChevauxFemellesSelle,5,FALSE),0)+(IF(QualitéAlimentsJeuneEtalon_12_24_moisSelle=MAUVAISE,VLOOKUP("Orge",AlimentsRationEcurieChevauxMâlesSelle,4,FALSE),0)+(IF(QualitéAlimentsJeuneJument_12_24_moisSelle=MAUVAISE,VLOOKUP("Orge",AlimentsRationEcurieChevauxFemellesSelle,4,FALSE),0)+(IF(QualitéAlimentsJeuneEtalon_24_36_moisSelle=MAUVAISE,VLOOKUP("Orge",AlimentsRationEcurieChevauxMâlesSelle,3,FALSE),0)+(IF(QualitéAlimentsJeuneJument_24_36_moisSelle=MAUVAISE,VLOOKUP("Orge",AlimentsRationEcurieChevauxFemellesSelle,3,FALSE),0)+(IF(QualitéAlimentsEtalonSelle=MAUVAISE,VLOOKUP("Orge",AlimentsRationEcurieChevauxMâlesSelle,2,FALSE),0)+(IF(QualitéAlimentsJumentSelle=MAUVAISE,VLOOKUP("Orge",AlimentsRationEcurieChevauxFemellesSelle,2,FALSE),0))))))))))</f>
        <v>0</v>
      </c>
      <c r="FD223" s="457" t="str">
        <f t="shared" si="65"/>
        <v>Ration complète</v>
      </c>
      <c r="FE223" s="458">
        <f t="array" ref="FE223">SUM((IF(QualitéAlimentsPoulainMâleTrait=BONNE,VLOOKUP("Ration complète",AlimentsRationEcurieChevauxMâlesTrait,5,FALSE),0)+(IF(QualitéAlimentsPoulainFemelleTrait=BONNE,VLOOKUP("Ration complète",AlimentsRationEcurieChevauxFemellesTrait,5,FALSE),0)+(IF(QualitéAlimentsJeuneEtalon_12_24_moisTrait=BONNE,VLOOKUP("Ration complète",AlimentsRationEcurieChevauxMâlesTrait,4,FALSE),0)+(IF(QualitéAlimentsJeuneJument_12_24_moisTrait=BONNE,VLOOKUP("Ration complète",AlimentsRationEcurieChevauxFemellesTrait,4,FALSE),0)+(IF(QualitéAlimentsJeuneEtalon_24_36_moisTrait=BONNE,VLOOKUP("Ration complète",AlimentsRationEcurieChevauxMâlesTrait,3,FALSE),0)+(IF(QualitéAlimentsJeuneJument_24_36_moisTrait=BONNE,VLOOKUP("Ration complète",AlimentsRationEcurieChevauxFemellesTrait,3,FALSE),0)+(IF(QualitéAlimentsEtalonTrait=BONNE,VLOOKUP("Ration complète",AlimentsRationEcurieChevauxMâlesTrait,2,FALSE),0)+(IF(QualitéAlimentsJumentTrait=BONNE,VLOOKUP("Ration complète",AlimentsRationEcurieChevauxFemellesTrait,2,FALSE),0))))))))))</f>
        <v>0</v>
      </c>
      <c r="FF223" s="458">
        <f t="array" ref="FF223">SUM((IF(QualitéAlimentsPoulainMâleTrait=MOYENNE,VLOOKUP("Ration complète",AlimentsRationEcurieChevauxMâlesTrait,5,FALSE),0)+(IF(QualitéAlimentsPoulainFemelleTrait=MOYENNE,VLOOKUP("Ration complète",AlimentsRationEcurieChevauxFemellesTrait,5,FALSE),0)+(IF(QualitéAlimentsJeuneEtalon_12_24_moisTrait=MOYENNE,VLOOKUP("Ration complète",AlimentsRationEcurieChevauxMâlesTrait,4,FALSE),0)+(IF(QualitéAlimentsJeuneJument_12_24_moisTrait=MOYENNE,VLOOKUP("Ration complète",AlimentsRationEcurieChevauxFemellesTrait,4,FALSE),0)+(IF(QualitéAlimentsJeuneEtalon_24_36_moisTrait=MOYENNE,VLOOKUP("Ration complète",AlimentsRationEcurieChevauxMâlesTrait,3,FALSE),0)+(IF(QualitéAlimentsJeuneJument_24_36_moisTrait=MOYENNE,VLOOKUP("Ration complète",AlimentsRationEcurieChevauxFemellesTrait,3,FALSE),0)+(IF(QualitéAlimentsEtalonTrait=MOYENNE,VLOOKUP("Ration complète",AlimentsRationEcurieChevauxMâlesTrait,2,FALSE),0)+(IF(QualitéAlimentsJumentTrait=MOYENNE,VLOOKUP("Ration complète",AlimentsRationEcurieChevauxFemellesTrait,2,FALSE),0))))))))))</f>
        <v>0</v>
      </c>
      <c r="FG223" s="458">
        <f t="array" ref="FG223">SUM((IF(QualitéAlimentsPoulainMâleTrait=MAUVAISE,VLOOKUP("Ration complète",AlimentsRationEcurieChevauxMâlesTrait,5,FALSE),0)+(IF(QualitéAlimentsPoulainFemelleTrait=MAUVAISE,VLOOKUP("Ration complète",AlimentsRationEcurieChevauxFemellesTrait,5,FALSE),0)+(IF(QualitéAlimentsJeuneEtalon_12_24_moisTrait=MAUVAISE,VLOOKUP("Ration complète",AlimentsRationEcurieChevauxMâlesTrait,4,FALSE),0)+(IF(QualitéAlimentsJeuneJument_12_24_moisTrait=MAUVAISE,VLOOKUP("Ration complète",AlimentsRationEcurieChevauxFemellesTrait,4,FALSE),0)+(IF(QualitéAlimentsJeuneEtalon_24_36_moisTrait=MAUVAISE,VLOOKUP("Ration complète",AlimentsRationEcurieChevauxMâlesTrait,3,FALSE),0)+(IF(QualitéAlimentsJeuneJument_24_36_moisTrait=MAUVAISE,VLOOKUP("Ration complète",AlimentsRationEcurieChevauxFemellesTrait,3,FALSE),0)+(IF(QualitéAlimentsEtalonTrait=MAUVAISE,VLOOKUP("Ration complète",AlimentsRationEcurieChevauxMâlesTrait,2,FALSE),0)+(IF(QualitéAlimentsJumentTrait=MAUVAISE,VLOOKUP("Ration complète",AlimentsRationEcurieChevauxFemellesTrait,2,FALSE),0))))))))))</f>
        <v>0</v>
      </c>
      <c r="FI223" s="276"/>
      <c r="FN223" s="457" t="str">
        <f t="shared" si="64"/>
        <v>Seigle</v>
      </c>
      <c r="FO223" s="458">
        <f t="array" ref="FO223">SUM((IF(QualitéAlimentsPoulainMâlePoney=BONNE,VLOOKUP("Seigle",AlimentsRationChevauxMâlesPoney,5,FALSE),0)+(IF(QualitéAlimentsPoulainFemellePoney=BONNE,VLOOKUP("Seigle",AlimentsRationChevauxFemellesPoney,5,FALSE),0)+(IF(QualitéAlimentsJeuneEtalon_12_24_moisPoney=BONNE,VLOOKUP("Seigle",AlimentsRationChevauxMâlesPoney,4,FALSE),0)+(IF(QualitéAlimentsJeuneJument_12_24_moisPoney=BONNE,VLOOKUP("Seigle",AlimentsRationChevauxFemellesPoney,4,FALSE),0)+(IF(QualitéAlimentsJeuneEtalon_24_36_moisPoney=BONNE,VLOOKUP("Seigle",AlimentsRationChevauxMâlesPoney,3,FALSE),0)+(IF(QualitéAlimentsJeuneJument_24_36_moisPoney=BONNE,VLOOKUP("Seigle",AlimentsRationChevauxFemellesPoney,3,FALSE),0)+(IF(QualitéAlimentsEtalonPoney=BONNE,VLOOKUP("Seigle",AlimentsRationChevauxMâlesPoney,2,FALSE),0)+(IF(QualitéAlimentsJumentPoney=BONNE,VLOOKUP("Seigle",AlimentsRationChevauxFemellesPoney,2,FALSE),0))))))))))</f>
        <v>0</v>
      </c>
      <c r="FP223" s="458">
        <f t="array" ref="FP223">SUM((IF(QualitéAlimentsPoulainMâlePoney=MOYENNE,VLOOKUP("Seigle",AlimentsRationChevauxMâlesPoney,5,FALSE),0)+(IF(QualitéAlimentsPoulainFemellePoney=MOYENNE,VLOOKUP("Seigle",AlimentsRationChevauxFemellesPoney,5,FALSE),0)+(IF(QualitéAlimentsJeuneEtalon_12_24_moisPoney=MOYENNE,VLOOKUP("Seigle",AlimentsRationChevauxMâlesPoney,4,FALSE),0)+(IF(QualitéAlimentsJeuneJument_12_24_moisPoney=MOYENNE,VLOOKUP("Seigle",AlimentsRationChevauxFemellesPoney,4,FALSE),0)+(IF(QualitéAlimentsJeuneEtalon_24_36_moisPoney=MOYENNE,VLOOKUP("Seigle",AlimentsRationChevauxMâlesPoney,3,FALSE),0)+(IF(QualitéAlimentsJeuneJument_24_36_moisPoney=MOYENNE,VLOOKUP("Seigle",AlimentsRationChevauxFemellesPoney,3,FALSE),0)+(IF(QualitéAlimentsEtalonPoney=MOYENNE,VLOOKUP("Seigle",AlimentsRationChevauxMâlesPoney,2,FALSE),0)+(IF(QualitéAlimentsJumentPoney=MOYENNE,VLOOKUP("Seigle",AlimentsRationChevauxFemellesPoney,2,FALSE),0))))))))))</f>
        <v>0</v>
      </c>
      <c r="FQ223" s="458">
        <f t="array" ref="FQ223">SUM((IF(QualitéAlimentsPoulainMâlePoney=MAUVAISE,VLOOKUP("Seigle",AlimentsRationChevauxMâlesPoney,5,FALSE),0)+(IF(QualitéAlimentsPoulainFemellePoney=MAUVAISE,VLOOKUP("Seigle",AlimentsRationChevauxFemellesPoney,5,FALSE),0)+(IF(QualitéAlimentsJeuneEtalon_12_24_moisPoney=MAUVAISE,VLOOKUP("Seigle",AlimentsRationChevauxMâlesPoney,4,FALSE),0)+(IF(QualitéAlimentsJeuneJument_12_24_moisPoney=MAUVAISE,VLOOKUP("Seigle",AlimentsRationChevauxFemellesPoney,4,FALSE),0)+(IF(QualitéAlimentsJeuneEtalon_24_36_moisPoney=MAUVAISE,VLOOKUP("Seigle",AlimentsRationChevauxMâlesPoney,3,FALSE),0)+(IF(QualitéAlimentsJeuneJument_24_36_moisPoney=MAUVAISE,VLOOKUP("Seigle",AlimentsRationChevauxFemellesPoney,3,FALSE),0)+(IF(QualitéAlimentsEtalonPoney=MAUVAISE,VLOOKUP("Seigle",AlimentsRationChevauxMâlesPoney,2,FALSE),0)+(IF(QualitéAlimentsJumentPoney=MAUVAISE,VLOOKUP("Seigle",AlimentsRationChevauxFemellesPoney,2,FALSE),0))))))))))</f>
        <v>0</v>
      </c>
      <c r="FR223" s="281"/>
      <c r="GG223" s="276" t="s">
        <v>955</v>
      </c>
      <c r="GH223" s="276" t="s">
        <v>955</v>
      </c>
      <c r="GI223" s="276" t="s">
        <v>955</v>
      </c>
      <c r="GJ223" s="276" t="s">
        <v>955</v>
      </c>
      <c r="GK223" s="276" t="s">
        <v>955</v>
      </c>
      <c r="GL223" s="276" t="s">
        <v>955</v>
      </c>
      <c r="GM223" s="276" t="s">
        <v>955</v>
      </c>
      <c r="GN223" s="276" t="s">
        <v>955</v>
      </c>
      <c r="GO223" s="276" t="s">
        <v>955</v>
      </c>
      <c r="GP223" s="276" t="s">
        <v>955</v>
      </c>
      <c r="GQ223" s="276" t="s">
        <v>955</v>
      </c>
      <c r="GR223" s="276" t="s">
        <v>955</v>
      </c>
      <c r="GS223" s="276" t="s">
        <v>955</v>
      </c>
      <c r="GT223" s="276" t="s">
        <v>955</v>
      </c>
      <c r="GU223" s="276" t="s">
        <v>955</v>
      </c>
      <c r="GV223" s="276" t="s">
        <v>955</v>
      </c>
    </row>
    <row r="224" spans="1:204" ht="12.75" customHeight="1" x14ac:dyDescent="0.2">
      <c r="A224" s="276"/>
      <c r="B224" s="276"/>
      <c r="BB224" s="350" t="s">
        <v>907</v>
      </c>
      <c r="BC224" s="351">
        <f t="array" ref="BC224">IF(Ration_complète_bovins[somme]&gt;0,0,IFERROR(IF(OR(AND(INDEX(Règles_bovins[Specificite],MATCH(ChoixRationBovins&amp;$BB224,Règles_bovins[Ration]&amp;Règles_bovins[Aliment],0))="s1",IF($BB224=Spécificité1Bovins,1)),
AND(INDEX(Règles_bovins[Specificite],MATCH(ChoixRationBovins&amp;$BB224,Règles_bovins[Ration]&amp;Règles_bovins[Aliment],0))="s2",IF($BB224=Spécificité2Bovins,1)),
INDEX(Règles_bovins[Specificite],MATCH(ChoixRationBovins&amp;$BB224,Règles_bovins[Ration]&amp;Règles_bovins[Aliment],0))="c"),
INDEX(Règles_bovins[Valeur 36 et plus],MATCH(ChoixRationBovins&amp;$BB224,Règles_bovins[Ration]&amp;Règles_bovins[Aliment],0)),0),0)*IF(ChoixBovinsPréHiver=OUI,TotalTaureauxRacesLaitières,TotalTaureaux*NbreJoursNourrirBovins))</f>
        <v>0</v>
      </c>
      <c r="BD224" s="351">
        <f t="array" ref="BD224">IF(Ration_complète_bovins[somme]&gt;0,0,IFERROR(IF(OR(AND(INDEX(Règles_bovins[Specificite],MATCH(ChoixRationBovins&amp;$BB224,Règles_bovins[Ration]&amp;Règles_bovins[Aliment],0))="s1",IF($BB224=Spécificité1Bovins,1)),
AND(INDEX(Règles_bovins[Specificite],MATCH(ChoixRationBovins&amp;$BB224,Règles_bovins[Ration]&amp;Règles_bovins[Aliment],0))="s2",IF($BB224=Spécificité2Bovins,1)),
INDEX(Règles_bovins[Specificite],MATCH(ChoixRationBovins&amp;$BB224,Règles_bovins[Ration]&amp;Règles_bovins[Aliment],0))="c"),
INDEX(Règles_bovins[Valeur 24-36],MATCH(ChoixRationBovins&amp;$BB224,Règles_bovins[Ration]&amp;Règles_bovins[Aliment],0)),0),0)*IF(ChoixBovinsPréHiver=OUI,TotalTaurillon_24_36_RacesLaitières,TotalBovinsMâles_24_36mois*NbreJoursNourrirBovins))</f>
        <v>0</v>
      </c>
      <c r="BE224" s="351">
        <f t="array" ref="BE224">IF(Ration_complète_bovins[somme]&gt;0,0,IFERROR(IF(OR(AND(INDEX(Règles_bovins[Specificite],MATCH(ChoixRationBovins&amp;$BB224,Règles_bovins[Ration]&amp;Règles_bovins[Aliment],0))="s1",IF($BB224=Spécificité1Bovins,1)),
AND(INDEX(Règles_bovins[Specificite],MATCH(ChoixRationBovins&amp;$BB224,Règles_bovins[Ration]&amp;Règles_bovins[Aliment],0))="s2",IF($BB224=Spécificité2Bovins,1)),
INDEX(Règles_bovins[Specificite],MATCH(ChoixRationBovins&amp;$BB224,Règles_bovins[Ration]&amp;Règles_bovins[Aliment],0))="c"),
INDEX(Règles_bovins[Valeur 18-24],MATCH(ChoixRationBovins&amp;$BB224,Règles_bovins[Ration]&amp;Règles_bovins[Aliment],0)),0),0)*IF(ChoixBovinsPréHiver=OUI,TotalTaurillon_18_24_RacesLaitières,TotalBovinsMâles_18_24mois*NbreJoursNourrirBovins))</f>
        <v>0</v>
      </c>
      <c r="BF224" s="351">
        <f t="array" ref="BF224">IF(Ration_complète_bovins[somme]&gt;0,0,IFERROR(IF(OR(AND(INDEX(Règles_bovins[Specificite],MATCH(ChoixRationBovins&amp;$BB224,Règles_bovins[Ration]&amp;Règles_bovins[Aliment],0))="s1",IF($BB224=Spécificité1Bovins,1)),
AND(INDEX(Règles_bovins[Specificite],MATCH(ChoixRationBovins&amp;$BB224,Règles_bovins[Ration]&amp;Règles_bovins[Aliment],0))="s2",IF($BB224=Spécificité2Bovins,1)),
INDEX(Règles_bovins[Specificite],MATCH(ChoixRationBovins&amp;$BB224,Règles_bovins[Ration]&amp;Règles_bovins[Aliment],0))="c"),
INDEX(Règles_bovins[Valeur 12-18],MATCH(ChoixRationBovins&amp;$BB224,Règles_bovins[Ration]&amp;Règles_bovins[Aliment],0)),0),0)*IF(ChoixBovinsPréHiver=OUI,animaux!D47,TotalBovinsMâles_12_18mois*NbreJoursNourrirBovins))</f>
        <v>0</v>
      </c>
      <c r="BG224" s="351">
        <f t="array" ref="BG224">IF(Ration_complète_bovins[somme]&gt;0,0,IFERROR(IF(OR(AND(INDEX(Règles_bovins[Specificite],MATCH(ChoixRationBovins&amp;$BB224,Règles_bovins[Ration]&amp;Règles_bovins[Aliment],0))="s1",IF($BB224=Spécificité1Bovins,1)),
AND(INDEX(Règles_bovins[Specificite],MATCH(ChoixRationBovins&amp;$BB224,Règles_bovins[Ration]&amp;Règles_bovins[Aliment],0))="s2",IF($BB224=Spécificité2Bovins,1)),
INDEX(Règles_bovins[Specificite],MATCH(ChoixRationBovins&amp;$BB224,Règles_bovins[Ration]&amp;Règles_bovins[Aliment],0))="c"),
INDEX(Règles_bovins[Valeur 6-12],MATCH(ChoixRationBovins&amp;$BB224,Règles_bovins[Ration]&amp;Règles_bovins[Aliment],0)),0),0)*IF(ChoixBovinsPréHiver=OUI,TotalVeauMâle_6_12_RacesLaitières,TotalBovinsMâles_6_12mois*NbreJoursNourrirBovins))</f>
        <v>0</v>
      </c>
      <c r="BH224" s="351">
        <f t="array" ref="BH224">IF(Ration_complète_bovins[somme]&gt;0,0,IFERROR(IF(OR(AND(INDEX(Règles_bovins[Specificite],MATCH(ChoixRationBovins&amp;$BB224,Règles_bovins[Ration]&amp;Règles_bovins[Aliment],0))="s1",IF($BB224=Spécificité1Bovins,1)),
AND(INDEX(Règles_bovins[Specificite],MATCH(ChoixRationBovins&amp;$BB224,Règles_bovins[Ration]&amp;Règles_bovins[Aliment],0))="s2",IF($BB224=Spécificité2Bovins,1)),
INDEX(Règles_bovins[Specificite],MATCH(ChoixRationBovins&amp;$BB224,Règles_bovins[Ration]&amp;Règles_bovins[Aliment],0))="c"),
INDEX(Règles_bovins[Valeur 3-6],MATCH(ChoixRationBovins&amp;$BB224,Règles_bovins[Ration]&amp;Règles_bovins[Aliment],0)),0),0)*IF(ChoixBovinsPréHiver=OUI,TotalVeauMâle_3_6_RacesLaitières,TotalBovinsMâles_3_6mois*NbreJoursNourrirBovins))</f>
        <v>0</v>
      </c>
      <c r="BI224" s="351">
        <f t="array" ref="BI224">IF(Ration_complète_bovins[somme]&gt;0,0,IFERROR(IF(OR(AND(INDEX(Règles_bovins[Specificite],MATCH(ChoixRationBovins&amp;$BB224,Règles_bovins[Ration]&amp;Règles_bovins[Aliment],0))="s1",IF($BB224=Spécificité1Bovins,1)),
AND(INDEX(Règles_bovins[Specificite],MATCH(ChoixRationBovins&amp;$BB224,Règles_bovins[Ration]&amp;Règles_bovins[Aliment],0))="s2",IF($BB224=Spécificité2Bovins,1)),
INDEX(Règles_bovins[Specificite],MATCH(ChoixRationBovins&amp;$BB224,Règles_bovins[Ration]&amp;Règles_bovins[Aliment],0))="c"),
INDEX(Règles_bovins[Valeur 0-3],MATCH(ChoixRationBovins&amp;$BB224,Règles_bovins[Ration]&amp;Règles_bovins[Aliment],0)),0),0)*IF(ChoixBovinsPréHiver=OUI,TotalVeauMâle_0_3_RacesLaitières,TotalBovinsMâles_0_3mois*NbreJoursNourrirBovins))</f>
        <v>0</v>
      </c>
      <c r="BJ224" s="352">
        <f t="shared" si="62"/>
        <v>0</v>
      </c>
      <c r="BK224" s="276"/>
      <c r="BX224" s="350" t="str">
        <f t="shared" si="63"/>
        <v>Sorgho ensilé</v>
      </c>
      <c r="BY224" s="351">
        <f t="array" ref="BY224">SUM((IF(QualitéAlimentsChevreau_0_3_mois=BONNE,VLOOKUP("Sorgho ensilé",AlimentsRationCaprinsMâles,5,FALSE),0)+(IF(QualitéAlimentsChevrette_0_3_mois=BONNE,VLOOKUP("Sorgho ensilé",AlimentsRationCaprinsFemelles,5,FALSE),0)+(IF(QualitéAlimentsChevreau_3_6_mois=BONNE,VLOOKUP("Sorgho ensilé",AlimentsRationCaprinsMâles,4,FALSE),0)+(IF(QualitéAlimentsChevrette_3_6_mois=BONNE,VLOOKUP("Sorgho ensilé",AlimentsRationCaprinsFemelles,4,FALSE),0)+(IF(QualitéAlimentsJeuneBouc=BONNE,VLOOKUP("Sorgho ensilé",AlimentsRationCaprinsMâles,3,FALSE),0)+(IF(QualitéAlimentsJeuneChèvre=BONNE,VLOOKUP("Sorgho ensilé",AlimentsRationCaprinsFemelles,3,FALSE),0)+(IF(QualitéAlimentsBouc=BONNE,VLOOKUP("Sorgho ensilé",AlimentsRationCaprinsMâles,2,FALSE),0)+(IF(QualitéAlimentsChèvre=BONNE,VLOOKUP("Sorgho ensilé",AlimentsRationCaprinsFemelles,2,FALSE),0))))))))))</f>
        <v>0</v>
      </c>
      <c r="BZ224" s="351">
        <f t="array" ref="BZ224">SUM((IF(QualitéAlimentsChevreau_0_3_mois=MOYENNE,VLOOKUP("Sorgho ensilé",AlimentsRationCaprinsMâles,5,FALSE),0)+(IF(QualitéAlimentsChevrette_0_3_mois=MOYENNE,VLOOKUP("Sorgho ensilé",AlimentsRationCaprinsFemelles,5,FALSE),0)+(IF(QualitéAlimentsChevreau_3_6_mois=MOYENNE,VLOOKUP("Sorgho ensilé",AlimentsRationCaprinsMâles,4,FALSE),0)+(IF(QualitéAlimentsChevrette_3_6_mois=MOYENNE,VLOOKUP("Sorgho ensilé",AlimentsRationCaprinsFemelles,4,FALSE),0)+(IF(QualitéAlimentsJeuneBouc=MOYENNE,VLOOKUP("Sorgho ensilé",AlimentsRationCaprinsMâles,3,FALSE),0)+(IF(QualitéAlimentsJeuneChèvre=MOYENNE,VLOOKUP("Sorgho ensilé",AlimentsRationCaprinsFemelles,3,FALSE),0)+(IF(QualitéAlimentsBouc=MOYENNE,VLOOKUP("Sorgho ensilé",AlimentsRationCaprinsMâles,2,FALSE),0)+(IF(QualitéAlimentsChèvre=MOYENNE,VLOOKUP("Sorgho ensilé",AlimentsRationCaprinsFemelles,2,FALSE),0))))))))))</f>
        <v>0</v>
      </c>
      <c r="CA224" s="351">
        <f t="array" ref="CA224">SUM((IF(QualitéAlimentsChevreau_0_3_mois=MAUVAISE,VLOOKUP("Sorgho ensilé",AlimentsRationCaprinsMâles,5,FALSE),0)+(IF(QualitéAlimentsChevrette_0_3_mois=MAUVAISE,VLOOKUP("Sorgho ensilé",AlimentsRationCaprinsFemelles,5,FALSE),0)+(IF(QualitéAlimentsChevreau_3_6_mois=MAUVAISE,VLOOKUP("Sorgho ensilé",AlimentsRationCaprinsMâles,4,FALSE),0)+(IF(QualitéAlimentsChevrette_3_6_mois=MAUVAISE,VLOOKUP("Sorgho ensilé",AlimentsRationCaprinsFemelles,4,FALSE),0)+(IF(QualitéAlimentsJeuneBouc=MAUVAISE,VLOOKUP("Sorgho ensilé",AlimentsRationCaprinsMâles,3,FALSE),0)+(IF(QualitéAlimentsJeuneChèvre=MAUVAISE,VLOOKUP("Sorgho ensilé",AlimentsRationCaprinsFemelles,3,FALSE),0)+(IF(QualitéAlimentsBouc=MAUVAISE,VLOOKUP("Sorgho ensilé",AlimentsRationCaprinsMâles,2,FALSE),0)+(IF(QualitéAlimentsChèvre=MAUVAISE,VLOOKUP("Sorgho ensilé",AlimentsRationCaprinsFemelles,2,FALSE),0))))))))))</f>
        <v>0</v>
      </c>
      <c r="CB224" s="277"/>
      <c r="CC224" s="277"/>
      <c r="CD224" s="298"/>
      <c r="CE224" s="298"/>
      <c r="CF224" s="298"/>
      <c r="CG224" s="298"/>
      <c r="CH224" s="298"/>
      <c r="CI224" s="277"/>
      <c r="CK224" s="277"/>
      <c r="CL224" s="277"/>
      <c r="CM224" s="277"/>
      <c r="CN224" s="277"/>
      <c r="CO224" s="277"/>
      <c r="CP224" s="277"/>
      <c r="DN224" s="350" t="str">
        <f t="shared" si="61"/>
        <v>Triticale</v>
      </c>
      <c r="DO224" s="351">
        <f t="array" ref="DO224">IF(ChoixRationComplèteOvins=OUI,0,IFERROR(IF(OR(AND(INDEX(Règles_ovins[Specificite],MATCH(ChoixRationOvins&amp;$DN224,Règles_ovins[Ration]&amp;Règles_ovins[Aliment],0))="s1",IF($DN224=Spécificité1Ovins,1)),
AND(INDEX(Règles_ovins[Specificite],MATCH(ChoixRationOvins&amp;$DN224,Règles_ovins[Ration]&amp;Règles_ovins[Aliment],0))="s2",IF($DN224=Spécificité2Ovins,1)),
INDEX(Règles_ovins[Specificite],MATCH(ChoixRationOvins&amp;$DN224,Règles_ovins[Ration]&amp;Règles_ovins[Aliment],0))="c"),
INDEX(Règles_ovins[Valeur 12 et plus],MATCH(ChoixRationOvins&amp;$DN224,Règles_ovins[Ration]&amp;Règles_ovins[Aliment],0)),0),0)*IF(ChoixOvinsPréHiver=OUI,SUM(TotalOvinsAdultesRacesLaitières)*NbreJoursNourrirOvins,TotalBrebis*NbreJoursNourrirOvins))</f>
        <v>0</v>
      </c>
      <c r="DP224" s="351">
        <f t="array" ref="DP224">IF(ChoixRationComplèteOvins=OUI,0,IFERROR(IF(OR(AND(INDEX(Règles_ovins[Specificite],MATCH(ChoixRationOvins&amp;$DN224,Règles_ovins[Ration]&amp;Règles_ovins[Aliment],0))="s1",IF($DN224=Spécificité1Ovins,1)),
AND(INDEX(Règles_ovins[Specificite],MATCH(ChoixRationOvins&amp;$DN224,Règles_ovins[Ration]&amp;Règles_ovins[Aliment],0))="s2",IF($DN224=Spécificité2Ovins,1)),
INDEX(Règles_ovins[Specificite],MATCH(ChoixRationOvins&amp;$DN224,Règles_ovins[Ration]&amp;Règles_ovins[Aliment],0))="c"),
INDEX(Règles_ovins[Valeur 6-12],MATCH(ChoixRationOvins&amp;$DN224,Règles_ovins[Ration]&amp;Règles_ovins[Aliment],0)),0),0)*IF(ChoixOvinsPréHiver=OUI,SUM(TotalJeunesOvinsRacesLaitières)*NbreJoursNourrirOvins,TotalJeune_brebis_6_12_mois*NbreJoursNourrirOvins))</f>
        <v>0</v>
      </c>
      <c r="DQ224" s="351">
        <f t="array" ref="DQ224">IF(ChoixRationComplèteOvins=OUI,0,IFERROR(IF(OR(AND(INDEX(Règles_ovins[Specificite],MATCH(ChoixRationOvins&amp;$DN224,Règles_ovins[Ration]&amp;Règles_ovins[Aliment],0))="s1",IF($DN224=Spécificité1Ovins,1)),
AND(INDEX(Règles_ovins[Specificite],MATCH(ChoixRationOvins&amp;$DN224,Règles_ovins[Ration]&amp;Règles_ovins[Aliment],0))="s2",IF($DN224=Spécificité2Ovins,1)),
INDEX(Règles_ovins[Specificite],MATCH(ChoixRationOvins&amp;$DN224,Règles_ovins[Ration]&amp;Règles_ovins[Aliment],0))="c"),
INDEX(Règles_ovins[Valeur 3-6],MATCH(ChoixRationOvins&amp;$DN224,Règles_ovins[Ration]&amp;Règles_ovins[Aliment],0)),0),0)*IF(ChoixOvinsPréHiver=OUI,SUM(TotalOvins_3_6moisRacesLaitières)*NbreJoursNourrirOvins,TotalAgnelle_3_6_mois*NbreJoursNourrirOvins))</f>
        <v>0</v>
      </c>
      <c r="DR224" s="351">
        <f t="array" ref="DR224">IF(ChoixRationComplèteOvins=OUI,0,IFERROR(IF(OR(AND(INDEX(Règles_ovins[Specificite],MATCH(ChoixRationOvins&amp;$DN224,Règles_ovins[Ration]&amp;Règles_ovins[Aliment],0))="s1",IF($DN224=Spécificité1Ovins,1)),
AND(INDEX(Règles_ovins[Specificite],MATCH(ChoixRationOvins&amp;$DN224,Règles_ovins[Ration]&amp;Règles_ovins[Aliment],0))="s2",IF($DN224=Spécificité2Ovins,1)),
INDEX(Règles_ovins[Specificite],MATCH(ChoixRationOvins&amp;$DN224,Règles_ovins[Ration]&amp;Règles_ovins[Aliment],0))="c"),
INDEX(Règles_ovins[Valeur 0-3],MATCH(ChoixRationOvins&amp;$DN224,Règles_ovins[Ration]&amp;Règles_ovins[Aliment],0)),0),0)*IF(ChoixOvinsPréHiver=OUI,SUM(TotalOvins_3_6moisRacesLaitières)*NbreJoursNourrirOvins,TotalAgnelle_0_3_mois*NbreJoursNourrirOvins))</f>
        <v>0</v>
      </c>
      <c r="DS224" s="441">
        <f t="shared" si="60"/>
        <v>0</v>
      </c>
      <c r="EU224" s="457" t="str">
        <f t="shared" si="66"/>
        <v>Paille</v>
      </c>
      <c r="EV224" s="458">
        <f t="array" ref="EV224">SUM((IF(QualitéAlimentsPoulainSelleMâle=BONNE,VLOOKUP("Paille",AlimentsRationEcurieChevauxMâlesSelle,5,FALSE),0)+(IF(QualitéAlimentsPoulainSelleFemelle=BONNE,VLOOKUP("Paille",AlimentsRationEcurieChevauxFemellesSelle,5,FALSE),0)+(IF(QualitéAlimentsJeuneEtalon_12_24_moisSelle=BONNE,VLOOKUP("Paille",AlimentsRationEcurieChevauxMâlesSelle,4,FALSE),0)+(IF(QualitéAlimentsJeuneJument_12_24_moisSelle=BONNE,VLOOKUP("Paille",AlimentsRationEcurieChevauxFemellesSelle,4,FALSE),0)+(IF(QualitéAlimentsJeuneEtalon_24_36_moisSelle=BONNE,VLOOKUP("Paille",AlimentsRationEcurieChevauxMâlesSelle,3,FALSE),0)+(IF(QualitéAlimentsJeuneJument_24_36_moisSelle=BONNE,VLOOKUP("Paille",AlimentsRationEcurieChevauxFemellesSelle,3,FALSE),0)+(IF(QualitéAlimentsEtalonSelle=BONNE,VLOOKUP("Paille",AlimentsRationEcurieChevauxMâlesSelle,2,FALSE),0)+(IF(QualitéAlimentsJumentSelle=BONNE,VLOOKUP("Paille",AlimentsRationEcurieChevauxFemellesSelle,2,FALSE),0))))))))))</f>
        <v>0</v>
      </c>
      <c r="EW224" s="458">
        <f t="array" ref="EW224">SUM((IF(QualitéAlimentsPoulainSelleMâle=MOYENNE,VLOOKUP("Paille",AlimentsRationEcurieChevauxMâlesSelle,5,FALSE),0)+(IF(QualitéAlimentsPoulainSelleFemelle=MOYENNE,VLOOKUP("Paille",AlimentsRationEcurieChevauxFemellesSelle,5,FALSE),0)+(IF(QualitéAlimentsJeuneEtalon_12_24_moisSelle=MOYENNE,VLOOKUP("Paille",AlimentsRationEcurieChevauxMâlesSelle,4,FALSE),0)+(IF(QualitéAlimentsJeuneJument_12_24_moisSelle=MOYENNE,VLOOKUP("Paille",AlimentsRationEcurieChevauxFemellesSelle,4,FALSE),0)+(IF(QualitéAlimentsJeuneEtalon_24_36_moisSelle=MOYENNE,VLOOKUP("Paille",AlimentsRationEcurieChevauxMâlesSelle,3,FALSE),0)+(IF(QualitéAlimentsJeuneJument_24_36_moisSelle=MOYENNE,VLOOKUP("Paille",AlimentsRationEcurieChevauxFemellesSelle,3,FALSE),0)+(IF(QualitéAlimentsEtalonSelle=MOYENNE,VLOOKUP("Paille",AlimentsRationEcurieChevauxMâlesSelle,2,FALSE),0)+(IF(QualitéAlimentsJumentSelle=MOYENNE,VLOOKUP("Paille",AlimentsRationEcurieChevauxFemellesSelle,2,FALSE),0))))))))))</f>
        <v>0</v>
      </c>
      <c r="EX224" s="458">
        <f t="array" ref="EX224">SUM((IF(QualitéAlimentsPoulainSelleMâle=MAUVAISE,VLOOKUP("Paille",AlimentsRationEcurieChevauxMâlesSelle,5,FALSE),0)+(IF(QualitéAlimentsPoulainSelleFemelle=MAUVAISE,VLOOKUP("Paille",AlimentsRationEcurieChevauxFemellesSelle,5,FALSE),0)+(IF(QualitéAlimentsJeuneEtalon_12_24_moisSelle=MAUVAISE,VLOOKUP("Paille",AlimentsRationEcurieChevauxMâlesSelle,4,FALSE),0)+(IF(QualitéAlimentsJeuneJument_12_24_moisSelle=MAUVAISE,VLOOKUP("Paille",AlimentsRationEcurieChevauxFemellesSelle,4,FALSE),0)+(IF(QualitéAlimentsJeuneEtalon_24_36_moisSelle=MAUVAISE,VLOOKUP("Paille",AlimentsRationEcurieChevauxMâlesSelle,3,FALSE),0)+(IF(QualitéAlimentsJeuneJument_24_36_moisSelle=MAUVAISE,VLOOKUP("Paille",AlimentsRationEcurieChevauxFemellesSelle,3,FALSE),0)+(IF(QualitéAlimentsEtalonSelle=MAUVAISE,VLOOKUP("Paille",AlimentsRationEcurieChevauxMâlesSelle,2,FALSE),0)+(IF(QualitéAlimentsJumentSelle=MAUVAISE,VLOOKUP("Paille",AlimentsRationEcurieChevauxFemellesSelle,2,FALSE),0)+SUM(LitièreChevauxSelles[[#Totals],[hiver dedans]:[hiver dehors]]))))))))))</f>
        <v>0</v>
      </c>
      <c r="FD224" s="457" t="str">
        <f t="shared" si="65"/>
        <v>Seigle</v>
      </c>
      <c r="FE224" s="458">
        <f t="array" ref="FE224">SUM((IF(QualitéAlimentsPoulainMâleTrait=BONNE,VLOOKUP("Seigle",AlimentsRationEcurieChevauxMâlesTrait,5,FALSE),0)+(IF(QualitéAlimentsPoulainFemelleTrait=BONNE,VLOOKUP("Seigle",AlimentsRationEcurieChevauxFemellesTrait,5,FALSE),0)+(IF(QualitéAlimentsJeuneEtalon_12_24_moisTrait=BONNE,VLOOKUP("Seigle",AlimentsRationEcurieChevauxMâlesTrait,4,FALSE),0)+(IF(QualitéAlimentsJeuneJument_12_24_moisTrait=BONNE,VLOOKUP("Seigle",AlimentsRationEcurieChevauxFemellesTrait,4,FALSE),0)+(IF(QualitéAlimentsJeuneEtalon_24_36_moisTrait=BONNE,VLOOKUP("Seigle",AlimentsRationEcurieChevauxMâlesTrait,3,FALSE),0)+(IF(QualitéAlimentsJeuneJument_24_36_moisTrait=BONNE,VLOOKUP("Seigle",AlimentsRationEcurieChevauxFemellesTrait,3,FALSE),0)+(IF(QualitéAlimentsEtalonTrait=BONNE,VLOOKUP("Seigle",AlimentsRationEcurieChevauxMâlesTrait,2,FALSE),0)+(IF(QualitéAlimentsJumentTrait=BONNE,VLOOKUP("Seigle",AlimentsRationEcurieChevauxFemellesTrait,2,FALSE),0))))))))))</f>
        <v>0</v>
      </c>
      <c r="FF224" s="458">
        <f t="array" ref="FF224">SUM((IF(QualitéAlimentsPoulainMâleTrait=MOYENNE,VLOOKUP("Seigle",AlimentsRationEcurieChevauxMâlesTrait,5,FALSE),0)+(IF(QualitéAlimentsPoulainFemelleTrait=MOYENNE,VLOOKUP("Seigle",AlimentsRationEcurieChevauxFemellesTrait,5,FALSE),0)+(IF(QualitéAlimentsJeuneEtalon_12_24_moisTrait=MOYENNE,VLOOKUP("Seigle",AlimentsRationEcurieChevauxMâlesTrait,4,FALSE),0)+(IF(QualitéAlimentsJeuneJument_12_24_moisTrait=MOYENNE,VLOOKUP("Seigle",AlimentsRationEcurieChevauxFemellesTrait,4,FALSE),0)+(IF(QualitéAlimentsJeuneEtalon_24_36_moisTrait=MOYENNE,VLOOKUP("Seigle",AlimentsRationEcurieChevauxMâlesTrait,3,FALSE),0)+(IF(QualitéAlimentsJeuneJument_24_36_moisTrait=MOYENNE,VLOOKUP("Seigle",AlimentsRationEcurieChevauxFemellesTrait,3,FALSE),0)+(IF(QualitéAlimentsEtalonTrait=MOYENNE,VLOOKUP("Seigle",AlimentsRationEcurieChevauxMâlesTrait,2,FALSE),0)+(IF(QualitéAlimentsJumentTrait=MOYENNE,VLOOKUP("Seigle",AlimentsRationEcurieChevauxFemellesTrait,2,FALSE),0))))))))))</f>
        <v>0</v>
      </c>
      <c r="FG224" s="458">
        <f t="array" ref="FG224">SUM((IF(QualitéAlimentsPoulainMâleTrait=MAUVAISE,VLOOKUP("Seigle",AlimentsRationEcurieChevauxMâlesTrait,5,FALSE),0)+(IF(QualitéAlimentsPoulainFemelleTrait=MAUVAISE,VLOOKUP("Seigle",AlimentsRationEcurieChevauxFemellesTrait,5,FALSE),0)+(IF(QualitéAlimentsJeuneEtalon_12_24_moisTrait=MAUVAISE,VLOOKUP("Seigle",AlimentsRationEcurieChevauxMâlesTrait,4,FALSE),0)+(IF(QualitéAlimentsJeuneJument_12_24_moisTrait=MAUVAISE,VLOOKUP("Seigle",AlimentsRationEcurieChevauxFemellesTrait,4,FALSE),0)+(IF(QualitéAlimentsJeuneEtalon_24_36_moisTrait=MAUVAISE,VLOOKUP("Seigle",AlimentsRationEcurieChevauxMâlesTrait,3,FALSE),0)+(IF(QualitéAlimentsJeuneJument_24_36_moisTrait=MAUVAISE,VLOOKUP("Seigle",AlimentsRationEcurieChevauxFemellesTrait,3,FALSE),0)+(IF(QualitéAlimentsEtalonTrait=MAUVAISE,VLOOKUP("Seigle",AlimentsRationEcurieChevauxMâlesTrait,2,FALSE),0)+(IF(QualitéAlimentsJumentTrait=MAUVAISE,VLOOKUP("Seigle",AlimentsRationEcurieChevauxFemellesTrait,2,FALSE),0))))))))))</f>
        <v>0</v>
      </c>
      <c r="FI224" s="276"/>
      <c r="FN224" s="457" t="str">
        <f t="shared" si="64"/>
        <v>Soja</v>
      </c>
      <c r="FO224" s="458">
        <f t="array" ref="FO224">SUM((IF(QualitéAlimentsPoulainMâlePoney=BONNE,VLOOKUP("Soja",AlimentsRationChevauxMâlesPoney,5,FALSE),0)+(IF(QualitéAlimentsPoulainFemellePoney=BONNE,VLOOKUP("Soja",AlimentsRationChevauxFemellesPoney,5,FALSE),0)+(IF(QualitéAlimentsJeuneEtalon_12_24_moisPoney=BONNE,VLOOKUP("Soja",AlimentsRationChevauxMâlesPoney,4,FALSE),0)+(IF(QualitéAlimentsJeuneJument_12_24_moisPoney=BONNE,VLOOKUP("Soja",AlimentsRationChevauxFemellesPoney,4,FALSE),0)+(IF(QualitéAlimentsJeuneEtalon_24_36_moisPoney=BONNE,VLOOKUP("Soja",AlimentsRationChevauxMâlesPoney,3,FALSE),0)+(IF(QualitéAlimentsJeuneJument_24_36_moisPoney=BONNE,VLOOKUP("Soja",AlimentsRationChevauxFemellesPoney,3,FALSE),0)+(IF(QualitéAlimentsEtalonPoney=BONNE,VLOOKUP("Soja",AlimentsRationChevauxMâlesPoney,2,FALSE),0)+(IF(QualitéAlimentsJumentPoney=BONNE,VLOOKUP("Soja",AlimentsRationChevauxFemellesPoney,2,FALSE),0))))))))))</f>
        <v>0</v>
      </c>
      <c r="FP224" s="458">
        <f t="array" ref="FP224">SUM((IF(QualitéAlimentsPoulainMâlePoney=MOYENNE,VLOOKUP("Soja",AlimentsRationChevauxMâlesPoney,5,FALSE),0)+(IF(QualitéAlimentsPoulainFemellePoney=MOYENNE,VLOOKUP("Soja",AlimentsRationChevauxFemellesPoney,5,FALSE),0)+(IF(QualitéAlimentsJeuneEtalon_12_24_moisPoney=MOYENNE,VLOOKUP("Soja",AlimentsRationChevauxMâlesPoney,4,FALSE),0)+(IF(QualitéAlimentsJeuneJument_12_24_moisPoney=MOYENNE,VLOOKUP("Soja",AlimentsRationChevauxFemellesPoney,4,FALSE),0)+(IF(QualitéAlimentsJeuneEtalon_24_36_moisPoney=MOYENNE,VLOOKUP("Soja",AlimentsRationChevauxMâlesPoney,3,FALSE),0)+(IF(QualitéAlimentsJeuneJument_24_36_moisPoney=MOYENNE,VLOOKUP("Soja",AlimentsRationChevauxFemellesPoney,3,FALSE),0)+(IF(QualitéAlimentsEtalonPoney=MOYENNE,VLOOKUP("Soja",AlimentsRationChevauxMâlesPoney,2,FALSE),0)+(IF(QualitéAlimentsJumentPoney=MOYENNE,VLOOKUP("Soja",AlimentsRationChevauxFemellesPoney,2,FALSE),0))))))))))</f>
        <v>0</v>
      </c>
      <c r="FQ224" s="458">
        <f t="array" ref="FQ224">SUM((IF(QualitéAlimentsPoulainMâlePoney=MAUVAISE,VLOOKUP("Soja",AlimentsRationChevauxMâlesPoney,5,FALSE),0)+(IF(QualitéAlimentsPoulainFemellePoney=MAUVAISE,VLOOKUP("Soja",AlimentsRationChevauxFemellesPoney,5,FALSE),0)+(IF(QualitéAlimentsJeuneEtalon_12_24_moisPoney=MAUVAISE,VLOOKUP("Soja",AlimentsRationChevauxMâlesPoney,4,FALSE),0)+(IF(QualitéAlimentsJeuneJument_12_24_moisPoney=MAUVAISE,VLOOKUP("Soja",AlimentsRationChevauxFemellesPoney,4,FALSE),0)+(IF(QualitéAlimentsJeuneEtalon_24_36_moisPoney=MAUVAISE,VLOOKUP("Soja",AlimentsRationChevauxMâlesPoney,3,FALSE),0)+(IF(QualitéAlimentsJeuneJument_24_36_moisPoney=MAUVAISE,VLOOKUP("Soja",AlimentsRationChevauxFemellesPoney,3,FALSE),0)+(IF(QualitéAlimentsEtalonPoney=MAUVAISE,VLOOKUP("Soja",AlimentsRationChevauxMâlesPoney,2,FALSE),0)+(IF(QualitéAlimentsJumentPoney=MAUVAISE,VLOOKUP("Soja",AlimentsRationChevauxFemellesPoney,2,FALSE),0))))))))))</f>
        <v>0</v>
      </c>
      <c r="FR224" s="281"/>
      <c r="GG224" s="276" t="s">
        <v>955</v>
      </c>
      <c r="GH224" s="276" t="s">
        <v>955</v>
      </c>
      <c r="GI224" s="276" t="s">
        <v>955</v>
      </c>
      <c r="GJ224" s="276" t="s">
        <v>955</v>
      </c>
      <c r="GK224" s="276" t="s">
        <v>955</v>
      </c>
      <c r="GL224" s="276" t="s">
        <v>955</v>
      </c>
      <c r="GM224" s="276" t="s">
        <v>955</v>
      </c>
      <c r="GN224" s="276" t="s">
        <v>955</v>
      </c>
      <c r="GO224" s="276" t="s">
        <v>955</v>
      </c>
      <c r="GP224" s="276" t="s">
        <v>955</v>
      </c>
      <c r="GQ224" s="276" t="s">
        <v>955</v>
      </c>
      <c r="GR224" s="276" t="s">
        <v>955</v>
      </c>
      <c r="GS224" s="276" t="s">
        <v>955</v>
      </c>
      <c r="GT224" s="276" t="s">
        <v>955</v>
      </c>
      <c r="GU224" s="276" t="s">
        <v>955</v>
      </c>
      <c r="GV224" s="276" t="s">
        <v>955</v>
      </c>
    </row>
    <row r="225" spans="1:204" ht="12.75" customHeight="1" x14ac:dyDescent="0.2">
      <c r="A225" s="276"/>
      <c r="B225" s="276"/>
      <c r="BB225" s="350" t="s">
        <v>908</v>
      </c>
      <c r="BC225" s="351">
        <f t="array" ref="BC225">IF(Ration_complète_bovins[somme]&gt;0,0,IFERROR(IF(OR(AND(INDEX(Règles_bovins[Specificite],MATCH(ChoixRationBovins&amp;$BB225,Règles_bovins[Ration]&amp;Règles_bovins[Aliment],0))="s1",IF($BB225=Spécificité1Bovins,1)),
AND(INDEX(Règles_bovins[Specificite],MATCH(ChoixRationBovins&amp;$BB225,Règles_bovins[Ration]&amp;Règles_bovins[Aliment],0))="s2",IF($BB225=Spécificité2Bovins,1)),
INDEX(Règles_bovins[Specificite],MATCH(ChoixRationBovins&amp;$BB225,Règles_bovins[Ration]&amp;Règles_bovins[Aliment],0))="c"),
INDEX(Règles_bovins[Valeur 36 et plus],MATCH(ChoixRationBovins&amp;$BB225,Règles_bovins[Ration]&amp;Règles_bovins[Aliment],0)),0),0)*IF(ChoixBovinsPréHiver=OUI,TotalTaureauxRacesLaitières,TotalTaureaux*NbreJoursNourrirBovins))</f>
        <v>0</v>
      </c>
      <c r="BD225" s="351">
        <f t="array" ref="BD225">IF(Ration_complète_bovins[somme]&gt;0,0,IFERROR(IF(OR(AND(INDEX(Règles_bovins[Specificite],MATCH(ChoixRationBovins&amp;$BB225,Règles_bovins[Ration]&amp;Règles_bovins[Aliment],0))="s1",IF($BB225=Spécificité1Bovins,1)),
AND(INDEX(Règles_bovins[Specificite],MATCH(ChoixRationBovins&amp;$BB225,Règles_bovins[Ration]&amp;Règles_bovins[Aliment],0))="s2",IF($BB225=Spécificité2Bovins,1)),
INDEX(Règles_bovins[Specificite],MATCH(ChoixRationBovins&amp;$BB225,Règles_bovins[Ration]&amp;Règles_bovins[Aliment],0))="c"),
INDEX(Règles_bovins[Valeur 24-36],MATCH(ChoixRationBovins&amp;$BB225,Règles_bovins[Ration]&amp;Règles_bovins[Aliment],0)),0),0)*IF(ChoixBovinsPréHiver=OUI,TotalTaurillon_24_36_RacesLaitières,TotalBovinsMâles_24_36mois*NbreJoursNourrirBovins))</f>
        <v>0</v>
      </c>
      <c r="BE225" s="351">
        <f t="array" ref="BE225">IF(Ration_complète_bovins[somme]&gt;0,0,IFERROR(IF(OR(AND(INDEX(Règles_bovins[Specificite],MATCH(ChoixRationBovins&amp;$BB225,Règles_bovins[Ration]&amp;Règles_bovins[Aliment],0))="s1",IF($BB225=Spécificité1Bovins,1)),
AND(INDEX(Règles_bovins[Specificite],MATCH(ChoixRationBovins&amp;$BB225,Règles_bovins[Ration]&amp;Règles_bovins[Aliment],0))="s2",IF($BB225=Spécificité2Bovins,1)),
INDEX(Règles_bovins[Specificite],MATCH(ChoixRationBovins&amp;$BB225,Règles_bovins[Ration]&amp;Règles_bovins[Aliment],0))="c"),
INDEX(Règles_bovins[Valeur 18-24],MATCH(ChoixRationBovins&amp;$BB225,Règles_bovins[Ration]&amp;Règles_bovins[Aliment],0)),0),0)*IF(ChoixBovinsPréHiver=OUI,TotalTaurillon_18_24_RacesLaitières,TotalBovinsMâles_18_24mois*NbreJoursNourrirBovins))</f>
        <v>0</v>
      </c>
      <c r="BF225" s="351">
        <f t="array" ref="BF225">IF(Ration_complète_bovins[somme]&gt;0,0,IFERROR(IF(OR(AND(INDEX(Règles_bovins[Specificite],MATCH(ChoixRationBovins&amp;$BB225,Règles_bovins[Ration]&amp;Règles_bovins[Aliment],0))="s1",IF($BB225=Spécificité1Bovins,1)),
AND(INDEX(Règles_bovins[Specificite],MATCH(ChoixRationBovins&amp;$BB225,Règles_bovins[Ration]&amp;Règles_bovins[Aliment],0))="s2",IF($BB225=Spécificité2Bovins,1)),
INDEX(Règles_bovins[Specificite],MATCH(ChoixRationBovins&amp;$BB225,Règles_bovins[Ration]&amp;Règles_bovins[Aliment],0))="c"),
INDEX(Règles_bovins[Valeur 12-18],MATCH(ChoixRationBovins&amp;$BB225,Règles_bovins[Ration]&amp;Règles_bovins[Aliment],0)),0),0)*IF(ChoixBovinsPréHiver=OUI,animaux!D48,TotalBovinsMâles_12_18mois*NbreJoursNourrirBovins))</f>
        <v>0</v>
      </c>
      <c r="BG225" s="351">
        <f t="array" ref="BG225">IF(Ration_complète_bovins[somme]&gt;0,0,IFERROR(IF(OR(AND(INDEX(Règles_bovins[Specificite],MATCH(ChoixRationBovins&amp;$BB225,Règles_bovins[Ration]&amp;Règles_bovins[Aliment],0))="s1",IF($BB225=Spécificité1Bovins,1)),
AND(INDEX(Règles_bovins[Specificite],MATCH(ChoixRationBovins&amp;$BB225,Règles_bovins[Ration]&amp;Règles_bovins[Aliment],0))="s2",IF($BB225=Spécificité2Bovins,1)),
INDEX(Règles_bovins[Specificite],MATCH(ChoixRationBovins&amp;$BB225,Règles_bovins[Ration]&amp;Règles_bovins[Aliment],0))="c"),
INDEX(Règles_bovins[Valeur 6-12],MATCH(ChoixRationBovins&amp;$BB225,Règles_bovins[Ration]&amp;Règles_bovins[Aliment],0)),0),0)*IF(ChoixBovinsPréHiver=OUI,TotalVeauMâle_6_12_RacesLaitières,TotalBovinsMâles_6_12mois*NbreJoursNourrirBovins))</f>
        <v>0</v>
      </c>
      <c r="BH225" s="351">
        <f t="array" ref="BH225">IF(Ration_complète_bovins[somme]&gt;0,0,IFERROR(IF(OR(AND(INDEX(Règles_bovins[Specificite],MATCH(ChoixRationBovins&amp;$BB225,Règles_bovins[Ration]&amp;Règles_bovins[Aliment],0))="s1",IF($BB225=Spécificité1Bovins,1)),
AND(INDEX(Règles_bovins[Specificite],MATCH(ChoixRationBovins&amp;$BB225,Règles_bovins[Ration]&amp;Règles_bovins[Aliment],0))="s2",IF($BB225=Spécificité2Bovins,1)),
INDEX(Règles_bovins[Specificite],MATCH(ChoixRationBovins&amp;$BB225,Règles_bovins[Ration]&amp;Règles_bovins[Aliment],0))="c"),
INDEX(Règles_bovins[Valeur 3-6],MATCH(ChoixRationBovins&amp;$BB225,Règles_bovins[Ration]&amp;Règles_bovins[Aliment],0)),0),0)*IF(ChoixBovinsPréHiver=OUI,TotalVeauMâle_3_6_RacesLaitières,TotalBovinsMâles_3_6mois*NbreJoursNourrirBovins))</f>
        <v>0</v>
      </c>
      <c r="BI225" s="351">
        <f t="array" ref="BI225">IF(Ration_complète_bovins[somme]&gt;0,0,IFERROR(IF(OR(AND(INDEX(Règles_bovins[Specificite],MATCH(ChoixRationBovins&amp;$BB225,Règles_bovins[Ration]&amp;Règles_bovins[Aliment],0))="s1",IF($BB225=Spécificité1Bovins,1)),
AND(INDEX(Règles_bovins[Specificite],MATCH(ChoixRationBovins&amp;$BB225,Règles_bovins[Ration]&amp;Règles_bovins[Aliment],0))="s2",IF($BB225=Spécificité2Bovins,1)),
INDEX(Règles_bovins[Specificite],MATCH(ChoixRationBovins&amp;$BB225,Règles_bovins[Ration]&amp;Règles_bovins[Aliment],0))="c"),
INDEX(Règles_bovins[Valeur 0-3],MATCH(ChoixRationBovins&amp;$BB225,Règles_bovins[Ration]&amp;Règles_bovins[Aliment],0)),0),0)*IF(ChoixBovinsPréHiver=OUI,TotalVeauMâle_0_3_RacesLaitières,TotalBovinsMâles_0_3mois*NbreJoursNourrirBovins))</f>
        <v>0</v>
      </c>
      <c r="BJ225" s="352">
        <f t="shared" si="62"/>
        <v>0</v>
      </c>
      <c r="BK225" s="276"/>
      <c r="BX225" s="350" t="str">
        <f t="shared" si="63"/>
        <v>Tournesol</v>
      </c>
      <c r="BY225" s="351">
        <f t="array" ref="BY225">SUM((IF(QualitéAlimentsChevreau_0_3_mois=BONNE,VLOOKUP("Tournesol",AlimentsRationCaprinsMâles,5,FALSE),0)+(IF(QualitéAlimentsChevrette_0_3_mois=BONNE,VLOOKUP("Tournesol",AlimentsRationCaprinsFemelles,5,FALSE),0)+(IF(QualitéAlimentsChevreau_3_6_mois=BONNE,VLOOKUP("Tournesol",AlimentsRationCaprinsMâles,4,FALSE),0)+(IF(QualitéAlimentsChevrette_3_6_mois=BONNE,VLOOKUP("Tournesol",AlimentsRationCaprinsFemelles,4,FALSE),0)+(IF(QualitéAlimentsJeuneBouc=BONNE,VLOOKUP("Tournesol",AlimentsRationCaprinsMâles,3,FALSE),0)+(IF(QualitéAlimentsJeuneChèvre=BONNE,VLOOKUP("Tournesol",AlimentsRationCaprinsFemelles,3,FALSE),0)+(IF(QualitéAlimentsBouc=BONNE,VLOOKUP("Tournesol",AlimentsRationCaprinsMâles,2,FALSE),0)+(IF(QualitéAlimentsChèvre=BONNE,VLOOKUP("Tournesol",AlimentsRationCaprinsFemelles,2,FALSE),0))))))))))</f>
        <v>0</v>
      </c>
      <c r="BZ225" s="351">
        <f t="array" ref="BZ225">SUM((IF(QualitéAlimentsChevreau_0_3_mois=MOYENNE,VLOOKUP("Tournesol",AlimentsRationCaprinsMâles,5,FALSE),0)+(IF(QualitéAlimentsChevrette_0_3_mois=MOYENNE,VLOOKUP("Tournesol",AlimentsRationCaprinsFemelles,5,FALSE),0)+(IF(QualitéAlimentsChevreau_3_6_mois=MOYENNE,VLOOKUP("Tournesol",AlimentsRationCaprinsMâles,4,FALSE),0)+(IF(QualitéAlimentsChevrette_3_6_mois=MOYENNE,VLOOKUP("Tournesol",AlimentsRationCaprinsFemelles,4,FALSE),0)+(IF(QualitéAlimentsJeuneBouc=MOYENNE,VLOOKUP("Tournesol",AlimentsRationCaprinsMâles,3,FALSE),0)+(IF(QualitéAlimentsJeuneChèvre=MOYENNE,VLOOKUP("Tournesol",AlimentsRationCaprinsFemelles,3,FALSE),0)+(IF(QualitéAlimentsBouc=MOYENNE,VLOOKUP("Tournesol",AlimentsRationCaprinsMâles,2,FALSE),0)+(IF(QualitéAlimentsChèvre=MOYENNE,VLOOKUP("Tournesol",AlimentsRationCaprinsFemelles,2,FALSE),0))))))))))</f>
        <v>0</v>
      </c>
      <c r="CA225" s="351">
        <f t="array" ref="CA225">SUM((IF(QualitéAlimentsChevreau_0_3_mois=MAUVAISE,VLOOKUP("Tournesol",AlimentsRationCaprinsMâles,5,FALSE),0)+(IF(QualitéAlimentsChevrette_0_3_mois=MAUVAISE,VLOOKUP("Tournesol",AlimentsRationCaprinsFemelles,5,FALSE),0)+(IF(QualitéAlimentsChevreau_3_6_mois=MAUVAISE,VLOOKUP("Tournesol",AlimentsRationCaprinsMâles,4,FALSE),0)+(IF(QualitéAlimentsChevrette_3_6_mois=MAUVAISE,VLOOKUP("Tournesol",AlimentsRationCaprinsFemelles,4,FALSE),0)+(IF(QualitéAlimentsJeuneBouc=MAUVAISE,VLOOKUP("Tournesol",AlimentsRationCaprinsMâles,3,FALSE),0)+(IF(QualitéAlimentsJeuneChèvre=MAUVAISE,VLOOKUP("Tournesol",AlimentsRationCaprinsFemelles,3,FALSE),0)+(IF(QualitéAlimentsBouc=MAUVAISE,VLOOKUP("Tournesol",AlimentsRationCaprinsMâles,2,FALSE),0)+(IF(QualitéAlimentsChèvre=MAUVAISE,VLOOKUP("Tournesol",AlimentsRationCaprinsFemelles,2,FALSE),0))))))))))</f>
        <v>0</v>
      </c>
      <c r="CB225" s="277"/>
      <c r="CC225" s="277"/>
      <c r="CD225" s="298"/>
      <c r="CE225" s="298"/>
      <c r="CF225" s="298"/>
      <c r="CG225" s="298"/>
      <c r="CH225" s="298"/>
      <c r="CI225" s="277"/>
      <c r="CK225" s="277"/>
      <c r="CL225" s="277"/>
      <c r="CM225" s="277"/>
      <c r="CN225" s="277"/>
      <c r="CO225" s="277"/>
      <c r="CP225" s="277"/>
      <c r="DN225" s="350">
        <f t="shared" si="61"/>
        <v>0</v>
      </c>
      <c r="DO225" s="351">
        <f t="array" ref="DO225">IF(ChoixRationComplèteOvins=OUI,0,IFERROR(IF(OR(AND(INDEX(Règles_ovins[Specificite],MATCH(ChoixRationOvins&amp;$DN225,Règles_ovins[Ration]&amp;Règles_ovins[Aliment],0))="s1",IF($DN225=Spécificité1Ovins,1)),
AND(INDEX(Règles_ovins[Specificite],MATCH(ChoixRationOvins&amp;$DN225,Règles_ovins[Ration]&amp;Règles_ovins[Aliment],0))="s2",IF($DN225=Spécificité2Ovins,1)),
INDEX(Règles_ovins[Specificite],MATCH(ChoixRationOvins&amp;$DN225,Règles_ovins[Ration]&amp;Règles_ovins[Aliment],0))="c"),
INDEX(Règles_ovins[Valeur 12 et plus],MATCH(ChoixRationOvins&amp;$DN225,Règles_ovins[Ration]&amp;Règles_ovins[Aliment],0)),0),0)*IF(ChoixOvinsPréHiver=OUI,SUM(TotalOvinsAdultesRacesLaitières)*NbreJoursNourrirOvins,TotalBrebis*NbreJoursNourrirOvins))</f>
        <v>0</v>
      </c>
      <c r="DP225" s="351">
        <f t="array" ref="DP225">IF(ChoixRationComplèteOvins=OUI,0,IFERROR(IF(OR(AND(INDEX(Règles_ovins[Specificite],MATCH(ChoixRationOvins&amp;$DN225,Règles_ovins[Ration]&amp;Règles_ovins[Aliment],0))="s1",IF($DN225=Spécificité1Ovins,1)),
AND(INDEX(Règles_ovins[Specificite],MATCH(ChoixRationOvins&amp;$DN225,Règles_ovins[Ration]&amp;Règles_ovins[Aliment],0))="s2",IF($DN225=Spécificité2Ovins,1)),
INDEX(Règles_ovins[Specificite],MATCH(ChoixRationOvins&amp;$DN225,Règles_ovins[Ration]&amp;Règles_ovins[Aliment],0))="c"),
INDEX(Règles_ovins[Valeur 6-12],MATCH(ChoixRationOvins&amp;$DN225,Règles_ovins[Ration]&amp;Règles_ovins[Aliment],0)),0),0)*IF(ChoixOvinsPréHiver=OUI,SUM(TotalJeunesOvinsRacesLaitières)*NbreJoursNourrirOvins,TotalJeune_brebis_6_12_mois*NbreJoursNourrirOvins))</f>
        <v>0</v>
      </c>
      <c r="DQ225" s="351">
        <f t="array" ref="DQ225">IF(ChoixRationComplèteOvins=OUI,0,IFERROR(IF(OR(AND(INDEX(Règles_ovins[Specificite],MATCH(ChoixRationOvins&amp;$DN225,Règles_ovins[Ration]&amp;Règles_ovins[Aliment],0))="s1",IF($DN225=Spécificité1Ovins,1)),
AND(INDEX(Règles_ovins[Specificite],MATCH(ChoixRationOvins&amp;$DN225,Règles_ovins[Ration]&amp;Règles_ovins[Aliment],0))="s2",IF($DN225=Spécificité2Ovins,1)),
INDEX(Règles_ovins[Specificite],MATCH(ChoixRationOvins&amp;$DN225,Règles_ovins[Ration]&amp;Règles_ovins[Aliment],0))="c"),
INDEX(Règles_ovins[Valeur 3-6],MATCH(ChoixRationOvins&amp;$DN225,Règles_ovins[Ration]&amp;Règles_ovins[Aliment],0)),0),0)*IF(ChoixOvinsPréHiver=OUI,SUM(TotalOvins_3_6moisRacesLaitières)*NbreJoursNourrirOvins,TotalAgnelle_3_6_mois*NbreJoursNourrirOvins))</f>
        <v>0</v>
      </c>
      <c r="DR225" s="351">
        <f t="array" ref="DR225">IF(ChoixRationComplèteOvins=OUI,0,IFERROR(IF(OR(AND(INDEX(Règles_ovins[Specificite],MATCH(ChoixRationOvins&amp;$DN225,Règles_ovins[Ration]&amp;Règles_ovins[Aliment],0))="s1",IF($DN225=Spécificité1Ovins,1)),
AND(INDEX(Règles_ovins[Specificite],MATCH(ChoixRationOvins&amp;$DN225,Règles_ovins[Ration]&amp;Règles_ovins[Aliment],0))="s2",IF($DN225=Spécificité2Ovins,1)),
INDEX(Règles_ovins[Specificite],MATCH(ChoixRationOvins&amp;$DN225,Règles_ovins[Ration]&amp;Règles_ovins[Aliment],0))="c"),
INDEX(Règles_ovins[Valeur 0-3],MATCH(ChoixRationOvins&amp;$DN225,Règles_ovins[Ration]&amp;Règles_ovins[Aliment],0)),0),0)*IF(ChoixOvinsPréHiver=OUI,SUM(TotalOvins_3_6moisRacesLaitières)*NbreJoursNourrirOvins,TotalAgnelle_0_3_mois*NbreJoursNourrirOvins))</f>
        <v>0</v>
      </c>
      <c r="DS225" s="441">
        <f t="shared" si="60"/>
        <v>0</v>
      </c>
      <c r="EU225" s="457" t="str">
        <f t="shared" si="66"/>
        <v>Pois</v>
      </c>
      <c r="EV225" s="458">
        <f t="array" ref="EV225">SUM((IF(QualitéAlimentsPoulainSelleMâle=BONNE,VLOOKUP("Pois",AlimentsRationEcurieChevauxMâlesSelle,5,FALSE),0)+(IF(QualitéAlimentsPoulainSelleFemelle=BONNE,VLOOKUP("Pois",AlimentsRationEcurieChevauxFemellesSelle,5,FALSE),0)+(IF(QualitéAlimentsJeuneEtalon_12_24_moisSelle=BONNE,VLOOKUP("Pois",AlimentsRationEcurieChevauxMâlesSelle,4,FALSE),0)+(IF(QualitéAlimentsJeuneJument_12_24_moisSelle=BONNE,VLOOKUP("Pois",AlimentsRationEcurieChevauxFemellesSelle,4,FALSE),0)+(IF(QualitéAlimentsJeuneEtalon_24_36_moisSelle=BONNE,VLOOKUP("Pois",AlimentsRationEcurieChevauxMâlesSelle,3,FALSE),0)+(IF(QualitéAlimentsJeuneJument_24_36_moisSelle=BONNE,VLOOKUP("Pois",AlimentsRationEcurieChevauxFemellesSelle,3,FALSE),0)+(IF(QualitéAlimentsEtalonSelle=BONNE,VLOOKUP("Pois",AlimentsRationEcurieChevauxMâlesSelle,2,FALSE),0)+(IF(QualitéAlimentsJumentSelle=BONNE,VLOOKUP("Pois",AlimentsRationEcurieChevauxFemellesSelle,2,FALSE),0))))))))))</f>
        <v>0</v>
      </c>
      <c r="EW225" s="458">
        <f t="array" ref="EW225">SUM((IF(QualitéAlimentsPoulainSelleMâle=MOYENNE,VLOOKUP("Pois",AlimentsRationEcurieChevauxMâlesSelle,5,FALSE),0)+(IF(QualitéAlimentsPoulainSelleFemelle=MOYENNE,VLOOKUP("Pois",AlimentsRationEcurieChevauxFemellesSelle,5,FALSE),0)+(IF(QualitéAlimentsJeuneEtalon_12_24_moisSelle=MOYENNE,VLOOKUP("Pois",AlimentsRationEcurieChevauxMâlesSelle,4,FALSE),0)+(IF(QualitéAlimentsJeuneJument_12_24_moisSelle=MOYENNE,VLOOKUP("Pois",AlimentsRationEcurieChevauxFemellesSelle,4,FALSE),0)+(IF(QualitéAlimentsJeuneEtalon_24_36_moisSelle=MOYENNE,VLOOKUP("Pois",AlimentsRationEcurieChevauxMâlesSelle,3,FALSE),0)+(IF(QualitéAlimentsJeuneJument_24_36_moisSelle=MOYENNE,VLOOKUP("Pois",AlimentsRationEcurieChevauxFemellesSelle,3,FALSE),0)+(IF(QualitéAlimentsEtalonSelle=MOYENNE,VLOOKUP("Pois",AlimentsRationEcurieChevauxMâlesSelle,2,FALSE),0)+(IF(QualitéAlimentsJumentSelle=MOYENNE,VLOOKUP("Pois",AlimentsRationEcurieChevauxFemellesSelle,2,FALSE),0))))))))))</f>
        <v>0</v>
      </c>
      <c r="EX225" s="458">
        <f t="array" ref="EX225">SUM((IF(QualitéAlimentsPoulainSelleMâle=MAUVAISE,VLOOKUP("Pois",AlimentsRationEcurieChevauxMâlesSelle,5,FALSE),0)+(IF(QualitéAlimentsPoulainSelleFemelle=MAUVAISE,VLOOKUP("Pois",AlimentsRationEcurieChevauxFemellesSelle,5,FALSE),0)+(IF(QualitéAlimentsJeuneEtalon_12_24_moisSelle=MAUVAISE,VLOOKUP("Pois",AlimentsRationEcurieChevauxMâlesSelle,4,FALSE),0)+(IF(QualitéAlimentsJeuneJument_12_24_moisSelle=MAUVAISE,VLOOKUP("Pois",AlimentsRationEcurieChevauxFemellesSelle,4,FALSE),0)+(IF(QualitéAlimentsJeuneEtalon_24_36_moisSelle=MAUVAISE,VLOOKUP("Pois",AlimentsRationEcurieChevauxMâlesSelle,3,FALSE),0)+(IF(QualitéAlimentsJeuneJument_24_36_moisSelle=MAUVAISE,VLOOKUP("Pois",AlimentsRationEcurieChevauxFemellesSelle,3,FALSE),0)+(IF(QualitéAlimentsEtalonSelle=MAUVAISE,VLOOKUP("Pois",AlimentsRationEcurieChevauxMâlesSelle,2,FALSE),0)+(IF(QualitéAlimentsJumentSelle=MAUVAISE,VLOOKUP("Pois",AlimentsRationEcurieChevauxFemellesSelle,2,FALSE),0))))))))))</f>
        <v>0</v>
      </c>
      <c r="FD225" s="457" t="str">
        <f t="shared" si="65"/>
        <v>Soja</v>
      </c>
      <c r="FE225" s="458">
        <f t="array" ref="FE225">SUM((IF(QualitéAlimentsPoulainMâleTrait=BONNE,VLOOKUP("Soja",AlimentsRationEcurieChevauxMâlesTrait,5,FALSE),0)+(IF(QualitéAlimentsPoulainFemelleTrait=BONNE,VLOOKUP("Soja",AlimentsRationEcurieChevauxFemellesTrait,5,FALSE),0)+(IF(QualitéAlimentsJeuneEtalon_12_24_moisTrait=BONNE,VLOOKUP("Soja",AlimentsRationEcurieChevauxMâlesTrait,4,FALSE),0)+(IF(QualitéAlimentsJeuneJument_12_24_moisTrait=BONNE,VLOOKUP("Soja",AlimentsRationEcurieChevauxFemellesTrait,4,FALSE),0)+(IF(QualitéAlimentsJeuneEtalon_24_36_moisTrait=BONNE,VLOOKUP("Soja",AlimentsRationEcurieChevauxMâlesTrait,3,FALSE),0)+(IF(QualitéAlimentsJeuneJument_24_36_moisTrait=BONNE,VLOOKUP("Soja",AlimentsRationEcurieChevauxFemellesTrait,3,FALSE),0)+(IF(QualitéAlimentsEtalonTrait=BONNE,VLOOKUP("Soja",AlimentsRationEcurieChevauxMâlesTrait,2,FALSE),0)+(IF(QualitéAlimentsJumentTrait=BONNE,VLOOKUP("Soja",AlimentsRationEcurieChevauxFemellesTrait,2,FALSE),0))))))))))</f>
        <v>0</v>
      </c>
      <c r="FF225" s="458">
        <f t="array" ref="FF225">SUM((IF(QualitéAlimentsPoulainMâleTrait=MOYENNE,VLOOKUP("Soja",AlimentsRationEcurieChevauxMâlesTrait,5,FALSE),0)+(IF(QualitéAlimentsPoulainFemelleTrait=MOYENNE,VLOOKUP("Soja",AlimentsRationEcurieChevauxFemellesTrait,5,FALSE),0)+(IF(QualitéAlimentsJeuneEtalon_12_24_moisTrait=MOYENNE,VLOOKUP("Soja",AlimentsRationEcurieChevauxMâlesTrait,4,FALSE),0)+(IF(QualitéAlimentsJeuneJument_12_24_moisTrait=MOYENNE,VLOOKUP("Soja",AlimentsRationEcurieChevauxFemellesTrait,4,FALSE),0)+(IF(QualitéAlimentsJeuneEtalon_24_36_moisTrait=MOYENNE,VLOOKUP("Soja",AlimentsRationEcurieChevauxMâlesTrait,3,FALSE),0)+(IF(QualitéAlimentsJeuneJument_24_36_moisTrait=MOYENNE,VLOOKUP("Soja",AlimentsRationEcurieChevauxFemellesTrait,3,FALSE),0)+(IF(QualitéAlimentsEtalonTrait=MOYENNE,VLOOKUP("Soja",AlimentsRationEcurieChevauxMâlesTrait,2,FALSE),0)+(IF(QualitéAlimentsJumentTrait=MOYENNE,VLOOKUP("Soja",AlimentsRationEcurieChevauxFemellesTrait,2,FALSE),0))))))))))</f>
        <v>0</v>
      </c>
      <c r="FG225" s="458">
        <f t="array" ref="FG225">SUM((IF(QualitéAlimentsPoulainMâleTrait=MAUVAISE,VLOOKUP("Soja",AlimentsRationEcurieChevauxMâlesTrait,5,FALSE),0)+(IF(QualitéAlimentsPoulainFemelleTrait=MAUVAISE,VLOOKUP("Soja",AlimentsRationEcurieChevauxFemellesTrait,5,FALSE),0)+(IF(QualitéAlimentsJeuneEtalon_12_24_moisTrait=MAUVAISE,VLOOKUP("Soja",AlimentsRationEcurieChevauxMâlesTrait,4,FALSE),0)+(IF(QualitéAlimentsJeuneJument_12_24_moisTrait=MAUVAISE,VLOOKUP("Soja",AlimentsRationEcurieChevauxFemellesTrait,4,FALSE),0)+(IF(QualitéAlimentsJeuneEtalon_24_36_moisTrait=MAUVAISE,VLOOKUP("Soja",AlimentsRationEcurieChevauxMâlesTrait,3,FALSE),0)+(IF(QualitéAlimentsJeuneJument_24_36_moisTrait=MAUVAISE,VLOOKUP("Soja",AlimentsRationEcurieChevauxFemellesTrait,3,FALSE),0)+(IF(QualitéAlimentsEtalonTrait=MAUVAISE,VLOOKUP("Soja",AlimentsRationEcurieChevauxMâlesTrait,2,FALSE),0)+(IF(QualitéAlimentsJumentTrait=MAUVAISE,VLOOKUP("Soja",AlimentsRationEcurieChevauxFemellesTrait,2,FALSE),0))))))))))</f>
        <v>0</v>
      </c>
      <c r="FI225" s="276"/>
      <c r="FN225" s="457" t="str">
        <f t="shared" si="64"/>
        <v>Sorgho ensilé</v>
      </c>
      <c r="FO225" s="458">
        <f t="array" ref="FO225">SUM((IF(QualitéAlimentsPoulainMâlePoney=BONNE,VLOOKUP("Sorho ensilé",AlimentsRationChevauxMâlesPoney,5,FALSE),0)+(IF(QualitéAlimentsPoulainFemellePoney=BONNE,VLOOKUP("Sorho ensilé",AlimentsRationChevauxFemellesPoney,5,FALSE),0)+(IF(QualitéAlimentsJeuneEtalon_12_24_moisPoney=BONNE,VLOOKUP("Sorho ensilé",AlimentsRationChevauxMâlesPoney,4,FALSE),0)+(IF(QualitéAlimentsJeuneJument_12_24_moisPoney=BONNE,VLOOKUP("Sorho ensilé",AlimentsRationChevauxFemellesPoney,4,FALSE),0)+(IF(QualitéAlimentsJeuneEtalon_24_36_moisPoney=BONNE,VLOOKUP("Sorho ensilé",AlimentsRationChevauxMâlesPoney,3,FALSE),0)+(IF(QualitéAlimentsJeuneJument_24_36_moisPoney=BONNE,VLOOKUP("Sorho ensilé",AlimentsRationChevauxFemellesPoney,3,FALSE),0)+(IF(QualitéAlimentsEtalonPoney=BONNE,VLOOKUP("Sorho ensilé",AlimentsRationChevauxMâlesPoney,2,FALSE),0)+(IF(QualitéAlimentsJumentPoney=BONNE,VLOOKUP("Sorho ensilé",AlimentsRationChevauxFemellesPoney,2,FALSE),0))))))))))</f>
        <v>0</v>
      </c>
      <c r="FP225" s="458">
        <f t="array" ref="FP225">SUM((IF(QualitéAlimentsPoulainMâlePoney=MOYENNE,VLOOKUP("Sorho ensilé",AlimentsRationChevauxMâlesPoney,5,FALSE),0)+(IF(QualitéAlimentsPoulainFemellePoney=MOYENNE,VLOOKUP("Sorho ensilé",AlimentsRationChevauxFemellesPoney,5,FALSE),0)+(IF(QualitéAlimentsJeuneEtalon_12_24_moisPoney=MOYENNE,VLOOKUP("Sorho ensilé",AlimentsRationChevauxMâlesPoney,4,FALSE),0)+(IF(QualitéAlimentsJeuneJument_12_24_moisPoney=MOYENNE,VLOOKUP("Sorho ensilé",AlimentsRationChevauxFemellesPoney,4,FALSE),0)+(IF(QualitéAlimentsJeuneEtalon_24_36_moisPoney=MOYENNE,VLOOKUP("Sorho ensilé",AlimentsRationChevauxMâlesPoney,3,FALSE),0)+(IF(QualitéAlimentsJeuneJument_24_36_moisPoney=MOYENNE,VLOOKUP("Sorho ensilé",AlimentsRationChevauxFemellesPoney,3,FALSE),0)+(IF(QualitéAlimentsEtalonPoney=MOYENNE,VLOOKUP("Sorho ensilé",AlimentsRationChevauxMâlesPoney,2,FALSE),0)+(IF(QualitéAlimentsJumentPoney=MOYENNE,VLOOKUP("Sorho ensilé",AlimentsRationChevauxFemellesPoney,2,FALSE),0))))))))))</f>
        <v>0</v>
      </c>
      <c r="FQ225" s="458">
        <f t="array" ref="FQ225">SUM((IF(QualitéAlimentsPoulainMâlePoney=MAUVAISE,VLOOKUP("Sorho ensilé",AlimentsRationChevauxMâlesPoney,5,FALSE),0)+(IF(QualitéAlimentsPoulainFemellePoney=MAUVAISE,VLOOKUP("Sorho ensilé",AlimentsRationChevauxFemellesPoney,5,FALSE),0)+(IF(QualitéAlimentsJeuneEtalon_12_24_moisPoney=MAUVAISE,VLOOKUP("Sorho ensilé",AlimentsRationChevauxMâlesPoney,4,FALSE),0)+(IF(QualitéAlimentsJeuneJument_12_24_moisPoney=MAUVAISE,VLOOKUP("Sorho ensilé",AlimentsRationChevauxFemellesPoney,4,FALSE),0)+(IF(QualitéAlimentsJeuneEtalon_24_36_moisPoney=MAUVAISE,VLOOKUP("Sorho ensilé",AlimentsRationChevauxMâlesPoney,3,FALSE),0)+(IF(QualitéAlimentsJeuneJument_24_36_moisPoney=MAUVAISE,VLOOKUP("Sorho ensilé",AlimentsRationChevauxFemellesPoney,3,FALSE),0)+(IF(QualitéAlimentsEtalonPoney=MAUVAISE,VLOOKUP("Sorho ensilé",AlimentsRationChevauxMâlesPoney,2,FALSE),0)+(IF(QualitéAlimentsJumentPoney=MAUVAISE,VLOOKUP("Sorho ensilé",AlimentsRationChevauxFemellesPoney,2,FALSE),0))))))))))</f>
        <v>0</v>
      </c>
      <c r="FR225" s="281"/>
      <c r="GG225" s="276" t="s">
        <v>955</v>
      </c>
      <c r="GH225" s="276" t="s">
        <v>955</v>
      </c>
      <c r="GI225" s="276" t="s">
        <v>955</v>
      </c>
      <c r="GJ225" s="276" t="s">
        <v>955</v>
      </c>
      <c r="GK225" s="276" t="s">
        <v>955</v>
      </c>
      <c r="GL225" s="276" t="s">
        <v>955</v>
      </c>
      <c r="GM225" s="276" t="s">
        <v>955</v>
      </c>
      <c r="GN225" s="276" t="s">
        <v>955</v>
      </c>
      <c r="GO225" s="276" t="s">
        <v>955</v>
      </c>
      <c r="GP225" s="276" t="s">
        <v>955</v>
      </c>
      <c r="GQ225" s="276" t="s">
        <v>955</v>
      </c>
      <c r="GR225" s="276" t="s">
        <v>955</v>
      </c>
      <c r="GS225" s="276" t="s">
        <v>955</v>
      </c>
      <c r="GT225" s="276" t="s">
        <v>955</v>
      </c>
      <c r="GU225" s="276" t="s">
        <v>955</v>
      </c>
      <c r="GV225" s="276" t="s">
        <v>955</v>
      </c>
    </row>
    <row r="226" spans="1:204" ht="12.75" customHeight="1" x14ac:dyDescent="0.2">
      <c r="A226" s="276"/>
      <c r="B226" s="276"/>
      <c r="BB226" s="350" t="s">
        <v>70</v>
      </c>
      <c r="BC226" s="351">
        <f t="array" ref="BC226">IF(Ration_complète_bovins[somme]&gt;0,0,IFERROR(IF(OR(AND(INDEX(Règles_bovins[Specificite],MATCH(ChoixRationBovins&amp;$BB226,Règles_bovins[Ration]&amp;Règles_bovins[Aliment],0))="s1",IF($BB226=Spécificité1Bovins,1)),
AND(INDEX(Règles_bovins[Specificite],MATCH(ChoixRationBovins&amp;$BB226,Règles_bovins[Ration]&amp;Règles_bovins[Aliment],0))="s2",IF($BB226=Spécificité2Bovins,1)),
INDEX(Règles_bovins[Specificite],MATCH(ChoixRationBovins&amp;$BB226,Règles_bovins[Ration]&amp;Règles_bovins[Aliment],0))="c"),
INDEX(Règles_bovins[Valeur 36 et plus],MATCH(ChoixRationBovins&amp;$BB226,Règles_bovins[Ration]&amp;Règles_bovins[Aliment],0)),0),0)*IF(ChoixBovinsPréHiver=OUI,TotalTaureauxRacesLaitières,TotalTaureaux*NbreJoursNourrirBovins))</f>
        <v>0</v>
      </c>
      <c r="BD226" s="351">
        <f t="array" ref="BD226">IF(Ration_complète_bovins[somme]&gt;0,0,IFERROR(IF(OR(AND(INDEX(Règles_bovins[Specificite],MATCH(ChoixRationBovins&amp;$BB226,Règles_bovins[Ration]&amp;Règles_bovins[Aliment],0))="s1",IF($BB226=Spécificité1Bovins,1)),
AND(INDEX(Règles_bovins[Specificite],MATCH(ChoixRationBovins&amp;$BB226,Règles_bovins[Ration]&amp;Règles_bovins[Aliment],0))="s2",IF($BB226=Spécificité2Bovins,1)),
INDEX(Règles_bovins[Specificite],MATCH(ChoixRationBovins&amp;$BB226,Règles_bovins[Ration]&amp;Règles_bovins[Aliment],0))="c"),
INDEX(Règles_bovins[Valeur 24-36],MATCH(ChoixRationBovins&amp;$BB226,Règles_bovins[Ration]&amp;Règles_bovins[Aliment],0)),0),0)*IF(ChoixBovinsPréHiver=OUI,TotalTaurillon_24_36_RacesLaitières,TotalBovinsMâles_24_36mois*NbreJoursNourrirBovins))</f>
        <v>0</v>
      </c>
      <c r="BE226" s="351">
        <f t="array" ref="BE226">IF(Ration_complète_bovins[somme]&gt;0,0,IFERROR(IF(OR(AND(INDEX(Règles_bovins[Specificite],MATCH(ChoixRationBovins&amp;$BB226,Règles_bovins[Ration]&amp;Règles_bovins[Aliment],0))="s1",IF($BB226=Spécificité1Bovins,1)),
AND(INDEX(Règles_bovins[Specificite],MATCH(ChoixRationBovins&amp;$BB226,Règles_bovins[Ration]&amp;Règles_bovins[Aliment],0))="s2",IF($BB226=Spécificité2Bovins,1)),
INDEX(Règles_bovins[Specificite],MATCH(ChoixRationBovins&amp;$BB226,Règles_bovins[Ration]&amp;Règles_bovins[Aliment],0))="c"),
INDEX(Règles_bovins[Valeur 18-24],MATCH(ChoixRationBovins&amp;$BB226,Règles_bovins[Ration]&amp;Règles_bovins[Aliment],0)),0),0)*IF(ChoixBovinsPréHiver=OUI,TotalTaurillon_18_24_RacesLaitières,TotalBovinsMâles_18_24mois*NbreJoursNourrirBovins))</f>
        <v>0</v>
      </c>
      <c r="BF226" s="351">
        <f t="array" ref="BF226">IF(Ration_complète_bovins[somme]&gt;0,0,IFERROR(IF(OR(AND(INDEX(Règles_bovins[Specificite],MATCH(ChoixRationBovins&amp;$BB226,Règles_bovins[Ration]&amp;Règles_bovins[Aliment],0))="s1",IF($BB226=Spécificité1Bovins,1)),
AND(INDEX(Règles_bovins[Specificite],MATCH(ChoixRationBovins&amp;$BB226,Règles_bovins[Ration]&amp;Règles_bovins[Aliment],0))="s2",IF($BB226=Spécificité2Bovins,1)),
INDEX(Règles_bovins[Specificite],MATCH(ChoixRationBovins&amp;$BB226,Règles_bovins[Ration]&amp;Règles_bovins[Aliment],0))="c"),
INDEX(Règles_bovins[Valeur 12-18],MATCH(ChoixRationBovins&amp;$BB226,Règles_bovins[Ration]&amp;Règles_bovins[Aliment],0)),0),0)*IF(ChoixBovinsPréHiver=OUI,animaux!D49,TotalBovinsMâles_12_18mois*NbreJoursNourrirBovins))</f>
        <v>0</v>
      </c>
      <c r="BG226" s="351">
        <f t="array" ref="BG226">IF(Ration_complète_bovins[somme]&gt;0,0,IFERROR(IF(OR(AND(INDEX(Règles_bovins[Specificite],MATCH(ChoixRationBovins&amp;$BB226,Règles_bovins[Ration]&amp;Règles_bovins[Aliment],0))="s1",IF($BB226=Spécificité1Bovins,1)),
AND(INDEX(Règles_bovins[Specificite],MATCH(ChoixRationBovins&amp;$BB226,Règles_bovins[Ration]&amp;Règles_bovins[Aliment],0))="s2",IF($BB226=Spécificité2Bovins,1)),
INDEX(Règles_bovins[Specificite],MATCH(ChoixRationBovins&amp;$BB226,Règles_bovins[Ration]&amp;Règles_bovins[Aliment],0))="c"),
INDEX(Règles_bovins[Valeur 6-12],MATCH(ChoixRationBovins&amp;$BB226,Règles_bovins[Ration]&amp;Règles_bovins[Aliment],0)),0),0)*IF(ChoixBovinsPréHiver=OUI,TotalVeauMâle_6_12_RacesLaitières,TotalBovinsMâles_6_12mois*NbreJoursNourrirBovins))</f>
        <v>0</v>
      </c>
      <c r="BH226" s="351">
        <f t="array" ref="BH226">IF(Ration_complète_bovins[somme]&gt;0,0,IFERROR(IF(OR(AND(INDEX(Règles_bovins[Specificite],MATCH(ChoixRationBovins&amp;$BB226,Règles_bovins[Ration]&amp;Règles_bovins[Aliment],0))="s1",IF($BB226=Spécificité1Bovins,1)),
AND(INDEX(Règles_bovins[Specificite],MATCH(ChoixRationBovins&amp;$BB226,Règles_bovins[Ration]&amp;Règles_bovins[Aliment],0))="s2",IF($BB226=Spécificité2Bovins,1)),
INDEX(Règles_bovins[Specificite],MATCH(ChoixRationBovins&amp;$BB226,Règles_bovins[Ration]&amp;Règles_bovins[Aliment],0))="c"),
INDEX(Règles_bovins[Valeur 3-6],MATCH(ChoixRationBovins&amp;$BB226,Règles_bovins[Ration]&amp;Règles_bovins[Aliment],0)),0),0)*IF(ChoixBovinsPréHiver=OUI,TotalVeauMâle_3_6_RacesLaitières,TotalBovinsMâles_3_6mois*NbreJoursNourrirBovins))</f>
        <v>0</v>
      </c>
      <c r="BI226" s="351">
        <f t="array" ref="BI226">IF(Ration_complète_bovins[somme]&gt;0,0,IFERROR(IF(OR(AND(INDEX(Règles_bovins[Specificite],MATCH(ChoixRationBovins&amp;$BB226,Règles_bovins[Ration]&amp;Règles_bovins[Aliment],0))="s1",IF($BB226=Spécificité1Bovins,1)),
AND(INDEX(Règles_bovins[Specificite],MATCH(ChoixRationBovins&amp;$BB226,Règles_bovins[Ration]&amp;Règles_bovins[Aliment],0))="s2",IF($BB226=Spécificité2Bovins,1)),
INDEX(Règles_bovins[Specificite],MATCH(ChoixRationBovins&amp;$BB226,Règles_bovins[Ration]&amp;Règles_bovins[Aliment],0))="c"),
INDEX(Règles_bovins[Valeur 0-3],MATCH(ChoixRationBovins&amp;$BB226,Règles_bovins[Ration]&amp;Règles_bovins[Aliment],0)),0),0)*IF(ChoixBovinsPréHiver=OUI,TotalVeauMâle_0_3_RacesLaitières,TotalBovinsMâles_0_3mois*NbreJoursNourrirBovins))</f>
        <v>0</v>
      </c>
      <c r="BJ226" s="352">
        <f t="shared" si="62"/>
        <v>0</v>
      </c>
      <c r="BK226" s="276"/>
      <c r="BX226" s="350" t="str">
        <f t="shared" si="63"/>
        <v>Tourteau de colza</v>
      </c>
      <c r="BY226" s="351">
        <f t="array" ref="BY226">SUM((IF(QualitéAlimentsChevreau_0_3_mois=BONNE,VLOOKUP("Tourteau de colza",AlimentsRationCaprinsMâles,5,FALSE),0)+(IF(QualitéAlimentsChevrette_0_3_mois=BONNE,VLOOKUP("Tourteau de colza",AlimentsRationCaprinsFemelles,5,FALSE),0)+(IF(QualitéAlimentsChevreau_3_6_mois=BONNE,VLOOKUP("Tourteau de colza",AlimentsRationCaprinsMâles,4,FALSE),0)+(IF(QualitéAlimentsChevrette_3_6_mois=BONNE,VLOOKUP("Tourteau de colza",AlimentsRationCaprinsFemelles,4,FALSE),0)+(IF(QualitéAlimentsJeuneBouc=BONNE,VLOOKUP("Tourteau de colza",AlimentsRationCaprinsMâles,3,FALSE),0)+(IF(QualitéAlimentsJeuneChèvre=BONNE,VLOOKUP("Tourteau de colza",AlimentsRationCaprinsFemelles,3,FALSE),0)+(IF(QualitéAlimentsBouc=BONNE,VLOOKUP("Tourteau de colza",AlimentsRationCaprinsMâles,2,FALSE),0)+(IF(QualitéAlimentsChèvre=BONNE,VLOOKUP("Tourteau de colza",AlimentsRationCaprinsFemelles,2,FALSE),0))))))))))</f>
        <v>0</v>
      </c>
      <c r="BZ226" s="351">
        <f t="array" ref="BZ226">SUM((IF(QualitéAlimentsChevreau_0_3_mois=MOYENNE,VLOOKUP("Tourteau de colza",AlimentsRationCaprinsMâles,5,FALSE),0)+(IF(QualitéAlimentsChevrette_0_3_mois=MOYENNE,VLOOKUP("Tourteau de colza",AlimentsRationCaprinsFemelles,5,FALSE),0)+(IF(QualitéAlimentsChevreau_3_6_mois=MOYENNE,VLOOKUP("Tourteau de colza",AlimentsRationCaprinsMâles,4,FALSE),0)+(IF(QualitéAlimentsChevrette_3_6_mois=MOYENNE,VLOOKUP("Tourteau de colza",AlimentsRationCaprinsFemelles,4,FALSE),0)+(IF(QualitéAlimentsJeuneBouc=MOYENNE,VLOOKUP("Tourteau de colza",AlimentsRationCaprinsMâles,3,FALSE),0)+(IF(QualitéAlimentsJeuneChèvre=MOYENNE,VLOOKUP("Tourteau de colza",AlimentsRationCaprinsFemelles,3,FALSE),0)+(IF(QualitéAlimentsBouc=MOYENNE,VLOOKUP("Tourteau de colza",AlimentsRationCaprinsMâles,2,FALSE),0)+(IF(QualitéAlimentsChèvre=MOYENNE,VLOOKUP("Tourteau de colza",AlimentsRationCaprinsFemelles,2,FALSE),0))))))))))</f>
        <v>0</v>
      </c>
      <c r="CA226" s="351">
        <f t="array" ref="CA226">SUM((IF(QualitéAlimentsChevreau_0_3_mois=MAUVAISE,VLOOKUP("Tourteau de colza",AlimentsRationCaprinsMâles,5,FALSE),0)+(IF(QualitéAlimentsChevrette_0_3_mois=MAUVAISE,VLOOKUP("Tourteau de colza",AlimentsRationCaprinsFemelles,5,FALSE),0)+(IF(QualitéAlimentsChevreau_3_6_mois=MAUVAISE,VLOOKUP("Tourteau de colza",AlimentsRationCaprinsMâles,4,FALSE),0)+(IF(QualitéAlimentsChevrette_3_6_mois=MAUVAISE,VLOOKUP("Tourteau de colza",AlimentsRationCaprinsFemelles,4,FALSE),0)+(IF(QualitéAlimentsJeuneBouc=MAUVAISE,VLOOKUP("Tourteau de colza",AlimentsRationCaprinsMâles,3,FALSE),0)+(IF(QualitéAlimentsJeuneChèvre=MAUVAISE,VLOOKUP("Tourteau de colza",AlimentsRationCaprinsFemelles,3,FALSE),0)+(IF(QualitéAlimentsBouc=MAUVAISE,VLOOKUP("Tourteau de colza",AlimentsRationCaprinsMâles,2,FALSE),0)+(IF(QualitéAlimentsChèvre=MAUVAISE,VLOOKUP("Tourteau de colza",AlimentsRationCaprinsFemelles,2,FALSE),0))))))))))</f>
        <v>0</v>
      </c>
      <c r="CB226" s="277"/>
      <c r="CC226" s="277"/>
      <c r="CD226" s="298"/>
      <c r="CE226" s="298"/>
      <c r="CF226" s="298"/>
      <c r="CG226" s="298"/>
      <c r="CH226" s="298"/>
      <c r="CI226" s="277"/>
      <c r="CK226" s="277"/>
      <c r="CL226" s="277"/>
      <c r="CM226" s="277"/>
      <c r="CN226" s="277"/>
      <c r="CO226" s="277"/>
      <c r="CP226" s="277"/>
      <c r="DN226" s="350">
        <f t="shared" si="61"/>
        <v>0</v>
      </c>
      <c r="DO226" s="351">
        <f t="array" ref="DO226">IF(ChoixRationComplèteOvins=OUI,0,IFERROR(IF(OR(AND(INDEX(Règles_ovins[Specificite],MATCH(ChoixRationOvins&amp;$DN226,Règles_ovins[Ration]&amp;Règles_ovins[Aliment],0))="s1",IF($DN226=Spécificité1Ovins,1)),
AND(INDEX(Règles_ovins[Specificite],MATCH(ChoixRationOvins&amp;$DN226,Règles_ovins[Ration]&amp;Règles_ovins[Aliment],0))="s2",IF($DN226=Spécificité2Ovins,1)),
INDEX(Règles_ovins[Specificite],MATCH(ChoixRationOvins&amp;$DN226,Règles_ovins[Ration]&amp;Règles_ovins[Aliment],0))="c"),
INDEX(Règles_ovins[Valeur 12 et plus],MATCH(ChoixRationOvins&amp;$DN226,Règles_ovins[Ration]&amp;Règles_ovins[Aliment],0)),0),0)*IF(ChoixOvinsPréHiver=OUI,SUM(TotalOvinsAdultesRacesLaitières)*NbreJoursNourrirOvins,TotalBrebis*NbreJoursNourrirOvins))</f>
        <v>0</v>
      </c>
      <c r="DP226" s="351">
        <f t="array" ref="DP226">IF(ChoixRationComplèteOvins=OUI,0,IFERROR(IF(OR(AND(INDEX(Règles_ovins[Specificite],MATCH(ChoixRationOvins&amp;$DN226,Règles_ovins[Ration]&amp;Règles_ovins[Aliment],0))="s1",IF($DN226=Spécificité1Ovins,1)),
AND(INDEX(Règles_ovins[Specificite],MATCH(ChoixRationOvins&amp;$DN226,Règles_ovins[Ration]&amp;Règles_ovins[Aliment],0))="s2",IF($DN226=Spécificité2Ovins,1)),
INDEX(Règles_ovins[Specificite],MATCH(ChoixRationOvins&amp;$DN226,Règles_ovins[Ration]&amp;Règles_ovins[Aliment],0))="c"),
INDEX(Règles_ovins[Valeur 6-12],MATCH(ChoixRationOvins&amp;$DN226,Règles_ovins[Ration]&amp;Règles_ovins[Aliment],0)),0),0)*IF(ChoixOvinsPréHiver=OUI,SUM(TotalJeunesOvinsRacesLaitières)*NbreJoursNourrirOvins,TotalJeune_brebis_6_12_mois*NbreJoursNourrirOvins))</f>
        <v>0</v>
      </c>
      <c r="DQ226" s="351">
        <f t="array" ref="DQ226">IF(ChoixRationComplèteOvins=OUI,0,IFERROR(IF(OR(AND(INDEX(Règles_ovins[Specificite],MATCH(ChoixRationOvins&amp;$DN226,Règles_ovins[Ration]&amp;Règles_ovins[Aliment],0))="s1",IF($DN226=Spécificité1Ovins,1)),
AND(INDEX(Règles_ovins[Specificite],MATCH(ChoixRationOvins&amp;$DN226,Règles_ovins[Ration]&amp;Règles_ovins[Aliment],0))="s2",IF($DN226=Spécificité2Ovins,1)),
INDEX(Règles_ovins[Specificite],MATCH(ChoixRationOvins&amp;$DN226,Règles_ovins[Ration]&amp;Règles_ovins[Aliment],0))="c"),
INDEX(Règles_ovins[Valeur 3-6],MATCH(ChoixRationOvins&amp;$DN226,Règles_ovins[Ration]&amp;Règles_ovins[Aliment],0)),0),0)*IF(ChoixOvinsPréHiver=OUI,SUM(TotalOvins_3_6moisRacesLaitières)*NbreJoursNourrirOvins,TotalAgnelle_3_6_mois*NbreJoursNourrirOvins))</f>
        <v>0</v>
      </c>
      <c r="DR226" s="351">
        <f t="array" ref="DR226">IF(ChoixRationComplèteOvins=OUI,0,IFERROR(IF(OR(AND(INDEX(Règles_ovins[Specificite],MATCH(ChoixRationOvins&amp;$DN226,Règles_ovins[Ration]&amp;Règles_ovins[Aliment],0))="s1",IF($DN226=Spécificité1Ovins,1)),
AND(INDEX(Règles_ovins[Specificite],MATCH(ChoixRationOvins&amp;$DN226,Règles_ovins[Ration]&amp;Règles_ovins[Aliment],0))="s2",IF($DN226=Spécificité2Ovins,1)),
INDEX(Règles_ovins[Specificite],MATCH(ChoixRationOvins&amp;$DN226,Règles_ovins[Ration]&amp;Règles_ovins[Aliment],0))="c"),
INDEX(Règles_ovins[Valeur 0-3],MATCH(ChoixRationOvins&amp;$DN226,Règles_ovins[Ration]&amp;Règles_ovins[Aliment],0)),0),0)*IF(ChoixOvinsPréHiver=OUI,SUM(TotalOvins_3_6moisRacesLaitières)*NbreJoursNourrirOvins,TotalAgnelle_0_3_mois*NbreJoursNourrirOvins))</f>
        <v>0</v>
      </c>
      <c r="DS226" s="441">
        <f t="shared" si="60"/>
        <v>0</v>
      </c>
      <c r="EU226" s="457" t="str">
        <f t="shared" si="66"/>
        <v>Pomme de terre</v>
      </c>
      <c r="EV226" s="458">
        <f t="array" ref="EV226">SUM((IF(QualitéAlimentsPoulainSelleMâle=BONNE,VLOOKUP("Pomme de terre",AlimentsRationEcurieChevauxMâlesSelle,5,FALSE),0)+(IF(QualitéAlimentsPoulainSelleFemelle=BONNE,VLOOKUP("Pomme de terre",AlimentsRationEcurieChevauxFemellesSelle,5,FALSE),0)+(IF(QualitéAlimentsJeuneEtalon_12_24_moisSelle=BONNE,VLOOKUP("Pomme de terre",AlimentsRationEcurieChevauxMâlesSelle,4,FALSE),0)+(IF(QualitéAlimentsJeuneJument_12_24_moisSelle=BONNE,VLOOKUP("Pomme de terre",AlimentsRationEcurieChevauxFemellesSelle,4,FALSE),0)+(IF(QualitéAlimentsJeuneEtalon_24_36_moisSelle=BONNE,VLOOKUP("Pomme de terre",AlimentsRationEcurieChevauxMâlesSelle,3,FALSE),0)+(IF(QualitéAlimentsJeuneJument_24_36_moisSelle=BONNE,VLOOKUP("Pomme de terre",AlimentsRationEcurieChevauxFemellesSelle,3,FALSE),0)+(IF(QualitéAlimentsEtalonSelle=BONNE,VLOOKUP("Pomme de terre",AlimentsRationEcurieChevauxMâlesSelle,2,FALSE),0)+(IF(QualitéAlimentsJumentSelle=BONNE,VLOOKUP("Pomme de terre",AlimentsRationEcurieChevauxFemellesSelle,2,FALSE),0))))))))))</f>
        <v>0</v>
      </c>
      <c r="EW226" s="458">
        <f t="array" ref="EW226">SUM((IF(QualitéAlimentsPoulainSelleMâle=MOYENNE,VLOOKUP("Pomme de terre",AlimentsRationEcurieChevauxMâlesSelle,5,FALSE),0)+(IF(QualitéAlimentsPoulainSelleFemelle=MOYENNE,VLOOKUP("Pomme de terre",AlimentsRationEcurieChevauxFemellesSelle,5,FALSE),0)+(IF(QualitéAlimentsJeuneEtalon_12_24_moisSelle=MOYENNE,VLOOKUP("Pomme de terre",AlimentsRationEcurieChevauxMâlesSelle,4,FALSE),0)+(IF(QualitéAlimentsJeuneJument_12_24_moisSelle=MOYENNE,VLOOKUP("Pomme de terre",AlimentsRationEcurieChevauxFemellesSelle,4,FALSE),0)+(IF(QualitéAlimentsJeuneEtalon_24_36_moisSelle=MOYENNE,VLOOKUP("Pomme de terre",AlimentsRationEcurieChevauxMâlesSelle,3,FALSE),0)+(IF(QualitéAlimentsJeuneJument_24_36_moisSelle=MOYENNE,VLOOKUP("Pomme de terre",AlimentsRationEcurieChevauxFemellesSelle,3,FALSE),0)+(IF(QualitéAlimentsEtalonSelle=MOYENNE,VLOOKUP("Pomme de terre",AlimentsRationEcurieChevauxMâlesSelle,2,FALSE),0)+(IF(QualitéAlimentsJumentSelle=MOYENNE,VLOOKUP("Pomme de terre",AlimentsRationEcurieChevauxFemellesSelle,2,FALSE),0))))))))))</f>
        <v>0</v>
      </c>
      <c r="EX226" s="458">
        <f t="array" ref="EX226">SUM((IF(QualitéAlimentsPoulainSelleMâle=MAUVAISE,VLOOKUP("Pomme de terre",AlimentsRationEcurieChevauxMâlesSelle,5,FALSE),0)+(IF(QualitéAlimentsPoulainSelleFemelle=MAUVAISE,VLOOKUP("Pomme de terre",AlimentsRationEcurieChevauxFemellesSelle,5,FALSE),0)+(IF(QualitéAlimentsJeuneEtalon_12_24_moisSelle=MAUVAISE,VLOOKUP("Pomme de terre",AlimentsRationEcurieChevauxMâlesSelle,4,FALSE),0)+(IF(QualitéAlimentsJeuneJument_12_24_moisSelle=MAUVAISE,VLOOKUP("Pomme de terre",AlimentsRationEcurieChevauxFemellesSelle,4,FALSE),0)+(IF(QualitéAlimentsJeuneEtalon_24_36_moisSelle=MAUVAISE,VLOOKUP("Pomme de terre",AlimentsRationEcurieChevauxMâlesSelle,3,FALSE),0)+(IF(QualitéAlimentsJeuneJument_24_36_moisSelle=MAUVAISE,VLOOKUP("Pomme de terre",AlimentsRationEcurieChevauxFemellesSelle,3,FALSE),0)+(IF(QualitéAlimentsEtalonSelle=MAUVAISE,VLOOKUP("Pomme de terre",AlimentsRationEcurieChevauxMâlesSelle,2,FALSE),0)+(IF(QualitéAlimentsJumentSelle=MAUVAISE,VLOOKUP("Pomme de terre",AlimentsRationEcurieChevauxFemellesSelle,2,FALSE),0))))))))))</f>
        <v>0</v>
      </c>
      <c r="FD226" s="457" t="str">
        <f t="shared" si="65"/>
        <v>Sorgho ensilé</v>
      </c>
      <c r="FE226" s="458">
        <f t="array" ref="FE226">SUM((IF(QualitéAlimentsPoulainMâleTrait=BONNE,VLOOKUP("Sorho ensilé",AlimentsRationEcurieChevauxMâlesTrait,5,FALSE),0)+(IF(QualitéAlimentsPoulainFemelleTrait=BONNE,VLOOKUP("Sorho ensilé",AlimentsRationEcurieChevauxFemellesTrait,5,FALSE),0)+(IF(QualitéAlimentsJeuneEtalon_12_24_moisTrait=BONNE,VLOOKUP("Sorho ensilé",AlimentsRationEcurieChevauxMâlesTrait,4,FALSE),0)+(IF(QualitéAlimentsJeuneJument_12_24_moisTrait=BONNE,VLOOKUP("Sorho ensilé",AlimentsRationEcurieChevauxFemellesTrait,4,FALSE),0)+(IF(QualitéAlimentsJeuneEtalon_24_36_moisTrait=BONNE,VLOOKUP("Sorho ensilé",AlimentsRationEcurieChevauxMâlesTrait,3,FALSE),0)+(IF(QualitéAlimentsJeuneJument_24_36_moisTrait=BONNE,VLOOKUP("Sorho ensilé",AlimentsRationEcurieChevauxFemellesTrait,3,FALSE),0)+(IF(QualitéAlimentsEtalonTrait=BONNE,VLOOKUP("Sorho ensilé",AlimentsRationEcurieChevauxMâlesTrait,2,FALSE),0)+(IF(QualitéAlimentsJumentTrait=BONNE,VLOOKUP("Sorho ensilé",AlimentsRationEcurieChevauxFemellesTrait,2,FALSE),0))))))))))</f>
        <v>0</v>
      </c>
      <c r="FF226" s="458">
        <f t="array" ref="FF226">SUM((IF(QualitéAlimentsPoulainMâleTrait=MOYENNE,VLOOKUP("Sorho ensilé",AlimentsRationEcurieChevauxMâlesTrait,5,FALSE),0)+(IF(QualitéAlimentsPoulainFemelleTrait=MOYENNE,VLOOKUP("Sorho ensilé",AlimentsRationEcurieChevauxFemellesTrait,5,FALSE),0)+(IF(QualitéAlimentsJeuneEtalon_12_24_moisTrait=MOYENNE,VLOOKUP("Sorho ensilé",AlimentsRationEcurieChevauxMâlesTrait,4,FALSE),0)+(IF(QualitéAlimentsJeuneJument_12_24_moisTrait=MOYENNE,VLOOKUP("Sorho ensilé",AlimentsRationEcurieChevauxFemellesTrait,4,FALSE),0)+(IF(QualitéAlimentsJeuneEtalon_24_36_moisTrait=MOYENNE,VLOOKUP("Sorho ensilé",AlimentsRationEcurieChevauxMâlesTrait,3,FALSE),0)+(IF(QualitéAlimentsJeuneJument_24_36_moisTrait=MOYENNE,VLOOKUP("Sorho ensilé",AlimentsRationEcurieChevauxFemellesTrait,3,FALSE),0)+(IF(QualitéAlimentsEtalonTrait=MOYENNE,VLOOKUP("Sorho ensilé",AlimentsRationEcurieChevauxMâlesTrait,2,FALSE),0)+(IF(QualitéAlimentsJumentTrait=MOYENNE,VLOOKUP("Sorho ensilé",AlimentsRationEcurieChevauxFemellesTrait,2,FALSE),0))))))))))</f>
        <v>0</v>
      </c>
      <c r="FG226" s="458">
        <f t="array" ref="FG226">SUM((IF(QualitéAlimentsPoulainMâleTrait=MAUVAISE,VLOOKUP("Sorho ensilé",AlimentsRationEcurieChevauxMâlesTrait,5,FALSE),0)+(IF(QualitéAlimentsPoulainFemelleTrait=MAUVAISE,VLOOKUP("Sorho ensilé",AlimentsRationEcurieChevauxFemellesTrait,5,FALSE),0)+(IF(QualitéAlimentsJeuneEtalon_12_24_moisTrait=MAUVAISE,VLOOKUP("Sorho ensilé",AlimentsRationEcurieChevauxMâlesTrait,4,FALSE),0)+(IF(QualitéAlimentsJeuneJument_12_24_moisTrait=MAUVAISE,VLOOKUP("Sorho ensilé",AlimentsRationEcurieChevauxFemellesTrait,4,FALSE),0)+(IF(QualitéAlimentsJeuneEtalon_24_36_moisTrait=MAUVAISE,VLOOKUP("Sorho ensilé",AlimentsRationEcurieChevauxMâlesTrait,3,FALSE),0)+(IF(QualitéAlimentsJeuneJument_24_36_moisTrait=MAUVAISE,VLOOKUP("Sorho ensilé",AlimentsRationEcurieChevauxFemellesTrait,3,FALSE),0)+(IF(QualitéAlimentsEtalonTrait=MAUVAISE,VLOOKUP("Sorho ensilé",AlimentsRationEcurieChevauxMâlesTrait,2,FALSE),0)+(IF(QualitéAlimentsJumentTrait=MAUVAISE,VLOOKUP("Sorho ensilé",AlimentsRationEcurieChevauxFemellesTrait,2,FALSE),0))))))))))</f>
        <v>0</v>
      </c>
      <c r="FI226" s="276"/>
      <c r="FN226" s="457" t="str">
        <f t="shared" si="64"/>
        <v>Tournesol</v>
      </c>
      <c r="FO226" s="458">
        <f t="array" ref="FO226">SUM((IF(QualitéAlimentsPoulainMâlePoney=BONNE,VLOOKUP("Tournesol",AlimentsRationChevauxMâlesPoney,5,FALSE),0)+(IF(QualitéAlimentsPoulainFemellePoney=BONNE,VLOOKUP("Tournesol",AlimentsRationChevauxFemellesPoney,5,FALSE),0)+(IF(QualitéAlimentsJeuneEtalon_12_24_moisPoney=BONNE,VLOOKUP("Tournesol",AlimentsRationChevauxMâlesPoney,4,FALSE),0)+(IF(QualitéAlimentsJeuneJument_12_24_moisPoney=BONNE,VLOOKUP("Tournesol",AlimentsRationChevauxFemellesPoney,4,FALSE),0)+(IF(QualitéAlimentsJeuneEtalon_24_36_moisPoney=BONNE,VLOOKUP("Tournesol",AlimentsRationChevauxMâlesPoney,3,FALSE),0)+(IF(QualitéAlimentsJeuneJument_24_36_moisPoney=BONNE,VLOOKUP("Tournesol",AlimentsRationChevauxFemellesPoney,3,FALSE),0)+(IF(QualitéAlimentsEtalonPoney=BONNE,VLOOKUP("Tournesol",AlimentsRationChevauxMâlesPoney,2,FALSE),0)+(IF(QualitéAlimentsJumentPoney=BONNE,VLOOKUP("Tournesol",AlimentsRationChevauxFemellesPoney,2,FALSE),0))))))))))</f>
        <v>0</v>
      </c>
      <c r="FP226" s="458">
        <f t="array" ref="FP226">SUM((IF(QualitéAlimentsPoulainMâlePoney=MOYENNE,VLOOKUP("Tournesol",AlimentsRationChevauxMâlesPoney,5,FALSE),0)+(IF(QualitéAlimentsPoulainFemellePoney=MOYENNE,VLOOKUP("Tournesol",AlimentsRationChevauxFemellesPoney,5,FALSE),0)+(IF(QualitéAlimentsJeuneEtalon_12_24_moisPoney=MOYENNE,VLOOKUP("Tournesol",AlimentsRationChevauxMâlesPoney,4,FALSE),0)+(IF(QualitéAlimentsJeuneJument_12_24_moisPoney=MOYENNE,VLOOKUP("Tournesol",AlimentsRationChevauxFemellesPoney,4,FALSE),0)+(IF(QualitéAlimentsJeuneEtalon_24_36_moisPoney=MOYENNE,VLOOKUP("Tournesol",AlimentsRationChevauxMâlesPoney,3,FALSE),0)+(IF(QualitéAlimentsJeuneJument_24_36_moisPoney=MOYENNE,VLOOKUP("Tournesol",AlimentsRationChevauxFemellesPoney,3,FALSE),0)+(IF(QualitéAlimentsEtalonPoney=MOYENNE,VLOOKUP("Tournesol",AlimentsRationChevauxMâlesPoney,2,FALSE),0)+(IF(QualitéAlimentsJumentPoney=MOYENNE,VLOOKUP("Tournesol",AlimentsRationChevauxFemellesPoney,2,FALSE),0))))))))))</f>
        <v>0</v>
      </c>
      <c r="FQ226" s="458">
        <f t="array" ref="FQ226">SUM((IF(QualitéAlimentsPoulainMâlePoney=MAUVAISE,VLOOKUP("Tournesol",AlimentsRationChevauxMâlesPoney,5,FALSE),0)+(IF(QualitéAlimentsPoulainFemellePoney=MAUVAISE,VLOOKUP("Tournesol",AlimentsRationChevauxFemellesPoney,5,FALSE),0)+(IF(QualitéAlimentsJeuneEtalon_12_24_moisPoney=MAUVAISE,VLOOKUP("Tournesol",AlimentsRationChevauxMâlesPoney,4,FALSE),0)+(IF(QualitéAlimentsJeuneJument_12_24_moisPoney=MAUVAISE,VLOOKUP("Tournesol",AlimentsRationChevauxFemellesPoney,4,FALSE),0)+(IF(QualitéAlimentsJeuneEtalon_24_36_moisPoney=MAUVAISE,VLOOKUP("Tournesol",AlimentsRationChevauxMâlesPoney,3,FALSE),0)+(IF(QualitéAlimentsJeuneJument_24_36_moisPoney=MAUVAISE,VLOOKUP("Tournesol",AlimentsRationChevauxFemellesPoney,3,FALSE),0)+(IF(QualitéAlimentsEtalonPoney=MAUVAISE,VLOOKUP("Tournesol",AlimentsRationChevauxMâlesPoney,2,FALSE),0)+(IF(QualitéAlimentsJumentPoney=MAUVAISE,VLOOKUP("Tournesol",AlimentsRationChevauxFemellesPoney,2,FALSE),0))))))))))</f>
        <v>0</v>
      </c>
      <c r="FR226" s="281"/>
      <c r="GG226" s="276" t="s">
        <v>955</v>
      </c>
      <c r="GH226" s="276" t="s">
        <v>955</v>
      </c>
      <c r="GI226" s="276" t="s">
        <v>955</v>
      </c>
      <c r="GJ226" s="276" t="s">
        <v>955</v>
      </c>
      <c r="GK226" s="276" t="s">
        <v>955</v>
      </c>
      <c r="GL226" s="276" t="s">
        <v>955</v>
      </c>
      <c r="GM226" s="276" t="s">
        <v>955</v>
      </c>
      <c r="GN226" s="276" t="s">
        <v>955</v>
      </c>
      <c r="GO226" s="276" t="s">
        <v>955</v>
      </c>
      <c r="GP226" s="276" t="s">
        <v>955</v>
      </c>
      <c r="GQ226" s="276" t="s">
        <v>955</v>
      </c>
      <c r="GR226" s="276" t="s">
        <v>955</v>
      </c>
      <c r="GS226" s="276" t="s">
        <v>955</v>
      </c>
      <c r="GT226" s="276" t="s">
        <v>955</v>
      </c>
      <c r="GU226" s="276" t="s">
        <v>955</v>
      </c>
      <c r="GV226" s="276" t="s">
        <v>955</v>
      </c>
    </row>
    <row r="227" spans="1:204" ht="12.75" customHeight="1" x14ac:dyDescent="0.2">
      <c r="A227" s="276"/>
      <c r="B227" s="276"/>
      <c r="BB227" s="350"/>
      <c r="BC227" s="351">
        <f t="array" ref="BC227">IF(Ration_complète_bovins[somme]&gt;0,0,IFERROR(IF(OR(AND(INDEX(Règles_bovins[Specificite],MATCH(ChoixRationBovins&amp;$BB227,Règles_bovins[Ration]&amp;Règles_bovins[Aliment],0))="s1",IF($BB227=Spécificité1Bovins,1)),
AND(INDEX(Règles_bovins[Specificite],MATCH(ChoixRationBovins&amp;$BB227,Règles_bovins[Ration]&amp;Règles_bovins[Aliment],0))="s2",IF($BB227=Spécificité2Bovins,1)),
INDEX(Règles_bovins[Specificite],MATCH(ChoixRationBovins&amp;$BB227,Règles_bovins[Ration]&amp;Règles_bovins[Aliment],0))="c"),
INDEX(Règles_bovins[Valeur 36 et plus],MATCH(ChoixRationBovins&amp;$BB227,Règles_bovins[Ration]&amp;Règles_bovins[Aliment],0)),0),0)*IF(ChoixBovinsPréHiver=OUI,TotalTaureauxRacesLaitières,TotalTaureaux*NbreJoursNourrirBovins))</f>
        <v>0</v>
      </c>
      <c r="BD227" s="351">
        <f t="array" ref="BD227">IF(Ration_complète_bovins[somme]&gt;0,0,IFERROR(IF(OR(AND(INDEX(Règles_bovins[Specificite],MATCH(ChoixRationBovins&amp;$BB227,Règles_bovins[Ration]&amp;Règles_bovins[Aliment],0))="s1",IF($BB227=Spécificité1Bovins,1)),
AND(INDEX(Règles_bovins[Specificite],MATCH(ChoixRationBovins&amp;$BB227,Règles_bovins[Ration]&amp;Règles_bovins[Aliment],0))="s2",IF($BB227=Spécificité2Bovins,1)),
INDEX(Règles_bovins[Specificite],MATCH(ChoixRationBovins&amp;$BB227,Règles_bovins[Ration]&amp;Règles_bovins[Aliment],0))="c"),
INDEX(Règles_bovins[Valeur 24-36],MATCH(ChoixRationBovins&amp;$BB227,Règles_bovins[Ration]&amp;Règles_bovins[Aliment],0)),0),0)*IF(ChoixBovinsPréHiver=OUI,TotalTaurillon_24_36_RacesLaitières,TotalBovinsMâles_24_36mois*NbreJoursNourrirBovins))</f>
        <v>0</v>
      </c>
      <c r="BE227" s="351">
        <f t="array" ref="BE227">IF(Ration_complète_bovins[somme]&gt;0,0,IFERROR(IF(OR(AND(INDEX(Règles_bovins[Specificite],MATCH(ChoixRationBovins&amp;$BB227,Règles_bovins[Ration]&amp;Règles_bovins[Aliment],0))="s1",IF($BB227=Spécificité1Bovins,1)),
AND(INDEX(Règles_bovins[Specificite],MATCH(ChoixRationBovins&amp;$BB227,Règles_bovins[Ration]&amp;Règles_bovins[Aliment],0))="s2",IF($BB227=Spécificité2Bovins,1)),
INDEX(Règles_bovins[Specificite],MATCH(ChoixRationBovins&amp;$BB227,Règles_bovins[Ration]&amp;Règles_bovins[Aliment],0))="c"),
INDEX(Règles_bovins[Valeur 18-24],MATCH(ChoixRationBovins&amp;$BB227,Règles_bovins[Ration]&amp;Règles_bovins[Aliment],0)),0),0)*IF(ChoixBovinsPréHiver=OUI,TotalTaurillon_18_24_RacesLaitières,TotalBovinsMâles_18_24mois*NbreJoursNourrirBovins))</f>
        <v>0</v>
      </c>
      <c r="BF227" s="351">
        <f t="array" ref="BF227">IF(Ration_complète_bovins[somme]&gt;0,0,IFERROR(IF(OR(AND(INDEX(Règles_bovins[Specificite],MATCH(ChoixRationBovins&amp;$BB227,Règles_bovins[Ration]&amp;Règles_bovins[Aliment],0))="s1",IF($BB227=Spécificité1Bovins,1)),
AND(INDEX(Règles_bovins[Specificite],MATCH(ChoixRationBovins&amp;$BB227,Règles_bovins[Ration]&amp;Règles_bovins[Aliment],0))="s2",IF($BB227=Spécificité2Bovins,1)),
INDEX(Règles_bovins[Specificite],MATCH(ChoixRationBovins&amp;$BB227,Règles_bovins[Ration]&amp;Règles_bovins[Aliment],0))="c"),
INDEX(Règles_bovins[Valeur 12-18],MATCH(ChoixRationBovins&amp;$BB227,Règles_bovins[Ration]&amp;Règles_bovins[Aliment],0)),0),0)*IF(ChoixBovinsPréHiver=OUI,animaux!D50,TotalBovinsMâles_12_18mois*NbreJoursNourrirBovins))</f>
        <v>0</v>
      </c>
      <c r="BG227" s="351">
        <f t="array" ref="BG227">IF(Ration_complète_bovins[somme]&gt;0,0,IFERROR(IF(OR(AND(INDEX(Règles_bovins[Specificite],MATCH(ChoixRationBovins&amp;$BB227,Règles_bovins[Ration]&amp;Règles_bovins[Aliment],0))="s1",IF($BB227=Spécificité1Bovins,1)),
AND(INDEX(Règles_bovins[Specificite],MATCH(ChoixRationBovins&amp;$BB227,Règles_bovins[Ration]&amp;Règles_bovins[Aliment],0))="s2",IF($BB227=Spécificité2Bovins,1)),
INDEX(Règles_bovins[Specificite],MATCH(ChoixRationBovins&amp;$BB227,Règles_bovins[Ration]&amp;Règles_bovins[Aliment],0))="c"),
INDEX(Règles_bovins[Valeur 6-12],MATCH(ChoixRationBovins&amp;$BB227,Règles_bovins[Ration]&amp;Règles_bovins[Aliment],0)),0),0)*IF(ChoixBovinsPréHiver=OUI,TotalVeauMâle_6_12_RacesLaitières,TotalBovinsMâles_6_12mois*NbreJoursNourrirBovins))</f>
        <v>0</v>
      </c>
      <c r="BH227" s="351">
        <f t="array" ref="BH227">IF(Ration_complète_bovins[somme]&gt;0,0,IFERROR(IF(OR(AND(INDEX(Règles_bovins[Specificite],MATCH(ChoixRationBovins&amp;$BB227,Règles_bovins[Ration]&amp;Règles_bovins[Aliment],0))="s1",IF($BB227=Spécificité1Bovins,1)),
AND(INDEX(Règles_bovins[Specificite],MATCH(ChoixRationBovins&amp;$BB227,Règles_bovins[Ration]&amp;Règles_bovins[Aliment],0))="s2",IF($BB227=Spécificité2Bovins,1)),
INDEX(Règles_bovins[Specificite],MATCH(ChoixRationBovins&amp;$BB227,Règles_bovins[Ration]&amp;Règles_bovins[Aliment],0))="c"),
INDEX(Règles_bovins[Valeur 3-6],MATCH(ChoixRationBovins&amp;$BB227,Règles_bovins[Ration]&amp;Règles_bovins[Aliment],0)),0),0)*IF(ChoixBovinsPréHiver=OUI,TotalVeauMâle_3_6_RacesLaitières,TotalBovinsMâles_3_6mois*NbreJoursNourrirBovins))</f>
        <v>0</v>
      </c>
      <c r="BI227" s="351">
        <f t="array" ref="BI227">IF(Ration_complète_bovins[somme]&gt;0,0,IFERROR(IF(OR(AND(INDEX(Règles_bovins[Specificite],MATCH(ChoixRationBovins&amp;$BB227,Règles_bovins[Ration]&amp;Règles_bovins[Aliment],0))="s1",IF($BB227=Spécificité1Bovins,1)),
AND(INDEX(Règles_bovins[Specificite],MATCH(ChoixRationBovins&amp;$BB227,Règles_bovins[Ration]&amp;Règles_bovins[Aliment],0))="s2",IF($BB227=Spécificité2Bovins,1)),
INDEX(Règles_bovins[Specificite],MATCH(ChoixRationBovins&amp;$BB227,Règles_bovins[Ration]&amp;Règles_bovins[Aliment],0))="c"),
INDEX(Règles_bovins[Valeur 0-3],MATCH(ChoixRationBovins&amp;$BB227,Règles_bovins[Ration]&amp;Règles_bovins[Aliment],0)),0),0)*IF(ChoixBovinsPréHiver=OUI,TotalVeauMâle_0_3_RacesLaitières,TotalBovinsMâles_0_3mois*NbreJoursNourrirBovins))</f>
        <v>0</v>
      </c>
      <c r="BJ227" s="352">
        <f t="shared" si="62"/>
        <v>0</v>
      </c>
      <c r="BK227" s="276"/>
      <c r="BX227" s="350" t="str">
        <f t="shared" si="63"/>
        <v>Tourteau de tournesol</v>
      </c>
      <c r="BY227" s="351">
        <f t="array" ref="BY227">SUM((IF(QualitéAlimentsChevreau_0_3_mois=BONNE,VLOOKUP("Tourteau de tournesol",AlimentsRationCaprinsMâles,5,FALSE),0)+(IF(QualitéAlimentsChevrette_0_3_mois=BONNE,VLOOKUP("Tourteau de tournesol",AlimentsRationCaprinsFemelles,5,FALSE),0)+(IF(QualitéAlimentsChevreau_3_6_mois=BONNE,VLOOKUP("Tourteau de tournesol",AlimentsRationCaprinsMâles,4,FALSE),0)+(IF(QualitéAlimentsChevrette_3_6_mois=BONNE,VLOOKUP("Tourteau de tournesol",AlimentsRationCaprinsFemelles,4,FALSE),0)+(IF(QualitéAlimentsJeuneBouc=BONNE,VLOOKUP("Tourteau de tournesol",AlimentsRationCaprinsMâles,3,FALSE),0)+(IF(QualitéAlimentsJeuneChèvre=BONNE,VLOOKUP("Tourteau de tournesol",AlimentsRationCaprinsFemelles,3,FALSE),0)+(IF(QualitéAlimentsBouc=BONNE,VLOOKUP("Tourteau de tournesol",AlimentsRationCaprinsMâles,2,FALSE),0)+(IF(QualitéAlimentsChèvre=BONNE,VLOOKUP("Tourteau de tournesol",AlimentsRationCaprinsFemelles,2,FALSE),0))))))))))</f>
        <v>0</v>
      </c>
      <c r="BZ227" s="351">
        <f t="array" ref="BZ227">SUM((IF(QualitéAlimentsChevreau_0_3_mois=MOYENNE,VLOOKUP("Tourteau de tournesol",AlimentsRationCaprinsMâles,5,FALSE),0)+(IF(QualitéAlimentsChevrette_0_3_mois=MOYENNE,VLOOKUP("Tourteau de tournesol",AlimentsRationCaprinsFemelles,5,FALSE),0)+(IF(QualitéAlimentsChevreau_3_6_mois=MOYENNE,VLOOKUP("Tourteau de tournesol",AlimentsRationCaprinsMâles,4,FALSE),0)+(IF(QualitéAlimentsChevrette_3_6_mois=MOYENNE,VLOOKUP("Tourteau de tournesol",AlimentsRationCaprinsFemelles,4,FALSE),0)+(IF(QualitéAlimentsJeuneBouc=MOYENNE,VLOOKUP("Tourteau de tournesol",AlimentsRationCaprinsMâles,3,FALSE),0)+(IF(QualitéAlimentsJeuneChèvre=MOYENNE,VLOOKUP("Tourteau de tournesol",AlimentsRationCaprinsFemelles,3,FALSE),0)+(IF(QualitéAlimentsBouc=MOYENNE,VLOOKUP("Tourteau de tournesol",AlimentsRationCaprinsMâles,2,FALSE),0)+(IF(QualitéAlimentsChèvre=MOYENNE,VLOOKUP("Tourteau de tournesol",AlimentsRationCaprinsFemelles,2,FALSE),0))))))))))</f>
        <v>0</v>
      </c>
      <c r="CA227" s="351">
        <f t="array" ref="CA227">SUM((IF(QualitéAlimentsChevreau_0_3_mois=MAUVAISE,VLOOKUP("Tourteau de tournesol",AlimentsRationCaprinsMâles,5,FALSE),0)+(IF(QualitéAlimentsChevrette_0_3_mois=MAUVAISE,VLOOKUP("Tourteau de tournesol",AlimentsRationCaprinsFemelles,5,FALSE),0)+(IF(QualitéAlimentsChevreau_3_6_mois=MAUVAISE,VLOOKUP("Tourteau de tournesol",AlimentsRationCaprinsMâles,4,FALSE),0)+(IF(QualitéAlimentsChevrette_3_6_mois=MAUVAISE,VLOOKUP("Tourteau de tournesol",AlimentsRationCaprinsFemelles,4,FALSE),0)+(IF(QualitéAlimentsJeuneBouc=MAUVAISE,VLOOKUP("Tourteau de tournesol",AlimentsRationCaprinsMâles,3,FALSE),0)+(IF(QualitéAlimentsJeuneChèvre=MAUVAISE,VLOOKUP("Tourteau de tournesol",AlimentsRationCaprinsFemelles,3,FALSE),0)+(IF(QualitéAlimentsBouc=MAUVAISE,VLOOKUP("Tourteau de tournesol",AlimentsRationCaprinsMâles,2,FALSE),0)+(IF(QualitéAlimentsChèvre=MAUVAISE,VLOOKUP("Tourteau de tournesol",AlimentsRationCaprinsFemelles,2,FALSE),0))))))))))</f>
        <v>0</v>
      </c>
      <c r="CB227" s="277"/>
      <c r="CC227" s="277"/>
      <c r="CD227" s="298"/>
      <c r="CE227" s="298"/>
      <c r="CF227" s="298"/>
      <c r="CG227" s="298"/>
      <c r="CH227" s="298"/>
      <c r="CI227" s="277"/>
      <c r="CK227" s="277"/>
      <c r="CL227" s="277"/>
      <c r="CM227" s="277"/>
      <c r="CN227" s="277"/>
      <c r="CO227" s="277"/>
      <c r="CP227" s="277"/>
      <c r="DN227" s="350">
        <f t="shared" si="61"/>
        <v>0</v>
      </c>
      <c r="DO227" s="351">
        <f t="array" ref="DO227">IF(ChoixRationComplèteOvins=OUI,0,IFERROR(IF(OR(AND(INDEX(Règles_ovins[Specificite],MATCH(ChoixRationOvins&amp;$DN227,Règles_ovins[Ration]&amp;Règles_ovins[Aliment],0))="s1",IF($DN227=Spécificité1Ovins,1)),
AND(INDEX(Règles_ovins[Specificite],MATCH(ChoixRationOvins&amp;$DN227,Règles_ovins[Ration]&amp;Règles_ovins[Aliment],0))="s2",IF($DN227=Spécificité2Ovins,1)),
INDEX(Règles_ovins[Specificite],MATCH(ChoixRationOvins&amp;$DN227,Règles_ovins[Ration]&amp;Règles_ovins[Aliment],0))="c"),
INDEX(Règles_ovins[Valeur 12 et plus],MATCH(ChoixRationOvins&amp;$DN227,Règles_ovins[Ration]&amp;Règles_ovins[Aliment],0)),0),0)*IF(ChoixOvinsPréHiver=OUI,SUM(TotalOvinsAdultesRacesLaitières)*NbreJoursNourrirOvins,TotalBrebis*NbreJoursNourrirOvins))</f>
        <v>0</v>
      </c>
      <c r="DP227" s="351">
        <f t="array" ref="DP227">IF(ChoixRationComplèteOvins=OUI,0,IFERROR(IF(OR(AND(INDEX(Règles_ovins[Specificite],MATCH(ChoixRationOvins&amp;$DN227,Règles_ovins[Ration]&amp;Règles_ovins[Aliment],0))="s1",IF($DN227=Spécificité1Ovins,1)),
AND(INDEX(Règles_ovins[Specificite],MATCH(ChoixRationOvins&amp;$DN227,Règles_ovins[Ration]&amp;Règles_ovins[Aliment],0))="s2",IF($DN227=Spécificité2Ovins,1)),
INDEX(Règles_ovins[Specificite],MATCH(ChoixRationOvins&amp;$DN227,Règles_ovins[Ration]&amp;Règles_ovins[Aliment],0))="c"),
INDEX(Règles_ovins[Valeur 6-12],MATCH(ChoixRationOvins&amp;$DN227,Règles_ovins[Ration]&amp;Règles_ovins[Aliment],0)),0),0)*IF(ChoixOvinsPréHiver=OUI,SUM(TotalJeunesOvinsRacesLaitières)*NbreJoursNourrirOvins,TotalJeune_brebis_6_12_mois*NbreJoursNourrirOvins))</f>
        <v>0</v>
      </c>
      <c r="DQ227" s="351">
        <f t="array" ref="DQ227">IF(ChoixRationComplèteOvins=OUI,0,IFERROR(IF(OR(AND(INDEX(Règles_ovins[Specificite],MATCH(ChoixRationOvins&amp;$DN227,Règles_ovins[Ration]&amp;Règles_ovins[Aliment],0))="s1",IF($DN227=Spécificité1Ovins,1)),
AND(INDEX(Règles_ovins[Specificite],MATCH(ChoixRationOvins&amp;$DN227,Règles_ovins[Ration]&amp;Règles_ovins[Aliment],0))="s2",IF($DN227=Spécificité2Ovins,1)),
INDEX(Règles_ovins[Specificite],MATCH(ChoixRationOvins&amp;$DN227,Règles_ovins[Ration]&amp;Règles_ovins[Aliment],0))="c"),
INDEX(Règles_ovins[Valeur 3-6],MATCH(ChoixRationOvins&amp;$DN227,Règles_ovins[Ration]&amp;Règles_ovins[Aliment],0)),0),0)*IF(ChoixOvinsPréHiver=OUI,SUM(TotalOvins_3_6moisRacesLaitières)*NbreJoursNourrirOvins,TotalAgnelle_3_6_mois*NbreJoursNourrirOvins))</f>
        <v>0</v>
      </c>
      <c r="DR227" s="351">
        <f t="array" ref="DR227">IF(ChoixRationComplèteOvins=OUI,0,IFERROR(IF(OR(AND(INDEX(Règles_ovins[Specificite],MATCH(ChoixRationOvins&amp;$DN227,Règles_ovins[Ration]&amp;Règles_ovins[Aliment],0))="s1",IF($DN227=Spécificité1Ovins,1)),
AND(INDEX(Règles_ovins[Specificite],MATCH(ChoixRationOvins&amp;$DN227,Règles_ovins[Ration]&amp;Règles_ovins[Aliment],0))="s2",IF($DN227=Spécificité2Ovins,1)),
INDEX(Règles_ovins[Specificite],MATCH(ChoixRationOvins&amp;$DN227,Règles_ovins[Ration]&amp;Règles_ovins[Aliment],0))="c"),
INDEX(Règles_ovins[Valeur 0-3],MATCH(ChoixRationOvins&amp;$DN227,Règles_ovins[Ration]&amp;Règles_ovins[Aliment],0)),0),0)*IF(ChoixOvinsPréHiver=OUI,SUM(TotalOvins_3_6moisRacesLaitières)*NbreJoursNourrirOvins,TotalAgnelle_0_3_mois*NbreJoursNourrirOvins))</f>
        <v>0</v>
      </c>
      <c r="DS227" s="441">
        <f t="shared" si="60"/>
        <v>0</v>
      </c>
      <c r="EU227" s="457" t="str">
        <f t="shared" si="66"/>
        <v>Pulpe déshydratée de betterave</v>
      </c>
      <c r="EV227" s="458">
        <f t="array" ref="EV227">SUM((IF(QualitéAlimentsPoulainSelleMâle=BONNE,VLOOKUP("Pulpe déshydratée de betterave",AlimentsRationEcurieChevauxMâlesSelle,5,FALSE),0)+(IF(QualitéAlimentsPoulainSelleFemelle=BONNE,VLOOKUP("Pulpe déshydratée de betterave",AlimentsRationEcurieChevauxFemellesSelle,5,FALSE),0)+(IF(QualitéAlimentsJeuneEtalon_12_24_moisSelle=BONNE,VLOOKUP("Pulpe déshydratée de betterave",AlimentsRationEcurieChevauxMâlesSelle,4,FALSE),0)+(IF(QualitéAlimentsJeuneJument_12_24_moisSelle=BONNE,VLOOKUP("Pulpe déshydratée de betterave",AlimentsRationEcurieChevauxFemellesSelle,4,FALSE),0)+(IF(QualitéAlimentsJeuneEtalon_24_36_moisSelle=BONNE,VLOOKUP("Pulpe déshydratée de betterave",AlimentsRationEcurieChevauxMâlesSelle,3,FALSE),0)+(IF(QualitéAlimentsJeuneJument_24_36_moisSelle=BONNE,VLOOKUP("Pulpe déshydratée de betterave",AlimentsRationEcurieChevauxFemellesSelle,3,FALSE),0)+(IF(QualitéAlimentsEtalonSelle=BONNE,VLOOKUP("Pulpe déshydratée de betterave",AlimentsRationEcurieChevauxMâlesSelle,2,FALSE),0)+(IF(QualitéAlimentsJumentSelle=BONNE,VLOOKUP("Pulpe déshydratée de betterave",AlimentsRationEcurieChevauxFemellesSelle,2,FALSE),0))))))))))</f>
        <v>0</v>
      </c>
      <c r="EW227" s="458">
        <f t="array" ref="EW227">SUM((IF(QualitéAlimentsPoulainSelleMâle=MOYENNE,VLOOKUP("Pulpe déshydratée de betterave",AlimentsRationEcurieChevauxMâlesSelle,5,FALSE),0)+(IF(QualitéAlimentsPoulainSelleFemelle=MOYENNE,VLOOKUP("Pulpe déshydratée de betterave",AlimentsRationEcurieChevauxFemellesSelle,5,FALSE),0)+(IF(QualitéAlimentsJeuneEtalon_12_24_moisSelle=MOYENNE,VLOOKUP("Pulpe déshydratée de betterave",AlimentsRationEcurieChevauxMâlesSelle,4,FALSE),0)+(IF(QualitéAlimentsJeuneJument_12_24_moisSelle=MOYENNE,VLOOKUP("Pulpe déshydratée de betterave",AlimentsRationEcurieChevauxFemellesSelle,4,FALSE),0)+(IF(QualitéAlimentsJeuneEtalon_24_36_moisSelle=MOYENNE,VLOOKUP("Pulpe déshydratée de betterave",AlimentsRationEcurieChevauxMâlesSelle,3,FALSE),0)+(IF(QualitéAlimentsJeuneJument_24_36_moisSelle=MOYENNE,VLOOKUP("Pulpe déshydratée de betterave",AlimentsRationEcurieChevauxFemellesSelle,3,FALSE),0)+(IF(QualitéAlimentsEtalonSelle=MOYENNE,VLOOKUP("Pulpe déshydratée de betterave",AlimentsRationEcurieChevauxMâlesSelle,2,FALSE),0)+(IF(QualitéAlimentsJumentSelle=MOYENNE,VLOOKUP("Pulpe déshydratée de betterave",AlimentsRationEcurieChevauxFemellesSelle,2,FALSE),0))))))))))</f>
        <v>0</v>
      </c>
      <c r="EX227" s="458">
        <f t="array" ref="EX227">SUM((IF(QualitéAlimentsPoulainSelleMâle=MAUVAISE,VLOOKUP("Pulpe déshydratée de betterave",AlimentsRationEcurieChevauxMâlesSelle,5,FALSE),0)+(IF(QualitéAlimentsPoulainSelleFemelle=MAUVAISE,VLOOKUP("Pulpe déshydratée de betterave",AlimentsRationEcurieChevauxFemellesSelle,5,FALSE),0)+(IF(QualitéAlimentsJeuneEtalon_12_24_moisSelle=MAUVAISE,VLOOKUP("Pulpe déshydratée de betterave",AlimentsRationEcurieChevauxMâlesSelle,4,FALSE),0)+(IF(QualitéAlimentsJeuneJument_12_24_moisSelle=MAUVAISE,VLOOKUP("Pulpe déshydratée de betterave",AlimentsRationEcurieChevauxFemellesSelle,4,FALSE),0)+(IF(QualitéAlimentsJeuneEtalon_24_36_moisSelle=MAUVAISE,VLOOKUP("Pulpe déshydratée de betterave",AlimentsRationEcurieChevauxMâlesSelle,3,FALSE),0)+(IF(QualitéAlimentsJeuneJument_24_36_moisSelle=MAUVAISE,VLOOKUP("Pulpe déshydratée de betterave",AlimentsRationEcurieChevauxFemellesSelle,3,FALSE),0)+(IF(QualitéAlimentsEtalonSelle=MAUVAISE,VLOOKUP("Pulpe déshydratée de betterave",AlimentsRationEcurieChevauxMâlesSelle,2,FALSE),0)+(IF(QualitéAlimentsJumentSelle=MAUVAISE,VLOOKUP("Pulpe déshydratée de betterave",AlimentsRationEcurieChevauxFemellesSelle,2,FALSE),0))))))))))</f>
        <v>0</v>
      </c>
      <c r="FD227" s="457" t="str">
        <f t="shared" si="65"/>
        <v>Tournesol</v>
      </c>
      <c r="FE227" s="458">
        <f t="array" ref="FE227">SUM((IF(QualitéAlimentsPoulainMâleTrait=BONNE,VLOOKUP("Tournesol",AlimentsRationEcurieChevauxMâlesTrait,5,FALSE),0)+(IF(QualitéAlimentsPoulainFemelleTrait=BONNE,VLOOKUP("Tournesol",AlimentsRationEcurieChevauxFemellesTrait,5,FALSE),0)+(IF(QualitéAlimentsJeuneEtalon_12_24_moisTrait=BONNE,VLOOKUP("Tournesol",AlimentsRationEcurieChevauxMâlesTrait,4,FALSE),0)+(IF(QualitéAlimentsJeuneJument_12_24_moisTrait=BONNE,VLOOKUP("Tournesol",AlimentsRationEcurieChevauxFemellesTrait,4,FALSE),0)+(IF(QualitéAlimentsJeuneEtalon_24_36_moisTrait=BONNE,VLOOKUP("Tournesol",AlimentsRationEcurieChevauxMâlesTrait,3,FALSE),0)+(IF(QualitéAlimentsJeuneJument_24_36_moisTrait=BONNE,VLOOKUP("Tournesol",AlimentsRationEcurieChevauxFemellesTrait,3,FALSE),0)+(IF(QualitéAlimentsEtalonTrait=BONNE,VLOOKUP("Tournesol",AlimentsRationEcurieChevauxMâlesTrait,2,FALSE),0)+(IF(QualitéAlimentsJumentTrait=BONNE,VLOOKUP("Tournesol",AlimentsRationEcurieChevauxFemellesTrait,2,FALSE),0))))))))))</f>
        <v>0</v>
      </c>
      <c r="FF227" s="458">
        <f t="array" ref="FF227">SUM((IF(QualitéAlimentsPoulainMâleTrait=MOYENNE,VLOOKUP("Tournesol",AlimentsRationEcurieChevauxMâlesTrait,5,FALSE),0)+(IF(QualitéAlimentsPoulainFemelleTrait=MOYENNE,VLOOKUP("Tournesol",AlimentsRationEcurieChevauxFemellesTrait,5,FALSE),0)+(IF(QualitéAlimentsJeuneEtalon_12_24_moisTrait=MOYENNE,VLOOKUP("Tournesol",AlimentsRationEcurieChevauxMâlesTrait,4,FALSE),0)+(IF(QualitéAlimentsJeuneJument_12_24_moisTrait=MOYENNE,VLOOKUP("Tournesol",AlimentsRationEcurieChevauxFemellesTrait,4,FALSE),0)+(IF(QualitéAlimentsJeuneEtalon_24_36_moisTrait=MOYENNE,VLOOKUP("Tournesol",AlimentsRationEcurieChevauxMâlesTrait,3,FALSE),0)+(IF(QualitéAlimentsJeuneJument_24_36_moisTrait=MOYENNE,VLOOKUP("Tournesol",AlimentsRationEcurieChevauxFemellesTrait,3,FALSE),0)+(IF(QualitéAlimentsEtalonTrait=MOYENNE,VLOOKUP("Tournesol",AlimentsRationEcurieChevauxMâlesTrait,2,FALSE),0)+(IF(QualitéAlimentsJumentTrait=MOYENNE,VLOOKUP("Tournesol",AlimentsRationEcurieChevauxFemellesTrait,2,FALSE),0))))))))))</f>
        <v>0</v>
      </c>
      <c r="FG227" s="458">
        <f t="array" ref="FG227">SUM((IF(QualitéAlimentsPoulainMâleTrait=MAUVAISE,VLOOKUP("Tournesol",AlimentsRationEcurieChevauxMâlesTrait,5,FALSE),0)+(IF(QualitéAlimentsPoulainFemelleTrait=MAUVAISE,VLOOKUP("Tournesol",AlimentsRationEcurieChevauxFemellesTrait,5,FALSE),0)+(IF(QualitéAlimentsJeuneEtalon_12_24_moisTrait=MAUVAISE,VLOOKUP("Tournesol",AlimentsRationEcurieChevauxMâlesTrait,4,FALSE),0)+(IF(QualitéAlimentsJeuneJument_12_24_moisTrait=MAUVAISE,VLOOKUP("Tournesol",AlimentsRationEcurieChevauxFemellesTrait,4,FALSE),0)+(IF(QualitéAlimentsJeuneEtalon_24_36_moisTrait=MAUVAISE,VLOOKUP("Tournesol",AlimentsRationEcurieChevauxMâlesTrait,3,FALSE),0)+(IF(QualitéAlimentsJeuneJument_24_36_moisTrait=MAUVAISE,VLOOKUP("Tournesol",AlimentsRationEcurieChevauxFemellesTrait,3,FALSE),0)+(IF(QualitéAlimentsEtalonTrait=MAUVAISE,VLOOKUP("Tournesol",AlimentsRationEcurieChevauxMâlesTrait,2,FALSE),0)+(IF(QualitéAlimentsJumentTrait=MAUVAISE,VLOOKUP("Tournesol",AlimentsRationEcurieChevauxFemellesTrait,2,FALSE),0))))))))))</f>
        <v>0</v>
      </c>
      <c r="FI227" s="276"/>
      <c r="FN227" s="457" t="str">
        <f t="shared" si="64"/>
        <v>Tourteau de colza</v>
      </c>
      <c r="FO227" s="458">
        <f t="array" ref="FO227">SUM((IF(QualitéAlimentsPoulainMâlePoney=BONNE,VLOOKUP("Tournesol de colza",AlimentsRationChevauxMâlesPoney,5,FALSE),0)+(IF(QualitéAlimentsPoulainFemellePoney=BONNE,VLOOKUP("Tournesol de colza",AlimentsRationChevauxFemellesPoney,5,FALSE),0)+(IF(QualitéAlimentsJeuneEtalon_12_24_moisPoney=BONNE,VLOOKUP("Tournesol de colza",AlimentsRationChevauxMâlesPoney,4,FALSE),0)+(IF(QualitéAlimentsJeuneJument_12_24_moisPoney=BONNE,VLOOKUP("Tournesol de colza",AlimentsRationChevauxFemellesPoney,4,FALSE),0)+(IF(QualitéAlimentsJeuneEtalon_24_36_moisPoney=BONNE,VLOOKUP("Tournesol de colza",AlimentsRationChevauxMâlesPoney,3,FALSE),0)+(IF(QualitéAlimentsJeuneJument_24_36_moisPoney=BONNE,VLOOKUP("Tournesol de colza",AlimentsRationChevauxFemellesPoney,3,FALSE),0)+(IF(QualitéAlimentsEtalonPoney=BONNE,VLOOKUP("Tournesol de colza",AlimentsRationChevauxMâlesPoney,2,FALSE),0)+(IF(QualitéAlimentsJumentPoney=BONNE,VLOOKUP("Tournesol de colza",AlimentsRationChevauxFemellesPoney,2,FALSE),0))))))))))</f>
        <v>0</v>
      </c>
      <c r="FP227" s="458">
        <f t="array" ref="FP227">SUM((IF(QualitéAlimentsPoulainMâlePoney=MOYENNE,VLOOKUP("Tournesol de colza",AlimentsRationChevauxMâlesPoney,5,FALSE),0)+(IF(QualitéAlimentsPoulainFemellePoney=MOYENNE,VLOOKUP("Tournesol de colza",AlimentsRationChevauxFemellesPoney,5,FALSE),0)+(IF(QualitéAlimentsJeuneEtalon_12_24_moisPoney=MOYENNE,VLOOKUP("Tournesol de colza",AlimentsRationChevauxMâlesPoney,4,FALSE),0)+(IF(QualitéAlimentsJeuneJument_12_24_moisPoney=MOYENNE,VLOOKUP("Tournesol de colza",AlimentsRationChevauxFemellesPoney,4,FALSE),0)+(IF(QualitéAlimentsJeuneEtalon_24_36_moisPoney=MOYENNE,VLOOKUP("Tournesol de colza",AlimentsRationChevauxMâlesPoney,3,FALSE),0)+(IF(QualitéAlimentsJeuneJument_24_36_moisPoney=MOYENNE,VLOOKUP("Tournesol de colza",AlimentsRationChevauxFemellesPoney,3,FALSE),0)+(IF(QualitéAlimentsEtalonPoney=MOYENNE,VLOOKUP("Tournesol de colza",AlimentsRationChevauxMâlesPoney,2,FALSE),0)+(IF(QualitéAlimentsJumentPoney=MOYENNE,VLOOKUP("Tournesol de colza",AlimentsRationChevauxFemellesPoney,2,FALSE),0))))))))))</f>
        <v>0</v>
      </c>
      <c r="FQ227" s="458">
        <f t="array" ref="FQ227">SUM((IF(QualitéAlimentsPoulainMâlePoney=MAUVAISE,VLOOKUP("Tournesol de colza",AlimentsRationChevauxMâlesPoney,5,FALSE),0)+(IF(QualitéAlimentsPoulainFemellePoney=MAUVAISE,VLOOKUP("Tournesol de colza",AlimentsRationChevauxFemellesPoney,5,FALSE),0)+(IF(QualitéAlimentsJeuneEtalon_12_24_moisPoney=MAUVAISE,VLOOKUP("Tournesol de colza",AlimentsRationChevauxMâlesPoney,4,FALSE),0)+(IF(QualitéAlimentsJeuneJument_12_24_moisPoney=MAUVAISE,VLOOKUP("Tournesol de colza",AlimentsRationChevauxFemellesPoney,4,FALSE),0)+(IF(QualitéAlimentsJeuneEtalon_24_36_moisPoney=MAUVAISE,VLOOKUP("Tournesol de colza",AlimentsRationChevauxMâlesPoney,3,FALSE),0)+(IF(QualitéAlimentsJeuneJument_24_36_moisPoney=MAUVAISE,VLOOKUP("Tournesol de colza",AlimentsRationChevauxFemellesPoney,3,FALSE),0)+(IF(QualitéAlimentsEtalonPoney=MAUVAISE,VLOOKUP("Tournesol de colza",AlimentsRationChevauxMâlesPoney,2,FALSE),0)+(IF(QualitéAlimentsJumentPoney=MAUVAISE,VLOOKUP("Tournesol de colza",AlimentsRationChevauxFemellesPoney,2,FALSE),0))))))))))</f>
        <v>0</v>
      </c>
      <c r="FR227" s="281"/>
      <c r="GG227" s="276" t="s">
        <v>955</v>
      </c>
      <c r="GH227" s="276" t="s">
        <v>955</v>
      </c>
      <c r="GI227" s="276" t="s">
        <v>955</v>
      </c>
      <c r="GJ227" s="276" t="s">
        <v>955</v>
      </c>
      <c r="GK227" s="276" t="s">
        <v>955</v>
      </c>
      <c r="GL227" s="276" t="s">
        <v>955</v>
      </c>
      <c r="GM227" s="276" t="s">
        <v>955</v>
      </c>
      <c r="GN227" s="276" t="s">
        <v>955</v>
      </c>
      <c r="GO227" s="276" t="s">
        <v>955</v>
      </c>
      <c r="GP227" s="276" t="s">
        <v>955</v>
      </c>
      <c r="GQ227" s="276" t="s">
        <v>955</v>
      </c>
      <c r="GR227" s="276" t="s">
        <v>955</v>
      </c>
      <c r="GS227" s="276" t="s">
        <v>955</v>
      </c>
      <c r="GT227" s="276" t="s">
        <v>955</v>
      </c>
      <c r="GU227" s="276" t="s">
        <v>955</v>
      </c>
      <c r="GV227" s="276" t="s">
        <v>955</v>
      </c>
    </row>
    <row r="228" spans="1:204" ht="12.75" customHeight="1" x14ac:dyDescent="0.2">
      <c r="A228" s="276"/>
      <c r="B228" s="276"/>
      <c r="BB228" s="350"/>
      <c r="BC228" s="351">
        <f t="array" ref="BC228">IF(Ration_complète_bovins[somme]&gt;0,0,IFERROR(IF(OR(AND(INDEX(Règles_bovins[Specificite],MATCH(ChoixRationBovins&amp;$BB228,Règles_bovins[Ration]&amp;Règles_bovins[Aliment],0))="s1",IF($BB228=Spécificité1Bovins,1)),
AND(INDEX(Règles_bovins[Specificite],MATCH(ChoixRationBovins&amp;$BB228,Règles_bovins[Ration]&amp;Règles_bovins[Aliment],0))="s2",IF($BB228=Spécificité2Bovins,1)),
INDEX(Règles_bovins[Specificite],MATCH(ChoixRationBovins&amp;$BB228,Règles_bovins[Ration]&amp;Règles_bovins[Aliment],0))="c"),
INDEX(Règles_bovins[Valeur 36 et plus],MATCH(ChoixRationBovins&amp;$BB228,Règles_bovins[Ration]&amp;Règles_bovins[Aliment],0)),0),0)*IF(ChoixBovinsPréHiver=OUI,TotalTaureauxRacesLaitières,TotalTaureaux*NbreJoursNourrirBovins))</f>
        <v>0</v>
      </c>
      <c r="BD228" s="351">
        <f t="array" ref="BD228">IF(Ration_complète_bovins[somme]&gt;0,0,IFERROR(IF(OR(AND(INDEX(Règles_bovins[Specificite],MATCH(ChoixRationBovins&amp;$BB228,Règles_bovins[Ration]&amp;Règles_bovins[Aliment],0))="s1",IF($BB228=Spécificité1Bovins,1)),
AND(INDEX(Règles_bovins[Specificite],MATCH(ChoixRationBovins&amp;$BB228,Règles_bovins[Ration]&amp;Règles_bovins[Aliment],0))="s2",IF($BB228=Spécificité2Bovins,1)),
INDEX(Règles_bovins[Specificite],MATCH(ChoixRationBovins&amp;$BB228,Règles_bovins[Ration]&amp;Règles_bovins[Aliment],0))="c"),
INDEX(Règles_bovins[Valeur 24-36],MATCH(ChoixRationBovins&amp;$BB228,Règles_bovins[Ration]&amp;Règles_bovins[Aliment],0)),0),0)*IF(ChoixBovinsPréHiver=OUI,TotalTaurillon_24_36_RacesLaitières,TotalBovinsMâles_24_36mois*NbreJoursNourrirBovins))</f>
        <v>0</v>
      </c>
      <c r="BE228" s="351">
        <f t="array" ref="BE228">IF(Ration_complète_bovins[somme]&gt;0,0,IFERROR(IF(OR(AND(INDEX(Règles_bovins[Specificite],MATCH(ChoixRationBovins&amp;$BB228,Règles_bovins[Ration]&amp;Règles_bovins[Aliment],0))="s1",IF($BB228=Spécificité1Bovins,1)),
AND(INDEX(Règles_bovins[Specificite],MATCH(ChoixRationBovins&amp;$BB228,Règles_bovins[Ration]&amp;Règles_bovins[Aliment],0))="s2",IF($BB228=Spécificité2Bovins,1)),
INDEX(Règles_bovins[Specificite],MATCH(ChoixRationBovins&amp;$BB228,Règles_bovins[Ration]&amp;Règles_bovins[Aliment],0))="c"),
INDEX(Règles_bovins[Valeur 18-24],MATCH(ChoixRationBovins&amp;$BB228,Règles_bovins[Ration]&amp;Règles_bovins[Aliment],0)),0),0)*IF(ChoixBovinsPréHiver=OUI,TotalTaurillon_18_24_RacesLaitières,TotalBovinsMâles_18_24mois*NbreJoursNourrirBovins))</f>
        <v>0</v>
      </c>
      <c r="BF228" s="351">
        <f t="array" ref="BF228">IF(Ration_complète_bovins[somme]&gt;0,0,IFERROR(IF(OR(AND(INDEX(Règles_bovins[Specificite],MATCH(ChoixRationBovins&amp;$BB228,Règles_bovins[Ration]&amp;Règles_bovins[Aliment],0))="s1",IF($BB228=Spécificité1Bovins,1)),
AND(INDEX(Règles_bovins[Specificite],MATCH(ChoixRationBovins&amp;$BB228,Règles_bovins[Ration]&amp;Règles_bovins[Aliment],0))="s2",IF($BB228=Spécificité2Bovins,1)),
INDEX(Règles_bovins[Specificite],MATCH(ChoixRationBovins&amp;$BB228,Règles_bovins[Ration]&amp;Règles_bovins[Aliment],0))="c"),
INDEX(Règles_bovins[Valeur 12-18],MATCH(ChoixRationBovins&amp;$BB228,Règles_bovins[Ration]&amp;Règles_bovins[Aliment],0)),0),0)*IF(ChoixBovinsPréHiver=OUI,animaux!D51,TotalBovinsMâles_12_18mois*NbreJoursNourrirBovins))</f>
        <v>0</v>
      </c>
      <c r="BG228" s="351">
        <f t="array" ref="BG228">IF(Ration_complète_bovins[somme]&gt;0,0,IFERROR(IF(OR(AND(INDEX(Règles_bovins[Specificite],MATCH(ChoixRationBovins&amp;$BB228,Règles_bovins[Ration]&amp;Règles_bovins[Aliment],0))="s1",IF($BB228=Spécificité1Bovins,1)),
AND(INDEX(Règles_bovins[Specificite],MATCH(ChoixRationBovins&amp;$BB228,Règles_bovins[Ration]&amp;Règles_bovins[Aliment],0))="s2",IF($BB228=Spécificité2Bovins,1)),
INDEX(Règles_bovins[Specificite],MATCH(ChoixRationBovins&amp;$BB228,Règles_bovins[Ration]&amp;Règles_bovins[Aliment],0))="c"),
INDEX(Règles_bovins[Valeur 6-12],MATCH(ChoixRationBovins&amp;$BB228,Règles_bovins[Ration]&amp;Règles_bovins[Aliment],0)),0),0)*IF(ChoixBovinsPréHiver=OUI,TotalVeauMâle_6_12_RacesLaitières,TotalBovinsMâles_6_12mois*NbreJoursNourrirBovins))</f>
        <v>0</v>
      </c>
      <c r="BH228" s="351">
        <f t="array" ref="BH228">IF(Ration_complète_bovins[somme]&gt;0,0,IFERROR(IF(OR(AND(INDEX(Règles_bovins[Specificite],MATCH(ChoixRationBovins&amp;$BB228,Règles_bovins[Ration]&amp;Règles_bovins[Aliment],0))="s1",IF($BB228=Spécificité1Bovins,1)),
AND(INDEX(Règles_bovins[Specificite],MATCH(ChoixRationBovins&amp;$BB228,Règles_bovins[Ration]&amp;Règles_bovins[Aliment],0))="s2",IF($BB228=Spécificité2Bovins,1)),
INDEX(Règles_bovins[Specificite],MATCH(ChoixRationBovins&amp;$BB228,Règles_bovins[Ration]&amp;Règles_bovins[Aliment],0))="c"),
INDEX(Règles_bovins[Valeur 3-6],MATCH(ChoixRationBovins&amp;$BB228,Règles_bovins[Ration]&amp;Règles_bovins[Aliment],0)),0),0)*IF(ChoixBovinsPréHiver=OUI,TotalVeauMâle_3_6_RacesLaitières,TotalBovinsMâles_3_6mois*NbreJoursNourrirBovins))</f>
        <v>0</v>
      </c>
      <c r="BI228" s="351">
        <f t="array" ref="BI228">IF(Ration_complète_bovins[somme]&gt;0,0,IFERROR(IF(OR(AND(INDEX(Règles_bovins[Specificite],MATCH(ChoixRationBovins&amp;$BB228,Règles_bovins[Ration]&amp;Règles_bovins[Aliment],0))="s1",IF($BB228=Spécificité1Bovins,1)),
AND(INDEX(Règles_bovins[Specificite],MATCH(ChoixRationBovins&amp;$BB228,Règles_bovins[Ration]&amp;Règles_bovins[Aliment],0))="s2",IF($BB228=Spécificité2Bovins,1)),
INDEX(Règles_bovins[Specificite],MATCH(ChoixRationBovins&amp;$BB228,Règles_bovins[Ration]&amp;Règles_bovins[Aliment],0))="c"),
INDEX(Règles_bovins[Valeur 0-3],MATCH(ChoixRationBovins&amp;$BB228,Règles_bovins[Ration]&amp;Règles_bovins[Aliment],0)),0),0)*IF(ChoixBovinsPréHiver=OUI,TotalVeauMâle_0_3_RacesLaitières,TotalBovinsMâles_0_3mois*NbreJoursNourrirBovins))</f>
        <v>0</v>
      </c>
      <c r="BJ228" s="352">
        <f t="shared" si="62"/>
        <v>0</v>
      </c>
      <c r="BK228" s="276"/>
      <c r="BX228" s="350" t="str">
        <f t="shared" si="63"/>
        <v>Triticale</v>
      </c>
      <c r="BY228" s="351">
        <f t="array" ref="BY228">SUM((IF(QualitéAlimentsChevreau_0_3_mois=BONNE,VLOOKUP("Triticale",AlimentsRationCaprinsMâles,5,FALSE),0)+(IF(QualitéAlimentsChevrette_0_3_mois=BONNE,VLOOKUP("Triticale",AlimentsRationCaprinsFemelles,5,FALSE),0)+(IF(QualitéAlimentsChevreau_3_6_mois=BONNE,VLOOKUP("Triticale",AlimentsRationCaprinsMâles,4,FALSE),0)+(IF(QualitéAlimentsChevrette_3_6_mois=BONNE,VLOOKUP("Triticale",AlimentsRationCaprinsFemelles,4,FALSE),0)+(IF(QualitéAlimentsJeuneBouc=BONNE,VLOOKUP("Triticale",AlimentsRationCaprinsMâles,3,FALSE),0)+(IF(QualitéAlimentsJeuneChèvre=BONNE,VLOOKUP("Triticale",AlimentsRationCaprinsFemelles,3,FALSE),0)+(IF(QualitéAlimentsBouc=BONNE,VLOOKUP("Triticale",AlimentsRationCaprinsMâles,2,FALSE),0)+(IF(QualitéAlimentsChèvre=BONNE,VLOOKUP("Triticale",AlimentsRationCaprinsFemelles,2,FALSE),0))))))))))</f>
        <v>398.8</v>
      </c>
      <c r="BZ228" s="351">
        <f t="array" ref="BZ228">SUM((IF(QualitéAlimentsChevreau_0_3_mois=MOYENNE,VLOOKUP("Triticale",AlimentsRationCaprinsMâles,5,FALSE),0)+(IF(QualitéAlimentsChevrette_0_3_mois=MOYENNE,VLOOKUP("Triticale",AlimentsRationCaprinsFemelles,5,FALSE),0)+(IF(QualitéAlimentsChevreau_3_6_mois=MOYENNE,VLOOKUP("Triticale",AlimentsRationCaprinsMâles,4,FALSE),0)+(IF(QualitéAlimentsChevrette_3_6_mois=MOYENNE,VLOOKUP("Triticale",AlimentsRationCaprinsFemelles,4,FALSE),0)+(IF(QualitéAlimentsJeuneBouc=MOYENNE,VLOOKUP("Triticale",AlimentsRationCaprinsMâles,3,FALSE),0)+(IF(QualitéAlimentsJeuneChèvre=MOYENNE,VLOOKUP("Triticale",AlimentsRationCaprinsFemelles,3,FALSE),0)+(IF(QualitéAlimentsBouc=MOYENNE,VLOOKUP("Triticale",AlimentsRationCaprinsMâles,2,FALSE),0)+(IF(QualitéAlimentsChèvre=MOYENNE,VLOOKUP("Triticale",AlimentsRationCaprinsFemelles,2,FALSE),0))))))))))</f>
        <v>411.20000000000005</v>
      </c>
      <c r="CA228" s="351">
        <f t="array" ref="CA228">SUM((IF(QualitéAlimentsChevreau_0_3_mois=MAUVAISE,VLOOKUP("Triticale",AlimentsRationCaprinsMâles,5,FALSE),0)+(IF(QualitéAlimentsChevrette_0_3_mois=MAUVAISE,VLOOKUP("Triticale",AlimentsRationCaprinsFemelles,5,FALSE),0)+(IF(QualitéAlimentsChevreau_3_6_mois=MAUVAISE,VLOOKUP("Triticale",AlimentsRationCaprinsMâles,4,FALSE),0)+(IF(QualitéAlimentsChevrette_3_6_mois=MAUVAISE,VLOOKUP("Triticale",AlimentsRationCaprinsFemelles,4,FALSE),0)+(IF(QualitéAlimentsJeuneBouc=MAUVAISE,VLOOKUP("Triticale",AlimentsRationCaprinsMâles,3,FALSE),0)+(IF(QualitéAlimentsJeuneChèvre=MAUVAISE,VLOOKUP("Triticale",AlimentsRationCaprinsFemelles,3,FALSE),0)+(IF(QualitéAlimentsBouc=MAUVAISE,VLOOKUP("Triticale",AlimentsRationCaprinsMâles,2,FALSE),0)+(IF(QualitéAlimentsChèvre=MAUVAISE,VLOOKUP("Triticale",AlimentsRationCaprinsFemelles,2,FALSE),0))))))))))</f>
        <v>20.8</v>
      </c>
      <c r="CB228" s="297"/>
      <c r="CC228" s="297"/>
      <c r="CD228" s="298"/>
      <c r="CE228" s="298"/>
      <c r="CF228" s="298"/>
      <c r="CG228" s="298"/>
      <c r="CH228" s="298"/>
      <c r="CI228" s="277"/>
      <c r="CK228" s="277"/>
      <c r="CL228" s="277"/>
      <c r="CM228" s="277"/>
      <c r="CN228" s="277"/>
      <c r="CO228" s="277"/>
      <c r="CP228" s="277"/>
      <c r="DN228" s="350">
        <f t="shared" si="61"/>
        <v>0</v>
      </c>
      <c r="DO228" s="351">
        <f t="array" ref="DO228">IF(ChoixRationComplèteOvins=OUI,0,IFERROR(IF(OR(AND(INDEX(Règles_ovins[Specificite],MATCH(ChoixRationOvins&amp;$DN228,Règles_ovins[Ration]&amp;Règles_ovins[Aliment],0))="s1",IF($DN228=Spécificité1Ovins,1)),
AND(INDEX(Règles_ovins[Specificite],MATCH(ChoixRationOvins&amp;$DN228,Règles_ovins[Ration]&amp;Règles_ovins[Aliment],0))="s2",IF($DN228=Spécificité2Ovins,1)),
INDEX(Règles_ovins[Specificite],MATCH(ChoixRationOvins&amp;$DN228,Règles_ovins[Ration]&amp;Règles_ovins[Aliment],0))="c"),
INDEX(Règles_ovins[Valeur 12 et plus],MATCH(ChoixRationOvins&amp;$DN228,Règles_ovins[Ration]&amp;Règles_ovins[Aliment],0)),0),0)*IF(ChoixOvinsPréHiver=OUI,SUM(TotalOvinsAdultesRacesLaitières)*NbreJoursNourrirOvins,TotalBrebis*NbreJoursNourrirOvins))</f>
        <v>0</v>
      </c>
      <c r="DP228" s="351">
        <f t="array" ref="DP228">IF(ChoixRationComplèteOvins=OUI,0,IFERROR(IF(OR(AND(INDEX(Règles_ovins[Specificite],MATCH(ChoixRationOvins&amp;$DN228,Règles_ovins[Ration]&amp;Règles_ovins[Aliment],0))="s1",IF($DN228=Spécificité1Ovins,1)),
AND(INDEX(Règles_ovins[Specificite],MATCH(ChoixRationOvins&amp;$DN228,Règles_ovins[Ration]&amp;Règles_ovins[Aliment],0))="s2",IF($DN228=Spécificité2Ovins,1)),
INDEX(Règles_ovins[Specificite],MATCH(ChoixRationOvins&amp;$DN228,Règles_ovins[Ration]&amp;Règles_ovins[Aliment],0))="c"),
INDEX(Règles_ovins[Valeur 6-12],MATCH(ChoixRationOvins&amp;$DN228,Règles_ovins[Ration]&amp;Règles_ovins[Aliment],0)),0),0)*IF(ChoixOvinsPréHiver=OUI,SUM(TotalJeunesOvinsRacesLaitières)*NbreJoursNourrirOvins,TotalJeune_brebis_6_12_mois*NbreJoursNourrirOvins))</f>
        <v>0</v>
      </c>
      <c r="DQ228" s="351">
        <f t="array" ref="DQ228">IF(ChoixRationComplèteOvins=OUI,0,IFERROR(IF(OR(AND(INDEX(Règles_ovins[Specificite],MATCH(ChoixRationOvins&amp;$DN228,Règles_ovins[Ration]&amp;Règles_ovins[Aliment],0))="s1",IF($DN228=Spécificité1Ovins,1)),
AND(INDEX(Règles_ovins[Specificite],MATCH(ChoixRationOvins&amp;$DN228,Règles_ovins[Ration]&amp;Règles_ovins[Aliment],0))="s2",IF($DN228=Spécificité2Ovins,1)),
INDEX(Règles_ovins[Specificite],MATCH(ChoixRationOvins&amp;$DN228,Règles_ovins[Ration]&amp;Règles_ovins[Aliment],0))="c"),
INDEX(Règles_ovins[Valeur 3-6],MATCH(ChoixRationOvins&amp;$DN228,Règles_ovins[Ration]&amp;Règles_ovins[Aliment],0)),0),0)*IF(ChoixOvinsPréHiver=OUI,SUM(TotalOvins_3_6moisRacesLaitières)*NbreJoursNourrirOvins,TotalAgnelle_3_6_mois*NbreJoursNourrirOvins))</f>
        <v>0</v>
      </c>
      <c r="DR228" s="351">
        <f t="array" ref="DR228">IF(ChoixRationComplèteOvins=OUI,0,IFERROR(IF(OR(AND(INDEX(Règles_ovins[Specificite],MATCH(ChoixRationOvins&amp;$DN228,Règles_ovins[Ration]&amp;Règles_ovins[Aliment],0))="s1",IF($DN228=Spécificité1Ovins,1)),
AND(INDEX(Règles_ovins[Specificite],MATCH(ChoixRationOvins&amp;$DN228,Règles_ovins[Ration]&amp;Règles_ovins[Aliment],0))="s2",IF($DN228=Spécificité2Ovins,1)),
INDEX(Règles_ovins[Specificite],MATCH(ChoixRationOvins&amp;$DN228,Règles_ovins[Ration]&amp;Règles_ovins[Aliment],0))="c"),
INDEX(Règles_ovins[Valeur 0-3],MATCH(ChoixRationOvins&amp;$DN228,Règles_ovins[Ration]&amp;Règles_ovins[Aliment],0)),0),0)*IF(ChoixOvinsPréHiver=OUI,SUM(TotalOvins_3_6moisRacesLaitières)*NbreJoursNourrirOvins,TotalAgnelle_0_3_mois*NbreJoursNourrirOvins))</f>
        <v>0</v>
      </c>
      <c r="DS228" s="441">
        <f t="shared" si="60"/>
        <v>0</v>
      </c>
      <c r="EU228" s="457" t="str">
        <f t="shared" si="66"/>
        <v>Ration complète</v>
      </c>
      <c r="EV228" s="458">
        <f t="array" ref="EV228">SUM((IF(QualitéAlimentsPoulainSelleMâle=BONNE,VLOOKUP("Ration complète",AlimentsRationEcurieChevauxMâlesSelle,5,FALSE),0)+(IF(QualitéAlimentsPoulainSelleFemelle=BONNE,VLOOKUP("Ration complète",AlimentsRationEcurieChevauxFemellesSelle,5,FALSE),0)+(IF(QualitéAlimentsJeuneEtalon_12_24_moisSelle=BONNE,VLOOKUP("Ration complète",AlimentsRationEcurieChevauxMâlesSelle,4,FALSE),0)+(IF(QualitéAlimentsJeuneJument_12_24_moisSelle=BONNE,VLOOKUP("Ration complète",AlimentsRationEcurieChevauxFemellesSelle,4,FALSE),0)+(IF(QualitéAlimentsJeuneEtalon_24_36_moisSelle=BONNE,VLOOKUP("Ration complète",AlimentsRationEcurieChevauxMâlesSelle,3,FALSE),0)+(IF(QualitéAlimentsJeuneJument_24_36_moisSelle=BONNE,VLOOKUP("Ration complète",AlimentsRationEcurieChevauxFemellesSelle,3,FALSE),0)+(IF(QualitéAlimentsEtalonSelle=BONNE,VLOOKUP("Ration complète",AlimentsRationEcurieChevauxMâlesSelle,2,FALSE),0)+(IF(QualitéAlimentsJumentSelle=BONNE,VLOOKUP("Ration complète",AlimentsRationEcurieChevauxFemellesSelle,2,FALSE),0))))))))))</f>
        <v>0</v>
      </c>
      <c r="EW228" s="458">
        <f t="array" ref="EW228">SUM((IF(QualitéAlimentsPoulainSelleMâle=MOYENNE,VLOOKUP("Ration complète",AlimentsRationEcurieChevauxMâlesSelle,5,FALSE),0)+(IF(QualitéAlimentsPoulainSelleFemelle=MOYENNE,VLOOKUP("Ration complète",AlimentsRationEcurieChevauxFemellesSelle,5,FALSE),0)+(IF(QualitéAlimentsJeuneEtalon_12_24_moisSelle=MOYENNE,VLOOKUP("Ration complète",AlimentsRationEcurieChevauxMâlesSelle,4,FALSE),0)+(IF(QualitéAlimentsJeuneJument_12_24_moisSelle=MOYENNE,VLOOKUP("Ration complète",AlimentsRationEcurieChevauxFemellesSelle,4,FALSE),0)+(IF(QualitéAlimentsJeuneEtalon_24_36_moisSelle=MOYENNE,VLOOKUP("Ration complète",AlimentsRationEcurieChevauxMâlesSelle,3,FALSE),0)+(IF(QualitéAlimentsJeuneJument_24_36_moisSelle=MOYENNE,VLOOKUP("Ration complète",AlimentsRationEcurieChevauxFemellesSelle,3,FALSE),0)+(IF(QualitéAlimentsEtalonSelle=MOYENNE,VLOOKUP("Ration complète",AlimentsRationEcurieChevauxMâlesSelle,2,FALSE),0)+(IF(QualitéAlimentsJumentSelle=MOYENNE,VLOOKUP("Ration complète",AlimentsRationEcurieChevauxFemellesSelle,2,FALSE),0))))))))))</f>
        <v>0</v>
      </c>
      <c r="EX228" s="458">
        <f t="array" ref="EX228">SUM((IF(QualitéAlimentsPoulainSelleMâle=MAUVAISE,VLOOKUP("Ration complète",AlimentsRationEcurieChevauxMâlesSelle,5,FALSE),0)+(IF(QualitéAlimentsPoulainSelleFemelle=MAUVAISE,VLOOKUP("Ration complète",AlimentsRationEcurieChevauxFemellesSelle,5,FALSE),0)+(IF(QualitéAlimentsJeuneEtalon_12_24_moisSelle=MAUVAISE,VLOOKUP("Ration complète",AlimentsRationEcurieChevauxMâlesSelle,4,FALSE),0)+(IF(QualitéAlimentsJeuneJument_12_24_moisSelle=MAUVAISE,VLOOKUP("Ration complète",AlimentsRationEcurieChevauxFemellesSelle,4,FALSE),0)+(IF(QualitéAlimentsJeuneEtalon_24_36_moisSelle=MAUVAISE,VLOOKUP("Ration complète",AlimentsRationEcurieChevauxMâlesSelle,3,FALSE),0)+(IF(QualitéAlimentsJeuneJument_24_36_moisSelle=MAUVAISE,VLOOKUP("Ration complète",AlimentsRationEcurieChevauxFemellesSelle,3,FALSE),0)+(IF(QualitéAlimentsEtalonSelle=MAUVAISE,VLOOKUP("Ration complète",AlimentsRationEcurieChevauxMâlesSelle,2,FALSE),0)+(IF(QualitéAlimentsJumentSelle=MAUVAISE,VLOOKUP("Ration complète",AlimentsRationEcurieChevauxFemellesSelle,2,FALSE),0))))))))))</f>
        <v>0</v>
      </c>
      <c r="FD228" s="457" t="str">
        <f t="shared" si="65"/>
        <v>Tourteau de colza</v>
      </c>
      <c r="FE228" s="458">
        <f t="array" ref="FE228">SUM((IF(QualitéAlimentsPoulainMâleTrait=BONNE,VLOOKUP("Tournesol de colza",AlimentsRationEcurieChevauxMâlesTrait,5,FALSE),0)+(IF(QualitéAlimentsPoulainFemelleTrait=BONNE,VLOOKUP("Tournesol de colza",AlimentsRationEcurieChevauxFemellesTrait,5,FALSE),0)+(IF(QualitéAlimentsJeuneEtalon_12_24_moisTrait=BONNE,VLOOKUP("Tournesol de colza",AlimentsRationEcurieChevauxMâlesTrait,4,FALSE),0)+(IF(QualitéAlimentsJeuneJument_12_24_moisTrait=BONNE,VLOOKUP("Tournesol de colza",AlimentsRationEcurieChevauxFemellesTrait,4,FALSE),0)+(IF(QualitéAlimentsJeuneEtalon_24_36_moisTrait=BONNE,VLOOKUP("Tournesol de colza",AlimentsRationEcurieChevauxMâlesTrait,3,FALSE),0)+(IF(QualitéAlimentsJeuneJument_24_36_moisTrait=BONNE,VLOOKUP("Tournesol de colza",AlimentsRationEcurieChevauxFemellesTrait,3,FALSE),0)+(IF(QualitéAlimentsEtalonTrait=BONNE,VLOOKUP("Tournesol de colza",AlimentsRationEcurieChevauxMâlesTrait,2,FALSE),0)+(IF(QualitéAlimentsJumentTrait=BONNE,VLOOKUP("Tournesol de colza",AlimentsRationEcurieChevauxFemellesTrait,2,FALSE),0))))))))))</f>
        <v>0</v>
      </c>
      <c r="FF228" s="458">
        <f t="array" ref="FF228">SUM((IF(QualitéAlimentsPoulainMâleTrait=MOYENNE,VLOOKUP("Tournesol de colza",AlimentsRationEcurieChevauxMâlesTrait,5,FALSE),0)+(IF(QualitéAlimentsPoulainFemelleTrait=MOYENNE,VLOOKUP("Tournesol de colza",AlimentsRationEcurieChevauxFemellesTrait,5,FALSE),0)+(IF(QualitéAlimentsJeuneEtalon_12_24_moisTrait=MOYENNE,VLOOKUP("Tournesol de colza",AlimentsRationEcurieChevauxMâlesTrait,4,FALSE),0)+(IF(QualitéAlimentsJeuneJument_12_24_moisTrait=MOYENNE,VLOOKUP("Tournesol de colza",AlimentsRationEcurieChevauxFemellesTrait,4,FALSE),0)+(IF(QualitéAlimentsJeuneEtalon_24_36_moisTrait=MOYENNE,VLOOKUP("Tournesol de colza",AlimentsRationEcurieChevauxMâlesTrait,3,FALSE),0)+(IF(QualitéAlimentsJeuneJument_24_36_moisTrait=MOYENNE,VLOOKUP("Tournesol de colza",AlimentsRationEcurieChevauxFemellesTrait,3,FALSE),0)+(IF(QualitéAlimentsEtalonTrait=MOYENNE,VLOOKUP("Tournesol de colza",AlimentsRationEcurieChevauxMâlesTrait,2,FALSE),0)+(IF(QualitéAlimentsJumentTrait=MOYENNE,VLOOKUP("Tournesol de colza",AlimentsRationEcurieChevauxFemellesTrait,2,FALSE),0))))))))))</f>
        <v>0</v>
      </c>
      <c r="FG228" s="458">
        <f t="array" ref="FG228">SUM((IF(QualitéAlimentsPoulainMâleTrait=MAUVAISE,VLOOKUP("Tournesol de colza",AlimentsRationEcurieChevauxMâlesTrait,5,FALSE),0)+(IF(QualitéAlimentsPoulainFemelleTrait=MAUVAISE,VLOOKUP("Tournesol de colza",AlimentsRationEcurieChevauxFemellesTrait,5,FALSE),0)+(IF(QualitéAlimentsJeuneEtalon_12_24_moisTrait=MAUVAISE,VLOOKUP("Tournesol de colza",AlimentsRationEcurieChevauxMâlesTrait,4,FALSE),0)+(IF(QualitéAlimentsJeuneJument_12_24_moisTrait=MAUVAISE,VLOOKUP("Tournesol de colza",AlimentsRationEcurieChevauxFemellesTrait,4,FALSE),0)+(IF(QualitéAlimentsJeuneEtalon_24_36_moisTrait=MAUVAISE,VLOOKUP("Tournesol de colza",AlimentsRationEcurieChevauxMâlesTrait,3,FALSE),0)+(IF(QualitéAlimentsJeuneJument_24_36_moisTrait=MAUVAISE,VLOOKUP("Tournesol de colza",AlimentsRationEcurieChevauxFemellesTrait,3,FALSE),0)+(IF(QualitéAlimentsEtalonTrait=MAUVAISE,VLOOKUP("Tournesol de colza",AlimentsRationEcurieChevauxMâlesTrait,2,FALSE),0)+(IF(QualitéAlimentsJumentTrait=MAUVAISE,VLOOKUP("Tournesol de colza",AlimentsRationEcurieChevauxFemellesTrait,2,FALSE),0))))))))))</f>
        <v>0</v>
      </c>
      <c r="FI228" s="276"/>
      <c r="FN228" s="457" t="str">
        <f t="shared" si="64"/>
        <v>Tourteau de tournesol</v>
      </c>
      <c r="FO228" s="458">
        <f t="array" ref="FO228">SUM((IF(QualitéAlimentsPoulainMâlePoney=BONNE,VLOOKUP("Tournesol de tournesol",AlimentsRationChevauxMâlesPoney,5,FALSE),0)+(IF(QualitéAlimentsPoulainFemellePoney=BONNE,VLOOKUP("Tournesol de tournesol",AlimentsRationChevauxFemellesPoney,5,FALSE),0)+(IF(QualitéAlimentsJeuneEtalon_12_24_moisPoney=BONNE,VLOOKUP("Tournesol de tournesol",AlimentsRationChevauxMâlesPoney,4,FALSE),0)+(IF(QualitéAlimentsJeuneJument_12_24_moisPoney=BONNE,VLOOKUP("Tournesol de tournesol",AlimentsRationChevauxFemellesPoney,4,FALSE),0)+(IF(QualitéAlimentsJeuneEtalon_24_36_moisPoney=BONNE,VLOOKUP("Tournesol de tournesol",AlimentsRationChevauxMâlesPoney,3,FALSE),0)+(IF(QualitéAlimentsJeuneJument_24_36_moisPoney=BONNE,VLOOKUP("Tournesol de tournesol",AlimentsRationChevauxFemellesPoney,3,FALSE),0)+(IF(QualitéAlimentsEtalonPoney=BONNE,VLOOKUP("Tournesol de tournesol",AlimentsRationChevauxMâlesPoney,2,FALSE),0)+(IF(QualitéAlimentsJumentPoney=BONNE,VLOOKUP("Tournesol de tournesol",AlimentsRationChevauxFemellesPoney,2,FALSE),0))))))))))</f>
        <v>0</v>
      </c>
      <c r="FP228" s="458">
        <f t="array" ref="FP228">SUM((IF(QualitéAlimentsPoulainMâlePoney=MOYENNE,VLOOKUP("Tournesol de tournesol",AlimentsRationChevauxMâlesPoney,5,FALSE),0)+(IF(QualitéAlimentsPoulainFemellePoney=MOYENNE,VLOOKUP("Tournesol de tournesol",AlimentsRationChevauxFemellesPoney,5,FALSE),0)+(IF(QualitéAlimentsJeuneEtalon_12_24_moisPoney=MOYENNE,VLOOKUP("Tournesol de tournesol",AlimentsRationChevauxMâlesPoney,4,FALSE),0)+(IF(QualitéAlimentsJeuneJument_12_24_moisPoney=MOYENNE,VLOOKUP("Tournesol de tournesol",AlimentsRationChevauxFemellesPoney,4,FALSE),0)+(IF(QualitéAlimentsJeuneEtalon_24_36_moisPoney=MOYENNE,VLOOKUP("Tournesol de tournesol",AlimentsRationChevauxMâlesPoney,3,FALSE),0)+(IF(QualitéAlimentsJeuneJument_24_36_moisPoney=MOYENNE,VLOOKUP("Tournesol de tournesol",AlimentsRationChevauxFemellesPoney,3,FALSE),0)+(IF(QualitéAlimentsEtalonPoney=MOYENNE,VLOOKUP("Tournesol de tournesol",AlimentsRationChevauxMâlesPoney,2,FALSE),0)+(IF(QualitéAlimentsJumentPoney=MOYENNE,VLOOKUP("Tournesol de tournesol",AlimentsRationChevauxFemellesPoney,2,FALSE),0))))))))))</f>
        <v>0</v>
      </c>
      <c r="FQ228" s="458">
        <f t="array" ref="FQ228">SUM((IF(QualitéAlimentsPoulainMâlePoney=MAUVAISE,VLOOKUP("Tournesol de tournesol",AlimentsRationChevauxMâlesPoney,5,FALSE),0)+(IF(QualitéAlimentsPoulainFemellePoney=MAUVAISE,VLOOKUP("Tournesol de tournesol",AlimentsRationChevauxFemellesPoney,5,FALSE),0)+(IF(QualitéAlimentsJeuneEtalon_12_24_moisPoney=MAUVAISE,VLOOKUP("Tournesol de tournesol",AlimentsRationChevauxMâlesPoney,4,FALSE),0)+(IF(QualitéAlimentsJeuneJument_12_24_moisPoney=MAUVAISE,VLOOKUP("Tournesol de tournesol",AlimentsRationChevauxFemellesPoney,4,FALSE),0)+(IF(QualitéAlimentsJeuneEtalon_24_36_moisPoney=MAUVAISE,VLOOKUP("Tournesol de tournesol",AlimentsRationChevauxMâlesPoney,3,FALSE),0)+(IF(QualitéAlimentsJeuneJument_24_36_moisPoney=MAUVAISE,VLOOKUP("Tournesol de tournesol",AlimentsRationChevauxFemellesPoney,3,FALSE),0)+(IF(QualitéAlimentsEtalonPoney=MAUVAISE,VLOOKUP("Tournesol de tournesol",AlimentsRationChevauxMâlesPoney,2,FALSE),0)+(IF(QualitéAlimentsJumentPoney=MAUVAISE,VLOOKUP("Tournesol de tournesol",AlimentsRationChevauxFemellesPoney,2,FALSE),0))))))))))</f>
        <v>0</v>
      </c>
      <c r="FR228" s="281"/>
      <c r="GG228" s="276" t="s">
        <v>955</v>
      </c>
      <c r="GH228" s="276" t="s">
        <v>955</v>
      </c>
      <c r="GI228" s="276" t="s">
        <v>955</v>
      </c>
      <c r="GJ228" s="276" t="s">
        <v>955</v>
      </c>
      <c r="GK228" s="276" t="s">
        <v>955</v>
      </c>
      <c r="GL228" s="276" t="s">
        <v>955</v>
      </c>
      <c r="GM228" s="276" t="s">
        <v>955</v>
      </c>
      <c r="GN228" s="276" t="s">
        <v>955</v>
      </c>
      <c r="GO228" s="276" t="s">
        <v>955</v>
      </c>
      <c r="GP228" s="276" t="s">
        <v>955</v>
      </c>
      <c r="GQ228" s="276" t="s">
        <v>955</v>
      </c>
      <c r="GR228" s="276" t="s">
        <v>955</v>
      </c>
      <c r="GS228" s="276" t="s">
        <v>955</v>
      </c>
      <c r="GT228" s="276" t="s">
        <v>955</v>
      </c>
      <c r="GU228" s="276" t="s">
        <v>955</v>
      </c>
      <c r="GV228" s="276" t="s">
        <v>955</v>
      </c>
    </row>
    <row r="229" spans="1:204" ht="12.75" customHeight="1" x14ac:dyDescent="0.2">
      <c r="A229" s="276"/>
      <c r="B229" s="276"/>
      <c r="BB229" s="350"/>
      <c r="BC229" s="351">
        <f t="array" ref="BC229">IF(Ration_complète_bovins[somme]&gt;0,0,IFERROR(IF(OR(AND(INDEX(Règles_bovins[Specificite],MATCH(ChoixRationBovins&amp;$BB229,Règles_bovins[Ration]&amp;Règles_bovins[Aliment],0))="s1",IF($BB229=Spécificité1Bovins,1)),
AND(INDEX(Règles_bovins[Specificite],MATCH(ChoixRationBovins&amp;$BB229,Règles_bovins[Ration]&amp;Règles_bovins[Aliment],0))="s2",IF($BB229=Spécificité2Bovins,1)),
INDEX(Règles_bovins[Specificite],MATCH(ChoixRationBovins&amp;$BB229,Règles_bovins[Ration]&amp;Règles_bovins[Aliment],0))="c"),
INDEX(Règles_bovins[Valeur 36 et plus],MATCH(ChoixRationBovins&amp;$BB229,Règles_bovins[Ration]&amp;Règles_bovins[Aliment],0)),0),0)*IF(ChoixBovinsPréHiver=OUI,TotalTaureauxRacesLaitières,TotalTaureaux*NbreJoursNourrirBovins))</f>
        <v>0</v>
      </c>
      <c r="BD229" s="351">
        <f t="array" ref="BD229">IF(Ration_complète_bovins[somme]&gt;0,0,IFERROR(IF(OR(AND(INDEX(Règles_bovins[Specificite],MATCH(ChoixRationBovins&amp;$BB229,Règles_bovins[Ration]&amp;Règles_bovins[Aliment],0))="s1",IF($BB229=Spécificité1Bovins,1)),
AND(INDEX(Règles_bovins[Specificite],MATCH(ChoixRationBovins&amp;$BB229,Règles_bovins[Ration]&amp;Règles_bovins[Aliment],0))="s2",IF($BB229=Spécificité2Bovins,1)),
INDEX(Règles_bovins[Specificite],MATCH(ChoixRationBovins&amp;$BB229,Règles_bovins[Ration]&amp;Règles_bovins[Aliment],0))="c"),
INDEX(Règles_bovins[Valeur 24-36],MATCH(ChoixRationBovins&amp;$BB229,Règles_bovins[Ration]&amp;Règles_bovins[Aliment],0)),0),0)*IF(ChoixBovinsPréHiver=OUI,TotalTaurillon_24_36_RacesLaitières,TotalBovinsMâles_24_36mois*NbreJoursNourrirBovins))</f>
        <v>0</v>
      </c>
      <c r="BE229" s="351">
        <f t="array" ref="BE229">IF(Ration_complète_bovins[somme]&gt;0,0,IFERROR(IF(OR(AND(INDEX(Règles_bovins[Specificite],MATCH(ChoixRationBovins&amp;$BB229,Règles_bovins[Ration]&amp;Règles_bovins[Aliment],0))="s1",IF($BB229=Spécificité1Bovins,1)),
AND(INDEX(Règles_bovins[Specificite],MATCH(ChoixRationBovins&amp;$BB229,Règles_bovins[Ration]&amp;Règles_bovins[Aliment],0))="s2",IF($BB229=Spécificité2Bovins,1)),
INDEX(Règles_bovins[Specificite],MATCH(ChoixRationBovins&amp;$BB229,Règles_bovins[Ration]&amp;Règles_bovins[Aliment],0))="c"),
INDEX(Règles_bovins[Valeur 18-24],MATCH(ChoixRationBovins&amp;$BB229,Règles_bovins[Ration]&amp;Règles_bovins[Aliment],0)),0),0)*IF(ChoixBovinsPréHiver=OUI,TotalTaurillon_18_24_RacesLaitières,TotalBovinsMâles_18_24mois*NbreJoursNourrirBovins))</f>
        <v>0</v>
      </c>
      <c r="BF229" s="351">
        <f t="array" ref="BF229">IF(Ration_complète_bovins[somme]&gt;0,0,IFERROR(IF(OR(AND(INDEX(Règles_bovins[Specificite],MATCH(ChoixRationBovins&amp;$BB229,Règles_bovins[Ration]&amp;Règles_bovins[Aliment],0))="s1",IF($BB229=Spécificité1Bovins,1)),
AND(INDEX(Règles_bovins[Specificite],MATCH(ChoixRationBovins&amp;$BB229,Règles_bovins[Ration]&amp;Règles_bovins[Aliment],0))="s2",IF($BB229=Spécificité2Bovins,1)),
INDEX(Règles_bovins[Specificite],MATCH(ChoixRationBovins&amp;$BB229,Règles_bovins[Ration]&amp;Règles_bovins[Aliment],0))="c"),
INDEX(Règles_bovins[Valeur 12-18],MATCH(ChoixRationBovins&amp;$BB229,Règles_bovins[Ration]&amp;Règles_bovins[Aliment],0)),0),0)*IF(ChoixBovinsPréHiver=OUI,animaux!D52,TotalBovinsMâles_12_18mois*NbreJoursNourrirBovins))</f>
        <v>0</v>
      </c>
      <c r="BG229" s="351">
        <f t="array" ref="BG229">IF(Ration_complète_bovins[somme]&gt;0,0,IFERROR(IF(OR(AND(INDEX(Règles_bovins[Specificite],MATCH(ChoixRationBovins&amp;$BB229,Règles_bovins[Ration]&amp;Règles_bovins[Aliment],0))="s1",IF($BB229=Spécificité1Bovins,1)),
AND(INDEX(Règles_bovins[Specificite],MATCH(ChoixRationBovins&amp;$BB229,Règles_bovins[Ration]&amp;Règles_bovins[Aliment],0))="s2",IF($BB229=Spécificité2Bovins,1)),
INDEX(Règles_bovins[Specificite],MATCH(ChoixRationBovins&amp;$BB229,Règles_bovins[Ration]&amp;Règles_bovins[Aliment],0))="c"),
INDEX(Règles_bovins[Valeur 6-12],MATCH(ChoixRationBovins&amp;$BB229,Règles_bovins[Ration]&amp;Règles_bovins[Aliment],0)),0),0)*IF(ChoixBovinsPréHiver=OUI,TotalVeauMâle_6_12_RacesLaitières,TotalBovinsMâles_6_12mois*NbreJoursNourrirBovins))</f>
        <v>0</v>
      </c>
      <c r="BH229" s="351">
        <f t="array" ref="BH229">IF(Ration_complète_bovins[somme]&gt;0,0,IFERROR(IF(OR(AND(INDEX(Règles_bovins[Specificite],MATCH(ChoixRationBovins&amp;$BB229,Règles_bovins[Ration]&amp;Règles_bovins[Aliment],0))="s1",IF($BB229=Spécificité1Bovins,1)),
AND(INDEX(Règles_bovins[Specificite],MATCH(ChoixRationBovins&amp;$BB229,Règles_bovins[Ration]&amp;Règles_bovins[Aliment],0))="s2",IF($BB229=Spécificité2Bovins,1)),
INDEX(Règles_bovins[Specificite],MATCH(ChoixRationBovins&amp;$BB229,Règles_bovins[Ration]&amp;Règles_bovins[Aliment],0))="c"),
INDEX(Règles_bovins[Valeur 3-6],MATCH(ChoixRationBovins&amp;$BB229,Règles_bovins[Ration]&amp;Règles_bovins[Aliment],0)),0),0)*IF(ChoixBovinsPréHiver=OUI,TotalVeauMâle_3_6_RacesLaitières,TotalBovinsMâles_3_6mois*NbreJoursNourrirBovins))</f>
        <v>0</v>
      </c>
      <c r="BI229" s="351">
        <f t="array" ref="BI229">IF(Ration_complète_bovins[somme]&gt;0,0,IFERROR(IF(OR(AND(INDEX(Règles_bovins[Specificite],MATCH(ChoixRationBovins&amp;$BB229,Règles_bovins[Ration]&amp;Règles_bovins[Aliment],0))="s1",IF($BB229=Spécificité1Bovins,1)),
AND(INDEX(Règles_bovins[Specificite],MATCH(ChoixRationBovins&amp;$BB229,Règles_bovins[Ration]&amp;Règles_bovins[Aliment],0))="s2",IF($BB229=Spécificité2Bovins,1)),
INDEX(Règles_bovins[Specificite],MATCH(ChoixRationBovins&amp;$BB229,Règles_bovins[Ration]&amp;Règles_bovins[Aliment],0))="c"),
INDEX(Règles_bovins[Valeur 0-3],MATCH(ChoixRationBovins&amp;$BB229,Règles_bovins[Ration]&amp;Règles_bovins[Aliment],0)),0),0)*IF(ChoixBovinsPréHiver=OUI,TotalVeauMâle_0_3_RacesLaitières,TotalBovinsMâles_0_3mois*NbreJoursNourrirBovins))</f>
        <v>0</v>
      </c>
      <c r="BJ229" s="352">
        <f t="shared" si="62"/>
        <v>0</v>
      </c>
      <c r="BK229" s="276"/>
      <c r="BX229" s="350">
        <f t="shared" si="63"/>
        <v>0</v>
      </c>
      <c r="BY229" s="351"/>
      <c r="BZ229" s="351"/>
      <c r="CA229" s="351"/>
      <c r="CB229" s="277"/>
      <c r="CC229" s="277"/>
      <c r="CD229" s="298"/>
      <c r="CE229" s="298"/>
      <c r="CF229" s="298"/>
      <c r="CG229" s="298"/>
      <c r="CH229" s="298"/>
      <c r="CI229" s="277"/>
      <c r="CK229" s="277"/>
      <c r="CL229" s="277"/>
      <c r="CM229" s="277"/>
      <c r="CN229" s="277"/>
      <c r="CO229" s="277"/>
      <c r="CP229" s="277"/>
      <c r="DN229" s="350">
        <f t="shared" si="61"/>
        <v>0</v>
      </c>
      <c r="DO229" s="351">
        <f t="array" ref="DO229">IF(ChoixRationComplèteOvins=OUI,0,IFERROR(IF(OR(AND(INDEX(Règles_ovins[Specificite],MATCH(ChoixRationOvins&amp;$DN229,Règles_ovins[Ration]&amp;Règles_ovins[Aliment],0))="s1",IF($DN229=Spécificité1Ovins,1)),
AND(INDEX(Règles_ovins[Specificite],MATCH(ChoixRationOvins&amp;$DN229,Règles_ovins[Ration]&amp;Règles_ovins[Aliment],0))="s2",IF($DN229=Spécificité2Ovins,1)),
INDEX(Règles_ovins[Specificite],MATCH(ChoixRationOvins&amp;$DN229,Règles_ovins[Ration]&amp;Règles_ovins[Aliment],0))="c"),
INDEX(Règles_ovins[Valeur 12 et plus],MATCH(ChoixRationOvins&amp;$DN229,Règles_ovins[Ration]&amp;Règles_ovins[Aliment],0)),0),0)*IF(ChoixOvinsPréHiver=OUI,SUM(TotalOvinsAdultesRacesLaitières)*NbreJoursNourrirOvins,TotalBrebis*NbreJoursNourrirOvins))</f>
        <v>0</v>
      </c>
      <c r="DP229" s="351">
        <f t="array" ref="DP229">IF(ChoixRationComplèteOvins=OUI,0,IFERROR(IF(OR(AND(INDEX(Règles_ovins[Specificite],MATCH(ChoixRationOvins&amp;$DN229,Règles_ovins[Ration]&amp;Règles_ovins[Aliment],0))="s1",IF($DN229=Spécificité1Ovins,1)),
AND(INDEX(Règles_ovins[Specificite],MATCH(ChoixRationOvins&amp;$DN229,Règles_ovins[Ration]&amp;Règles_ovins[Aliment],0))="s2",IF($DN229=Spécificité2Ovins,1)),
INDEX(Règles_ovins[Specificite],MATCH(ChoixRationOvins&amp;$DN229,Règles_ovins[Ration]&amp;Règles_ovins[Aliment],0))="c"),
INDEX(Règles_ovins[Valeur 6-12],MATCH(ChoixRationOvins&amp;$DN229,Règles_ovins[Ration]&amp;Règles_ovins[Aliment],0)),0),0)*IF(ChoixOvinsPréHiver=OUI,SUM(TotalJeunesOvinsRacesLaitières)*NbreJoursNourrirOvins,TotalJeune_brebis_6_12_mois*NbreJoursNourrirOvins))</f>
        <v>0</v>
      </c>
      <c r="DQ229" s="351">
        <f t="array" ref="DQ229">IF(ChoixRationComplèteOvins=OUI,0,IFERROR(IF(OR(AND(INDEX(Règles_ovins[Specificite],MATCH(ChoixRationOvins&amp;$DN229,Règles_ovins[Ration]&amp;Règles_ovins[Aliment],0))="s1",IF($DN229=Spécificité1Ovins,1)),
AND(INDEX(Règles_ovins[Specificite],MATCH(ChoixRationOvins&amp;$DN229,Règles_ovins[Ration]&amp;Règles_ovins[Aliment],0))="s2",IF($DN229=Spécificité2Ovins,1)),
INDEX(Règles_ovins[Specificite],MATCH(ChoixRationOvins&amp;$DN229,Règles_ovins[Ration]&amp;Règles_ovins[Aliment],0))="c"),
INDEX(Règles_ovins[Valeur 3-6],MATCH(ChoixRationOvins&amp;$DN229,Règles_ovins[Ration]&amp;Règles_ovins[Aliment],0)),0),0)*IF(ChoixOvinsPréHiver=OUI,SUM(TotalOvins_3_6moisRacesLaitières)*NbreJoursNourrirOvins,TotalAgnelle_3_6_mois*NbreJoursNourrirOvins))</f>
        <v>0</v>
      </c>
      <c r="DR229" s="351">
        <f t="array" ref="DR229">IF(ChoixRationComplèteOvins=OUI,0,IFERROR(IF(OR(AND(INDEX(Règles_ovins[Specificite],MATCH(ChoixRationOvins&amp;$DN229,Règles_ovins[Ration]&amp;Règles_ovins[Aliment],0))="s1",IF($DN229=Spécificité1Ovins,1)),
AND(INDEX(Règles_ovins[Specificite],MATCH(ChoixRationOvins&amp;$DN229,Règles_ovins[Ration]&amp;Règles_ovins[Aliment],0))="s2",IF($DN229=Spécificité2Ovins,1)),
INDEX(Règles_ovins[Specificite],MATCH(ChoixRationOvins&amp;$DN229,Règles_ovins[Ration]&amp;Règles_ovins[Aliment],0))="c"),
INDEX(Règles_ovins[Valeur 0-3],MATCH(ChoixRationOvins&amp;$DN229,Règles_ovins[Ration]&amp;Règles_ovins[Aliment],0)),0),0)*IF(ChoixOvinsPréHiver=OUI,SUM(TotalOvins_3_6moisRacesLaitières)*NbreJoursNourrirOvins,TotalAgnelle_0_3_mois*NbreJoursNourrirOvins))</f>
        <v>0</v>
      </c>
      <c r="DS229" s="441">
        <f t="shared" si="60"/>
        <v>0</v>
      </c>
      <c r="EU229" s="457" t="str">
        <f t="shared" si="66"/>
        <v>Seigle</v>
      </c>
      <c r="EV229" s="458">
        <f t="array" ref="EV229">SUM((IF(QualitéAlimentsPoulainSelleMâle=BONNE,VLOOKUP("Seigle",AlimentsRationEcurieChevauxMâlesSelle,5,FALSE),0)+(IF(QualitéAlimentsPoulainSelleFemelle=BONNE,VLOOKUP("Seigle",AlimentsRationEcurieChevauxFemellesSelle,5,FALSE),0)+(IF(QualitéAlimentsJeuneEtalon_12_24_moisSelle=BONNE,VLOOKUP("Seigle",AlimentsRationEcurieChevauxMâlesSelle,4,FALSE),0)+(IF(QualitéAlimentsJeuneJument_12_24_moisSelle=BONNE,VLOOKUP("Seigle",AlimentsRationEcurieChevauxFemellesSelle,4,FALSE),0)+(IF(QualitéAlimentsJeuneEtalon_24_36_moisSelle=BONNE,VLOOKUP("Seigle",AlimentsRationEcurieChevauxMâlesSelle,3,FALSE),0)+(IF(QualitéAlimentsJeuneJument_24_36_moisSelle=BONNE,VLOOKUP("Seigle",AlimentsRationEcurieChevauxFemellesSelle,3,FALSE),0)+(IF(QualitéAlimentsEtalonSelle=BONNE,VLOOKUP("Seigle",AlimentsRationEcurieChevauxMâlesSelle,2,FALSE),0)+(IF(QualitéAlimentsJumentSelle=BONNE,VLOOKUP("Seigle",AlimentsRationEcurieChevauxFemellesSelle,2,FALSE),0))))))))))</f>
        <v>0</v>
      </c>
      <c r="EW229" s="458">
        <f t="array" ref="EW229">SUM((IF(QualitéAlimentsPoulainSelleMâle=MOYENNE,VLOOKUP("Seigle",AlimentsRationEcurieChevauxMâlesSelle,5,FALSE),0)+(IF(QualitéAlimentsPoulainSelleFemelle=MOYENNE,VLOOKUP("Seigle",AlimentsRationEcurieChevauxFemellesSelle,5,FALSE),0)+(IF(QualitéAlimentsJeuneEtalon_12_24_moisSelle=MOYENNE,VLOOKUP("Seigle",AlimentsRationEcurieChevauxMâlesSelle,4,FALSE),0)+(IF(QualitéAlimentsJeuneJument_12_24_moisSelle=MOYENNE,VLOOKUP("Seigle",AlimentsRationEcurieChevauxFemellesSelle,4,FALSE),0)+(IF(QualitéAlimentsJeuneEtalon_24_36_moisSelle=MOYENNE,VLOOKUP("Seigle",AlimentsRationEcurieChevauxMâlesSelle,3,FALSE),0)+(IF(QualitéAlimentsJeuneJument_24_36_moisSelle=MOYENNE,VLOOKUP("Seigle",AlimentsRationEcurieChevauxFemellesSelle,3,FALSE),0)+(IF(QualitéAlimentsEtalonSelle=MOYENNE,VLOOKUP("Seigle",AlimentsRationEcurieChevauxMâlesSelle,2,FALSE),0)+(IF(QualitéAlimentsJumentSelle=MOYENNE,VLOOKUP("Seigle",AlimentsRationEcurieChevauxFemellesSelle,2,FALSE),0))))))))))</f>
        <v>0</v>
      </c>
      <c r="EX229" s="458">
        <f t="array" ref="EX229">SUM((IF(QualitéAlimentsPoulainSelleMâle=MAUVAISE,VLOOKUP("Seigle",AlimentsRationEcurieChevauxMâlesSelle,5,FALSE),0)+(IF(QualitéAlimentsPoulainSelleFemelle=MAUVAISE,VLOOKUP("Seigle",AlimentsRationEcurieChevauxFemellesSelle,5,FALSE),0)+(IF(QualitéAlimentsJeuneEtalon_12_24_moisSelle=MAUVAISE,VLOOKUP("Seigle",AlimentsRationEcurieChevauxMâlesSelle,4,FALSE),0)+(IF(QualitéAlimentsJeuneJument_12_24_moisSelle=MAUVAISE,VLOOKUP("Seigle",AlimentsRationEcurieChevauxFemellesSelle,4,FALSE),0)+(IF(QualitéAlimentsJeuneEtalon_24_36_moisSelle=MAUVAISE,VLOOKUP("Seigle",AlimentsRationEcurieChevauxMâlesSelle,3,FALSE),0)+(IF(QualitéAlimentsJeuneJument_24_36_moisSelle=MAUVAISE,VLOOKUP("Seigle",AlimentsRationEcurieChevauxFemellesSelle,3,FALSE),0)+(IF(QualitéAlimentsEtalonSelle=MAUVAISE,VLOOKUP("Seigle",AlimentsRationEcurieChevauxMâlesSelle,2,FALSE),0)+(IF(QualitéAlimentsJumentSelle=MAUVAISE,VLOOKUP("Seigle",AlimentsRationEcurieChevauxFemellesSelle,2,FALSE),0))))))))))</f>
        <v>0</v>
      </c>
      <c r="FD229" s="457" t="str">
        <f t="shared" si="65"/>
        <v>Tourteau de tournesol</v>
      </c>
      <c r="FE229" s="458">
        <f t="array" ref="FE229">SUM((IF(QualitéAlimentsPoulainMâleTrait=BONNE,VLOOKUP("Tournesol de tournesol",AlimentsRationEcurieChevauxMâlesTrait,5,FALSE),0)+(IF(QualitéAlimentsPoulainFemelleTrait=BONNE,VLOOKUP("Tournesol de tournesol",AlimentsRationEcurieChevauxFemellesTrait,5,FALSE),0)+(IF(QualitéAlimentsJeuneEtalon_12_24_moisTrait=BONNE,VLOOKUP("Tournesol de tournesol",AlimentsRationEcurieChevauxMâlesTrait,4,FALSE),0)+(IF(QualitéAlimentsJeuneJument_12_24_moisTrait=BONNE,VLOOKUP("Tournesol de tournesol",AlimentsRationEcurieChevauxFemellesTrait,4,FALSE),0)+(IF(QualitéAlimentsJeuneEtalon_24_36_moisTrait=BONNE,VLOOKUP("Tournesol de tournesol",AlimentsRationEcurieChevauxMâlesTrait,3,FALSE),0)+(IF(QualitéAlimentsJeuneJument_24_36_moisTrait=BONNE,VLOOKUP("Tournesol de tournesol",AlimentsRationEcurieChevauxFemellesTrait,3,FALSE),0)+(IF(QualitéAlimentsEtalonTrait=BONNE,VLOOKUP("Tournesol de tournesol",AlimentsRationEcurieChevauxMâlesTrait,2,FALSE),0)+(IF(QualitéAlimentsJumentTrait=BONNE,VLOOKUP("Tournesol de tournesol",AlimentsRationEcurieChevauxFemellesTrait,2,FALSE),0))))))))))</f>
        <v>0</v>
      </c>
      <c r="FF229" s="458">
        <f t="array" ref="FF229">SUM((IF(QualitéAlimentsPoulainMâleTrait=MOYENNE,VLOOKUP("Tournesol de tournesol",AlimentsRationEcurieChevauxMâlesTrait,5,FALSE),0)+(IF(QualitéAlimentsPoulainFemelleTrait=MOYENNE,VLOOKUP("Tournesol de tournesol",AlimentsRationEcurieChevauxFemellesTrait,5,FALSE),0)+(IF(QualitéAlimentsJeuneEtalon_12_24_moisTrait=MOYENNE,VLOOKUP("Tournesol de tournesol",AlimentsRationEcurieChevauxMâlesTrait,4,FALSE),0)+(IF(QualitéAlimentsJeuneJument_12_24_moisTrait=MOYENNE,VLOOKUP("Tournesol de tournesol",AlimentsRationEcurieChevauxFemellesTrait,4,FALSE),0)+(IF(QualitéAlimentsJeuneEtalon_24_36_moisTrait=MOYENNE,VLOOKUP("Tournesol de tournesol",AlimentsRationEcurieChevauxMâlesTrait,3,FALSE),0)+(IF(QualitéAlimentsJeuneJument_24_36_moisTrait=MOYENNE,VLOOKUP("Tournesol de tournesol",AlimentsRationEcurieChevauxFemellesTrait,3,FALSE),0)+(IF(QualitéAlimentsEtalonTrait=MOYENNE,VLOOKUP("Tournesol de tournesol",AlimentsRationEcurieChevauxMâlesTrait,2,FALSE),0)+(IF(QualitéAlimentsJumentTrait=MOYENNE,VLOOKUP("Tournesol de tournesol",AlimentsRationEcurieChevauxFemellesTrait,2,FALSE),0))))))))))</f>
        <v>0</v>
      </c>
      <c r="FG229" s="458">
        <f t="array" ref="FG229">SUM((IF(QualitéAlimentsPoulainMâleTrait=MAUVAISE,VLOOKUP("Tournesol de tournesol",AlimentsRationEcurieChevauxMâlesTrait,5,FALSE),0)+(IF(QualitéAlimentsPoulainFemelleTrait=MAUVAISE,VLOOKUP("Tournesol de tournesol",AlimentsRationEcurieChevauxFemellesTrait,5,FALSE),0)+(IF(QualitéAlimentsJeuneEtalon_12_24_moisTrait=MAUVAISE,VLOOKUP("Tournesol de tournesol",AlimentsRationEcurieChevauxMâlesTrait,4,FALSE),0)+(IF(QualitéAlimentsJeuneJument_12_24_moisTrait=MAUVAISE,VLOOKUP("Tournesol de tournesol",AlimentsRationEcurieChevauxFemellesTrait,4,FALSE),0)+(IF(QualitéAlimentsJeuneEtalon_24_36_moisTrait=MAUVAISE,VLOOKUP("Tournesol de tournesol",AlimentsRationEcurieChevauxMâlesTrait,3,FALSE),0)+(IF(QualitéAlimentsJeuneJument_24_36_moisTrait=MAUVAISE,VLOOKUP("Tournesol de tournesol",AlimentsRationEcurieChevauxFemellesTrait,3,FALSE),0)+(IF(QualitéAlimentsEtalonTrait=MAUVAISE,VLOOKUP("Tournesol de tournesol",AlimentsRationEcurieChevauxMâlesTrait,2,FALSE),0)+(IF(QualitéAlimentsJumentTrait=MAUVAISE,VLOOKUP("Tournesol de tournesol",AlimentsRationEcurieChevauxFemellesTrait,2,FALSE),0))))))))))</f>
        <v>0</v>
      </c>
      <c r="FI229" s="276"/>
      <c r="FN229" s="457" t="str">
        <f t="shared" si="64"/>
        <v>Triticale</v>
      </c>
      <c r="FO229" s="458">
        <f t="array" ref="FO229">SUM((IF(QualitéAlimentsPoulainMâlePoney=BONNE,VLOOKUP("Triticale",AlimentsRationChevauxMâlesPoney,5,FALSE),0)+(IF(QualitéAlimentsPoulainFemellePoney=BONNE,VLOOKUP("Triticale",AlimentsRationChevauxFemellesPoney,5,FALSE),0)+(IF(QualitéAlimentsJeuneEtalon_12_24_moisPoney=BONNE,VLOOKUP("Triticale",AlimentsRationChevauxMâlesPoney,4,FALSE),0)+(IF(QualitéAlimentsJeuneJument_12_24_moisPoney=BONNE,VLOOKUP("Triticale",AlimentsRationChevauxFemellesPoney,4,FALSE),0)+(IF(QualitéAlimentsJeuneEtalon_24_36_moisPoney=BONNE,VLOOKUP("Triticale",AlimentsRationChevauxMâlesPoney,3,FALSE),0)+(IF(QualitéAlimentsJeuneJument_24_36_moisPoney=BONNE,VLOOKUP("Triticale",AlimentsRationChevauxFemellesPoney,3,FALSE),0)+(IF(QualitéAlimentsEtalonPoney=BONNE,VLOOKUP("Triticale",AlimentsRationChevauxMâlesPoney,2,FALSE),0)+(IF(QualitéAlimentsJumentPoney=BONNE,VLOOKUP("Triticale",AlimentsRationChevauxFemellesPoney,2,FALSE),0))))))))))</f>
        <v>0</v>
      </c>
      <c r="FP229" s="458">
        <f t="array" ref="FP229">SUM((IF(QualitéAlimentsPoulainMâlePoney=MOYENNE,VLOOKUP("Triticale",AlimentsRationChevauxMâlesPoney,5,FALSE),0)+(IF(QualitéAlimentsPoulainFemellePoney=MOYENNE,VLOOKUP("Triticale",AlimentsRationChevauxFemellesPoney,5,FALSE),0)+(IF(QualitéAlimentsJeuneEtalon_12_24_moisPoney=MOYENNE,VLOOKUP("Triticale",AlimentsRationChevauxMâlesPoney,4,FALSE),0)+(IF(QualitéAlimentsJeuneJument_12_24_moisPoney=MOYENNE,VLOOKUP("Triticale",AlimentsRationChevauxFemellesPoney,4,FALSE),0)+(IF(QualitéAlimentsJeuneEtalon_24_36_moisPoney=MOYENNE,VLOOKUP("Triticale",AlimentsRationChevauxMâlesPoney,3,FALSE),0)+(IF(QualitéAlimentsJeuneJument_24_36_moisPoney=MOYENNE,VLOOKUP("Triticale",AlimentsRationChevauxFemellesPoney,3,FALSE),0)+(IF(QualitéAlimentsEtalonPoney=MOYENNE,VLOOKUP("Triticale",AlimentsRationChevauxMâlesPoney,2,FALSE),0)+(IF(QualitéAlimentsJumentPoney=MOYENNE,VLOOKUP("Triticale",AlimentsRationChevauxFemellesPoney,2,FALSE),0))))))))))</f>
        <v>0</v>
      </c>
      <c r="FQ229" s="458">
        <f t="array" ref="FQ229">SUM((IF(QualitéAlimentsPoulainMâlePoney=MAUVAISE,VLOOKUP("Triticale",AlimentsRationChevauxMâlesPoney,5,FALSE),0)+(IF(QualitéAlimentsPoulainFemellePoney=MAUVAISE,VLOOKUP("Triticale",AlimentsRationChevauxFemellesPoney,5,FALSE),0)+(IF(QualitéAlimentsJeuneEtalon_12_24_moisPoney=MAUVAISE,VLOOKUP("Triticale",AlimentsRationChevauxMâlesPoney,4,FALSE),0)+(IF(QualitéAlimentsJeuneJument_12_24_moisPoney=MAUVAISE,VLOOKUP("Triticale",AlimentsRationChevauxFemellesPoney,4,FALSE),0)+(IF(QualitéAlimentsJeuneEtalon_24_36_moisPoney=MAUVAISE,VLOOKUP("Triticale",AlimentsRationChevauxMâlesPoney,3,FALSE),0)+(IF(QualitéAlimentsJeuneJument_24_36_moisPoney=MAUVAISE,VLOOKUP("Triticale",AlimentsRationChevauxFemellesPoney,3,FALSE),0)+(IF(QualitéAlimentsEtalonPoney=MAUVAISE,VLOOKUP("Triticale",AlimentsRationChevauxMâlesPoney,2,FALSE),0)+(IF(QualitéAlimentsJumentPoney=MAUVAISE,VLOOKUP("Triticale",AlimentsRationChevauxFemellesPoney,2,FALSE),0))))))))))</f>
        <v>0</v>
      </c>
      <c r="FR229" s="281"/>
      <c r="GG229" s="276" t="s">
        <v>955</v>
      </c>
      <c r="GH229" s="276" t="s">
        <v>955</v>
      </c>
      <c r="GI229" s="276" t="s">
        <v>955</v>
      </c>
      <c r="GJ229" s="276" t="s">
        <v>955</v>
      </c>
      <c r="GK229" s="276" t="s">
        <v>955</v>
      </c>
      <c r="GL229" s="276" t="s">
        <v>955</v>
      </c>
      <c r="GM229" s="276" t="s">
        <v>955</v>
      </c>
      <c r="GN229" s="276" t="s">
        <v>955</v>
      </c>
      <c r="GO229" s="276" t="s">
        <v>955</v>
      </c>
      <c r="GP229" s="276" t="s">
        <v>955</v>
      </c>
      <c r="GQ229" s="276" t="s">
        <v>955</v>
      </c>
      <c r="GR229" s="276" t="s">
        <v>955</v>
      </c>
      <c r="GS229" s="276" t="s">
        <v>955</v>
      </c>
      <c r="GT229" s="276" t="s">
        <v>955</v>
      </c>
      <c r="GU229" s="276" t="s">
        <v>955</v>
      </c>
      <c r="GV229" s="276" t="s">
        <v>955</v>
      </c>
    </row>
    <row r="230" spans="1:204" ht="12.75" customHeight="1" x14ac:dyDescent="0.2">
      <c r="A230" s="276"/>
      <c r="B230" s="276"/>
      <c r="BB230" s="350"/>
      <c r="BC230" s="351">
        <f t="array" ref="BC230">IF(Ration_complète_bovins[somme]&gt;0,0,IFERROR(IF(OR(AND(INDEX(Règles_bovins[Specificite],MATCH(ChoixRationBovins&amp;$BB230,Règles_bovins[Ration]&amp;Règles_bovins[Aliment],0))="s1",IF($BB230=Spécificité1Bovins,1)),
AND(INDEX(Règles_bovins[Specificite],MATCH(ChoixRationBovins&amp;$BB230,Règles_bovins[Ration]&amp;Règles_bovins[Aliment],0))="s2",IF($BB230=Spécificité2Bovins,1)),
INDEX(Règles_bovins[Specificite],MATCH(ChoixRationBovins&amp;$BB230,Règles_bovins[Ration]&amp;Règles_bovins[Aliment],0))="c"),
INDEX(Règles_bovins[Valeur 36 et plus],MATCH(ChoixRationBovins&amp;$BB230,Règles_bovins[Ration]&amp;Règles_bovins[Aliment],0)),0),0)*IF(ChoixBovinsPréHiver=OUI,TotalTaureauxRacesLaitières,TotalTaureaux*NbreJoursNourrirBovins))</f>
        <v>0</v>
      </c>
      <c r="BD230" s="351">
        <f t="array" ref="BD230">IF(Ration_complète_bovins[somme]&gt;0,0,IFERROR(IF(OR(AND(INDEX(Règles_bovins[Specificite],MATCH(ChoixRationBovins&amp;$BB230,Règles_bovins[Ration]&amp;Règles_bovins[Aliment],0))="s1",IF($BB230=Spécificité1Bovins,1)),
AND(INDEX(Règles_bovins[Specificite],MATCH(ChoixRationBovins&amp;$BB230,Règles_bovins[Ration]&amp;Règles_bovins[Aliment],0))="s2",IF($BB230=Spécificité2Bovins,1)),
INDEX(Règles_bovins[Specificite],MATCH(ChoixRationBovins&amp;$BB230,Règles_bovins[Ration]&amp;Règles_bovins[Aliment],0))="c"),
INDEX(Règles_bovins[Valeur 24-36],MATCH(ChoixRationBovins&amp;$BB230,Règles_bovins[Ration]&amp;Règles_bovins[Aliment],0)),0),0)*IF(ChoixBovinsPréHiver=OUI,TotalTaurillon_24_36_RacesLaitières,TotalBovinsMâles_24_36mois*NbreJoursNourrirBovins))</f>
        <v>0</v>
      </c>
      <c r="BE230" s="351">
        <f t="array" ref="BE230">IF(Ration_complète_bovins[somme]&gt;0,0,IFERROR(IF(OR(AND(INDEX(Règles_bovins[Specificite],MATCH(ChoixRationBovins&amp;$BB230,Règles_bovins[Ration]&amp;Règles_bovins[Aliment],0))="s1",IF($BB230=Spécificité1Bovins,1)),
AND(INDEX(Règles_bovins[Specificite],MATCH(ChoixRationBovins&amp;$BB230,Règles_bovins[Ration]&amp;Règles_bovins[Aliment],0))="s2",IF($BB230=Spécificité2Bovins,1)),
INDEX(Règles_bovins[Specificite],MATCH(ChoixRationBovins&amp;$BB230,Règles_bovins[Ration]&amp;Règles_bovins[Aliment],0))="c"),
INDEX(Règles_bovins[Valeur 18-24],MATCH(ChoixRationBovins&amp;$BB230,Règles_bovins[Ration]&amp;Règles_bovins[Aliment],0)),0),0)*IF(ChoixBovinsPréHiver=OUI,TotalTaurillon_18_24_RacesLaitières,TotalBovinsMâles_18_24mois*NbreJoursNourrirBovins))</f>
        <v>0</v>
      </c>
      <c r="BF230" s="351">
        <f t="array" ref="BF230">IF(Ration_complète_bovins[somme]&gt;0,0,IFERROR(IF(OR(AND(INDEX(Règles_bovins[Specificite],MATCH(ChoixRationBovins&amp;$BB230,Règles_bovins[Ration]&amp;Règles_bovins[Aliment],0))="s1",IF($BB230=Spécificité1Bovins,1)),
AND(INDEX(Règles_bovins[Specificite],MATCH(ChoixRationBovins&amp;$BB230,Règles_bovins[Ration]&amp;Règles_bovins[Aliment],0))="s2",IF($BB230=Spécificité2Bovins,1)),
INDEX(Règles_bovins[Specificite],MATCH(ChoixRationBovins&amp;$BB230,Règles_bovins[Ration]&amp;Règles_bovins[Aliment],0))="c"),
INDEX(Règles_bovins[Valeur 12-18],MATCH(ChoixRationBovins&amp;$BB230,Règles_bovins[Ration]&amp;Règles_bovins[Aliment],0)),0),0)*IF(ChoixBovinsPréHiver=OUI,animaux!D53,TotalBovinsMâles_12_18mois*NbreJoursNourrirBovins))</f>
        <v>0</v>
      </c>
      <c r="BG230" s="351">
        <f t="array" ref="BG230">IF(Ration_complète_bovins[somme]&gt;0,0,IFERROR(IF(OR(AND(INDEX(Règles_bovins[Specificite],MATCH(ChoixRationBovins&amp;$BB230,Règles_bovins[Ration]&amp;Règles_bovins[Aliment],0))="s1",IF($BB230=Spécificité1Bovins,1)),
AND(INDEX(Règles_bovins[Specificite],MATCH(ChoixRationBovins&amp;$BB230,Règles_bovins[Ration]&amp;Règles_bovins[Aliment],0))="s2",IF($BB230=Spécificité2Bovins,1)),
INDEX(Règles_bovins[Specificite],MATCH(ChoixRationBovins&amp;$BB230,Règles_bovins[Ration]&amp;Règles_bovins[Aliment],0))="c"),
INDEX(Règles_bovins[Valeur 6-12],MATCH(ChoixRationBovins&amp;$BB230,Règles_bovins[Ration]&amp;Règles_bovins[Aliment],0)),0),0)*IF(ChoixBovinsPréHiver=OUI,TotalVeauMâle_6_12_RacesLaitières,TotalBovinsMâles_6_12mois*NbreJoursNourrirBovins))</f>
        <v>0</v>
      </c>
      <c r="BH230" s="351">
        <f t="array" ref="BH230">IF(Ration_complète_bovins[somme]&gt;0,0,IFERROR(IF(OR(AND(INDEX(Règles_bovins[Specificite],MATCH(ChoixRationBovins&amp;$BB230,Règles_bovins[Ration]&amp;Règles_bovins[Aliment],0))="s1",IF($BB230=Spécificité1Bovins,1)),
AND(INDEX(Règles_bovins[Specificite],MATCH(ChoixRationBovins&amp;$BB230,Règles_bovins[Ration]&amp;Règles_bovins[Aliment],0))="s2",IF($BB230=Spécificité2Bovins,1)),
INDEX(Règles_bovins[Specificite],MATCH(ChoixRationBovins&amp;$BB230,Règles_bovins[Ration]&amp;Règles_bovins[Aliment],0))="c"),
INDEX(Règles_bovins[Valeur 3-6],MATCH(ChoixRationBovins&amp;$BB230,Règles_bovins[Ration]&amp;Règles_bovins[Aliment],0)),0),0)*IF(ChoixBovinsPréHiver=OUI,TotalVeauMâle_3_6_RacesLaitières,TotalBovinsMâles_3_6mois*NbreJoursNourrirBovins))</f>
        <v>0</v>
      </c>
      <c r="BI230" s="351">
        <f t="array" ref="BI230">IF(Ration_complète_bovins[somme]&gt;0,0,IFERROR(IF(OR(AND(INDEX(Règles_bovins[Specificite],MATCH(ChoixRationBovins&amp;$BB230,Règles_bovins[Ration]&amp;Règles_bovins[Aliment],0))="s1",IF($BB230=Spécificité1Bovins,1)),
AND(INDEX(Règles_bovins[Specificite],MATCH(ChoixRationBovins&amp;$BB230,Règles_bovins[Ration]&amp;Règles_bovins[Aliment],0))="s2",IF($BB230=Spécificité2Bovins,1)),
INDEX(Règles_bovins[Specificite],MATCH(ChoixRationBovins&amp;$BB230,Règles_bovins[Ration]&amp;Règles_bovins[Aliment],0))="c"),
INDEX(Règles_bovins[Valeur 0-3],MATCH(ChoixRationBovins&amp;$BB230,Règles_bovins[Ration]&amp;Règles_bovins[Aliment],0)),0),0)*IF(ChoixBovinsPréHiver=OUI,TotalVeauMâle_0_3_RacesLaitières,TotalBovinsMâles_0_3mois*NbreJoursNourrirBovins))</f>
        <v>0</v>
      </c>
      <c r="BJ230" s="352">
        <f t="shared" si="62"/>
        <v>0</v>
      </c>
      <c r="BK230" s="276"/>
      <c r="BX230" s="350">
        <f t="shared" si="63"/>
        <v>0</v>
      </c>
      <c r="BY230" s="351"/>
      <c r="BZ230" s="351"/>
      <c r="CA230" s="351"/>
      <c r="CB230" s="277"/>
      <c r="CC230" s="277"/>
      <c r="CD230" s="298"/>
      <c r="CE230" s="298"/>
      <c r="CF230" s="298"/>
      <c r="CG230" s="298"/>
      <c r="CH230" s="298"/>
      <c r="CI230" s="277"/>
      <c r="CK230" s="277"/>
      <c r="CL230" s="277"/>
      <c r="CM230" s="277"/>
      <c r="CN230" s="277"/>
      <c r="CO230" s="277"/>
      <c r="CP230" s="277"/>
      <c r="DN230" s="350">
        <f t="shared" si="61"/>
        <v>0</v>
      </c>
      <c r="DO230" s="351">
        <f t="array" ref="DO230">IF(ChoixRationComplèteOvins=OUI,0,IFERROR(IF(OR(AND(INDEX(Règles_ovins[Specificite],MATCH(ChoixRationOvins&amp;$DN230,Règles_ovins[Ration]&amp;Règles_ovins[Aliment],0))="s1",IF($DN230=Spécificité1Ovins,1)),
AND(INDEX(Règles_ovins[Specificite],MATCH(ChoixRationOvins&amp;$DN230,Règles_ovins[Ration]&amp;Règles_ovins[Aliment],0))="s2",IF($DN230=Spécificité2Ovins,1)),
INDEX(Règles_ovins[Specificite],MATCH(ChoixRationOvins&amp;$DN230,Règles_ovins[Ration]&amp;Règles_ovins[Aliment],0))="c"),
INDEX(Règles_ovins[Valeur 12 et plus],MATCH(ChoixRationOvins&amp;$DN230,Règles_ovins[Ration]&amp;Règles_ovins[Aliment],0)),0),0)*IF(ChoixOvinsPréHiver=OUI,SUM(TotalOvinsAdultesRacesLaitières)*NbreJoursNourrirOvins,TotalBrebis*NbreJoursNourrirOvins))</f>
        <v>0</v>
      </c>
      <c r="DP230" s="351">
        <f t="array" ref="DP230">IF(ChoixRationComplèteOvins=OUI,0,IFERROR(IF(OR(AND(INDEX(Règles_ovins[Specificite],MATCH(ChoixRationOvins&amp;$DN230,Règles_ovins[Ration]&amp;Règles_ovins[Aliment],0))="s1",IF($DN230=Spécificité1Ovins,1)),
AND(INDEX(Règles_ovins[Specificite],MATCH(ChoixRationOvins&amp;$DN230,Règles_ovins[Ration]&amp;Règles_ovins[Aliment],0))="s2",IF($DN230=Spécificité2Ovins,1)),
INDEX(Règles_ovins[Specificite],MATCH(ChoixRationOvins&amp;$DN230,Règles_ovins[Ration]&amp;Règles_ovins[Aliment],0))="c"),
INDEX(Règles_ovins[Valeur 6-12],MATCH(ChoixRationOvins&amp;$DN230,Règles_ovins[Ration]&amp;Règles_ovins[Aliment],0)),0),0)*IF(ChoixOvinsPréHiver=OUI,SUM(TotalJeunesOvinsRacesLaitières)*NbreJoursNourrirOvins,TotalJeune_brebis_6_12_mois*NbreJoursNourrirOvins))</f>
        <v>0</v>
      </c>
      <c r="DQ230" s="351">
        <f t="array" ref="DQ230">IF(ChoixRationComplèteOvins=OUI,0,IFERROR(IF(OR(AND(INDEX(Règles_ovins[Specificite],MATCH(ChoixRationOvins&amp;$DN230,Règles_ovins[Ration]&amp;Règles_ovins[Aliment],0))="s1",IF($DN230=Spécificité1Ovins,1)),
AND(INDEX(Règles_ovins[Specificite],MATCH(ChoixRationOvins&amp;$DN230,Règles_ovins[Ration]&amp;Règles_ovins[Aliment],0))="s2",IF($DN230=Spécificité2Ovins,1)),
INDEX(Règles_ovins[Specificite],MATCH(ChoixRationOvins&amp;$DN230,Règles_ovins[Ration]&amp;Règles_ovins[Aliment],0))="c"),
INDEX(Règles_ovins[Valeur 3-6],MATCH(ChoixRationOvins&amp;$DN230,Règles_ovins[Ration]&amp;Règles_ovins[Aliment],0)),0),0)*IF(ChoixOvinsPréHiver=OUI,SUM(TotalOvins_3_6moisRacesLaitières)*NbreJoursNourrirOvins,TotalAgnelle_3_6_mois*NbreJoursNourrirOvins))</f>
        <v>0</v>
      </c>
      <c r="DR230" s="351">
        <f t="array" ref="DR230">IF(ChoixRationComplèteOvins=OUI,0,IFERROR(IF(OR(AND(INDEX(Règles_ovins[Specificite],MATCH(ChoixRationOvins&amp;$DN230,Règles_ovins[Ration]&amp;Règles_ovins[Aliment],0))="s1",IF($DN230=Spécificité1Ovins,1)),
AND(INDEX(Règles_ovins[Specificite],MATCH(ChoixRationOvins&amp;$DN230,Règles_ovins[Ration]&amp;Règles_ovins[Aliment],0))="s2",IF($DN230=Spécificité2Ovins,1)),
INDEX(Règles_ovins[Specificite],MATCH(ChoixRationOvins&amp;$DN230,Règles_ovins[Ration]&amp;Règles_ovins[Aliment],0))="c"),
INDEX(Règles_ovins[Valeur 0-3],MATCH(ChoixRationOvins&amp;$DN230,Règles_ovins[Ration]&amp;Règles_ovins[Aliment],0)),0),0)*IF(ChoixOvinsPréHiver=OUI,SUM(TotalOvins_3_6moisRacesLaitières)*NbreJoursNourrirOvins,TotalAgnelle_0_3_mois*NbreJoursNourrirOvins))</f>
        <v>0</v>
      </c>
      <c r="DS230" s="441">
        <f t="shared" si="60"/>
        <v>0</v>
      </c>
      <c r="EU230" s="457" t="str">
        <f t="shared" si="66"/>
        <v>Soja</v>
      </c>
      <c r="EV230" s="458">
        <f t="array" ref="EV230">SUM((IF(QualitéAlimentsPoulainSelleMâle=BONNE,VLOOKUP("Soja",AlimentsRationEcurieChevauxMâlesSelle,5,FALSE),0)+(IF(QualitéAlimentsPoulainSelleFemelle=BONNE,VLOOKUP("Soja",AlimentsRationEcurieChevauxFemellesSelle,5,FALSE),0)+(IF(QualitéAlimentsJeuneEtalon_12_24_moisSelle=BONNE,VLOOKUP("Soja",AlimentsRationEcurieChevauxMâlesSelle,4,FALSE),0)+(IF(QualitéAlimentsJeuneJument_12_24_moisSelle=BONNE,VLOOKUP("Soja",AlimentsRationEcurieChevauxFemellesSelle,4,FALSE),0)+(IF(QualitéAlimentsJeuneEtalon_24_36_moisSelle=BONNE,VLOOKUP("Soja",AlimentsRationEcurieChevauxMâlesSelle,3,FALSE),0)+(IF(QualitéAlimentsJeuneJument_24_36_moisSelle=BONNE,VLOOKUP("Soja",AlimentsRationEcurieChevauxFemellesSelle,3,FALSE),0)+(IF(QualitéAlimentsEtalonSelle=BONNE,VLOOKUP("Soja",AlimentsRationEcurieChevauxMâlesSelle,2,FALSE),0)+(IF(QualitéAlimentsJumentSelle=BONNE,VLOOKUP("Soja",AlimentsRationEcurieChevauxFemellesSelle,2,FALSE),0))))))))))</f>
        <v>0</v>
      </c>
      <c r="EW230" s="458">
        <f t="array" ref="EW230">SUM((IF(QualitéAlimentsPoulainSelleMâle=MOYENNE,VLOOKUP("Soja",AlimentsRationEcurieChevauxMâlesSelle,5,FALSE),0)+(IF(QualitéAlimentsPoulainSelleFemelle=MOYENNE,VLOOKUP("Soja",AlimentsRationEcurieChevauxFemellesSelle,5,FALSE),0)+(IF(QualitéAlimentsJeuneEtalon_12_24_moisSelle=MOYENNE,VLOOKUP("Soja",AlimentsRationEcurieChevauxMâlesSelle,4,FALSE),0)+(IF(QualitéAlimentsJeuneJument_12_24_moisSelle=MOYENNE,VLOOKUP("Soja",AlimentsRationEcurieChevauxFemellesSelle,4,FALSE),0)+(IF(QualitéAlimentsJeuneEtalon_24_36_moisSelle=MOYENNE,VLOOKUP("Soja",AlimentsRationEcurieChevauxMâlesSelle,3,FALSE),0)+(IF(QualitéAlimentsJeuneJument_24_36_moisSelle=MOYENNE,VLOOKUP("Soja",AlimentsRationEcurieChevauxFemellesSelle,3,FALSE),0)+(IF(QualitéAlimentsEtalonSelle=MOYENNE,VLOOKUP("Soja",AlimentsRationEcurieChevauxMâlesSelle,2,FALSE),0)+(IF(QualitéAlimentsJumentSelle=MOYENNE,VLOOKUP("Soja",AlimentsRationEcurieChevauxFemellesSelle,2,FALSE),0))))))))))</f>
        <v>0</v>
      </c>
      <c r="EX230" s="458">
        <f t="array" ref="EX230">SUM((IF(QualitéAlimentsPoulainSelleMâle=MAUVAISE,VLOOKUP("Soja",AlimentsRationEcurieChevauxMâlesSelle,5,FALSE),0)+(IF(QualitéAlimentsPoulainSelleFemelle=MAUVAISE,VLOOKUP("Soja",AlimentsRationEcurieChevauxFemellesSelle,5,FALSE),0)+(IF(QualitéAlimentsJeuneEtalon_12_24_moisSelle=MAUVAISE,VLOOKUP("Soja",AlimentsRationEcurieChevauxMâlesSelle,4,FALSE),0)+(IF(QualitéAlimentsJeuneJument_12_24_moisSelle=MAUVAISE,VLOOKUP("Soja",AlimentsRationEcurieChevauxFemellesSelle,4,FALSE),0)+(IF(QualitéAlimentsJeuneEtalon_24_36_moisSelle=MAUVAISE,VLOOKUP("Soja",AlimentsRationEcurieChevauxMâlesSelle,3,FALSE),0)+(IF(QualitéAlimentsJeuneJument_24_36_moisSelle=MAUVAISE,VLOOKUP("Soja",AlimentsRationEcurieChevauxFemellesSelle,3,FALSE),0)+(IF(QualitéAlimentsEtalonSelle=MAUVAISE,VLOOKUP("Soja",AlimentsRationEcurieChevauxMâlesSelle,2,FALSE),0)+(IF(QualitéAlimentsJumentSelle=MAUVAISE,VLOOKUP("Soja",AlimentsRationEcurieChevauxFemellesSelle,2,FALSE),0))))))))))</f>
        <v>0</v>
      </c>
      <c r="FD230" s="457" t="str">
        <f t="shared" si="65"/>
        <v>Triticale</v>
      </c>
      <c r="FE230" s="458">
        <f t="array" ref="FE230">SUM((IF(QualitéAlimentsPoulainMâleTrait=BONNE,VLOOKUP("Triticale",AlimentsRationEcurieChevauxMâlesTrait,5,FALSE),0)+(IF(QualitéAlimentsPoulainFemelleTrait=BONNE,VLOOKUP("Triticale",AlimentsRationEcurieChevauxFemellesTrait,5,FALSE),0)+(IF(QualitéAlimentsJeuneEtalon_12_24_moisTrait=BONNE,VLOOKUP("Triticale",AlimentsRationEcurieChevauxMâlesTrait,4,FALSE),0)+(IF(QualitéAlimentsJeuneJument_12_24_moisTrait=BONNE,VLOOKUP("Triticale",AlimentsRationEcurieChevauxFemellesTrait,4,FALSE),0)+(IF(QualitéAlimentsJeuneEtalon_24_36_moisTrait=BONNE,VLOOKUP("Triticale",AlimentsRationEcurieChevauxMâlesTrait,3,FALSE),0)+(IF(QualitéAlimentsJeuneJument_24_36_moisTrait=BONNE,VLOOKUP("Triticale",AlimentsRationEcurieChevauxFemellesTrait,3,FALSE),0)+(IF(QualitéAlimentsEtalonTrait=BONNE,VLOOKUP("Triticale",AlimentsRationEcurieChevauxMâlesTrait,2,FALSE),0)+(IF(QualitéAlimentsJumentTrait=BONNE,VLOOKUP("Triticale",AlimentsRationEcurieChevauxFemellesTrait,2,FALSE),0))))))))))</f>
        <v>0</v>
      </c>
      <c r="FF230" s="458">
        <f t="array" ref="FF230">SUM((IF(QualitéAlimentsPoulainMâleTrait=MOYENNE,VLOOKUP("Triticale",AlimentsRationEcurieChevauxMâlesTrait,5,FALSE),0)+(IF(QualitéAlimentsPoulainFemelleTrait=MOYENNE,VLOOKUP("Triticale",AlimentsRationEcurieChevauxFemellesTrait,5,FALSE),0)+(IF(QualitéAlimentsJeuneEtalon_12_24_moisTrait=MOYENNE,VLOOKUP("Triticale",AlimentsRationEcurieChevauxMâlesTrait,4,FALSE),0)+(IF(QualitéAlimentsJeuneJument_12_24_moisTrait=MOYENNE,VLOOKUP("Triticale",AlimentsRationEcurieChevauxFemellesTrait,4,FALSE),0)+(IF(QualitéAlimentsJeuneEtalon_24_36_moisTrait=MOYENNE,VLOOKUP("Triticale",AlimentsRationEcurieChevauxMâlesTrait,3,FALSE),0)+(IF(QualitéAlimentsJeuneJument_24_36_moisTrait=MOYENNE,VLOOKUP("Triticale",AlimentsRationEcurieChevauxFemellesTrait,3,FALSE),0)+(IF(QualitéAlimentsEtalonTrait=MOYENNE,VLOOKUP("Triticale",AlimentsRationEcurieChevauxMâlesTrait,2,FALSE),0)+(IF(QualitéAlimentsJumentTrait=MOYENNE,VLOOKUP("Triticale",AlimentsRationEcurieChevauxFemellesTrait,2,FALSE),0))))))))))</f>
        <v>0</v>
      </c>
      <c r="FG230" s="458">
        <f t="array" ref="FG230">SUM((IF(QualitéAlimentsPoulainMâleTrait=MAUVAISE,VLOOKUP("Triticale",AlimentsRationEcurieChevauxMâlesTrait,5,FALSE),0)+(IF(QualitéAlimentsPoulainFemelleTrait=MAUVAISE,VLOOKUP("Triticale",AlimentsRationEcurieChevauxFemellesTrait,5,FALSE),0)+(IF(QualitéAlimentsJeuneEtalon_12_24_moisTrait=MAUVAISE,VLOOKUP("Triticale",AlimentsRationEcurieChevauxMâlesTrait,4,FALSE),0)+(IF(QualitéAlimentsJeuneJument_12_24_moisTrait=MAUVAISE,VLOOKUP("Triticale",AlimentsRationEcurieChevauxFemellesTrait,4,FALSE),0)+(IF(QualitéAlimentsJeuneEtalon_24_36_moisTrait=MAUVAISE,VLOOKUP("Triticale",AlimentsRationEcurieChevauxMâlesTrait,3,FALSE),0)+(IF(QualitéAlimentsJeuneJument_24_36_moisTrait=MAUVAISE,VLOOKUP("Triticale",AlimentsRationEcurieChevauxFemellesTrait,3,FALSE),0)+(IF(QualitéAlimentsEtalonTrait=MAUVAISE,VLOOKUP("Triticale",AlimentsRationEcurieChevauxMâlesTrait,2,FALSE),0)+(IF(QualitéAlimentsJumentTrait=MAUVAISE,VLOOKUP("Triticale",AlimentsRationEcurieChevauxFemellesTrait,2,FALSE),0))))))))))</f>
        <v>0</v>
      </c>
      <c r="FI230" s="276"/>
      <c r="FN230" s="457">
        <f t="shared" si="64"/>
        <v>0</v>
      </c>
      <c r="FO230" s="458"/>
      <c r="FP230" s="458"/>
      <c r="FQ230" s="458"/>
      <c r="FR230" s="281"/>
      <c r="GG230" s="276" t="s">
        <v>955</v>
      </c>
      <c r="GH230" s="276" t="s">
        <v>955</v>
      </c>
      <c r="GI230" s="276" t="s">
        <v>955</v>
      </c>
      <c r="GJ230" s="276" t="s">
        <v>955</v>
      </c>
      <c r="GK230" s="276" t="s">
        <v>955</v>
      </c>
      <c r="GL230" s="276" t="s">
        <v>955</v>
      </c>
      <c r="GM230" s="276" t="s">
        <v>955</v>
      </c>
      <c r="GN230" s="276" t="s">
        <v>955</v>
      </c>
      <c r="GO230" s="276" t="s">
        <v>955</v>
      </c>
      <c r="GP230" s="276" t="s">
        <v>955</v>
      </c>
      <c r="GQ230" s="276" t="s">
        <v>955</v>
      </c>
      <c r="GR230" s="276" t="s">
        <v>955</v>
      </c>
      <c r="GS230" s="276" t="s">
        <v>955</v>
      </c>
      <c r="GT230" s="276" t="s">
        <v>955</v>
      </c>
      <c r="GU230" s="276" t="s">
        <v>955</v>
      </c>
      <c r="GV230" s="276" t="s">
        <v>955</v>
      </c>
    </row>
    <row r="231" spans="1:204" ht="12.75" customHeight="1" x14ac:dyDescent="0.2">
      <c r="A231" s="276"/>
      <c r="B231" s="276"/>
      <c r="BB231" s="350"/>
      <c r="BC231" s="351">
        <f t="array" ref="BC231">IF(Ration_complète_bovins[somme]&gt;0,0,IFERROR(IF(OR(AND(INDEX(Règles_bovins[Specificite],MATCH(ChoixRationBovins&amp;$BB231,Règles_bovins[Ration]&amp;Règles_bovins[Aliment],0))="s1",IF($BB231=Spécificité1Bovins,1)),
AND(INDEX(Règles_bovins[Specificite],MATCH(ChoixRationBovins&amp;$BB231,Règles_bovins[Ration]&amp;Règles_bovins[Aliment],0))="s2",IF($BB231=Spécificité2Bovins,1)),
INDEX(Règles_bovins[Specificite],MATCH(ChoixRationBovins&amp;$BB231,Règles_bovins[Ration]&amp;Règles_bovins[Aliment],0))="c"),
INDEX(Règles_bovins[Valeur 36 et plus],MATCH(ChoixRationBovins&amp;$BB231,Règles_bovins[Ration]&amp;Règles_bovins[Aliment],0)),0),0)*IF(ChoixBovinsPréHiver=OUI,TotalTaureauxRacesLaitières,TotalTaureaux*NbreJoursNourrirBovins))</f>
        <v>0</v>
      </c>
      <c r="BD231" s="351">
        <f t="array" ref="BD231">IF(Ration_complète_bovins[somme]&gt;0,0,IFERROR(IF(OR(AND(INDEX(Règles_bovins[Specificite],MATCH(ChoixRationBovins&amp;$BB231,Règles_bovins[Ration]&amp;Règles_bovins[Aliment],0))="s1",IF($BB231=Spécificité1Bovins,1)),
AND(INDEX(Règles_bovins[Specificite],MATCH(ChoixRationBovins&amp;$BB231,Règles_bovins[Ration]&amp;Règles_bovins[Aliment],0))="s2",IF($BB231=Spécificité2Bovins,1)),
INDEX(Règles_bovins[Specificite],MATCH(ChoixRationBovins&amp;$BB231,Règles_bovins[Ration]&amp;Règles_bovins[Aliment],0))="c"),
INDEX(Règles_bovins[Valeur 24-36],MATCH(ChoixRationBovins&amp;$BB231,Règles_bovins[Ration]&amp;Règles_bovins[Aliment],0)),0),0)*IF(ChoixBovinsPréHiver=OUI,TotalTaurillon_24_36_RacesLaitières,TotalBovinsMâles_24_36mois*NbreJoursNourrirBovins))</f>
        <v>0</v>
      </c>
      <c r="BE231" s="351">
        <f t="array" ref="BE231">IF(Ration_complète_bovins[somme]&gt;0,0,IFERROR(IF(OR(AND(INDEX(Règles_bovins[Specificite],MATCH(ChoixRationBovins&amp;$BB231,Règles_bovins[Ration]&amp;Règles_bovins[Aliment],0))="s1",IF($BB231=Spécificité1Bovins,1)),
AND(INDEX(Règles_bovins[Specificite],MATCH(ChoixRationBovins&amp;$BB231,Règles_bovins[Ration]&amp;Règles_bovins[Aliment],0))="s2",IF($BB231=Spécificité2Bovins,1)),
INDEX(Règles_bovins[Specificite],MATCH(ChoixRationBovins&amp;$BB231,Règles_bovins[Ration]&amp;Règles_bovins[Aliment],0))="c"),
INDEX(Règles_bovins[Valeur 18-24],MATCH(ChoixRationBovins&amp;$BB231,Règles_bovins[Ration]&amp;Règles_bovins[Aliment],0)),0),0)*IF(ChoixBovinsPréHiver=OUI,TotalTaurillon_18_24_RacesLaitières,TotalBovinsMâles_18_24mois*NbreJoursNourrirBovins))</f>
        <v>0</v>
      </c>
      <c r="BF231" s="351">
        <f t="array" ref="BF231">IF(Ration_complète_bovins[somme]&gt;0,0,IFERROR(IF(OR(AND(INDEX(Règles_bovins[Specificite],MATCH(ChoixRationBovins&amp;$BB231,Règles_bovins[Ration]&amp;Règles_bovins[Aliment],0))="s1",IF($BB231=Spécificité1Bovins,1)),
AND(INDEX(Règles_bovins[Specificite],MATCH(ChoixRationBovins&amp;$BB231,Règles_bovins[Ration]&amp;Règles_bovins[Aliment],0))="s2",IF($BB231=Spécificité2Bovins,1)),
INDEX(Règles_bovins[Specificite],MATCH(ChoixRationBovins&amp;$BB231,Règles_bovins[Ration]&amp;Règles_bovins[Aliment],0))="c"),
INDEX(Règles_bovins[Valeur 12-18],MATCH(ChoixRationBovins&amp;$BB231,Règles_bovins[Ration]&amp;Règles_bovins[Aliment],0)),0),0)*IF(ChoixBovinsPréHiver=OUI,animaux!D54,TotalBovinsMâles_12_18mois*NbreJoursNourrirBovins))</f>
        <v>0</v>
      </c>
      <c r="BG231" s="351">
        <f t="array" ref="BG231">IF(Ration_complète_bovins[somme]&gt;0,0,IFERROR(IF(OR(AND(INDEX(Règles_bovins[Specificite],MATCH(ChoixRationBovins&amp;$BB231,Règles_bovins[Ration]&amp;Règles_bovins[Aliment],0))="s1",IF($BB231=Spécificité1Bovins,1)),
AND(INDEX(Règles_bovins[Specificite],MATCH(ChoixRationBovins&amp;$BB231,Règles_bovins[Ration]&amp;Règles_bovins[Aliment],0))="s2",IF($BB231=Spécificité2Bovins,1)),
INDEX(Règles_bovins[Specificite],MATCH(ChoixRationBovins&amp;$BB231,Règles_bovins[Ration]&amp;Règles_bovins[Aliment],0))="c"),
INDEX(Règles_bovins[Valeur 6-12],MATCH(ChoixRationBovins&amp;$BB231,Règles_bovins[Ration]&amp;Règles_bovins[Aliment],0)),0),0)*IF(ChoixBovinsPréHiver=OUI,TotalVeauMâle_6_12_RacesLaitières,TotalBovinsMâles_6_12mois*NbreJoursNourrirBovins))</f>
        <v>0</v>
      </c>
      <c r="BH231" s="351">
        <f t="array" ref="BH231">IF(Ration_complète_bovins[somme]&gt;0,0,IFERROR(IF(OR(AND(INDEX(Règles_bovins[Specificite],MATCH(ChoixRationBovins&amp;$BB231,Règles_bovins[Ration]&amp;Règles_bovins[Aliment],0))="s1",IF($BB231=Spécificité1Bovins,1)),
AND(INDEX(Règles_bovins[Specificite],MATCH(ChoixRationBovins&amp;$BB231,Règles_bovins[Ration]&amp;Règles_bovins[Aliment],0))="s2",IF($BB231=Spécificité2Bovins,1)),
INDEX(Règles_bovins[Specificite],MATCH(ChoixRationBovins&amp;$BB231,Règles_bovins[Ration]&amp;Règles_bovins[Aliment],0))="c"),
INDEX(Règles_bovins[Valeur 3-6],MATCH(ChoixRationBovins&amp;$BB231,Règles_bovins[Ration]&amp;Règles_bovins[Aliment],0)),0),0)*IF(ChoixBovinsPréHiver=OUI,TotalVeauMâle_3_6_RacesLaitières,TotalBovinsMâles_3_6mois*NbreJoursNourrirBovins))</f>
        <v>0</v>
      </c>
      <c r="BI231" s="351">
        <f t="array" ref="BI231">IF(Ration_complète_bovins[somme]&gt;0,0,IFERROR(IF(OR(AND(INDEX(Règles_bovins[Specificite],MATCH(ChoixRationBovins&amp;$BB231,Règles_bovins[Ration]&amp;Règles_bovins[Aliment],0))="s1",IF($BB231=Spécificité1Bovins,1)),
AND(INDEX(Règles_bovins[Specificite],MATCH(ChoixRationBovins&amp;$BB231,Règles_bovins[Ration]&amp;Règles_bovins[Aliment],0))="s2",IF($BB231=Spécificité2Bovins,1)),
INDEX(Règles_bovins[Specificite],MATCH(ChoixRationBovins&amp;$BB231,Règles_bovins[Ration]&amp;Règles_bovins[Aliment],0))="c"),
INDEX(Règles_bovins[Valeur 0-3],MATCH(ChoixRationBovins&amp;$BB231,Règles_bovins[Ration]&amp;Règles_bovins[Aliment],0)),0),0)*IF(ChoixBovinsPréHiver=OUI,TotalVeauMâle_0_3_RacesLaitières,TotalBovinsMâles_0_3mois*NbreJoursNourrirBovins))</f>
        <v>0</v>
      </c>
      <c r="BJ231" s="352">
        <f t="shared" si="62"/>
        <v>0</v>
      </c>
      <c r="BK231" s="276"/>
      <c r="BX231" s="350">
        <f t="shared" si="63"/>
        <v>0</v>
      </c>
      <c r="BY231" s="351"/>
      <c r="BZ231" s="351"/>
      <c r="CA231" s="351"/>
      <c r="CB231" s="277"/>
      <c r="CC231" s="277"/>
      <c r="CD231" s="298"/>
      <c r="CE231" s="298"/>
      <c r="CF231" s="298"/>
      <c r="CG231" s="298"/>
      <c r="CI231" s="277"/>
      <c r="CK231" s="277"/>
      <c r="CL231" s="277"/>
      <c r="CM231" s="277"/>
      <c r="CN231" s="277"/>
      <c r="CO231" s="277"/>
      <c r="CP231" s="277"/>
      <c r="EU231" s="457" t="str">
        <f t="shared" si="66"/>
        <v>Sorgho ensilé</v>
      </c>
      <c r="EV231" s="458">
        <f t="array" ref="EV231">SUM((IF(QualitéAlimentsPoulainSelleMâle=BONNE,VLOOKUP("Sorho ensilé",AlimentsRationEcurieChevauxMâlesSelle,5,FALSE),0)+(IF(QualitéAlimentsPoulainSelleFemelle=BONNE,VLOOKUP("Sorho ensilé",AlimentsRationEcurieChevauxFemellesSelle,5,FALSE),0)+(IF(QualitéAlimentsJeuneEtalon_12_24_moisSelle=BONNE,VLOOKUP("Sorho ensilé",AlimentsRationEcurieChevauxMâlesSelle,4,FALSE),0)+(IF(QualitéAlimentsJeuneJument_12_24_moisSelle=BONNE,VLOOKUP("Sorho ensilé",AlimentsRationEcurieChevauxFemellesSelle,4,FALSE),0)+(IF(QualitéAlimentsJeuneEtalon_24_36_moisSelle=BONNE,VLOOKUP("Sorho ensilé",AlimentsRationEcurieChevauxMâlesSelle,3,FALSE),0)+(IF(QualitéAlimentsJeuneJument_24_36_moisSelle=BONNE,VLOOKUP("Sorho ensilé",AlimentsRationEcurieChevauxFemellesSelle,3,FALSE),0)+(IF(QualitéAlimentsEtalonSelle=BONNE,VLOOKUP("Sorho ensilé",AlimentsRationEcurieChevauxMâlesSelle,2,FALSE),0)+(IF(QualitéAlimentsJumentSelle=BONNE,VLOOKUP("Sorho ensilé",AlimentsRationEcurieChevauxFemellesSelle,2,FALSE),0))))))))))</f>
        <v>0</v>
      </c>
      <c r="EW231" s="458">
        <f t="array" ref="EW231">SUM((IF(QualitéAlimentsPoulainSelleMâle=MOYENNE,VLOOKUP("Sorho ensilé",AlimentsRationEcurieChevauxMâlesSelle,5,FALSE),0)+(IF(QualitéAlimentsPoulainSelleFemelle=MOYENNE,VLOOKUP("Sorho ensilé",AlimentsRationEcurieChevauxFemellesSelle,5,FALSE),0)+(IF(QualitéAlimentsJeuneEtalon_12_24_moisSelle=MOYENNE,VLOOKUP("Sorho ensilé",AlimentsRationEcurieChevauxMâlesSelle,4,FALSE),0)+(IF(QualitéAlimentsJeuneJument_12_24_moisSelle=MOYENNE,VLOOKUP("Sorho ensilé",AlimentsRationEcurieChevauxFemellesSelle,4,FALSE),0)+(IF(QualitéAlimentsJeuneEtalon_24_36_moisSelle=MOYENNE,VLOOKUP("Sorho ensilé",AlimentsRationEcurieChevauxMâlesSelle,3,FALSE),0)+(IF(QualitéAlimentsJeuneJument_24_36_moisSelle=MOYENNE,VLOOKUP("Sorho ensilé",AlimentsRationEcurieChevauxFemellesSelle,3,FALSE),0)+(IF(QualitéAlimentsEtalonSelle=MOYENNE,VLOOKUP("Sorho ensilé",AlimentsRationEcurieChevauxMâlesSelle,2,FALSE),0)+(IF(QualitéAlimentsJumentSelle=MOYENNE,VLOOKUP("Sorho ensilé",AlimentsRationEcurieChevauxFemellesSelle,2,FALSE),0))))))))))</f>
        <v>0</v>
      </c>
      <c r="EX231" s="458">
        <f t="array" ref="EX231">SUM((IF(QualitéAlimentsPoulainSelleMâle=MAUVAISE,VLOOKUP("Sorho ensilé",AlimentsRationEcurieChevauxMâlesSelle,5,FALSE),0)+(IF(QualitéAlimentsPoulainSelleFemelle=MAUVAISE,VLOOKUP("Sorho ensilé",AlimentsRationEcurieChevauxFemellesSelle,5,FALSE),0)+(IF(QualitéAlimentsJeuneEtalon_12_24_moisSelle=MAUVAISE,VLOOKUP("Sorho ensilé",AlimentsRationEcurieChevauxMâlesSelle,4,FALSE),0)+(IF(QualitéAlimentsJeuneJument_12_24_moisSelle=MAUVAISE,VLOOKUP("Sorho ensilé",AlimentsRationEcurieChevauxFemellesSelle,4,FALSE),0)+(IF(QualitéAlimentsJeuneEtalon_24_36_moisSelle=MAUVAISE,VLOOKUP("Sorho ensilé",AlimentsRationEcurieChevauxMâlesSelle,3,FALSE),0)+(IF(QualitéAlimentsJeuneJument_24_36_moisSelle=MAUVAISE,VLOOKUP("Sorho ensilé",AlimentsRationEcurieChevauxFemellesSelle,3,FALSE),0)+(IF(QualitéAlimentsEtalonSelle=MAUVAISE,VLOOKUP("Sorho ensilé",AlimentsRationEcurieChevauxMâlesSelle,2,FALSE),0)+(IF(QualitéAlimentsJumentSelle=MAUVAISE,VLOOKUP("Sorho ensilé",AlimentsRationEcurieChevauxFemellesSelle,2,FALSE),0))))))))))</f>
        <v>0</v>
      </c>
      <c r="FD231" s="457">
        <f t="shared" si="65"/>
        <v>0</v>
      </c>
      <c r="FE231" s="458"/>
      <c r="FF231" s="458"/>
      <c r="FG231" s="458"/>
      <c r="FI231" s="276"/>
      <c r="FN231" s="457">
        <f t="shared" si="64"/>
        <v>0</v>
      </c>
      <c r="FO231" s="458"/>
      <c r="FP231" s="458"/>
      <c r="FQ231" s="458"/>
      <c r="FR231" s="281"/>
      <c r="GG231" s="276" t="s">
        <v>955</v>
      </c>
      <c r="GH231" s="276" t="s">
        <v>955</v>
      </c>
      <c r="GI231" s="276" t="s">
        <v>955</v>
      </c>
      <c r="GJ231" s="276" t="s">
        <v>955</v>
      </c>
      <c r="GK231" s="276" t="s">
        <v>955</v>
      </c>
      <c r="GL231" s="276" t="s">
        <v>955</v>
      </c>
      <c r="GM231" s="276" t="s">
        <v>955</v>
      </c>
      <c r="GN231" s="276" t="s">
        <v>955</v>
      </c>
      <c r="GO231" s="276" t="s">
        <v>955</v>
      </c>
      <c r="GP231" s="276" t="s">
        <v>955</v>
      </c>
      <c r="GQ231" s="276" t="s">
        <v>955</v>
      </c>
      <c r="GR231" s="276" t="s">
        <v>955</v>
      </c>
      <c r="GS231" s="276" t="s">
        <v>955</v>
      </c>
      <c r="GT231" s="276" t="s">
        <v>955</v>
      </c>
      <c r="GU231" s="276" t="s">
        <v>955</v>
      </c>
      <c r="GV231" s="276" t="s">
        <v>955</v>
      </c>
    </row>
    <row r="232" spans="1:204" ht="12.75" customHeight="1" x14ac:dyDescent="0.2">
      <c r="A232" s="276"/>
      <c r="B232" s="276"/>
      <c r="BB232" s="350"/>
      <c r="BC232" s="351">
        <f t="array" ref="BC232">IF(Ration_complète_bovins[somme]&gt;0,0,IFERROR(IF(OR(AND(INDEX(Règles_bovins[Specificite],MATCH(ChoixRationBovins&amp;$BB232,Règles_bovins[Ration]&amp;Règles_bovins[Aliment],0))="s1",IF($BB232=Spécificité1Bovins,1)),
AND(INDEX(Règles_bovins[Specificite],MATCH(ChoixRationBovins&amp;$BB232,Règles_bovins[Ration]&amp;Règles_bovins[Aliment],0))="s2",IF($BB232=Spécificité2Bovins,1)),
INDEX(Règles_bovins[Specificite],MATCH(ChoixRationBovins&amp;$BB232,Règles_bovins[Ration]&amp;Règles_bovins[Aliment],0))="c"),
INDEX(Règles_bovins[Valeur 36 et plus],MATCH(ChoixRationBovins&amp;$BB232,Règles_bovins[Ration]&amp;Règles_bovins[Aliment],0)),0),0)*IF(ChoixBovinsPréHiver=OUI,TotalTaureauxRacesLaitières,TotalTaureaux*NbreJoursNourrirBovins))</f>
        <v>0</v>
      </c>
      <c r="BD232" s="351">
        <f t="array" ref="BD232">IF(Ration_complète_bovins[somme]&gt;0,0,IFERROR(IF(OR(AND(INDEX(Règles_bovins[Specificite],MATCH(ChoixRationBovins&amp;$BB232,Règles_bovins[Ration]&amp;Règles_bovins[Aliment],0))="s1",IF($BB232=Spécificité1Bovins,1)),
AND(INDEX(Règles_bovins[Specificite],MATCH(ChoixRationBovins&amp;$BB232,Règles_bovins[Ration]&amp;Règles_bovins[Aliment],0))="s2",IF($BB232=Spécificité2Bovins,1)),
INDEX(Règles_bovins[Specificite],MATCH(ChoixRationBovins&amp;$BB232,Règles_bovins[Ration]&amp;Règles_bovins[Aliment],0))="c"),
INDEX(Règles_bovins[Valeur 24-36],MATCH(ChoixRationBovins&amp;$BB232,Règles_bovins[Ration]&amp;Règles_bovins[Aliment],0)),0),0)*IF(ChoixBovinsPréHiver=OUI,TotalTaurillon_24_36_RacesLaitières,TotalBovinsMâles_24_36mois*NbreJoursNourrirBovins))</f>
        <v>0</v>
      </c>
      <c r="BE232" s="351">
        <f t="array" ref="BE232">IF(Ration_complète_bovins[somme]&gt;0,0,IFERROR(IF(OR(AND(INDEX(Règles_bovins[Specificite],MATCH(ChoixRationBovins&amp;$BB232,Règles_bovins[Ration]&amp;Règles_bovins[Aliment],0))="s1",IF($BB232=Spécificité1Bovins,1)),
AND(INDEX(Règles_bovins[Specificite],MATCH(ChoixRationBovins&amp;$BB232,Règles_bovins[Ration]&amp;Règles_bovins[Aliment],0))="s2",IF($BB232=Spécificité2Bovins,1)),
INDEX(Règles_bovins[Specificite],MATCH(ChoixRationBovins&amp;$BB232,Règles_bovins[Ration]&amp;Règles_bovins[Aliment],0))="c"),
INDEX(Règles_bovins[Valeur 18-24],MATCH(ChoixRationBovins&amp;$BB232,Règles_bovins[Ration]&amp;Règles_bovins[Aliment],0)),0),0)*IF(ChoixBovinsPréHiver=OUI,TotalTaurillon_18_24_RacesLaitières,TotalBovinsMâles_18_24mois*NbreJoursNourrirBovins))</f>
        <v>0</v>
      </c>
      <c r="BF232" s="351">
        <f t="array" ref="BF232">IF(Ration_complète_bovins[somme]&gt;0,0,IFERROR(IF(OR(AND(INDEX(Règles_bovins[Specificite],MATCH(ChoixRationBovins&amp;$BB232,Règles_bovins[Ration]&amp;Règles_bovins[Aliment],0))="s1",IF($BB232=Spécificité1Bovins,1)),
AND(INDEX(Règles_bovins[Specificite],MATCH(ChoixRationBovins&amp;$BB232,Règles_bovins[Ration]&amp;Règles_bovins[Aliment],0))="s2",IF($BB232=Spécificité2Bovins,1)),
INDEX(Règles_bovins[Specificite],MATCH(ChoixRationBovins&amp;$BB232,Règles_bovins[Ration]&amp;Règles_bovins[Aliment],0))="c"),
INDEX(Règles_bovins[Valeur 12-18],MATCH(ChoixRationBovins&amp;$BB232,Règles_bovins[Ration]&amp;Règles_bovins[Aliment],0)),0),0)*IF(ChoixBovinsPréHiver=OUI,animaux!D58,TotalBovinsMâles_12_18mois*NbreJoursNourrirBovins))</f>
        <v>0</v>
      </c>
      <c r="BG232" s="351">
        <f t="array" ref="BG232">IF(Ration_complète_bovins[somme]&gt;0,0,IFERROR(IF(OR(AND(INDEX(Règles_bovins[Specificite],MATCH(ChoixRationBovins&amp;$BB232,Règles_bovins[Ration]&amp;Règles_bovins[Aliment],0))="s1",IF($BB232=Spécificité1Bovins,1)),
AND(INDEX(Règles_bovins[Specificite],MATCH(ChoixRationBovins&amp;$BB232,Règles_bovins[Ration]&amp;Règles_bovins[Aliment],0))="s2",IF($BB232=Spécificité2Bovins,1)),
INDEX(Règles_bovins[Specificite],MATCH(ChoixRationBovins&amp;$BB232,Règles_bovins[Ration]&amp;Règles_bovins[Aliment],0))="c"),
INDEX(Règles_bovins[Valeur 6-12],MATCH(ChoixRationBovins&amp;$BB232,Règles_bovins[Ration]&amp;Règles_bovins[Aliment],0)),0),0)*IF(ChoixBovinsPréHiver=OUI,TotalVeauMâle_6_12_RacesLaitières,TotalBovinsMâles_6_12mois*NbreJoursNourrirBovins))</f>
        <v>0</v>
      </c>
      <c r="BH232" s="351">
        <f t="array" ref="BH232">IF(Ration_complète_bovins[somme]&gt;0,0,IFERROR(IF(OR(AND(INDEX(Règles_bovins[Specificite],MATCH(ChoixRationBovins&amp;$BB232,Règles_bovins[Ration]&amp;Règles_bovins[Aliment],0))="s1",IF($BB232=Spécificité1Bovins,1)),
AND(INDEX(Règles_bovins[Specificite],MATCH(ChoixRationBovins&amp;$BB232,Règles_bovins[Ration]&amp;Règles_bovins[Aliment],0))="s2",IF($BB232=Spécificité2Bovins,1)),
INDEX(Règles_bovins[Specificite],MATCH(ChoixRationBovins&amp;$BB232,Règles_bovins[Ration]&amp;Règles_bovins[Aliment],0))="c"),
INDEX(Règles_bovins[Valeur 3-6],MATCH(ChoixRationBovins&amp;$BB232,Règles_bovins[Ration]&amp;Règles_bovins[Aliment],0)),0),0)*IF(ChoixBovinsPréHiver=OUI,TotalVeauMâle_3_6_RacesLaitières,TotalBovinsMâles_3_6mois*NbreJoursNourrirBovins))</f>
        <v>0</v>
      </c>
      <c r="BI232" s="351">
        <f t="array" ref="BI232">IF(Ration_complète_bovins[somme]&gt;0,0,IFERROR(IF(OR(AND(INDEX(Règles_bovins[Specificite],MATCH(ChoixRationBovins&amp;$BB232,Règles_bovins[Ration]&amp;Règles_bovins[Aliment],0))="s1",IF($BB232=Spécificité1Bovins,1)),
AND(INDEX(Règles_bovins[Specificite],MATCH(ChoixRationBovins&amp;$BB232,Règles_bovins[Ration]&amp;Règles_bovins[Aliment],0))="s2",IF($BB232=Spécificité2Bovins,1)),
INDEX(Règles_bovins[Specificite],MATCH(ChoixRationBovins&amp;$BB232,Règles_bovins[Ration]&amp;Règles_bovins[Aliment],0))="c"),
INDEX(Règles_bovins[Valeur 0-3],MATCH(ChoixRationBovins&amp;$BB232,Règles_bovins[Ration]&amp;Règles_bovins[Aliment],0)),0),0)*IF(ChoixBovinsPréHiver=OUI,TotalVeauMâle_0_3_RacesLaitières,TotalBovinsMâles_0_3mois*NbreJoursNourrirBovins))</f>
        <v>0</v>
      </c>
      <c r="BJ232" s="352">
        <f t="shared" si="62"/>
        <v>0</v>
      </c>
      <c r="BK232" s="276"/>
      <c r="BX232" s="350"/>
      <c r="BY232" s="351"/>
      <c r="BZ232" s="351"/>
      <c r="CA232" s="351"/>
      <c r="CB232" s="277"/>
      <c r="CC232" s="277"/>
      <c r="CD232" s="298"/>
      <c r="CE232" s="298"/>
      <c r="CF232" s="298"/>
      <c r="CG232" s="298"/>
      <c r="CI232" s="277"/>
      <c r="CK232" s="277"/>
      <c r="CL232" s="277"/>
      <c r="CM232" s="277"/>
      <c r="CN232" s="277"/>
      <c r="CO232" s="277"/>
      <c r="CP232" s="277"/>
      <c r="DN232" s="229" t="s">
        <v>912</v>
      </c>
      <c r="DO232" s="344"/>
      <c r="DP232" s="344"/>
      <c r="DQ232" s="344"/>
      <c r="DR232" s="229"/>
      <c r="DS232" s="337"/>
      <c r="EU232" s="457" t="str">
        <f t="shared" si="66"/>
        <v>Tournesol</v>
      </c>
      <c r="EV232" s="458">
        <f t="array" ref="EV232">SUM((IF(QualitéAlimentsPoulainSelleMâle=BONNE,VLOOKUP("Tournesol",AlimentsRationEcurieChevauxMâlesSelle,5,FALSE),0)+(IF(QualitéAlimentsPoulainSelleFemelle=BONNE,VLOOKUP("Tournesol",AlimentsRationEcurieChevauxFemellesSelle,5,FALSE),0)+(IF(QualitéAlimentsJeuneEtalon_12_24_moisSelle=BONNE,VLOOKUP("Tournesol",AlimentsRationEcurieChevauxMâlesSelle,4,FALSE),0)+(IF(QualitéAlimentsJeuneJument_12_24_moisSelle=BONNE,VLOOKUP("Tournesol",AlimentsRationEcurieChevauxFemellesSelle,4,FALSE),0)+(IF(QualitéAlimentsJeuneEtalon_24_36_moisSelle=BONNE,VLOOKUP("Tournesol",AlimentsRationEcurieChevauxMâlesSelle,3,FALSE),0)+(IF(QualitéAlimentsJeuneJument_24_36_moisSelle=BONNE,VLOOKUP("Tournesol",AlimentsRationEcurieChevauxFemellesSelle,3,FALSE),0)+(IF(QualitéAlimentsEtalonSelle=BONNE,VLOOKUP("Tournesol",AlimentsRationEcurieChevauxMâlesSelle,2,FALSE),0)+(IF(QualitéAlimentsJumentSelle=BONNE,VLOOKUP("Tournesol",AlimentsRationEcurieChevauxFemellesSelle,2,FALSE),0))))))))))</f>
        <v>0</v>
      </c>
      <c r="EW232" s="458">
        <f t="array" ref="EW232">SUM((IF(QualitéAlimentsPoulainSelleMâle=MOYENNE,VLOOKUP("Tournesol",AlimentsRationEcurieChevauxMâlesSelle,5,FALSE),0)+(IF(QualitéAlimentsPoulainSelleFemelle=MOYENNE,VLOOKUP("Tournesol",AlimentsRationEcurieChevauxFemellesSelle,5,FALSE),0)+(IF(QualitéAlimentsJeuneEtalon_12_24_moisSelle=MOYENNE,VLOOKUP("Tournesol",AlimentsRationEcurieChevauxMâlesSelle,4,FALSE),0)+(IF(QualitéAlimentsJeuneJument_12_24_moisSelle=MOYENNE,VLOOKUP("Tournesol",AlimentsRationEcurieChevauxFemellesSelle,4,FALSE),0)+(IF(QualitéAlimentsJeuneEtalon_24_36_moisSelle=MOYENNE,VLOOKUP("Tournesol",AlimentsRationEcurieChevauxMâlesSelle,3,FALSE),0)+(IF(QualitéAlimentsJeuneJument_24_36_moisSelle=MOYENNE,VLOOKUP("Tournesol",AlimentsRationEcurieChevauxFemellesSelle,3,FALSE),0)+(IF(QualitéAlimentsEtalonSelle=MOYENNE,VLOOKUP("Tournesol",AlimentsRationEcurieChevauxMâlesSelle,2,FALSE),0)+(IF(QualitéAlimentsJumentSelle=MOYENNE,VLOOKUP("Tournesol",AlimentsRationEcurieChevauxFemellesSelle,2,FALSE),0))))))))))</f>
        <v>0</v>
      </c>
      <c r="EX232" s="458">
        <f t="array" ref="EX232">SUM((IF(QualitéAlimentsPoulainSelleMâle=MAUVAISE,VLOOKUP("Tournesol",AlimentsRationEcurieChevauxMâlesSelle,5,FALSE),0)+(IF(QualitéAlimentsPoulainSelleFemelle=MAUVAISE,VLOOKUP("Tournesol",AlimentsRationEcurieChevauxFemellesSelle,5,FALSE),0)+(IF(QualitéAlimentsJeuneEtalon_12_24_moisSelle=MAUVAISE,VLOOKUP("Tournesol",AlimentsRationEcurieChevauxMâlesSelle,4,FALSE),0)+(IF(QualitéAlimentsJeuneJument_12_24_moisSelle=MAUVAISE,VLOOKUP("Tournesol",AlimentsRationEcurieChevauxFemellesSelle,4,FALSE),0)+(IF(QualitéAlimentsJeuneEtalon_24_36_moisSelle=MAUVAISE,VLOOKUP("Tournesol",AlimentsRationEcurieChevauxMâlesSelle,3,FALSE),0)+(IF(QualitéAlimentsJeuneJument_24_36_moisSelle=MAUVAISE,VLOOKUP("Tournesol",AlimentsRationEcurieChevauxFemellesSelle,3,FALSE),0)+(IF(QualitéAlimentsEtalonSelle=MAUVAISE,VLOOKUP("Tournesol",AlimentsRationEcurieChevauxMâlesSelle,2,FALSE),0)+(IF(QualitéAlimentsJumentSelle=MAUVAISE,VLOOKUP("Tournesol",AlimentsRationEcurieChevauxFemellesSelle,2,FALSE),0))))))))))</f>
        <v>0</v>
      </c>
      <c r="FD232" s="457">
        <f t="shared" si="65"/>
        <v>0</v>
      </c>
      <c r="FE232" s="458"/>
      <c r="FF232" s="458"/>
      <c r="FG232" s="458"/>
      <c r="FI232" s="276"/>
      <c r="FN232" s="457">
        <f t="shared" si="64"/>
        <v>0</v>
      </c>
      <c r="FO232" s="458"/>
      <c r="FP232" s="458"/>
      <c r="FQ232" s="458"/>
      <c r="FR232" s="281"/>
      <c r="GG232" s="276" t="s">
        <v>955</v>
      </c>
      <c r="GH232" s="276" t="s">
        <v>955</v>
      </c>
      <c r="GI232" s="276" t="s">
        <v>955</v>
      </c>
      <c r="GJ232" s="276" t="s">
        <v>955</v>
      </c>
      <c r="GK232" s="276" t="s">
        <v>955</v>
      </c>
      <c r="GL232" s="276" t="s">
        <v>955</v>
      </c>
      <c r="GM232" s="276" t="s">
        <v>955</v>
      </c>
      <c r="GN232" s="276" t="s">
        <v>955</v>
      </c>
      <c r="GO232" s="276" t="s">
        <v>955</v>
      </c>
      <c r="GP232" s="276" t="s">
        <v>955</v>
      </c>
      <c r="GQ232" s="276" t="s">
        <v>955</v>
      </c>
      <c r="GR232" s="276" t="s">
        <v>955</v>
      </c>
      <c r="GS232" s="276" t="s">
        <v>955</v>
      </c>
      <c r="GT232" s="276" t="s">
        <v>955</v>
      </c>
      <c r="GU232" s="276" t="s">
        <v>955</v>
      </c>
      <c r="GV232" s="276" t="s">
        <v>955</v>
      </c>
    </row>
    <row r="233" spans="1:204" ht="12.75" customHeight="1" x14ac:dyDescent="0.2">
      <c r="A233" s="276"/>
      <c r="B233" s="276"/>
      <c r="BC233" s="315"/>
      <c r="BD233" s="315"/>
      <c r="BE233" s="315"/>
      <c r="BF233" s="315"/>
      <c r="BG233" s="315"/>
      <c r="BH233" s="315"/>
      <c r="BI233" s="315"/>
      <c r="BJ233" s="324"/>
      <c r="BK233" s="276"/>
      <c r="BX233" s="350"/>
      <c r="BY233" s="351"/>
      <c r="BZ233" s="351"/>
      <c r="CA233" s="351"/>
      <c r="CB233" s="277"/>
      <c r="CC233" s="277"/>
      <c r="CD233" s="298"/>
      <c r="CE233" s="298"/>
      <c r="CF233" s="298"/>
      <c r="CG233" s="298"/>
      <c r="CI233" s="277"/>
      <c r="CK233" s="277"/>
      <c r="CL233" s="277"/>
      <c r="CM233" s="277"/>
      <c r="CN233" s="277"/>
      <c r="CO233" s="277"/>
      <c r="CP233" s="277"/>
      <c r="DN233" s="394" t="s">
        <v>910</v>
      </c>
      <c r="DO233" s="395" t="s">
        <v>914</v>
      </c>
      <c r="DP233" s="395" t="s">
        <v>891</v>
      </c>
      <c r="DQ233" s="395" t="s">
        <v>890</v>
      </c>
      <c r="DR233" s="442" t="s">
        <v>889</v>
      </c>
      <c r="DS233" s="396" t="s">
        <v>903</v>
      </c>
      <c r="EU233" s="457" t="str">
        <f t="shared" si="66"/>
        <v>Tourteau de colza</v>
      </c>
      <c r="EV233" s="458">
        <f t="array" ref="EV233">SUM((IF(QualitéAlimentsPoulainSelleMâle=BONNE,VLOOKUP("Tournesol de colza",AlimentsRationEcurieChevauxMâlesSelle,5,FALSE),0)+(IF(QualitéAlimentsPoulainSelleFemelle=BONNE,VLOOKUP("Tournesol de colza",AlimentsRationEcurieChevauxFemellesSelle,5,FALSE),0)+(IF(QualitéAlimentsJeuneEtalon_12_24_moisSelle=BONNE,VLOOKUP("Tournesol de colza",AlimentsRationEcurieChevauxMâlesSelle,4,FALSE),0)+(IF(QualitéAlimentsJeuneJument_12_24_moisSelle=BONNE,VLOOKUP("Tournesol de colza",AlimentsRationEcurieChevauxFemellesSelle,4,FALSE),0)+(IF(QualitéAlimentsJeuneEtalon_24_36_moisSelle=BONNE,VLOOKUP("Tournesol de colza",AlimentsRationEcurieChevauxMâlesSelle,3,FALSE),0)+(IF(QualitéAlimentsJeuneJument_24_36_moisSelle=BONNE,VLOOKUP("Tournesol de colza",AlimentsRationEcurieChevauxFemellesSelle,3,FALSE),0)+(IF(QualitéAlimentsEtalonSelle=BONNE,VLOOKUP("Tournesol de colza",AlimentsRationEcurieChevauxMâlesSelle,2,FALSE),0)+(IF(QualitéAlimentsJumentSelle=BONNE,VLOOKUP("Tournesol de colza",AlimentsRationEcurieChevauxFemellesSelle,2,FALSE),0))))))))))</f>
        <v>0</v>
      </c>
      <c r="EW233" s="458">
        <f t="array" ref="EW233">SUM((IF(QualitéAlimentsPoulainSelleMâle=MOYENNE,VLOOKUP("Tournesol de colza",AlimentsRationEcurieChevauxMâlesSelle,5,FALSE),0)+(IF(QualitéAlimentsPoulainSelleFemelle=MOYENNE,VLOOKUP("Tournesol de colza",AlimentsRationEcurieChevauxFemellesSelle,5,FALSE),0)+(IF(QualitéAlimentsJeuneEtalon_12_24_moisSelle=MOYENNE,VLOOKUP("Tournesol de colza",AlimentsRationEcurieChevauxMâlesSelle,4,FALSE),0)+(IF(QualitéAlimentsJeuneJument_12_24_moisSelle=MOYENNE,VLOOKUP("Tournesol de colza",AlimentsRationEcurieChevauxFemellesSelle,4,FALSE),0)+(IF(QualitéAlimentsJeuneEtalon_24_36_moisSelle=MOYENNE,VLOOKUP("Tournesol de colza",AlimentsRationEcurieChevauxMâlesSelle,3,FALSE),0)+(IF(QualitéAlimentsJeuneJument_24_36_moisSelle=MOYENNE,VLOOKUP("Tournesol de colza",AlimentsRationEcurieChevauxFemellesSelle,3,FALSE),0)+(IF(QualitéAlimentsEtalonSelle=MOYENNE,VLOOKUP("Tournesol de colza",AlimentsRationEcurieChevauxMâlesSelle,2,FALSE),0)+(IF(QualitéAlimentsJumentSelle=MOYENNE,VLOOKUP("Tournesol de colza",AlimentsRationEcurieChevauxFemellesSelle,2,FALSE),0))))))))))</f>
        <v>0</v>
      </c>
      <c r="EX233" s="458">
        <f t="array" ref="EX233">SUM((IF(QualitéAlimentsPoulainSelleMâle=MAUVAISE,VLOOKUP("Tournesol de colza",AlimentsRationEcurieChevauxMâlesSelle,5,FALSE),0)+(IF(QualitéAlimentsPoulainSelleFemelle=MAUVAISE,VLOOKUP("Tournesol de colza",AlimentsRationEcurieChevauxFemellesSelle,5,FALSE),0)+(IF(QualitéAlimentsJeuneEtalon_12_24_moisSelle=MAUVAISE,VLOOKUP("Tournesol de colza",AlimentsRationEcurieChevauxMâlesSelle,4,FALSE),0)+(IF(QualitéAlimentsJeuneJument_12_24_moisSelle=MAUVAISE,VLOOKUP("Tournesol de colza",AlimentsRationEcurieChevauxFemellesSelle,4,FALSE),0)+(IF(QualitéAlimentsJeuneEtalon_24_36_moisSelle=MAUVAISE,VLOOKUP("Tournesol de colza",AlimentsRationEcurieChevauxMâlesSelle,3,FALSE),0)+(IF(QualitéAlimentsJeuneJument_24_36_moisSelle=MAUVAISE,VLOOKUP("Tournesol de colza",AlimentsRationEcurieChevauxFemellesSelle,3,FALSE),0)+(IF(QualitéAlimentsEtalonSelle=MAUVAISE,VLOOKUP("Tournesol de colza",AlimentsRationEcurieChevauxMâlesSelle,2,FALSE),0)+(IF(QualitéAlimentsJumentSelle=MAUVAISE,VLOOKUP("Tournesol de colza",AlimentsRationEcurieChevauxFemellesSelle,2,FALSE),0))))))))))</f>
        <v>0</v>
      </c>
      <c r="FD233" s="457">
        <f t="shared" si="65"/>
        <v>0</v>
      </c>
      <c r="FE233" s="458"/>
      <c r="FF233" s="458"/>
      <c r="FG233" s="458"/>
      <c r="FI233" s="276"/>
      <c r="FN233" s="457">
        <f t="shared" si="64"/>
        <v>0</v>
      </c>
      <c r="FO233" s="458"/>
      <c r="FP233" s="458"/>
      <c r="FQ233" s="458"/>
      <c r="FR233" s="281"/>
      <c r="GG233" s="276" t="s">
        <v>955</v>
      </c>
      <c r="GH233" s="276" t="s">
        <v>955</v>
      </c>
      <c r="GI233" s="276" t="s">
        <v>955</v>
      </c>
      <c r="GJ233" s="276" t="s">
        <v>955</v>
      </c>
      <c r="GK233" s="276" t="s">
        <v>955</v>
      </c>
      <c r="GL233" s="276" t="s">
        <v>955</v>
      </c>
      <c r="GM233" s="276" t="s">
        <v>955</v>
      </c>
      <c r="GN233" s="276" t="s">
        <v>955</v>
      </c>
      <c r="GO233" s="276" t="s">
        <v>955</v>
      </c>
      <c r="GP233" s="276" t="s">
        <v>955</v>
      </c>
      <c r="GQ233" s="276" t="s">
        <v>955</v>
      </c>
      <c r="GR233" s="276" t="s">
        <v>955</v>
      </c>
      <c r="GS233" s="276" t="s">
        <v>955</v>
      </c>
      <c r="GT233" s="276" t="s">
        <v>955</v>
      </c>
      <c r="GU233" s="276" t="s">
        <v>955</v>
      </c>
      <c r="GV233" s="276" t="s">
        <v>955</v>
      </c>
    </row>
    <row r="234" spans="1:204" ht="12.75" customHeight="1" x14ac:dyDescent="0.2">
      <c r="A234" s="276"/>
      <c r="B234" s="276"/>
      <c r="BB234" s="229" t="s">
        <v>1158</v>
      </c>
      <c r="BC234" s="229"/>
      <c r="BD234" s="229"/>
      <c r="BE234" s="229"/>
      <c r="BF234" s="229"/>
      <c r="BG234" s="229"/>
      <c r="BH234" s="229"/>
      <c r="BI234" s="229"/>
      <c r="BJ234" s="229"/>
      <c r="BK234" s="276"/>
      <c r="BX234" s="350"/>
      <c r="BY234" s="351"/>
      <c r="BZ234" s="351"/>
      <c r="CA234" s="351"/>
      <c r="CB234" s="277"/>
      <c r="CC234" s="277"/>
      <c r="CD234" s="298"/>
      <c r="CE234" s="298"/>
      <c r="CF234" s="298"/>
      <c r="CG234" s="298"/>
      <c r="CI234" s="277"/>
      <c r="CK234" s="277"/>
      <c r="CL234" s="277"/>
      <c r="CM234" s="277"/>
      <c r="CN234" s="277"/>
      <c r="CO234" s="277"/>
      <c r="CP234" s="277"/>
      <c r="DN234" s="397" t="s">
        <v>508</v>
      </c>
      <c r="DO234" s="398">
        <f t="array" ref="DO234">IF(ChoixRationComplèteOvins=NON,0,IFERROR(IF(OR(AND(INDEX(Règles_ovins[Specificite],MATCH(ChoixRationOvins&amp;Ration_complète_ovins[aliment],Règles_ovins[Ration]&amp;Règles_ovins[Aliment],0))="s1",IF(Ration_complète_ovins[aliment]=Spécificité1Ovins,1)),
AND(INDEX(Règles_ovins[Specificite],MATCH(ChoixRationOvins&amp;Ration_complète_ovins[aliment],Règles_ovins[Ration]&amp;Règles_ovins[Aliment],0))="s2",IF(Ration_complète_ovins[aliment]=Spécificité1Ovins,1)),
INDEX(Règles_ovins[Specificite],MATCH(ChoixRationOvins&amp;Ration_complète_ovins[aliment],Règles_ovins[Ration]&amp;Règles_ovins[Aliment],0))="c",INDEX(Règles_ovins[Specificite],MATCH(ChoixRationOvins&amp;Ration_complète_ovins[aliment],Règles_ovins[Ration]&amp;Règles_ovins[Aliment],0))="complet"),
INDEX(Règles_ovins[Valeur 12 et plus],MATCH(ChoixRationOvins&amp;Ration_complète_ovins[aliment],Règles_ovins[Ration]&amp;Règles_ovins[Aliment],0)),0),0)*SUM(TotalOvinsAdultes)*SUM(AD76:AD100))</f>
        <v>0</v>
      </c>
      <c r="DP234" s="398">
        <f t="array" ref="DP234">IF(ChoixRationComplèteOvins=NON,0,IFERROR(IF(OR(AND(INDEX(Règles_ovins[Specificite],MATCH(ChoixRationOvins&amp;Ration_complète_ovins[aliment],Règles_ovins[Ration]&amp;Règles_ovins[Aliment],0))="s1",IF(Ration_complète_ovins[aliment]=Spécificité1Ovins,1)),
AND(INDEX(Règles_ovins[Specificite],MATCH(ChoixRationOvins&amp;Ration_complète_ovins[aliment],Règles_ovins[Ration]&amp;Règles_ovins[Aliment],0))="s2",IF(Ration_complète_ovins[aliment]=Spécificité1Ovins,1)),
INDEX(Règles_ovins[Specificite],MATCH(ChoixRationOvins&amp;Ration_complète_ovins[aliment],Règles_ovins[Ration]&amp;Règles_ovins[Aliment],0))="c",INDEX(Règles_ovins[Specificite],MATCH(ChoixRationOvins&amp;Ration_complète_ovins[aliment],Règles_ovins[Ration]&amp;Règles_ovins[Aliment],0))="complet"),
INDEX(Règles_ovins[Valeur 6-12],MATCH(ChoixRationOvins&amp;Ration_complète_ovins[aliment],Règles_ovins[Ration]&amp;Règles_ovins[Aliment],0)),0),0)*SUM(TotalJeunesOvins)*SUM(AD76:AD100))</f>
        <v>0</v>
      </c>
      <c r="DQ234" s="398">
        <f t="array" ref="DQ234">IF(ChoixRationComplèteOvins=NON,0,IFERROR(IF(OR(AND(INDEX(Règles_ovins[Specificite],MATCH(ChoixRationOvins&amp;Ration_complète_ovins[aliment],Règles_ovins[Ration]&amp;Règles_ovins[Aliment],0))="s1",IF(Ration_complète_ovins[aliment]=Spécificité1Ovins,1)),
AND(INDEX(Règles_ovins[Specificite],MATCH(ChoixRationOvins&amp;Ration_complète_ovins[aliment],Règles_ovins[Ration]&amp;Règles_ovins[Aliment],0))="s2",IF(Ration_complète_ovins[aliment]=Spécificité1Ovins,1)),
INDEX(Règles_ovins[Specificite],MATCH(ChoixRationOvins&amp;Ration_complète_ovins[aliment],Règles_ovins[Ration]&amp;Règles_ovins[Aliment],0))="c",INDEX(Règles_ovins[Specificite],MATCH(ChoixRationOvins&amp;Ration_complète_ovins[aliment],Règles_ovins[Ration]&amp;Règles_ovins[Aliment],0))="complet"),
INDEX(Règles_ovins[Valeur 3-6],MATCH(ChoixRationOvins&amp;Ration_complète_ovins[aliment],Règles_ovins[Ration]&amp;Règles_ovins[Aliment],0)),0),0)*SUM(TotalOvins_3_6mois)*SUM(AD76:AD100))</f>
        <v>0</v>
      </c>
      <c r="DR234" s="398">
        <f t="array" ref="DR234">IF(ChoixRationComplèteOvins=NON,0,IFERROR(IF(OR(AND(INDEX(Règles_ovins[Specificite],MATCH(ChoixRationOvins&amp;Ration_complète_ovins[aliment],Règles_ovins[Ration]&amp;Règles_ovins[Aliment],0))="s1",IF(Ration_complète_ovins[aliment]=Spécificité1Ovins,1)),
AND(INDEX(Règles_ovins[Specificite],MATCH(ChoixRationOvins&amp;Ration_complète_ovins[aliment],Règles_ovins[Ration]&amp;Règles_ovins[Aliment],0))="s2",IF(Ration_complète_ovins[aliment]=Spécificité1Ovins,1)),
INDEX(Règles_ovins[Specificite],MATCH(ChoixRationOvins&amp;Ration_complète_ovins[aliment],Règles_ovins[Ration]&amp;Règles_ovins[Aliment],0))="c",INDEX(Règles_ovins[Specificite],MATCH(ChoixRationOvins&amp;Ration_complète_ovins[aliment],Règles_ovins[Ration]&amp;Règles_ovins[Aliment],0))="complet"),
INDEX(Règles_ovins[Valeur 0-3],MATCH(ChoixRationOvins&amp;Ration_complète_ovins[aliment],Règles_ovins[Ration]&amp;Règles_ovins[Aliment],0)),0),0)*SUM(TotalOvins_3_6mois)*SUM(AD76:AD100))</f>
        <v>0</v>
      </c>
      <c r="DS234" s="436">
        <f>SUM(Ration_complète_ovins[[Valeur 12 et plus]:[Valeur 0-3]])</f>
        <v>0</v>
      </c>
      <c r="EU234" s="457" t="str">
        <f t="shared" si="66"/>
        <v>Tourteau de tournesol</v>
      </c>
      <c r="EV234" s="458">
        <f t="array" ref="EV234">SUM((IF(QualitéAlimentsPoulainSelleMâle=BONNE,VLOOKUP("Tournesol de tournesol",AlimentsRationEcurieChevauxMâlesSelle,5,FALSE),0)+(IF(QualitéAlimentsPoulainSelleFemelle=BONNE,VLOOKUP("Tournesol de tournesol",AlimentsRationEcurieChevauxFemellesSelle,5,FALSE),0)+(IF(QualitéAlimentsJeuneEtalon_12_24_moisSelle=BONNE,VLOOKUP("Tournesol de tournesol",AlimentsRationEcurieChevauxMâlesSelle,4,FALSE),0)+(IF(QualitéAlimentsJeuneJument_12_24_moisSelle=BONNE,VLOOKUP("Tournesol de tournesol",AlimentsRationEcurieChevauxFemellesSelle,4,FALSE),0)+(IF(QualitéAlimentsJeuneEtalon_24_36_moisSelle=BONNE,VLOOKUP("Tournesol de tournesol",AlimentsRationEcurieChevauxMâlesSelle,3,FALSE),0)+(IF(QualitéAlimentsJeuneJument_24_36_moisSelle=BONNE,VLOOKUP("Tournesol de tournesol",AlimentsRationEcurieChevauxFemellesSelle,3,FALSE),0)+(IF(QualitéAlimentsEtalonSelle=BONNE,VLOOKUP("Tournesol de tournesol",AlimentsRationEcurieChevauxMâlesSelle,2,FALSE),0)+(IF(QualitéAlimentsJumentSelle=BONNE,VLOOKUP("Tournesol de tournesol",AlimentsRationEcurieChevauxFemellesSelle,2,FALSE),0))))))))))</f>
        <v>0</v>
      </c>
      <c r="EW234" s="458">
        <f t="array" ref="EW234">SUM((IF(QualitéAlimentsPoulainSelleMâle=MOYENNE,VLOOKUP("Tournesol de tournesol",AlimentsRationEcurieChevauxMâlesSelle,5,FALSE),0)+(IF(QualitéAlimentsPoulainSelleFemelle=MOYENNE,VLOOKUP("Tournesol de tournesol",AlimentsRationEcurieChevauxFemellesSelle,5,FALSE),0)+(IF(QualitéAlimentsJeuneEtalon_12_24_moisSelle=MOYENNE,VLOOKUP("Tournesol de tournesol",AlimentsRationEcurieChevauxMâlesSelle,4,FALSE),0)+(IF(QualitéAlimentsJeuneJument_12_24_moisSelle=MOYENNE,VLOOKUP("Tournesol de tournesol",AlimentsRationEcurieChevauxFemellesSelle,4,FALSE),0)+(IF(QualitéAlimentsJeuneEtalon_24_36_moisSelle=MOYENNE,VLOOKUP("Tournesol de tournesol",AlimentsRationEcurieChevauxMâlesSelle,3,FALSE),0)+(IF(QualitéAlimentsJeuneJument_24_36_moisSelle=MOYENNE,VLOOKUP("Tournesol de tournesol",AlimentsRationEcurieChevauxFemellesSelle,3,FALSE),0)+(IF(QualitéAlimentsEtalonSelle=MOYENNE,VLOOKUP("Tournesol de tournesol",AlimentsRationEcurieChevauxMâlesSelle,2,FALSE),0)+(IF(QualitéAlimentsJumentSelle=MOYENNE,VLOOKUP("Tournesol de tournesol",AlimentsRationEcurieChevauxFemellesSelle,2,FALSE),0))))))))))</f>
        <v>0</v>
      </c>
      <c r="EX234" s="458">
        <f t="array" ref="EX234">SUM((IF(QualitéAlimentsPoulainSelleMâle=MAUVAISE,VLOOKUP("Tournesol de tournesol",AlimentsRationEcurieChevauxMâlesSelle,5,FALSE),0)+(IF(QualitéAlimentsPoulainSelleFemelle=MAUVAISE,VLOOKUP("Tournesol de tournesol",AlimentsRationEcurieChevauxFemellesSelle,5,FALSE),0)+(IF(QualitéAlimentsJeuneEtalon_12_24_moisSelle=MAUVAISE,VLOOKUP("Tournesol de tournesol",AlimentsRationEcurieChevauxMâlesSelle,4,FALSE),0)+(IF(QualitéAlimentsJeuneJument_12_24_moisSelle=MAUVAISE,VLOOKUP("Tournesol de tournesol",AlimentsRationEcurieChevauxFemellesSelle,4,FALSE),0)+(IF(QualitéAlimentsJeuneEtalon_24_36_moisSelle=MAUVAISE,VLOOKUP("Tournesol de tournesol",AlimentsRationEcurieChevauxMâlesSelle,3,FALSE),0)+(IF(QualitéAlimentsJeuneJument_24_36_moisSelle=MAUVAISE,VLOOKUP("Tournesol de tournesol",AlimentsRationEcurieChevauxFemellesSelle,3,FALSE),0)+(IF(QualitéAlimentsEtalonSelle=MAUVAISE,VLOOKUP("Tournesol de tournesol",AlimentsRationEcurieChevauxMâlesSelle,2,FALSE),0)+(IF(QualitéAlimentsJumentSelle=MAUVAISE,VLOOKUP("Tournesol de tournesol",AlimentsRationEcurieChevauxFemellesSelle,2,FALSE),0))))))))))</f>
        <v>0</v>
      </c>
      <c r="FD234" s="457">
        <f t="shared" si="65"/>
        <v>0</v>
      </c>
      <c r="FE234" s="458"/>
      <c r="FF234" s="458"/>
      <c r="FG234" s="458"/>
      <c r="FI234" s="276"/>
      <c r="FN234" s="457">
        <f t="shared" si="64"/>
        <v>0</v>
      </c>
      <c r="FO234" s="458"/>
      <c r="FP234" s="458"/>
      <c r="FQ234" s="458"/>
      <c r="FR234" s="281"/>
      <c r="GG234" s="276" t="s">
        <v>955</v>
      </c>
      <c r="GH234" s="276" t="s">
        <v>955</v>
      </c>
      <c r="GI234" s="276" t="s">
        <v>955</v>
      </c>
      <c r="GJ234" s="276" t="s">
        <v>955</v>
      </c>
      <c r="GK234" s="276" t="s">
        <v>955</v>
      </c>
      <c r="GL234" s="276" t="s">
        <v>955</v>
      </c>
      <c r="GM234" s="276" t="s">
        <v>955</v>
      </c>
      <c r="GN234" s="276" t="s">
        <v>955</v>
      </c>
      <c r="GO234" s="276" t="s">
        <v>955</v>
      </c>
      <c r="GP234" s="276" t="s">
        <v>955</v>
      </c>
      <c r="GQ234" s="276" t="s">
        <v>955</v>
      </c>
      <c r="GR234" s="276" t="s">
        <v>955</v>
      </c>
      <c r="GS234" s="276" t="s">
        <v>955</v>
      </c>
      <c r="GT234" s="276" t="s">
        <v>955</v>
      </c>
      <c r="GU234" s="276" t="s">
        <v>955</v>
      </c>
      <c r="GV234" s="276" t="s">
        <v>955</v>
      </c>
    </row>
    <row r="235" spans="1:204" ht="12.75" customHeight="1" x14ac:dyDescent="0.2">
      <c r="A235" s="276"/>
      <c r="B235" s="276"/>
      <c r="BB235" s="349" t="s">
        <v>910</v>
      </c>
      <c r="BC235" s="349" t="s">
        <v>902</v>
      </c>
      <c r="BD235" s="349" t="s">
        <v>901</v>
      </c>
      <c r="BE235" s="349" t="s">
        <v>900</v>
      </c>
      <c r="BF235" s="349" t="s">
        <v>899</v>
      </c>
      <c r="BG235" s="349" t="s">
        <v>898</v>
      </c>
      <c r="BH235" s="349" t="s">
        <v>897</v>
      </c>
      <c r="BI235" s="349" t="s">
        <v>896</v>
      </c>
      <c r="BJ235" s="349" t="s">
        <v>903</v>
      </c>
      <c r="BK235" s="276"/>
      <c r="BX235" s="277"/>
      <c r="BY235" s="277"/>
      <c r="BZ235" s="277"/>
      <c r="CA235" s="277"/>
      <c r="CB235" s="277"/>
      <c r="CC235" s="277"/>
      <c r="CD235" s="298"/>
      <c r="CE235" s="298"/>
      <c r="CF235" s="298"/>
      <c r="CG235" s="298"/>
      <c r="CH235" s="298"/>
      <c r="CI235" s="277"/>
      <c r="CK235" s="277"/>
      <c r="CL235" s="277"/>
      <c r="CM235" s="277"/>
      <c r="CN235" s="277"/>
      <c r="CO235" s="277"/>
      <c r="CP235" s="277"/>
      <c r="DN235" s="277"/>
      <c r="DO235" s="277"/>
      <c r="DQ235" s="277"/>
      <c r="DR235" s="277"/>
      <c r="EU235" s="457" t="str">
        <f t="shared" si="66"/>
        <v>Triticale</v>
      </c>
      <c r="EV235" s="458">
        <f t="array" ref="EV235">SUM((IF(QualitéAlimentsPoulainSelleMâle=BONNE,VLOOKUP("Triticale",AlimentsRationEcurieChevauxMâlesSelle,5,FALSE),0)+(IF(QualitéAlimentsPoulainSelleFemelle=BONNE,VLOOKUP("Triticale",AlimentsRationEcurieChevauxFemellesSelle,5,FALSE),0)+(IF(QualitéAlimentsJeuneEtalon_12_24_moisSelle=BONNE,VLOOKUP("Triticale",AlimentsRationEcurieChevauxMâlesSelle,4,FALSE),0)+(IF(QualitéAlimentsJeuneJument_12_24_moisSelle=BONNE,VLOOKUP("Triticale",AlimentsRationEcurieChevauxFemellesSelle,4,FALSE),0)+(IF(QualitéAlimentsJeuneEtalon_24_36_moisSelle=BONNE,VLOOKUP("Triticale",AlimentsRationEcurieChevauxMâlesSelle,3,FALSE),0)+(IF(QualitéAlimentsJeuneJument_24_36_moisSelle=BONNE,VLOOKUP("Triticale",AlimentsRationEcurieChevauxFemellesSelle,3,FALSE),0)+(IF(QualitéAlimentsEtalonSelle=BONNE,VLOOKUP("Triticale",AlimentsRationEcurieChevauxMâlesSelle,2,FALSE),0)+(IF(QualitéAlimentsJumentSelle=BONNE,VLOOKUP("Triticale",AlimentsRationEcurieChevauxFemellesSelle,2,FALSE),0))))))))))</f>
        <v>0</v>
      </c>
      <c r="EW235" s="458">
        <f t="array" ref="EW235">SUM((IF(QualitéAlimentsPoulainSelleMâle=MOYENNE,VLOOKUP("Triticale",AlimentsRationEcurieChevauxMâlesSelle,5,FALSE),0)+(IF(QualitéAlimentsPoulainSelleFemelle=MOYENNE,VLOOKUP("Triticale",AlimentsRationEcurieChevauxFemellesSelle,5,FALSE),0)+(IF(QualitéAlimentsJeuneEtalon_12_24_moisSelle=MOYENNE,VLOOKUP("Triticale",AlimentsRationEcurieChevauxMâlesSelle,4,FALSE),0)+(IF(QualitéAlimentsJeuneJument_12_24_moisSelle=MOYENNE,VLOOKUP("Triticale",AlimentsRationEcurieChevauxFemellesSelle,4,FALSE),0)+(IF(QualitéAlimentsJeuneEtalon_24_36_moisSelle=MOYENNE,VLOOKUP("Triticale",AlimentsRationEcurieChevauxMâlesSelle,3,FALSE),0)+(IF(QualitéAlimentsJeuneJument_24_36_moisSelle=MOYENNE,VLOOKUP("Triticale",AlimentsRationEcurieChevauxFemellesSelle,3,FALSE),0)+(IF(QualitéAlimentsEtalonSelle=MOYENNE,VLOOKUP("Triticale",AlimentsRationEcurieChevauxMâlesSelle,2,FALSE),0)+(IF(QualitéAlimentsJumentSelle=MOYENNE,VLOOKUP("Triticale",AlimentsRationEcurieChevauxFemellesSelle,2,FALSE),0))))))))))</f>
        <v>0</v>
      </c>
      <c r="EX235" s="458">
        <f t="array" ref="EX235">SUM((IF(QualitéAlimentsPoulainSelleMâle=MAUVAISE,VLOOKUP("Triticale",AlimentsRationEcurieChevauxMâlesSelle,5,FALSE),0)+(IF(QualitéAlimentsPoulainSelleFemelle=MAUVAISE,VLOOKUP("Triticale",AlimentsRationEcurieChevauxFemellesSelle,5,FALSE),0)+(IF(QualitéAlimentsJeuneEtalon_12_24_moisSelle=MAUVAISE,VLOOKUP("Triticale",AlimentsRationEcurieChevauxMâlesSelle,4,FALSE),0)+(IF(QualitéAlimentsJeuneJument_12_24_moisSelle=MAUVAISE,VLOOKUP("Triticale",AlimentsRationEcurieChevauxFemellesSelle,4,FALSE),0)+(IF(QualitéAlimentsJeuneEtalon_24_36_moisSelle=MAUVAISE,VLOOKUP("Triticale",AlimentsRationEcurieChevauxMâlesSelle,3,FALSE),0)+(IF(QualitéAlimentsJeuneJument_24_36_moisSelle=MAUVAISE,VLOOKUP("Triticale",AlimentsRationEcurieChevauxFemellesSelle,3,FALSE),0)+(IF(QualitéAlimentsEtalonSelle=MAUVAISE,VLOOKUP("Triticale",AlimentsRationEcurieChevauxMâlesSelle,2,FALSE),0)+(IF(QualitéAlimentsJumentSelle=MAUVAISE,VLOOKUP("Triticale",AlimentsRationEcurieChevauxFemellesSelle,2,FALSE),0))))))))))</f>
        <v>0</v>
      </c>
      <c r="FD235" s="457">
        <f t="shared" si="65"/>
        <v>0</v>
      </c>
      <c r="FE235" s="458"/>
      <c r="FF235" s="458"/>
      <c r="FG235" s="458"/>
      <c r="FI235" s="276"/>
      <c r="FN235" s="457">
        <f t="shared" si="64"/>
        <v>0</v>
      </c>
      <c r="FO235" s="458"/>
      <c r="FP235" s="458"/>
      <c r="FQ235" s="458"/>
      <c r="FR235" s="281"/>
      <c r="GG235" s="276" t="s">
        <v>955</v>
      </c>
      <c r="GH235" s="276" t="s">
        <v>955</v>
      </c>
      <c r="GI235" s="276" t="s">
        <v>955</v>
      </c>
      <c r="GJ235" s="276" t="s">
        <v>955</v>
      </c>
      <c r="GK235" s="276" t="s">
        <v>955</v>
      </c>
      <c r="GL235" s="276" t="s">
        <v>955</v>
      </c>
      <c r="GM235" s="276" t="s">
        <v>955</v>
      </c>
      <c r="GN235" s="276" t="s">
        <v>955</v>
      </c>
      <c r="GO235" s="276" t="s">
        <v>955</v>
      </c>
      <c r="GP235" s="276" t="s">
        <v>955</v>
      </c>
      <c r="GQ235" s="276" t="s">
        <v>955</v>
      </c>
      <c r="GR235" s="276" t="s">
        <v>955</v>
      </c>
      <c r="GS235" s="276" t="s">
        <v>955</v>
      </c>
      <c r="GT235" s="276" t="s">
        <v>955</v>
      </c>
      <c r="GU235" s="276" t="s">
        <v>955</v>
      </c>
      <c r="GV235" s="276" t="s">
        <v>955</v>
      </c>
    </row>
    <row r="236" spans="1:204" ht="12.75" customHeight="1" x14ac:dyDescent="0.2">
      <c r="A236" s="276"/>
      <c r="B236" s="276"/>
      <c r="BB236" s="350" t="str">
        <f>BB194</f>
        <v>Avoine</v>
      </c>
      <c r="BC236" s="351">
        <f t="array" ref="BC236">IF(Ration_complète_bovins[somme]&gt;0,0,IFERROR(IF(OR(AND(INDEX(Règles_bovins[Specificite],MATCH(ChoixRationBovins&amp;$BB236,Règles_bovins[Ration]&amp;Règles_bovins[Aliment],0))="s1",IF($BB236=Spécificité1Bovins,1)),
AND(INDEX(Règles_bovins[Specificite],MATCH(ChoixRationBovins&amp;$BB236,Règles_bovins[Ration]&amp;Règles_bovins[Aliment],0))="s2",IF($BB236=Spécificité2Bovins,1)),
INDEX(Règles_bovins[Specificite],MATCH(ChoixRationBovins&amp;$BB236,Règles_bovins[Ration]&amp;Règles_bovins[Aliment],0))="c"),
INDEX(Règles_bovins[Valeur 36 et plus],MATCH(ChoixRationBovins&amp;$BB236,Règles_bovins[Ration]&amp;Règles_bovins[Aliment],0)),0),0)*IF(ChoixBovinsPréHiver=OUI,TotalVachesRacesLaitières,TotalVaches*NbreJoursNourrirBovins))</f>
        <v>0</v>
      </c>
      <c r="BD236" s="351">
        <f t="array" ref="BD236">IF(Ration_complète_bovins[somme]&gt;0,0,IFERROR(IF(OR(AND(INDEX(Règles_bovins[Specificite],MATCH(ChoixRationBovins&amp;$BB236,Règles_bovins[Ration]&amp;Règles_bovins[Aliment],0))="s1",IF($BB236=Spécificité1Bovins,1)),
AND(INDEX(Règles_bovins[Specificite],MATCH(ChoixRationBovins&amp;$BB236,Règles_bovins[Ration]&amp;Règles_bovins[Aliment],0))="s2",IF($BB236=Spécificité2Bovins,1)),
INDEX(Règles_bovins[Specificite],MATCH(ChoixRationBovins&amp;$BB236,Règles_bovins[Ration]&amp;Règles_bovins[Aliment],0))="c"),
INDEX(Règles_bovins[Valeur 24-36],MATCH(ChoixRationBovins&amp;$BB236,Règles_bovins[Ration]&amp;Règles_bovins[Aliment],0)),0),0)*IF(ChoixBovinsPréHiver=OUI,TotalGénisse_24_36_RacesLaitières,TotalBovinsFemelles_24_36mois*NbreJoursNourrirBovins))</f>
        <v>0</v>
      </c>
      <c r="BE236" s="351">
        <f t="array" ref="BE236">IF(Ration_complète_bovins[somme]&gt;0,0,IFERROR(IF(OR(AND(INDEX(Règles_bovins[Specificite],MATCH(ChoixRationBovins&amp;$BB236,Règles_bovins[Ration]&amp;Règles_bovins[Aliment],0))="s1",IF($BB236=Spécificité1Bovins,1)),
AND(INDEX(Règles_bovins[Specificite],MATCH(ChoixRationBovins&amp;$BB236,Règles_bovins[Ration]&amp;Règles_bovins[Aliment],0))="s2",IF($BB236=Spécificité2Bovins,1)),
INDEX(Règles_bovins[Specificite],MATCH(ChoixRationBovins&amp;$BB236,Règles_bovins[Ration]&amp;Règles_bovins[Aliment],0))="c"),
INDEX(Règles_bovins[Valeur 18-24],MATCH(ChoixRationBovins&amp;$BB236,Règles_bovins[Ration]&amp;Règles_bovins[Aliment],0)),0),0)*IF(ChoixBovinsPréHiver=OUI,TotalGénisse_18_24_RacesLaitières,TotalBovinsFemelles_18_24mois*NbreJoursNourrirBovins))</f>
        <v>0</v>
      </c>
      <c r="BF236" s="351">
        <f t="array" ref="BF236">IF(Ration_complète_bovins[somme]&gt;0,0,IFERROR(IF(OR(AND(INDEX(Règles_bovins[Specificite],MATCH(ChoixRationBovins&amp;$BB236,Règles_bovins[Ration]&amp;Règles_bovins[Aliment],0))="s1",IF($BB236=Spécificité1Bovins,1)),
AND(INDEX(Règles_bovins[Specificite],MATCH(ChoixRationBovins&amp;$BB236,Règles_bovins[Ration]&amp;Règles_bovins[Aliment],0))="s2",IF($BB236=Spécificité2Bovins,1)),
INDEX(Règles_bovins[Specificite],MATCH(ChoixRationBovins&amp;$BB236,Règles_bovins[Ration]&amp;Règles_bovins[Aliment],0))="c"),
INDEX(Règles_bovins[Valeur 12-18],MATCH(ChoixRationBovins&amp;$BB236,Règles_bovins[Ration]&amp;Règles_bovins[Aliment],0)),0),0)*IF(ChoixBovinsPréHiver=OUI,TotalGénisse_12_18_RacesLaitières,TotalBovinsFemelles_12_18mois*NbreJoursNourrirBovins))</f>
        <v>0</v>
      </c>
      <c r="BG236" s="351">
        <f t="array" ref="BG236">IF(Ration_complète_bovins[somme]&gt;0,0,IFERROR(IF(OR(AND(INDEX(Règles_bovins[Specificite],MATCH(ChoixRationBovins&amp;$BB236,Règles_bovins[Ration]&amp;Règles_bovins[Aliment],0))="s1",IF($BB236=Spécificité1Bovins,1)),
AND(INDEX(Règles_bovins[Specificite],MATCH(ChoixRationBovins&amp;$BB236,Règles_bovins[Ration]&amp;Règles_bovins[Aliment],0))="s2",IF($BB236=Spécificité2Bovins,1)),
INDEX(Règles_bovins[Specificite],MATCH(ChoixRationBovins&amp;$BB236,Règles_bovins[Ration]&amp;Règles_bovins[Aliment],0))="c"),
INDEX(Règles_bovins[Valeur 6-12],MATCH(ChoixRationBovins&amp;$BB236,Règles_bovins[Ration]&amp;Règles_bovins[Aliment],0)),0),0)*IF(ChoixBovinsPréHiver=OUI,TotalVeauFemelle_6_12_RacesLaitières,TotalBovinsFemelles_6_12mois*NbreJoursNourrirBovins))</f>
        <v>0</v>
      </c>
      <c r="BH236" s="351">
        <f t="array" ref="BH236">IF(Ration_complète_bovins[somme]&gt;0,0,IFERROR(IF(OR(AND(INDEX(Règles_bovins[Specificite],MATCH(ChoixRationBovins&amp;$BB236,Règles_bovins[Ration]&amp;Règles_bovins[Aliment],0))="s1",IF($BB236=Spécificité1Bovins,1)),
AND(INDEX(Règles_bovins[Specificite],MATCH(ChoixRationBovins&amp;$BB236,Règles_bovins[Ration]&amp;Règles_bovins[Aliment],0))="s2",IF($BB236=Spécificité2Bovins,1)),
INDEX(Règles_bovins[Specificite],MATCH(ChoixRationBovins&amp;$BB236,Règles_bovins[Ration]&amp;Règles_bovins[Aliment],0))="c"),
INDEX(Règles_bovins[Valeur 3-6],MATCH(ChoixRationBovins&amp;$BB236,Règles_bovins[Ration]&amp;Règles_bovins[Aliment],0)),0),0)*IF(ChoixBovinsPréHiver=OUI,TotalVeauFemelle_3_6_RacesLaitières,TotalBovinsFemelles_3_6mois*NbreJoursNourrirBovins))</f>
        <v>0</v>
      </c>
      <c r="BI236" s="351">
        <f t="array" ref="BI236">IF(Ration_complète_bovins[somme]&gt;0,0,IFERROR(IF(OR(AND(INDEX(Règles_bovins[Specificite],MATCH(ChoixRationBovins&amp;$BB236,Règles_bovins[Ration]&amp;Règles_bovins[Aliment],0))="s1",IF($BB236=Spécificité1Bovins,1)),
AND(INDEX(Règles_bovins[Specificite],MATCH(ChoixRationBovins&amp;$BB236,Règles_bovins[Ration]&amp;Règles_bovins[Aliment],0))="s2",IF($BB236=Spécificité2Bovins,1)),
INDEX(Règles_bovins[Specificite],MATCH(ChoixRationBovins&amp;$BB236,Règles_bovins[Ration]&amp;Règles_bovins[Aliment],0))="c"),
INDEX(Règles_bovins[Valeur 0-3],MATCH(ChoixRationBovins&amp;$BB236,Règles_bovins[Ration]&amp;Règles_bovins[Aliment],0)),0),0)*IF(ChoixBovinsPréHiver=OUI,TotalVeauFemelle_0_3_RacesLaitières,TotalBovinsFemelles_0_3mois*NbreJoursNourrirBovins))</f>
        <v>0</v>
      </c>
      <c r="BJ236" s="352">
        <f t="shared" ref="BJ236:BJ274" si="67">SUM($BC236:$BI236)</f>
        <v>0</v>
      </c>
      <c r="BK236" s="276"/>
      <c r="BX236" s="277"/>
      <c r="BY236" s="277"/>
      <c r="BZ236" s="277"/>
      <c r="CA236" s="277"/>
      <c r="CB236" s="277"/>
      <c r="CC236" s="277"/>
      <c r="CD236" s="298"/>
      <c r="CE236" s="298"/>
      <c r="CF236" s="298"/>
      <c r="CG236" s="298"/>
      <c r="CH236" s="298"/>
      <c r="CI236" s="277"/>
      <c r="CJ236" s="322"/>
      <c r="CK236" s="277"/>
      <c r="CL236" s="277"/>
      <c r="CM236" s="277"/>
      <c r="CN236" s="277"/>
      <c r="CO236" s="277"/>
      <c r="CP236" s="277"/>
      <c r="DN236" s="229" t="s">
        <v>933</v>
      </c>
      <c r="DO236" s="229"/>
      <c r="DP236" s="229"/>
      <c r="DQ236" s="229"/>
      <c r="DR236" s="229"/>
      <c r="DS236" s="337"/>
      <c r="EU236" s="457">
        <f t="shared" si="66"/>
        <v>0</v>
      </c>
      <c r="EV236" s="458"/>
      <c r="EW236" s="458"/>
      <c r="EX236" s="458"/>
      <c r="FD236" s="457">
        <f t="shared" si="65"/>
        <v>0</v>
      </c>
      <c r="FE236" s="458"/>
      <c r="FF236" s="458"/>
      <c r="FG236" s="458"/>
      <c r="FI236" s="276"/>
      <c r="FN236" s="281"/>
      <c r="FO236" s="281"/>
      <c r="FP236" s="281"/>
      <c r="FQ236" s="281"/>
      <c r="FR236" s="281"/>
      <c r="GG236" s="276" t="s">
        <v>955</v>
      </c>
      <c r="GH236" s="276" t="s">
        <v>955</v>
      </c>
      <c r="GI236" s="276" t="s">
        <v>955</v>
      </c>
      <c r="GJ236" s="276" t="s">
        <v>955</v>
      </c>
      <c r="GK236" s="276" t="s">
        <v>955</v>
      </c>
      <c r="GL236" s="276" t="s">
        <v>955</v>
      </c>
      <c r="GM236" s="276" t="s">
        <v>955</v>
      </c>
      <c r="GN236" s="276" t="s">
        <v>955</v>
      </c>
      <c r="GO236" s="276" t="s">
        <v>955</v>
      </c>
      <c r="GP236" s="276" t="s">
        <v>955</v>
      </c>
      <c r="GQ236" s="276" t="s">
        <v>955</v>
      </c>
      <c r="GR236" s="276" t="s">
        <v>955</v>
      </c>
      <c r="GS236" s="276" t="s">
        <v>955</v>
      </c>
      <c r="GT236" s="276" t="s">
        <v>955</v>
      </c>
      <c r="GU236" s="276" t="s">
        <v>955</v>
      </c>
      <c r="GV236" s="276" t="s">
        <v>955</v>
      </c>
    </row>
    <row r="237" spans="1:204" ht="12.75" customHeight="1" x14ac:dyDescent="0.2">
      <c r="A237" s="276"/>
      <c r="B237" s="276"/>
      <c r="BB237" s="350" t="str">
        <f t="shared" ref="BB237:BB274" si="68">BB195</f>
        <v>Betterave</v>
      </c>
      <c r="BC237" s="351">
        <f t="array" ref="BC237">IF(Ration_complète_bovins[somme]&gt;0,0,IFERROR(IF(OR(AND(INDEX(Règles_bovins[Specificite],MATCH(ChoixRationBovins&amp;$BB237,Règles_bovins[Ration]&amp;Règles_bovins[Aliment],0))="s1",IF($BB237=Spécificité1Bovins,1)),
AND(INDEX(Règles_bovins[Specificite],MATCH(ChoixRationBovins&amp;$BB237,Règles_bovins[Ration]&amp;Règles_bovins[Aliment],0))="s2",IF($BB237=Spécificité2Bovins,1)),
INDEX(Règles_bovins[Specificite],MATCH(ChoixRationBovins&amp;$BB237,Règles_bovins[Ration]&amp;Règles_bovins[Aliment],0))="c"),
INDEX(Règles_bovins[Valeur 36 et plus],MATCH(ChoixRationBovins&amp;$BB237,Règles_bovins[Ration]&amp;Règles_bovins[Aliment],0)),0),0)*IF(ChoixBovinsPréHiver=OUI,TotalVachesRacesLaitières,TotalVaches*NbreJoursNourrirBovins))</f>
        <v>0</v>
      </c>
      <c r="BD237" s="351">
        <f t="array" ref="BD237">IF(Ration_complète_bovins[somme]&gt;0,0,IFERROR(IF(OR(AND(INDEX(Règles_bovins[Specificite],MATCH(ChoixRationBovins&amp;$BB237,Règles_bovins[Ration]&amp;Règles_bovins[Aliment],0))="s1",IF($BB237=Spécificité1Bovins,1)),
AND(INDEX(Règles_bovins[Specificite],MATCH(ChoixRationBovins&amp;$BB237,Règles_bovins[Ration]&amp;Règles_bovins[Aliment],0))="s2",IF($BB237=Spécificité2Bovins,1)),
INDEX(Règles_bovins[Specificite],MATCH(ChoixRationBovins&amp;$BB237,Règles_bovins[Ration]&amp;Règles_bovins[Aliment],0))="c"),
INDEX(Règles_bovins[Valeur 24-36],MATCH(ChoixRationBovins&amp;$BB237,Règles_bovins[Ration]&amp;Règles_bovins[Aliment],0)),0),0)*IF(ChoixBovinsPréHiver=OUI,TotalGénisse_24_36_RacesLaitières,TotalBovinsFemelles_24_36mois*NbreJoursNourrirBovins))</f>
        <v>0</v>
      </c>
      <c r="BE237" s="351">
        <f t="array" ref="BE237">IF(Ration_complète_bovins[somme]&gt;0,0,IFERROR(IF(OR(AND(INDEX(Règles_bovins[Specificite],MATCH(ChoixRationBovins&amp;$BB237,Règles_bovins[Ration]&amp;Règles_bovins[Aliment],0))="s1",IF($BB237=Spécificité1Bovins,1)),
AND(INDEX(Règles_bovins[Specificite],MATCH(ChoixRationBovins&amp;$BB237,Règles_bovins[Ration]&amp;Règles_bovins[Aliment],0))="s2",IF($BB237=Spécificité2Bovins,1)),
INDEX(Règles_bovins[Specificite],MATCH(ChoixRationBovins&amp;$BB237,Règles_bovins[Ration]&amp;Règles_bovins[Aliment],0))="c"),
INDEX(Règles_bovins[Valeur 18-24],MATCH(ChoixRationBovins&amp;$BB237,Règles_bovins[Ration]&amp;Règles_bovins[Aliment],0)),0),0)*IF(ChoixBovinsPréHiver=OUI,TotalGénisse_18_24_RacesLaitières,TotalBovinsFemelles_18_24mois*NbreJoursNourrirBovins))</f>
        <v>0</v>
      </c>
      <c r="BF237" s="351">
        <f t="array" ref="BF237">IF(Ration_complète_bovins[somme]&gt;0,0,IFERROR(IF(OR(AND(INDEX(Règles_bovins[Specificite],MATCH(ChoixRationBovins&amp;$BB237,Règles_bovins[Ration]&amp;Règles_bovins[Aliment],0))="s1",IF($BB237=Spécificité1Bovins,1)),
AND(INDEX(Règles_bovins[Specificite],MATCH(ChoixRationBovins&amp;$BB237,Règles_bovins[Ration]&amp;Règles_bovins[Aliment],0))="s2",IF($BB237=Spécificité2Bovins,1)),
INDEX(Règles_bovins[Specificite],MATCH(ChoixRationBovins&amp;$BB237,Règles_bovins[Ration]&amp;Règles_bovins[Aliment],0))="c"),
INDEX(Règles_bovins[Valeur 12-18],MATCH(ChoixRationBovins&amp;$BB237,Règles_bovins[Ration]&amp;Règles_bovins[Aliment],0)),0),0)*IF(ChoixBovinsPréHiver=OUI,TotalGénisse_12_18_RacesLaitières,TotalBovinsFemelles_12_18mois*NbreJoursNourrirBovins))</f>
        <v>0</v>
      </c>
      <c r="BG237" s="351">
        <f t="array" ref="BG237">IF(Ration_complète_bovins[somme]&gt;0,0,IFERROR(IF(OR(AND(INDEX(Règles_bovins[Specificite],MATCH(ChoixRationBovins&amp;$BB237,Règles_bovins[Ration]&amp;Règles_bovins[Aliment],0))="s1",IF($BB237=Spécificité1Bovins,1)),
AND(INDEX(Règles_bovins[Specificite],MATCH(ChoixRationBovins&amp;$BB237,Règles_bovins[Ration]&amp;Règles_bovins[Aliment],0))="s2",IF($BB237=Spécificité2Bovins,1)),
INDEX(Règles_bovins[Specificite],MATCH(ChoixRationBovins&amp;$BB237,Règles_bovins[Ration]&amp;Règles_bovins[Aliment],0))="c"),
INDEX(Règles_bovins[Valeur 6-12],MATCH(ChoixRationBovins&amp;$BB237,Règles_bovins[Ration]&amp;Règles_bovins[Aliment],0)),0),0)*IF(ChoixBovinsPréHiver=OUI,TotalVeauFemelle_6_12_RacesLaitières,TotalBovinsFemelles_6_12mois*NbreJoursNourrirBovins))</f>
        <v>0</v>
      </c>
      <c r="BH237" s="351">
        <f t="array" ref="BH237">IF(Ration_complète_bovins[somme]&gt;0,0,IFERROR(IF(OR(AND(INDEX(Règles_bovins[Specificite],MATCH(ChoixRationBovins&amp;$BB237,Règles_bovins[Ration]&amp;Règles_bovins[Aliment],0))="s1",IF($BB237=Spécificité1Bovins,1)),
AND(INDEX(Règles_bovins[Specificite],MATCH(ChoixRationBovins&amp;$BB237,Règles_bovins[Ration]&amp;Règles_bovins[Aliment],0))="s2",IF($BB237=Spécificité2Bovins,1)),
INDEX(Règles_bovins[Specificite],MATCH(ChoixRationBovins&amp;$BB237,Règles_bovins[Ration]&amp;Règles_bovins[Aliment],0))="c"),
INDEX(Règles_bovins[Valeur 3-6],MATCH(ChoixRationBovins&amp;$BB237,Règles_bovins[Ration]&amp;Règles_bovins[Aliment],0)),0),0)*IF(ChoixBovinsPréHiver=OUI,TotalVeauFemelle_3_6_RacesLaitières,TotalBovinsFemelles_3_6mois*NbreJoursNourrirBovins))</f>
        <v>0</v>
      </c>
      <c r="BI237" s="351">
        <f t="array" ref="BI237">IF(Ration_complète_bovins[somme]&gt;0,0,IFERROR(IF(OR(AND(INDEX(Règles_bovins[Specificite],MATCH(ChoixRationBovins&amp;$BB237,Règles_bovins[Ration]&amp;Règles_bovins[Aliment],0))="s1",IF($BB237=Spécificité1Bovins,1)),
AND(INDEX(Règles_bovins[Specificite],MATCH(ChoixRationBovins&amp;$BB237,Règles_bovins[Ration]&amp;Règles_bovins[Aliment],0))="s2",IF($BB237=Spécificité2Bovins,1)),
INDEX(Règles_bovins[Specificite],MATCH(ChoixRationBovins&amp;$BB237,Règles_bovins[Ration]&amp;Règles_bovins[Aliment],0))="c"),
INDEX(Règles_bovins[Valeur 0-3],MATCH(ChoixRationBovins&amp;$BB237,Règles_bovins[Ration]&amp;Règles_bovins[Aliment],0)),0),0)*IF(ChoixBovinsPréHiver=OUI,TotalVeauFemelle_0_3_RacesLaitières,TotalBovinsFemelles_0_3mois*NbreJoursNourrirBovins))</f>
        <v>0</v>
      </c>
      <c r="BJ237" s="352">
        <f t="shared" si="67"/>
        <v>0</v>
      </c>
      <c r="BK237" s="276"/>
      <c r="BX237" s="277"/>
      <c r="BY237" s="277"/>
      <c r="BZ237" s="277"/>
      <c r="CA237" s="277"/>
      <c r="CB237" s="277"/>
      <c r="CC237" s="277"/>
      <c r="CD237" s="298"/>
      <c r="CE237" s="298"/>
      <c r="CF237" s="298"/>
      <c r="CG237" s="298"/>
      <c r="CH237" s="298"/>
      <c r="CI237" s="277"/>
      <c r="CJ237" s="322"/>
      <c r="CK237" s="277"/>
      <c r="CL237" s="277"/>
      <c r="CM237" s="277"/>
      <c r="CN237" s="277"/>
      <c r="CO237" s="277"/>
      <c r="CP237" s="277"/>
      <c r="DN237" s="349" t="s">
        <v>910</v>
      </c>
      <c r="DO237" s="349" t="s">
        <v>914</v>
      </c>
      <c r="DP237" s="349" t="s">
        <v>891</v>
      </c>
      <c r="DQ237" s="349" t="s">
        <v>890</v>
      </c>
      <c r="DR237" s="440" t="s">
        <v>889</v>
      </c>
      <c r="DS237" s="349" t="s">
        <v>903</v>
      </c>
      <c r="EU237" s="457">
        <f t="shared" si="66"/>
        <v>0</v>
      </c>
      <c r="EV237" s="458"/>
      <c r="EW237" s="458"/>
      <c r="EX237" s="458"/>
      <c r="FI237" s="276"/>
      <c r="FN237" s="281"/>
      <c r="FO237" s="281"/>
      <c r="FP237" s="281"/>
      <c r="FQ237" s="281"/>
      <c r="FR237" s="281"/>
      <c r="GG237" s="276" t="s">
        <v>955</v>
      </c>
      <c r="GH237" s="276" t="s">
        <v>955</v>
      </c>
      <c r="GI237" s="276" t="s">
        <v>955</v>
      </c>
      <c r="GJ237" s="276" t="s">
        <v>955</v>
      </c>
      <c r="GK237" s="276" t="s">
        <v>955</v>
      </c>
      <c r="GL237" s="276" t="s">
        <v>955</v>
      </c>
      <c r="GM237" s="276" t="s">
        <v>955</v>
      </c>
      <c r="GN237" s="276" t="s">
        <v>955</v>
      </c>
      <c r="GO237" s="276" t="s">
        <v>955</v>
      </c>
      <c r="GP237" s="276" t="s">
        <v>955</v>
      </c>
      <c r="GQ237" s="276" t="s">
        <v>955</v>
      </c>
      <c r="GR237" s="276" t="s">
        <v>955</v>
      </c>
      <c r="GS237" s="276" t="s">
        <v>955</v>
      </c>
      <c r="GT237" s="276" t="s">
        <v>955</v>
      </c>
      <c r="GU237" s="276" t="s">
        <v>955</v>
      </c>
      <c r="GV237" s="276" t="s">
        <v>955</v>
      </c>
    </row>
    <row r="238" spans="1:204" ht="12.75" customHeight="1" x14ac:dyDescent="0.2">
      <c r="A238" s="276"/>
      <c r="B238" s="276"/>
      <c r="BB238" s="350" t="str">
        <f t="shared" si="68"/>
        <v>Blé</v>
      </c>
      <c r="BC238" s="351">
        <f t="array" ref="BC238">IF(Ration_complète_bovins[somme]&gt;0,0,IFERROR(IF(OR(AND(INDEX(Règles_bovins[Specificite],MATCH(ChoixRationBovins&amp;$BB238,Règles_bovins[Ration]&amp;Règles_bovins[Aliment],0))="s1",IF($BB238=Spécificité1Bovins,1)),
AND(INDEX(Règles_bovins[Specificite],MATCH(ChoixRationBovins&amp;$BB238,Règles_bovins[Ration]&amp;Règles_bovins[Aliment],0))="s2",IF($BB238=Spécificité2Bovins,1)),
INDEX(Règles_bovins[Specificite],MATCH(ChoixRationBovins&amp;$BB238,Règles_bovins[Ration]&amp;Règles_bovins[Aliment],0))="c"),
INDEX(Règles_bovins[Valeur 36 et plus],MATCH(ChoixRationBovins&amp;$BB238,Règles_bovins[Ration]&amp;Règles_bovins[Aliment],0)),0),0)*IF(ChoixBovinsPréHiver=OUI,TotalVachesRacesLaitières,TotalVaches*NbreJoursNourrirBovins))</f>
        <v>0</v>
      </c>
      <c r="BD238" s="351">
        <f t="array" ref="BD238">IF(Ration_complète_bovins[somme]&gt;0,0,IFERROR(IF(OR(AND(INDEX(Règles_bovins[Specificite],MATCH(ChoixRationBovins&amp;$BB238,Règles_bovins[Ration]&amp;Règles_bovins[Aliment],0))="s1",IF($BB238=Spécificité1Bovins,1)),
AND(INDEX(Règles_bovins[Specificite],MATCH(ChoixRationBovins&amp;$BB238,Règles_bovins[Ration]&amp;Règles_bovins[Aliment],0))="s2",IF($BB238=Spécificité2Bovins,1)),
INDEX(Règles_bovins[Specificite],MATCH(ChoixRationBovins&amp;$BB238,Règles_bovins[Ration]&amp;Règles_bovins[Aliment],0))="c"),
INDEX(Règles_bovins[Valeur 24-36],MATCH(ChoixRationBovins&amp;$BB238,Règles_bovins[Ration]&amp;Règles_bovins[Aliment],0)),0),0)*IF(ChoixBovinsPréHiver=OUI,TotalGénisse_24_36_RacesLaitières,TotalBovinsFemelles_24_36mois*NbreJoursNourrirBovins))</f>
        <v>0</v>
      </c>
      <c r="BE238" s="351">
        <f t="array" ref="BE238">IF(Ration_complète_bovins[somme]&gt;0,0,IFERROR(IF(OR(AND(INDEX(Règles_bovins[Specificite],MATCH(ChoixRationBovins&amp;$BB238,Règles_bovins[Ration]&amp;Règles_bovins[Aliment],0))="s1",IF($BB238=Spécificité1Bovins,1)),
AND(INDEX(Règles_bovins[Specificite],MATCH(ChoixRationBovins&amp;$BB238,Règles_bovins[Ration]&amp;Règles_bovins[Aliment],0))="s2",IF($BB238=Spécificité2Bovins,1)),
INDEX(Règles_bovins[Specificite],MATCH(ChoixRationBovins&amp;$BB238,Règles_bovins[Ration]&amp;Règles_bovins[Aliment],0))="c"),
INDEX(Règles_bovins[Valeur 18-24],MATCH(ChoixRationBovins&amp;$BB238,Règles_bovins[Ration]&amp;Règles_bovins[Aliment],0)),0),0)*IF(ChoixBovinsPréHiver=OUI,TotalGénisse_18_24_RacesLaitières,TotalBovinsFemelles_18_24mois*NbreJoursNourrirBovins))</f>
        <v>0</v>
      </c>
      <c r="BF238" s="351">
        <f t="array" ref="BF238">IF(Ration_complète_bovins[somme]&gt;0,0,IFERROR(IF(OR(AND(INDEX(Règles_bovins[Specificite],MATCH(ChoixRationBovins&amp;$BB238,Règles_bovins[Ration]&amp;Règles_bovins[Aliment],0))="s1",IF($BB238=Spécificité1Bovins,1)),
AND(INDEX(Règles_bovins[Specificite],MATCH(ChoixRationBovins&amp;$BB238,Règles_bovins[Ration]&amp;Règles_bovins[Aliment],0))="s2",IF($BB238=Spécificité2Bovins,1)),
INDEX(Règles_bovins[Specificite],MATCH(ChoixRationBovins&amp;$BB238,Règles_bovins[Ration]&amp;Règles_bovins[Aliment],0))="c"),
INDEX(Règles_bovins[Valeur 12-18],MATCH(ChoixRationBovins&amp;$BB238,Règles_bovins[Ration]&amp;Règles_bovins[Aliment],0)),0),0)*IF(ChoixBovinsPréHiver=OUI,TotalGénisse_12_18_RacesLaitières,TotalBovinsFemelles_12_18mois*NbreJoursNourrirBovins))</f>
        <v>0</v>
      </c>
      <c r="BG238" s="351">
        <f t="array" ref="BG238">IF(Ration_complète_bovins[somme]&gt;0,0,IFERROR(IF(OR(AND(INDEX(Règles_bovins[Specificite],MATCH(ChoixRationBovins&amp;$BB238,Règles_bovins[Ration]&amp;Règles_bovins[Aliment],0))="s1",IF($BB238=Spécificité1Bovins,1)),
AND(INDEX(Règles_bovins[Specificite],MATCH(ChoixRationBovins&amp;$BB238,Règles_bovins[Ration]&amp;Règles_bovins[Aliment],0))="s2",IF($BB238=Spécificité2Bovins,1)),
INDEX(Règles_bovins[Specificite],MATCH(ChoixRationBovins&amp;$BB238,Règles_bovins[Ration]&amp;Règles_bovins[Aliment],0))="c"),
INDEX(Règles_bovins[Valeur 6-12],MATCH(ChoixRationBovins&amp;$BB238,Règles_bovins[Ration]&amp;Règles_bovins[Aliment],0)),0),0)*IF(ChoixBovinsPréHiver=OUI,TotalVeauFemelle_6_12_RacesLaitières,TotalBovinsFemelles_6_12mois*NbreJoursNourrirBovins))</f>
        <v>0</v>
      </c>
      <c r="BH238" s="351">
        <f t="array" ref="BH238">IF(Ration_complète_bovins[somme]&gt;0,0,IFERROR(IF(OR(AND(INDEX(Règles_bovins[Specificite],MATCH(ChoixRationBovins&amp;$BB238,Règles_bovins[Ration]&amp;Règles_bovins[Aliment],0))="s1",IF($BB238=Spécificité1Bovins,1)),
AND(INDEX(Règles_bovins[Specificite],MATCH(ChoixRationBovins&amp;$BB238,Règles_bovins[Ration]&amp;Règles_bovins[Aliment],0))="s2",IF($BB238=Spécificité2Bovins,1)),
INDEX(Règles_bovins[Specificite],MATCH(ChoixRationBovins&amp;$BB238,Règles_bovins[Ration]&amp;Règles_bovins[Aliment],0))="c"),
INDEX(Règles_bovins[Valeur 3-6],MATCH(ChoixRationBovins&amp;$BB238,Règles_bovins[Ration]&amp;Règles_bovins[Aliment],0)),0),0)*IF(ChoixBovinsPréHiver=OUI,TotalVeauFemelle_3_6_RacesLaitières,TotalBovinsFemelles_3_6mois*NbreJoursNourrirBovins))</f>
        <v>0</v>
      </c>
      <c r="BI238" s="351">
        <f t="array" ref="BI238">IF(Ration_complète_bovins[somme]&gt;0,0,IFERROR(IF(OR(AND(INDEX(Règles_bovins[Specificite],MATCH(ChoixRationBovins&amp;$BB238,Règles_bovins[Ration]&amp;Règles_bovins[Aliment],0))="s1",IF($BB238=Spécificité1Bovins,1)),
AND(INDEX(Règles_bovins[Specificite],MATCH(ChoixRationBovins&amp;$BB238,Règles_bovins[Ration]&amp;Règles_bovins[Aliment],0))="s2",IF($BB238=Spécificité2Bovins,1)),
INDEX(Règles_bovins[Specificite],MATCH(ChoixRationBovins&amp;$BB238,Règles_bovins[Ration]&amp;Règles_bovins[Aliment],0))="c"),
INDEX(Règles_bovins[Valeur 0-3],MATCH(ChoixRationBovins&amp;$BB238,Règles_bovins[Ration]&amp;Règles_bovins[Aliment],0)),0),0)*IF(ChoixBovinsPréHiver=OUI,TotalVeauFemelle_0_3_RacesLaitières,TotalBovinsFemelles_0_3mois*NbreJoursNourrirBovins))</f>
        <v>0</v>
      </c>
      <c r="BJ238" s="352">
        <f t="shared" si="67"/>
        <v>0</v>
      </c>
      <c r="BK238" s="276"/>
      <c r="BX238" s="277"/>
      <c r="BY238" s="515"/>
      <c r="BZ238" s="515"/>
      <c r="CA238" s="515"/>
      <c r="CB238" s="515"/>
      <c r="CC238" s="515"/>
      <c r="CD238" s="298"/>
      <c r="CE238" s="298"/>
      <c r="CF238" s="298"/>
      <c r="CG238" s="298"/>
      <c r="CH238" s="298"/>
      <c r="CI238" s="277"/>
      <c r="CJ238" s="322"/>
      <c r="CK238" s="277"/>
      <c r="CL238" s="277"/>
      <c r="CM238" s="277"/>
      <c r="CN238" s="277"/>
      <c r="CO238" s="277"/>
      <c r="CP238" s="277"/>
      <c r="DN238" s="350" t="str">
        <f>DN150</f>
        <v>Avoine</v>
      </c>
      <c r="DO238" s="351">
        <f t="array" ref="DO238">IF(ChoixRationHivernaleOvinsComplète=OUI,0,IFERROR(IF(OR(AND(INDEX(Règles_ovins[Specificite],MATCH(RationHivernaleOvinsAuPré&amp;$DN238,Règles_ovins[Ration]&amp;Règles_ovins[Aliment],0))="s1",IF($DN238=Spécificité1Ovins,1)),
AND(INDEX(Règles_ovins[Specificite],MATCH(RationHivernaleOvinsAuPré&amp;$DN238,Règles_ovins[Ration]&amp;Règles_ovins[Aliment],0))="s2",IF($DN238=Spécificité2Ovins,1)),
INDEX(Règles_ovins[Specificite],MATCH(RationHivernaleOvinsAuPré&amp;$DN238,Règles_ovins[Ration]&amp;Règles_ovins[Aliment],0))="c"),
INDEX(Règles_ovins[Valeur 12 et plus],MATCH(RationHivernaleOvinsAuPré&amp;$DN238,Règles_ovins[Ration]&amp;Règles_ovins[Aliment],0)),0),0)*IF(SUM(TotalOvinsAdultesAuPré)&gt;0,SUM(TotalOvinsAdultesAuPré)*SUM(AD76:AD100),SUM(TotalOvinsAdultes)*SUM(AD76:AD100)))</f>
        <v>0</v>
      </c>
      <c r="DP238" s="351">
        <f t="array" ref="DP238">IF(ChoixRationHivernaleOvinsComplète=OUI,0,IFERROR(IF(OR(AND(INDEX(Règles_ovins[Specificite],MATCH(RationHivernaleOvinsAuPré&amp;$DN238,Règles_ovins[Ration]&amp;Règles_ovins[Aliment],0))="s1",IF($DN238=Spécificité1Ovins,1)),
AND(INDEX(Règles_ovins[Specificite],MATCH(RationHivernaleOvinsAuPré&amp;$DN238,Règles_ovins[Ration]&amp;Règles_ovins[Aliment],0))="s2",IF($DN238=Spécificité2Ovins,1)),
INDEX(Règles_ovins[Specificite],MATCH(RationHivernaleOvinsAuPré&amp;$DN238,Règles_ovins[Ration]&amp;Règles_ovins[Aliment],0))="c"),
INDEX(Règles_ovins[Valeur 6-12],MATCH(RationHivernaleOvinsAuPré&amp;$DN238,Règles_ovins[Ration]&amp;Règles_ovins[Aliment],0)),0),0)*IF(SUM(TotalOvins_6_12moisAuPré)&gt;0,SUM(TotalOvins_6_12moisAuPré)*SUM(AD76:AD100),SUM(TotalJeunesOvins)*SUM(AD76:AD100)))</f>
        <v>0</v>
      </c>
      <c r="DQ238" s="351">
        <f t="array" ref="DQ238">IF(ChoixRationHivernaleOvinsComplète=OUI,0,IFERROR(IF(OR(AND(INDEX(Règles_ovins[Specificite],MATCH(RationHivernaleOvinsAuPré&amp;$DN238,Règles_ovins[Ration]&amp;Règles_ovins[Aliment],0))="s1",IF($DN238=Spécificité1Ovins,1)),
AND(INDEX(Règles_ovins[Specificite],MATCH(RationHivernaleOvinsAuPré&amp;$DN238,Règles_ovins[Ration]&amp;Règles_ovins[Aliment],0))="s2",IF($DN238=Spécificité2Ovins,1)),
INDEX(Règles_ovins[Specificite],MATCH(RationHivernaleOvinsAuPré&amp;$DN238,Règles_ovins[Ration]&amp;Règles_ovins[Aliment],0))="c"),
INDEX(Règles_ovins[Valeur 3-6],MATCH(RationHivernaleOvinsAuPré&amp;$DN238,Règles_ovins[Ration]&amp;Règles_ovins[Aliment],0)),0),0)*IF(SUM(TotalOvins_3_6moisAuPré)&gt;0,SUM(TotalOvins_3_6moisAuPré)*SUM(AD76:AD100),SUM(TotalOvins_3_6mois)*SUM(AD76:AD100)))</f>
        <v>0</v>
      </c>
      <c r="DR238" s="351">
        <f t="array" ref="DR238">IF(ChoixRationHivernaleOvinsComplète=OUI,0,IFERROR(IF(OR(AND(INDEX(Règles_ovins[Specificite],MATCH(RationHivernaleOvinsAuPré&amp;$DN238,Règles_ovins[Ration]&amp;Règles_ovins[Aliment],0))="s1",IF($DN238=Spécificité1Ovins,1)),
AND(INDEX(Règles_ovins[Specificite],MATCH(RationHivernaleOvinsAuPré&amp;$DN238,Règles_ovins[Ration]&amp;Règles_ovins[Aliment],0))="s2",IF($DN238=Spécificité2Ovins,1)),
INDEX(Règles_ovins[Specificite],MATCH(RationHivernaleOvinsAuPré&amp;$DN238,Règles_ovins[Ration]&amp;Règles_ovins[Aliment],0))="c"),
INDEX(Règles_ovins[Valeur 0-3],MATCH(RationHivernaleOvinsAuPré&amp;$DN238,Règles_ovins[Ration]&amp;Règles_ovins[Aliment],0)),0),0)*IF(SUM(TotalOvins_0_3moisAuPré)&gt;0,SUM(TotalOvins_0_3moisAuPré)*SUM(AD76:AD100),SUM(TotalOvins_3_6mois)*SUM(AD76:AD100)))</f>
        <v>0</v>
      </c>
      <c r="DS238" s="441">
        <f t="shared" ref="DS238:DS276" si="69">SUM($DO238:$DR238)</f>
        <v>0</v>
      </c>
      <c r="EU238" s="457">
        <f t="shared" si="66"/>
        <v>0</v>
      </c>
      <c r="EV238" s="458"/>
      <c r="EW238" s="458"/>
      <c r="EX238" s="458"/>
      <c r="FI238" s="276"/>
      <c r="FN238" s="281"/>
      <c r="FO238" s="281"/>
      <c r="FP238" s="281"/>
      <c r="FQ238" s="281"/>
      <c r="FR238" s="281"/>
      <c r="GG238" s="276" t="s">
        <v>955</v>
      </c>
      <c r="GH238" s="276" t="s">
        <v>955</v>
      </c>
      <c r="GI238" s="276" t="s">
        <v>955</v>
      </c>
      <c r="GJ238" s="276" t="s">
        <v>955</v>
      </c>
      <c r="GK238" s="276" t="s">
        <v>955</v>
      </c>
      <c r="GL238" s="276" t="s">
        <v>955</v>
      </c>
      <c r="GM238" s="276" t="s">
        <v>955</v>
      </c>
      <c r="GN238" s="276" t="s">
        <v>955</v>
      </c>
      <c r="GO238" s="276" t="s">
        <v>955</v>
      </c>
      <c r="GP238" s="276" t="s">
        <v>955</v>
      </c>
      <c r="GQ238" s="276" t="s">
        <v>955</v>
      </c>
      <c r="GR238" s="276" t="s">
        <v>955</v>
      </c>
      <c r="GS238" s="276" t="s">
        <v>955</v>
      </c>
      <c r="GT238" s="276" t="s">
        <v>955</v>
      </c>
      <c r="GU238" s="276" t="s">
        <v>955</v>
      </c>
      <c r="GV238" s="276" t="s">
        <v>955</v>
      </c>
    </row>
    <row r="239" spans="1:204" ht="12.75" customHeight="1" x14ac:dyDescent="0.2">
      <c r="A239" s="276"/>
      <c r="B239" s="276"/>
      <c r="BB239" s="350" t="str">
        <f t="shared" si="68"/>
        <v>Bouchons luzerne</v>
      </c>
      <c r="BC239" s="351">
        <f t="array" ref="BC239">IF(Ration_complète_bovins[somme]&gt;0,0,IFERROR(IF(OR(AND(INDEX(Règles_bovins[Specificite],MATCH(ChoixRationBovins&amp;$BB239,Règles_bovins[Ration]&amp;Règles_bovins[Aliment],0))="s1",IF($BB239=Spécificité1Bovins,1)),
AND(INDEX(Règles_bovins[Specificite],MATCH(ChoixRationBovins&amp;$BB239,Règles_bovins[Ration]&amp;Règles_bovins[Aliment],0))="s2",IF($BB239=Spécificité2Bovins,1)),
INDEX(Règles_bovins[Specificite],MATCH(ChoixRationBovins&amp;$BB239,Règles_bovins[Ration]&amp;Règles_bovins[Aliment],0))="c"),
INDEX(Règles_bovins[Valeur 36 et plus],MATCH(ChoixRationBovins&amp;$BB239,Règles_bovins[Ration]&amp;Règles_bovins[Aliment],0)),0),0)*IF(ChoixBovinsPréHiver=OUI,TotalVachesRacesLaitières,TotalVaches*NbreJoursNourrirBovins))</f>
        <v>0</v>
      </c>
      <c r="BD239" s="351">
        <f t="array" ref="BD239">IF(Ration_complète_bovins[somme]&gt;0,0,IFERROR(IF(OR(AND(INDEX(Règles_bovins[Specificite],MATCH(ChoixRationBovins&amp;$BB239,Règles_bovins[Ration]&amp;Règles_bovins[Aliment],0))="s1",IF($BB239=Spécificité1Bovins,1)),
AND(INDEX(Règles_bovins[Specificite],MATCH(ChoixRationBovins&amp;$BB239,Règles_bovins[Ration]&amp;Règles_bovins[Aliment],0))="s2",IF($BB239=Spécificité2Bovins,1)),
INDEX(Règles_bovins[Specificite],MATCH(ChoixRationBovins&amp;$BB239,Règles_bovins[Ration]&amp;Règles_bovins[Aliment],0))="c"),
INDEX(Règles_bovins[Valeur 24-36],MATCH(ChoixRationBovins&amp;$BB239,Règles_bovins[Ration]&amp;Règles_bovins[Aliment],0)),0),0)*IF(ChoixBovinsPréHiver=OUI,TotalGénisse_24_36_RacesLaitières,TotalBovinsFemelles_24_36mois*NbreJoursNourrirBovins))</f>
        <v>0</v>
      </c>
      <c r="BE239" s="351">
        <f t="array" ref="BE239">IF(Ration_complète_bovins[somme]&gt;0,0,IFERROR(IF(OR(AND(INDEX(Règles_bovins[Specificite],MATCH(ChoixRationBovins&amp;$BB239,Règles_bovins[Ration]&amp;Règles_bovins[Aliment],0))="s1",IF($BB239=Spécificité1Bovins,1)),
AND(INDEX(Règles_bovins[Specificite],MATCH(ChoixRationBovins&amp;$BB239,Règles_bovins[Ration]&amp;Règles_bovins[Aliment],0))="s2",IF($BB239=Spécificité2Bovins,1)),
INDEX(Règles_bovins[Specificite],MATCH(ChoixRationBovins&amp;$BB239,Règles_bovins[Ration]&amp;Règles_bovins[Aliment],0))="c"),
INDEX(Règles_bovins[Valeur 18-24],MATCH(ChoixRationBovins&amp;$BB239,Règles_bovins[Ration]&amp;Règles_bovins[Aliment],0)),0),0)*IF(ChoixBovinsPréHiver=OUI,TotalGénisse_18_24_RacesLaitières,TotalBovinsFemelles_18_24mois*NbreJoursNourrirBovins))</f>
        <v>0</v>
      </c>
      <c r="BF239" s="351">
        <f t="array" ref="BF239">IF(Ration_complète_bovins[somme]&gt;0,0,IFERROR(IF(OR(AND(INDEX(Règles_bovins[Specificite],MATCH(ChoixRationBovins&amp;$BB239,Règles_bovins[Ration]&amp;Règles_bovins[Aliment],0))="s1",IF($BB239=Spécificité1Bovins,1)),
AND(INDEX(Règles_bovins[Specificite],MATCH(ChoixRationBovins&amp;$BB239,Règles_bovins[Ration]&amp;Règles_bovins[Aliment],0))="s2",IF($BB239=Spécificité2Bovins,1)),
INDEX(Règles_bovins[Specificite],MATCH(ChoixRationBovins&amp;$BB239,Règles_bovins[Ration]&amp;Règles_bovins[Aliment],0))="c"),
INDEX(Règles_bovins[Valeur 12-18],MATCH(ChoixRationBovins&amp;$BB239,Règles_bovins[Ration]&amp;Règles_bovins[Aliment],0)),0),0)*IF(ChoixBovinsPréHiver=OUI,TotalGénisse_12_18_RacesLaitières,TotalBovinsFemelles_12_18mois*NbreJoursNourrirBovins))</f>
        <v>0</v>
      </c>
      <c r="BG239" s="351">
        <f t="array" ref="BG239">IF(Ration_complète_bovins[somme]&gt;0,0,IFERROR(IF(OR(AND(INDEX(Règles_bovins[Specificite],MATCH(ChoixRationBovins&amp;$BB239,Règles_bovins[Ration]&amp;Règles_bovins[Aliment],0))="s1",IF($BB239=Spécificité1Bovins,1)),
AND(INDEX(Règles_bovins[Specificite],MATCH(ChoixRationBovins&amp;$BB239,Règles_bovins[Ration]&amp;Règles_bovins[Aliment],0))="s2",IF($BB239=Spécificité2Bovins,1)),
INDEX(Règles_bovins[Specificite],MATCH(ChoixRationBovins&amp;$BB239,Règles_bovins[Ration]&amp;Règles_bovins[Aliment],0))="c"),
INDEX(Règles_bovins[Valeur 6-12],MATCH(ChoixRationBovins&amp;$BB239,Règles_bovins[Ration]&amp;Règles_bovins[Aliment],0)),0),0)*IF(ChoixBovinsPréHiver=OUI,TotalVeauFemelle_6_12_RacesLaitières,TotalBovinsFemelles_6_12mois*NbreJoursNourrirBovins))</f>
        <v>0</v>
      </c>
      <c r="BH239" s="351">
        <f t="array" ref="BH239">IF(Ration_complète_bovins[somme]&gt;0,0,IFERROR(IF(OR(AND(INDEX(Règles_bovins[Specificite],MATCH(ChoixRationBovins&amp;$BB239,Règles_bovins[Ration]&amp;Règles_bovins[Aliment],0))="s1",IF($BB239=Spécificité1Bovins,1)),
AND(INDEX(Règles_bovins[Specificite],MATCH(ChoixRationBovins&amp;$BB239,Règles_bovins[Ration]&amp;Règles_bovins[Aliment],0))="s2",IF($BB239=Spécificité2Bovins,1)),
INDEX(Règles_bovins[Specificite],MATCH(ChoixRationBovins&amp;$BB239,Règles_bovins[Ration]&amp;Règles_bovins[Aliment],0))="c"),
INDEX(Règles_bovins[Valeur 3-6],MATCH(ChoixRationBovins&amp;$BB239,Règles_bovins[Ration]&amp;Règles_bovins[Aliment],0)),0),0)*IF(ChoixBovinsPréHiver=OUI,TotalVeauFemelle_3_6_RacesLaitières,TotalBovinsFemelles_3_6mois*NbreJoursNourrirBovins))</f>
        <v>0</v>
      </c>
      <c r="BI239" s="351">
        <f t="array" ref="BI239">IF(Ration_complète_bovins[somme]&gt;0,0,IFERROR(IF(OR(AND(INDEX(Règles_bovins[Specificite],MATCH(ChoixRationBovins&amp;$BB239,Règles_bovins[Ration]&amp;Règles_bovins[Aliment],0))="s1",IF($BB239=Spécificité1Bovins,1)),
AND(INDEX(Règles_bovins[Specificite],MATCH(ChoixRationBovins&amp;$BB239,Règles_bovins[Ration]&amp;Règles_bovins[Aliment],0))="s2",IF($BB239=Spécificité2Bovins,1)),
INDEX(Règles_bovins[Specificite],MATCH(ChoixRationBovins&amp;$BB239,Règles_bovins[Ration]&amp;Règles_bovins[Aliment],0))="c"),
INDEX(Règles_bovins[Valeur 0-3],MATCH(ChoixRationBovins&amp;$BB239,Règles_bovins[Ration]&amp;Règles_bovins[Aliment],0)),0),0)*IF(ChoixBovinsPréHiver=OUI,TotalVeauFemelle_0_3_RacesLaitières,TotalBovinsFemelles_0_3mois*NbreJoursNourrirBovins))</f>
        <v>0</v>
      </c>
      <c r="BJ239" s="352">
        <f t="shared" si="67"/>
        <v>0</v>
      </c>
      <c r="BK239" s="276"/>
      <c r="BX239" s="277"/>
      <c r="BY239" s="277"/>
      <c r="BZ239" s="277"/>
      <c r="CA239" s="277"/>
      <c r="CB239" s="277"/>
      <c r="CC239" s="277"/>
      <c r="CD239" s="298"/>
      <c r="CE239" s="298"/>
      <c r="CF239" s="298"/>
      <c r="CG239" s="298"/>
      <c r="CH239" s="298"/>
      <c r="CI239" s="277"/>
      <c r="CK239" s="277"/>
      <c r="CL239" s="277"/>
      <c r="CM239" s="277"/>
      <c r="CN239" s="277"/>
      <c r="CO239" s="277"/>
      <c r="CP239" s="277"/>
      <c r="DN239" s="350" t="str">
        <f t="shared" ref="DN239:DN276" si="70">DN151</f>
        <v>Betterave</v>
      </c>
      <c r="DO239" s="351">
        <f t="array" ref="DO239">IF(ChoixRationHivernaleOvinsComplète=OUI,0,IFERROR(IF(OR(AND(INDEX(Règles_ovins[Specificite],MATCH(RationHivernaleOvinsAuPré&amp;$DN239,Règles_ovins[Ration]&amp;Règles_ovins[Aliment],0))="s1",IF($DN239=Spécificité1Ovins,1)),
AND(INDEX(Règles_ovins[Specificite],MATCH(RationHivernaleOvinsAuPré&amp;$DN239,Règles_ovins[Ration]&amp;Règles_ovins[Aliment],0))="s2",IF($DN239=Spécificité2Ovins,1)),
INDEX(Règles_ovins[Specificite],MATCH(RationHivernaleOvinsAuPré&amp;$DN239,Règles_ovins[Ration]&amp;Règles_ovins[Aliment],0))="c"),
INDEX(Règles_ovins[Valeur 12 et plus],MATCH(RationHivernaleOvinsAuPré&amp;$DN239,Règles_ovins[Ration]&amp;Règles_ovins[Aliment],0)),0),0)*IF(SUM(TotalOvinsAdultesAuPré)&gt;0,SUM(TotalOvinsAdultesAuPré)*SUM(AD76:AD100),SUM(TotalOvinsAdultes)*SUM(AD76:AD100)))</f>
        <v>0</v>
      </c>
      <c r="DP239" s="351">
        <f t="array" ref="DP239">IF(ChoixRationHivernaleOvinsComplète=OUI,0,IFERROR(IF(OR(AND(INDEX(Règles_ovins[Specificite],MATCH(RationHivernaleOvinsAuPré&amp;$DN239,Règles_ovins[Ration]&amp;Règles_ovins[Aliment],0))="s1",IF($DN239=Spécificité1Ovins,1)),
AND(INDEX(Règles_ovins[Specificite],MATCH(RationHivernaleOvinsAuPré&amp;$DN239,Règles_ovins[Ration]&amp;Règles_ovins[Aliment],0))="s2",IF($DN239=Spécificité2Ovins,1)),
INDEX(Règles_ovins[Specificite],MATCH(RationHivernaleOvinsAuPré&amp;$DN239,Règles_ovins[Ration]&amp;Règles_ovins[Aliment],0))="c"),
INDEX(Règles_ovins[Valeur 6-12],MATCH(RationHivernaleOvinsAuPré&amp;$DN239,Règles_ovins[Ration]&amp;Règles_ovins[Aliment],0)),0),0)*IF(SUM(TotalOvins_6_12moisAuPré)&gt;0,SUM(TotalOvins_6_12moisAuPré)*SUM(AD76:AD100),SUM(TotalJeunesOvins)*SUM(AD76:AD100)))</f>
        <v>0</v>
      </c>
      <c r="DQ239" s="351">
        <f t="array" ref="DQ239">IF(ChoixRationHivernaleOvinsComplète=OUI,0,IFERROR(IF(OR(AND(INDEX(Règles_ovins[Specificite],MATCH(RationHivernaleOvinsAuPré&amp;$DN239,Règles_ovins[Ration]&amp;Règles_ovins[Aliment],0))="s1",IF($DN239=Spécificité1Ovins,1)),
AND(INDEX(Règles_ovins[Specificite],MATCH(RationHivernaleOvinsAuPré&amp;$DN239,Règles_ovins[Ration]&amp;Règles_ovins[Aliment],0))="s2",IF($DN239=Spécificité2Ovins,1)),
INDEX(Règles_ovins[Specificite],MATCH(RationHivernaleOvinsAuPré&amp;$DN239,Règles_ovins[Ration]&amp;Règles_ovins[Aliment],0))="c"),
INDEX(Règles_ovins[Valeur 3-6],MATCH(RationHivernaleOvinsAuPré&amp;$DN239,Règles_ovins[Ration]&amp;Règles_ovins[Aliment],0)),0),0)*IF(SUM(TotalOvins_3_6moisAuPré)&gt;0,SUM(TotalOvins_3_6moisAuPré)*SUM(AD76:AD100),SUM(TotalOvins_3_6mois)*SUM(AD76:AD100)))</f>
        <v>0</v>
      </c>
      <c r="DR239" s="351">
        <f t="array" ref="DR239">IF(ChoixRationHivernaleOvinsComplète=OUI,0,IFERROR(IF(OR(AND(INDEX(Règles_ovins[Specificite],MATCH(RationHivernaleOvinsAuPré&amp;$DN239,Règles_ovins[Ration]&amp;Règles_ovins[Aliment],0))="s1",IF($DN239=Spécificité1Ovins,1)),
AND(INDEX(Règles_ovins[Specificite],MATCH(RationHivernaleOvinsAuPré&amp;$DN239,Règles_ovins[Ration]&amp;Règles_ovins[Aliment],0))="s2",IF($DN239=Spécificité2Ovins,1)),
INDEX(Règles_ovins[Specificite],MATCH(RationHivernaleOvinsAuPré&amp;$DN239,Règles_ovins[Ration]&amp;Règles_ovins[Aliment],0))="c"),
INDEX(Règles_ovins[Valeur 0-3],MATCH(RationHivernaleOvinsAuPré&amp;$DN239,Règles_ovins[Ration]&amp;Règles_ovins[Aliment],0)),0),0)*IF(SUM(TotalOvins_0_3moisAuPré)&gt;0,SUM(TotalOvins_0_3moisAuPré)*SUM(AD76:AD100),SUM(TotalOvins_3_6mois)*SUM(AD76:AD100)))</f>
        <v>0</v>
      </c>
      <c r="DS239" s="441">
        <f t="shared" si="69"/>
        <v>0</v>
      </c>
      <c r="EU239" s="457">
        <f t="shared" si="66"/>
        <v>0</v>
      </c>
      <c r="EV239" s="458"/>
      <c r="EW239" s="458"/>
      <c r="EX239" s="458"/>
      <c r="FI239" s="276"/>
      <c r="FN239" s="281"/>
      <c r="FO239" s="281"/>
      <c r="FP239" s="281"/>
      <c r="FQ239" s="281"/>
      <c r="FR239" s="281"/>
      <c r="GG239" s="276" t="s">
        <v>955</v>
      </c>
      <c r="GH239" s="276" t="s">
        <v>955</v>
      </c>
      <c r="GI239" s="276" t="s">
        <v>955</v>
      </c>
      <c r="GJ239" s="276" t="s">
        <v>955</v>
      </c>
      <c r="GK239" s="276" t="s">
        <v>955</v>
      </c>
      <c r="GL239" s="276" t="s">
        <v>955</v>
      </c>
      <c r="GM239" s="276" t="s">
        <v>955</v>
      </c>
      <c r="GN239" s="276" t="s">
        <v>955</v>
      </c>
      <c r="GO239" s="276" t="s">
        <v>955</v>
      </c>
      <c r="GP239" s="276" t="s">
        <v>955</v>
      </c>
      <c r="GQ239" s="276" t="s">
        <v>955</v>
      </c>
      <c r="GR239" s="276" t="s">
        <v>955</v>
      </c>
      <c r="GS239" s="276" t="s">
        <v>955</v>
      </c>
      <c r="GT239" s="276" t="s">
        <v>955</v>
      </c>
      <c r="GU239" s="276" t="s">
        <v>955</v>
      </c>
      <c r="GV239" s="276" t="s">
        <v>955</v>
      </c>
    </row>
    <row r="240" spans="1:204" ht="12.75" customHeight="1" x14ac:dyDescent="0.2">
      <c r="A240" s="276"/>
      <c r="B240" s="276"/>
      <c r="BB240" s="350" t="str">
        <f t="shared" si="68"/>
        <v>Chanvre</v>
      </c>
      <c r="BC240" s="351">
        <f t="array" ref="BC240">IF(Ration_complète_bovins[somme]&gt;0,0,IFERROR(IF(OR(AND(INDEX(Règles_bovins[Specificite],MATCH(ChoixRationBovins&amp;$BB240,Règles_bovins[Ration]&amp;Règles_bovins[Aliment],0))="s1",IF($BB240=Spécificité1Bovins,1)),
AND(INDEX(Règles_bovins[Specificite],MATCH(ChoixRationBovins&amp;$BB240,Règles_bovins[Ration]&amp;Règles_bovins[Aliment],0))="s2",IF($BB240=Spécificité2Bovins,1)),
INDEX(Règles_bovins[Specificite],MATCH(ChoixRationBovins&amp;$BB240,Règles_bovins[Ration]&amp;Règles_bovins[Aliment],0))="c"),
INDEX(Règles_bovins[Valeur 36 et plus],MATCH(ChoixRationBovins&amp;$BB240,Règles_bovins[Ration]&amp;Règles_bovins[Aliment],0)),0),0)*IF(ChoixBovinsPréHiver=OUI,TotalVachesRacesLaitières,TotalVaches*NbreJoursNourrirBovins))</f>
        <v>0</v>
      </c>
      <c r="BD240" s="351">
        <f t="array" ref="BD240">IF(Ration_complète_bovins[somme]&gt;0,0,IFERROR(IF(OR(AND(INDEX(Règles_bovins[Specificite],MATCH(ChoixRationBovins&amp;$BB240,Règles_bovins[Ration]&amp;Règles_bovins[Aliment],0))="s1",IF($BB240=Spécificité1Bovins,1)),
AND(INDEX(Règles_bovins[Specificite],MATCH(ChoixRationBovins&amp;$BB240,Règles_bovins[Ration]&amp;Règles_bovins[Aliment],0))="s2",IF($BB240=Spécificité2Bovins,1)),
INDEX(Règles_bovins[Specificite],MATCH(ChoixRationBovins&amp;$BB240,Règles_bovins[Ration]&amp;Règles_bovins[Aliment],0))="c"),
INDEX(Règles_bovins[Valeur 24-36],MATCH(ChoixRationBovins&amp;$BB240,Règles_bovins[Ration]&amp;Règles_bovins[Aliment],0)),0),0)*IF(ChoixBovinsPréHiver=OUI,TotalGénisse_24_36_RacesLaitières,TotalBovinsFemelles_24_36mois*NbreJoursNourrirBovins))</f>
        <v>0</v>
      </c>
      <c r="BE240" s="351">
        <f t="array" ref="BE240">IF(Ration_complète_bovins[somme]&gt;0,0,IFERROR(IF(OR(AND(INDEX(Règles_bovins[Specificite],MATCH(ChoixRationBovins&amp;$BB240,Règles_bovins[Ration]&amp;Règles_bovins[Aliment],0))="s1",IF($BB240=Spécificité1Bovins,1)),
AND(INDEX(Règles_bovins[Specificite],MATCH(ChoixRationBovins&amp;$BB240,Règles_bovins[Ration]&amp;Règles_bovins[Aliment],0))="s2",IF($BB240=Spécificité2Bovins,1)),
INDEX(Règles_bovins[Specificite],MATCH(ChoixRationBovins&amp;$BB240,Règles_bovins[Ration]&amp;Règles_bovins[Aliment],0))="c"),
INDEX(Règles_bovins[Valeur 18-24],MATCH(ChoixRationBovins&amp;$BB240,Règles_bovins[Ration]&amp;Règles_bovins[Aliment],0)),0),0)*IF(ChoixBovinsPréHiver=OUI,TotalGénisse_18_24_RacesLaitières,TotalBovinsFemelles_18_24mois*NbreJoursNourrirBovins))</f>
        <v>0</v>
      </c>
      <c r="BF240" s="351">
        <f t="array" ref="BF240">IF(Ration_complète_bovins[somme]&gt;0,0,IFERROR(IF(OR(AND(INDEX(Règles_bovins[Specificite],MATCH(ChoixRationBovins&amp;$BB240,Règles_bovins[Ration]&amp;Règles_bovins[Aliment],0))="s1",IF($BB240=Spécificité1Bovins,1)),
AND(INDEX(Règles_bovins[Specificite],MATCH(ChoixRationBovins&amp;$BB240,Règles_bovins[Ration]&amp;Règles_bovins[Aliment],0))="s2",IF($BB240=Spécificité2Bovins,1)),
INDEX(Règles_bovins[Specificite],MATCH(ChoixRationBovins&amp;$BB240,Règles_bovins[Ration]&amp;Règles_bovins[Aliment],0))="c"),
INDEX(Règles_bovins[Valeur 12-18],MATCH(ChoixRationBovins&amp;$BB240,Règles_bovins[Ration]&amp;Règles_bovins[Aliment],0)),0),0)*IF(ChoixBovinsPréHiver=OUI,TotalGénisse_12_18_RacesLaitières,TotalBovinsFemelles_12_18mois*NbreJoursNourrirBovins))</f>
        <v>0</v>
      </c>
      <c r="BG240" s="351">
        <f t="array" ref="BG240">IF(Ration_complète_bovins[somme]&gt;0,0,IFERROR(IF(OR(AND(INDEX(Règles_bovins[Specificite],MATCH(ChoixRationBovins&amp;$BB240,Règles_bovins[Ration]&amp;Règles_bovins[Aliment],0))="s1",IF($BB240=Spécificité1Bovins,1)),
AND(INDEX(Règles_bovins[Specificite],MATCH(ChoixRationBovins&amp;$BB240,Règles_bovins[Ration]&amp;Règles_bovins[Aliment],0))="s2",IF($BB240=Spécificité2Bovins,1)),
INDEX(Règles_bovins[Specificite],MATCH(ChoixRationBovins&amp;$BB240,Règles_bovins[Ration]&amp;Règles_bovins[Aliment],0))="c"),
INDEX(Règles_bovins[Valeur 6-12],MATCH(ChoixRationBovins&amp;$BB240,Règles_bovins[Ration]&amp;Règles_bovins[Aliment],0)),0),0)*IF(ChoixBovinsPréHiver=OUI,TotalVeauFemelle_6_12_RacesLaitières,TotalBovinsFemelles_6_12mois*NbreJoursNourrirBovins))</f>
        <v>0</v>
      </c>
      <c r="BH240" s="351">
        <f t="array" ref="BH240">IF(Ration_complète_bovins[somme]&gt;0,0,IFERROR(IF(OR(AND(INDEX(Règles_bovins[Specificite],MATCH(ChoixRationBovins&amp;$BB240,Règles_bovins[Ration]&amp;Règles_bovins[Aliment],0))="s1",IF($BB240=Spécificité1Bovins,1)),
AND(INDEX(Règles_bovins[Specificite],MATCH(ChoixRationBovins&amp;$BB240,Règles_bovins[Ration]&amp;Règles_bovins[Aliment],0))="s2",IF($BB240=Spécificité2Bovins,1)),
INDEX(Règles_bovins[Specificite],MATCH(ChoixRationBovins&amp;$BB240,Règles_bovins[Ration]&amp;Règles_bovins[Aliment],0))="c"),
INDEX(Règles_bovins[Valeur 3-6],MATCH(ChoixRationBovins&amp;$BB240,Règles_bovins[Ration]&amp;Règles_bovins[Aliment],0)),0),0)*IF(ChoixBovinsPréHiver=OUI,TotalVeauFemelle_3_6_RacesLaitières,TotalBovinsFemelles_3_6mois*NbreJoursNourrirBovins))</f>
        <v>0</v>
      </c>
      <c r="BI240" s="351">
        <f t="array" ref="BI240">IF(Ration_complète_bovins[somme]&gt;0,0,IFERROR(IF(OR(AND(INDEX(Règles_bovins[Specificite],MATCH(ChoixRationBovins&amp;$BB240,Règles_bovins[Ration]&amp;Règles_bovins[Aliment],0))="s1",IF($BB240=Spécificité1Bovins,1)),
AND(INDEX(Règles_bovins[Specificite],MATCH(ChoixRationBovins&amp;$BB240,Règles_bovins[Ration]&amp;Règles_bovins[Aliment],0))="s2",IF($BB240=Spécificité2Bovins,1)),
INDEX(Règles_bovins[Specificite],MATCH(ChoixRationBovins&amp;$BB240,Règles_bovins[Ration]&amp;Règles_bovins[Aliment],0))="c"),
INDEX(Règles_bovins[Valeur 0-3],MATCH(ChoixRationBovins&amp;$BB240,Règles_bovins[Ration]&amp;Règles_bovins[Aliment],0)),0),0)*IF(ChoixBovinsPréHiver=OUI,TotalVeauFemelle_0_3_RacesLaitières,TotalBovinsFemelles_0_3mois*NbreJoursNourrirBovins))</f>
        <v>0</v>
      </c>
      <c r="BJ240" s="352">
        <f t="shared" si="67"/>
        <v>0</v>
      </c>
      <c r="BK240" s="276"/>
      <c r="BX240" s="277"/>
      <c r="BY240" s="277"/>
      <c r="BZ240" s="277"/>
      <c r="CA240" s="277"/>
      <c r="CB240" s="277"/>
      <c r="CC240" s="277"/>
      <c r="CD240" s="298"/>
      <c r="CE240" s="298"/>
      <c r="CF240" s="298"/>
      <c r="CG240" s="298"/>
      <c r="CH240" s="298"/>
      <c r="CI240" s="277"/>
      <c r="CK240" s="277"/>
      <c r="CL240" s="277"/>
      <c r="CM240" s="277"/>
      <c r="CN240" s="277"/>
      <c r="CO240" s="277"/>
      <c r="CP240" s="277"/>
      <c r="DN240" s="350" t="str">
        <f t="shared" si="70"/>
        <v>Blé</v>
      </c>
      <c r="DO240" s="351">
        <f t="array" ref="DO240">IF(ChoixRationHivernaleOvinsComplète=OUI,0,IFERROR(IF(OR(AND(INDEX(Règles_ovins[Specificite],MATCH(RationHivernaleOvinsAuPré&amp;$DN240,Règles_ovins[Ration]&amp;Règles_ovins[Aliment],0))="s1",IF($DN240=Spécificité1Ovins,1)),
AND(INDEX(Règles_ovins[Specificite],MATCH(RationHivernaleOvinsAuPré&amp;$DN240,Règles_ovins[Ration]&amp;Règles_ovins[Aliment],0))="s2",IF($DN240=Spécificité2Ovins,1)),
INDEX(Règles_ovins[Specificite],MATCH(RationHivernaleOvinsAuPré&amp;$DN240,Règles_ovins[Ration]&amp;Règles_ovins[Aliment],0))="c"),
INDEX(Règles_ovins[Valeur 12 et plus],MATCH(RationHivernaleOvinsAuPré&amp;$DN240,Règles_ovins[Ration]&amp;Règles_ovins[Aliment],0)),0),0)*IF(SUM(TotalOvinsAdultesAuPré)&gt;0,SUM(TotalOvinsAdultesAuPré)*SUM(AD76:AD100),SUM(TotalOvinsAdultes)*SUM(AD76:AD100)))</f>
        <v>0</v>
      </c>
      <c r="DP240" s="351">
        <f t="array" ref="DP240">IF(ChoixRationHivernaleOvinsComplète=OUI,0,IFERROR(IF(OR(AND(INDEX(Règles_ovins[Specificite],MATCH(RationHivernaleOvinsAuPré&amp;$DN240,Règles_ovins[Ration]&amp;Règles_ovins[Aliment],0))="s1",IF($DN240=Spécificité1Ovins,1)),
AND(INDEX(Règles_ovins[Specificite],MATCH(RationHivernaleOvinsAuPré&amp;$DN240,Règles_ovins[Ration]&amp;Règles_ovins[Aliment],0))="s2",IF($DN240=Spécificité2Ovins,1)),
INDEX(Règles_ovins[Specificite],MATCH(RationHivernaleOvinsAuPré&amp;$DN240,Règles_ovins[Ration]&amp;Règles_ovins[Aliment],0))="c"),
INDEX(Règles_ovins[Valeur 6-12],MATCH(RationHivernaleOvinsAuPré&amp;$DN240,Règles_ovins[Ration]&amp;Règles_ovins[Aliment],0)),0),0)*IF(SUM(TotalOvins_6_12moisAuPré)&gt;0,SUM(TotalOvins_6_12moisAuPré)*SUM(AD76:AD100),SUM(TotalJeunesOvins)*SUM(AD76:AD100)))</f>
        <v>0</v>
      </c>
      <c r="DQ240" s="351">
        <f t="array" ref="DQ240">IF(ChoixRationHivernaleOvinsComplète=OUI,0,IFERROR(IF(OR(AND(INDEX(Règles_ovins[Specificite],MATCH(RationHivernaleOvinsAuPré&amp;$DN240,Règles_ovins[Ration]&amp;Règles_ovins[Aliment],0))="s1",IF($DN240=Spécificité1Ovins,1)),
AND(INDEX(Règles_ovins[Specificite],MATCH(RationHivernaleOvinsAuPré&amp;$DN240,Règles_ovins[Ration]&amp;Règles_ovins[Aliment],0))="s2",IF($DN240=Spécificité2Ovins,1)),
INDEX(Règles_ovins[Specificite],MATCH(RationHivernaleOvinsAuPré&amp;$DN240,Règles_ovins[Ration]&amp;Règles_ovins[Aliment],0))="c"),
INDEX(Règles_ovins[Valeur 3-6],MATCH(RationHivernaleOvinsAuPré&amp;$DN240,Règles_ovins[Ration]&amp;Règles_ovins[Aliment],0)),0),0)*IF(SUM(TotalOvins_3_6moisAuPré)&gt;0,SUM(TotalOvins_3_6moisAuPré)*SUM(AD76:AD100),SUM(TotalOvins_3_6mois)*SUM(AD76:AD100)))</f>
        <v>0</v>
      </c>
      <c r="DR240" s="351">
        <f t="array" ref="DR240">IF(ChoixRationHivernaleOvinsComplète=OUI,0,IFERROR(IF(OR(AND(INDEX(Règles_ovins[Specificite],MATCH(RationHivernaleOvinsAuPré&amp;$DN240,Règles_ovins[Ration]&amp;Règles_ovins[Aliment],0))="s1",IF($DN240=Spécificité1Ovins,1)),
AND(INDEX(Règles_ovins[Specificite],MATCH(RationHivernaleOvinsAuPré&amp;$DN240,Règles_ovins[Ration]&amp;Règles_ovins[Aliment],0))="s2",IF($DN240=Spécificité2Ovins,1)),
INDEX(Règles_ovins[Specificite],MATCH(RationHivernaleOvinsAuPré&amp;$DN240,Règles_ovins[Ration]&amp;Règles_ovins[Aliment],0))="c"),
INDEX(Règles_ovins[Valeur 0-3],MATCH(RationHivernaleOvinsAuPré&amp;$DN240,Règles_ovins[Ration]&amp;Règles_ovins[Aliment],0)),0),0)*IF(SUM(TotalOvins_0_3moisAuPré)&gt;0,SUM(TotalOvins_0_3moisAuPré)*SUM(AD76:AD100),SUM(TotalOvins_3_6mois)*SUM(AD76:AD100)))</f>
        <v>0</v>
      </c>
      <c r="DS240" s="441">
        <f t="shared" si="69"/>
        <v>0</v>
      </c>
      <c r="EU240" s="457">
        <f t="shared" si="66"/>
        <v>0</v>
      </c>
      <c r="EV240" s="458"/>
      <c r="EW240" s="458"/>
      <c r="EX240" s="458"/>
      <c r="FI240" s="276"/>
      <c r="FN240" s="281"/>
      <c r="FO240" s="281"/>
      <c r="FP240" s="281"/>
      <c r="FQ240" s="281"/>
      <c r="FR240" s="281"/>
      <c r="GG240" s="276" t="s">
        <v>955</v>
      </c>
      <c r="GH240" s="276" t="s">
        <v>955</v>
      </c>
      <c r="GI240" s="276" t="s">
        <v>955</v>
      </c>
      <c r="GJ240" s="276" t="s">
        <v>955</v>
      </c>
      <c r="GK240" s="276" t="s">
        <v>955</v>
      </c>
      <c r="GL240" s="276" t="s">
        <v>955</v>
      </c>
      <c r="GM240" s="276" t="s">
        <v>955</v>
      </c>
      <c r="GN240" s="276" t="s">
        <v>955</v>
      </c>
      <c r="GO240" s="276" t="s">
        <v>955</v>
      </c>
      <c r="GP240" s="276" t="s">
        <v>955</v>
      </c>
      <c r="GQ240" s="276" t="s">
        <v>955</v>
      </c>
      <c r="GR240" s="276" t="s">
        <v>955</v>
      </c>
      <c r="GS240" s="276" t="s">
        <v>955</v>
      </c>
      <c r="GT240" s="276" t="s">
        <v>955</v>
      </c>
      <c r="GU240" s="276" t="s">
        <v>955</v>
      </c>
      <c r="GV240" s="276" t="s">
        <v>955</v>
      </c>
    </row>
    <row r="241" spans="1:204" ht="12.75" customHeight="1" x14ac:dyDescent="0.2">
      <c r="A241" s="276"/>
      <c r="B241" s="276"/>
      <c r="BB241" s="350" t="str">
        <f t="shared" si="68"/>
        <v>Canola</v>
      </c>
      <c r="BC241" s="351">
        <f t="array" ref="BC241">IF(Ration_complète_bovins[somme]&gt;0,0,IFERROR(IF(OR(AND(INDEX(Règles_bovins[Specificite],MATCH(ChoixRationBovins&amp;$BB241,Règles_bovins[Ration]&amp;Règles_bovins[Aliment],0))="s1",IF($BB241=Spécificité1Bovins,1)),
AND(INDEX(Règles_bovins[Specificite],MATCH(ChoixRationBovins&amp;$BB241,Règles_bovins[Ration]&amp;Règles_bovins[Aliment],0))="s2",IF($BB241=Spécificité2Bovins,1)),
INDEX(Règles_bovins[Specificite],MATCH(ChoixRationBovins&amp;$BB241,Règles_bovins[Ration]&amp;Règles_bovins[Aliment],0))="c"),
INDEX(Règles_bovins[Valeur 36 et plus],MATCH(ChoixRationBovins&amp;$BB241,Règles_bovins[Ration]&amp;Règles_bovins[Aliment],0)),0),0)*IF(ChoixBovinsPréHiver=OUI,TotalVachesRacesLaitières,TotalVaches*NbreJoursNourrirBovins))</f>
        <v>0</v>
      </c>
      <c r="BD241" s="351">
        <f t="array" ref="BD241">IF(Ration_complète_bovins[somme]&gt;0,0,IFERROR(IF(OR(AND(INDEX(Règles_bovins[Specificite],MATCH(ChoixRationBovins&amp;$BB241,Règles_bovins[Ration]&amp;Règles_bovins[Aliment],0))="s1",IF($BB241=Spécificité1Bovins,1)),
AND(INDEX(Règles_bovins[Specificite],MATCH(ChoixRationBovins&amp;$BB241,Règles_bovins[Ration]&amp;Règles_bovins[Aliment],0))="s2",IF($BB241=Spécificité2Bovins,1)),
INDEX(Règles_bovins[Specificite],MATCH(ChoixRationBovins&amp;$BB241,Règles_bovins[Ration]&amp;Règles_bovins[Aliment],0))="c"),
INDEX(Règles_bovins[Valeur 24-36],MATCH(ChoixRationBovins&amp;$BB241,Règles_bovins[Ration]&amp;Règles_bovins[Aliment],0)),0),0)*IF(ChoixBovinsPréHiver=OUI,TotalGénisse_24_36_RacesLaitières,TotalBovinsFemelles_24_36mois*NbreJoursNourrirBovins))</f>
        <v>0</v>
      </c>
      <c r="BE241" s="351">
        <f t="array" ref="BE241">IF(Ration_complète_bovins[somme]&gt;0,0,IFERROR(IF(OR(AND(INDEX(Règles_bovins[Specificite],MATCH(ChoixRationBovins&amp;$BB241,Règles_bovins[Ration]&amp;Règles_bovins[Aliment],0))="s1",IF($BB241=Spécificité1Bovins,1)),
AND(INDEX(Règles_bovins[Specificite],MATCH(ChoixRationBovins&amp;$BB241,Règles_bovins[Ration]&amp;Règles_bovins[Aliment],0))="s2",IF($BB241=Spécificité2Bovins,1)),
INDEX(Règles_bovins[Specificite],MATCH(ChoixRationBovins&amp;$BB241,Règles_bovins[Ration]&amp;Règles_bovins[Aliment],0))="c"),
INDEX(Règles_bovins[Valeur 18-24],MATCH(ChoixRationBovins&amp;$BB241,Règles_bovins[Ration]&amp;Règles_bovins[Aliment],0)),0),0)*IF(ChoixBovinsPréHiver=OUI,TotalGénisse_18_24_RacesLaitières,TotalBovinsFemelles_18_24mois*NbreJoursNourrirBovins))</f>
        <v>0</v>
      </c>
      <c r="BF241" s="351">
        <f t="array" ref="BF241">IF(Ration_complète_bovins[somme]&gt;0,0,IFERROR(IF(OR(AND(INDEX(Règles_bovins[Specificite],MATCH(ChoixRationBovins&amp;$BB241,Règles_bovins[Ration]&amp;Règles_bovins[Aliment],0))="s1",IF($BB241=Spécificité1Bovins,1)),
AND(INDEX(Règles_bovins[Specificite],MATCH(ChoixRationBovins&amp;$BB241,Règles_bovins[Ration]&amp;Règles_bovins[Aliment],0))="s2",IF($BB241=Spécificité2Bovins,1)),
INDEX(Règles_bovins[Specificite],MATCH(ChoixRationBovins&amp;$BB241,Règles_bovins[Ration]&amp;Règles_bovins[Aliment],0))="c"),
INDEX(Règles_bovins[Valeur 12-18],MATCH(ChoixRationBovins&amp;$BB241,Règles_bovins[Ration]&amp;Règles_bovins[Aliment],0)),0),0)*IF(ChoixBovinsPréHiver=OUI,TotalGénisse_12_18_RacesLaitières,TotalBovinsFemelles_12_18mois*NbreJoursNourrirBovins))</f>
        <v>0</v>
      </c>
      <c r="BG241" s="351">
        <f t="array" ref="BG241">IF(Ration_complète_bovins[somme]&gt;0,0,IFERROR(IF(OR(AND(INDEX(Règles_bovins[Specificite],MATCH(ChoixRationBovins&amp;$BB241,Règles_bovins[Ration]&amp;Règles_bovins[Aliment],0))="s1",IF($BB241=Spécificité1Bovins,1)),
AND(INDEX(Règles_bovins[Specificite],MATCH(ChoixRationBovins&amp;$BB241,Règles_bovins[Ration]&amp;Règles_bovins[Aliment],0))="s2",IF($BB241=Spécificité2Bovins,1)),
INDEX(Règles_bovins[Specificite],MATCH(ChoixRationBovins&amp;$BB241,Règles_bovins[Ration]&amp;Règles_bovins[Aliment],0))="c"),
INDEX(Règles_bovins[Valeur 6-12],MATCH(ChoixRationBovins&amp;$BB241,Règles_bovins[Ration]&amp;Règles_bovins[Aliment],0)),0),0)*IF(ChoixBovinsPréHiver=OUI,TotalVeauFemelle_6_12_RacesLaitières,TotalBovinsFemelles_6_12mois*NbreJoursNourrirBovins))</f>
        <v>0</v>
      </c>
      <c r="BH241" s="351">
        <f t="array" ref="BH241">IF(Ration_complète_bovins[somme]&gt;0,0,IFERROR(IF(OR(AND(INDEX(Règles_bovins[Specificite],MATCH(ChoixRationBovins&amp;$BB241,Règles_bovins[Ration]&amp;Règles_bovins[Aliment],0))="s1",IF($BB241=Spécificité1Bovins,1)),
AND(INDEX(Règles_bovins[Specificite],MATCH(ChoixRationBovins&amp;$BB241,Règles_bovins[Ration]&amp;Règles_bovins[Aliment],0))="s2",IF($BB241=Spécificité2Bovins,1)),
INDEX(Règles_bovins[Specificite],MATCH(ChoixRationBovins&amp;$BB241,Règles_bovins[Ration]&amp;Règles_bovins[Aliment],0))="c"),
INDEX(Règles_bovins[Valeur 3-6],MATCH(ChoixRationBovins&amp;$BB241,Règles_bovins[Ration]&amp;Règles_bovins[Aliment],0)),0),0)*IF(ChoixBovinsPréHiver=OUI,TotalVeauFemelle_3_6_RacesLaitières,TotalBovinsFemelles_3_6mois*NbreJoursNourrirBovins))</f>
        <v>0</v>
      </c>
      <c r="BI241" s="351">
        <f t="array" ref="BI241">IF(Ration_complète_bovins[somme]&gt;0,0,IFERROR(IF(OR(AND(INDEX(Règles_bovins[Specificite],MATCH(ChoixRationBovins&amp;$BB241,Règles_bovins[Ration]&amp;Règles_bovins[Aliment],0))="s1",IF($BB241=Spécificité1Bovins,1)),
AND(INDEX(Règles_bovins[Specificite],MATCH(ChoixRationBovins&amp;$BB241,Règles_bovins[Ration]&amp;Règles_bovins[Aliment],0))="s2",IF($BB241=Spécificité2Bovins,1)),
INDEX(Règles_bovins[Specificite],MATCH(ChoixRationBovins&amp;$BB241,Règles_bovins[Ration]&amp;Règles_bovins[Aliment],0))="c"),
INDEX(Règles_bovins[Valeur 0-3],MATCH(ChoixRationBovins&amp;$BB241,Règles_bovins[Ration]&amp;Règles_bovins[Aliment],0)),0),0)*IF(ChoixBovinsPréHiver=OUI,TotalVeauFemelle_0_3_RacesLaitières,TotalBovinsFemelles_0_3mois*NbreJoursNourrirBovins))</f>
        <v>0</v>
      </c>
      <c r="BJ241" s="352">
        <f t="shared" si="67"/>
        <v>0</v>
      </c>
      <c r="BK241" s="276"/>
      <c r="BX241" s="277"/>
      <c r="BY241" s="277"/>
      <c r="BZ241" s="277"/>
      <c r="CA241" s="277"/>
      <c r="CB241" s="277"/>
      <c r="CC241" s="277"/>
      <c r="CD241" s="298"/>
      <c r="CE241" s="298"/>
      <c r="CF241" s="298"/>
      <c r="CG241" s="298"/>
      <c r="CH241" s="298"/>
      <c r="CI241" s="277"/>
      <c r="CK241" s="277"/>
      <c r="CL241" s="277"/>
      <c r="CM241" s="277"/>
      <c r="CN241" s="277"/>
      <c r="CO241" s="277"/>
      <c r="CP241" s="277"/>
      <c r="DN241" s="350" t="str">
        <f t="shared" si="70"/>
        <v>Bouchons luzerne</v>
      </c>
      <c r="DO241" s="351">
        <f t="array" ref="DO241">IF(ChoixRationHivernaleOvinsComplète=OUI,0,IFERROR(IF(OR(AND(INDEX(Règles_ovins[Specificite],MATCH(RationHivernaleOvinsAuPré&amp;$DN241,Règles_ovins[Ration]&amp;Règles_ovins[Aliment],0))="s1",IF($DN241=Spécificité1Ovins,1)),
AND(INDEX(Règles_ovins[Specificite],MATCH(RationHivernaleOvinsAuPré&amp;$DN241,Règles_ovins[Ration]&amp;Règles_ovins[Aliment],0))="s2",IF($DN241=Spécificité2Ovins,1)),
INDEX(Règles_ovins[Specificite],MATCH(RationHivernaleOvinsAuPré&amp;$DN241,Règles_ovins[Ration]&amp;Règles_ovins[Aliment],0))="c"),
INDEX(Règles_ovins[Valeur 12 et plus],MATCH(RationHivernaleOvinsAuPré&amp;$DN241,Règles_ovins[Ration]&amp;Règles_ovins[Aliment],0)),0),0)*IF(SUM(TotalOvinsAdultesAuPré)&gt;0,SUM(TotalOvinsAdultesAuPré)*SUM(AD76:AD100),SUM(TotalOvinsAdultes)*SUM(AD76:AD100)))</f>
        <v>0</v>
      </c>
      <c r="DP241" s="351">
        <f t="array" ref="DP241">IF(ChoixRationHivernaleOvinsComplète=OUI,0,IFERROR(IF(OR(AND(INDEX(Règles_ovins[Specificite],MATCH(RationHivernaleOvinsAuPré&amp;$DN241,Règles_ovins[Ration]&amp;Règles_ovins[Aliment],0))="s1",IF($DN241=Spécificité1Ovins,1)),
AND(INDEX(Règles_ovins[Specificite],MATCH(RationHivernaleOvinsAuPré&amp;$DN241,Règles_ovins[Ration]&amp;Règles_ovins[Aliment],0))="s2",IF($DN241=Spécificité2Ovins,1)),
INDEX(Règles_ovins[Specificite],MATCH(RationHivernaleOvinsAuPré&amp;$DN241,Règles_ovins[Ration]&amp;Règles_ovins[Aliment],0))="c"),
INDEX(Règles_ovins[Valeur 6-12],MATCH(RationHivernaleOvinsAuPré&amp;$DN241,Règles_ovins[Ration]&amp;Règles_ovins[Aliment],0)),0),0)*IF(SUM(TotalOvins_6_12moisAuPré)&gt;0,SUM(TotalOvins_6_12moisAuPré)*SUM(AD76:AD100),SUM(TotalJeunesOvins)*SUM(AD76:AD100)))</f>
        <v>0</v>
      </c>
      <c r="DQ241" s="351">
        <f t="array" ref="DQ241">IF(ChoixRationHivernaleOvinsComplète=OUI,0,IFERROR(IF(OR(AND(INDEX(Règles_ovins[Specificite],MATCH(RationHivernaleOvinsAuPré&amp;$DN241,Règles_ovins[Ration]&amp;Règles_ovins[Aliment],0))="s1",IF($DN241=Spécificité1Ovins,1)),
AND(INDEX(Règles_ovins[Specificite],MATCH(RationHivernaleOvinsAuPré&amp;$DN241,Règles_ovins[Ration]&amp;Règles_ovins[Aliment],0))="s2",IF($DN241=Spécificité2Ovins,1)),
INDEX(Règles_ovins[Specificite],MATCH(RationHivernaleOvinsAuPré&amp;$DN241,Règles_ovins[Ration]&amp;Règles_ovins[Aliment],0))="c"),
INDEX(Règles_ovins[Valeur 3-6],MATCH(RationHivernaleOvinsAuPré&amp;$DN241,Règles_ovins[Ration]&amp;Règles_ovins[Aliment],0)),0),0)*IF(SUM(TotalOvins_3_6moisAuPré)&gt;0,SUM(TotalOvins_3_6moisAuPré)*SUM(AD76:AD100),SUM(TotalOvins_3_6mois)*SUM(AD76:AD100)))</f>
        <v>0</v>
      </c>
      <c r="DR241" s="351">
        <f t="array" ref="DR241">IF(ChoixRationHivernaleOvinsComplète=OUI,0,IFERROR(IF(OR(AND(INDEX(Règles_ovins[Specificite],MATCH(RationHivernaleOvinsAuPré&amp;$DN241,Règles_ovins[Ration]&amp;Règles_ovins[Aliment],0))="s1",IF($DN241=Spécificité1Ovins,1)),
AND(INDEX(Règles_ovins[Specificite],MATCH(RationHivernaleOvinsAuPré&amp;$DN241,Règles_ovins[Ration]&amp;Règles_ovins[Aliment],0))="s2",IF($DN241=Spécificité2Ovins,1)),
INDEX(Règles_ovins[Specificite],MATCH(RationHivernaleOvinsAuPré&amp;$DN241,Règles_ovins[Ration]&amp;Règles_ovins[Aliment],0))="c"),
INDEX(Règles_ovins[Valeur 0-3],MATCH(RationHivernaleOvinsAuPré&amp;$DN241,Règles_ovins[Ration]&amp;Règles_ovins[Aliment],0)),0),0)*IF(SUM(TotalOvins_0_3moisAuPré)&gt;0,SUM(TotalOvins_0_3moisAuPré)*SUM(AD76:AD100),SUM(TotalOvins_3_6mois)*SUM(AD76:AD100)))</f>
        <v>0</v>
      </c>
      <c r="DS241" s="441">
        <f t="shared" si="69"/>
        <v>0</v>
      </c>
      <c r="EU241" s="457">
        <f t="shared" si="66"/>
        <v>0</v>
      </c>
      <c r="EV241" s="458"/>
      <c r="EW241" s="458"/>
      <c r="EX241" s="458"/>
      <c r="FI241" s="276"/>
      <c r="FN241" s="281"/>
      <c r="FO241" s="281"/>
      <c r="FP241" s="281"/>
      <c r="FQ241" s="281"/>
      <c r="FR241" s="281"/>
      <c r="GG241" s="276" t="s">
        <v>955</v>
      </c>
      <c r="GH241" s="276" t="s">
        <v>955</v>
      </c>
      <c r="GI241" s="276" t="s">
        <v>955</v>
      </c>
      <c r="GJ241" s="276" t="s">
        <v>955</v>
      </c>
      <c r="GK241" s="276" t="s">
        <v>955</v>
      </c>
      <c r="GL241" s="276" t="s">
        <v>955</v>
      </c>
      <c r="GM241" s="276" t="s">
        <v>955</v>
      </c>
      <c r="GN241" s="276" t="s">
        <v>955</v>
      </c>
      <c r="GO241" s="276" t="s">
        <v>955</v>
      </c>
      <c r="GP241" s="276" t="s">
        <v>955</v>
      </c>
      <c r="GQ241" s="276" t="s">
        <v>955</v>
      </c>
      <c r="GR241" s="276" t="s">
        <v>955</v>
      </c>
      <c r="GS241" s="276" t="s">
        <v>955</v>
      </c>
      <c r="GT241" s="276" t="s">
        <v>955</v>
      </c>
      <c r="GU241" s="276" t="s">
        <v>955</v>
      </c>
      <c r="GV241" s="276" t="s">
        <v>955</v>
      </c>
    </row>
    <row r="242" spans="1:204" ht="12.75" customHeight="1" x14ac:dyDescent="0.2">
      <c r="A242" s="276"/>
      <c r="B242" s="276"/>
      <c r="BB242" s="350" t="str">
        <f t="shared" si="68"/>
        <v>Colza</v>
      </c>
      <c r="BC242" s="351">
        <f t="array" ref="BC242">IF(Ration_complète_bovins[somme]&gt;0,0,IFERROR(IF(OR(AND(INDEX(Règles_bovins[Specificite],MATCH(ChoixRationBovins&amp;$BB242,Règles_bovins[Ration]&amp;Règles_bovins[Aliment],0))="s1",IF($BB242=Spécificité1Bovins,1)),
AND(INDEX(Règles_bovins[Specificite],MATCH(ChoixRationBovins&amp;$BB242,Règles_bovins[Ration]&amp;Règles_bovins[Aliment],0))="s2",IF($BB242=Spécificité2Bovins,1)),
INDEX(Règles_bovins[Specificite],MATCH(ChoixRationBovins&amp;$BB242,Règles_bovins[Ration]&amp;Règles_bovins[Aliment],0))="c"),
INDEX(Règles_bovins[Valeur 36 et plus],MATCH(ChoixRationBovins&amp;$BB242,Règles_bovins[Ration]&amp;Règles_bovins[Aliment],0)),0),0)*IF(ChoixBovinsPréHiver=OUI,TotalVachesRacesLaitières,TotalVaches*NbreJoursNourrirBovins))</f>
        <v>0</v>
      </c>
      <c r="BD242" s="351">
        <f t="array" ref="BD242">IF(Ration_complète_bovins[somme]&gt;0,0,IFERROR(IF(OR(AND(INDEX(Règles_bovins[Specificite],MATCH(ChoixRationBovins&amp;$BB242,Règles_bovins[Ration]&amp;Règles_bovins[Aliment],0))="s1",IF($BB242=Spécificité1Bovins,1)),
AND(INDEX(Règles_bovins[Specificite],MATCH(ChoixRationBovins&amp;$BB242,Règles_bovins[Ration]&amp;Règles_bovins[Aliment],0))="s2",IF($BB242=Spécificité2Bovins,1)),
INDEX(Règles_bovins[Specificite],MATCH(ChoixRationBovins&amp;$BB242,Règles_bovins[Ration]&amp;Règles_bovins[Aliment],0))="c"),
INDEX(Règles_bovins[Valeur 24-36],MATCH(ChoixRationBovins&amp;$BB242,Règles_bovins[Ration]&amp;Règles_bovins[Aliment],0)),0),0)*IF(ChoixBovinsPréHiver=OUI,TotalGénisse_24_36_RacesLaitières,TotalBovinsFemelles_24_36mois*NbreJoursNourrirBovins))</f>
        <v>0</v>
      </c>
      <c r="BE242" s="351">
        <f t="array" ref="BE242">IF(Ration_complète_bovins[somme]&gt;0,0,IFERROR(IF(OR(AND(INDEX(Règles_bovins[Specificite],MATCH(ChoixRationBovins&amp;$BB242,Règles_bovins[Ration]&amp;Règles_bovins[Aliment],0))="s1",IF($BB242=Spécificité1Bovins,1)),
AND(INDEX(Règles_bovins[Specificite],MATCH(ChoixRationBovins&amp;$BB242,Règles_bovins[Ration]&amp;Règles_bovins[Aliment],0))="s2",IF($BB242=Spécificité2Bovins,1)),
INDEX(Règles_bovins[Specificite],MATCH(ChoixRationBovins&amp;$BB242,Règles_bovins[Ration]&amp;Règles_bovins[Aliment],0))="c"),
INDEX(Règles_bovins[Valeur 18-24],MATCH(ChoixRationBovins&amp;$BB242,Règles_bovins[Ration]&amp;Règles_bovins[Aliment],0)),0),0)*IF(ChoixBovinsPréHiver=OUI,TotalGénisse_18_24_RacesLaitières,TotalBovinsFemelles_18_24mois*NbreJoursNourrirBovins))</f>
        <v>0</v>
      </c>
      <c r="BF242" s="351">
        <f t="array" ref="BF242">IF(Ration_complète_bovins[somme]&gt;0,0,IFERROR(IF(OR(AND(INDEX(Règles_bovins[Specificite],MATCH(ChoixRationBovins&amp;$BB242,Règles_bovins[Ration]&amp;Règles_bovins[Aliment],0))="s1",IF($BB242=Spécificité1Bovins,1)),
AND(INDEX(Règles_bovins[Specificite],MATCH(ChoixRationBovins&amp;$BB242,Règles_bovins[Ration]&amp;Règles_bovins[Aliment],0))="s2",IF($BB242=Spécificité2Bovins,1)),
INDEX(Règles_bovins[Specificite],MATCH(ChoixRationBovins&amp;$BB242,Règles_bovins[Ration]&amp;Règles_bovins[Aliment],0))="c"),
INDEX(Règles_bovins[Valeur 12-18],MATCH(ChoixRationBovins&amp;$BB242,Règles_bovins[Ration]&amp;Règles_bovins[Aliment],0)),0),0)*IF(ChoixBovinsPréHiver=OUI,TotalGénisse_12_18_RacesLaitières,TotalBovinsFemelles_12_18mois*NbreJoursNourrirBovins))</f>
        <v>0</v>
      </c>
      <c r="BG242" s="351">
        <f t="array" ref="BG242">IF(Ration_complète_bovins[somme]&gt;0,0,IFERROR(IF(OR(AND(INDEX(Règles_bovins[Specificite],MATCH(ChoixRationBovins&amp;$BB242,Règles_bovins[Ration]&amp;Règles_bovins[Aliment],0))="s1",IF($BB242=Spécificité1Bovins,1)),
AND(INDEX(Règles_bovins[Specificite],MATCH(ChoixRationBovins&amp;$BB242,Règles_bovins[Ration]&amp;Règles_bovins[Aliment],0))="s2",IF($BB242=Spécificité2Bovins,1)),
INDEX(Règles_bovins[Specificite],MATCH(ChoixRationBovins&amp;$BB242,Règles_bovins[Ration]&amp;Règles_bovins[Aliment],0))="c"),
INDEX(Règles_bovins[Valeur 6-12],MATCH(ChoixRationBovins&amp;$BB242,Règles_bovins[Ration]&amp;Règles_bovins[Aliment],0)),0),0)*IF(ChoixBovinsPréHiver=OUI,TotalVeauFemelle_6_12_RacesLaitières,TotalBovinsFemelles_6_12mois*NbreJoursNourrirBovins))</f>
        <v>0</v>
      </c>
      <c r="BH242" s="351">
        <f t="array" ref="BH242">IF(Ration_complète_bovins[somme]&gt;0,0,IFERROR(IF(OR(AND(INDEX(Règles_bovins[Specificite],MATCH(ChoixRationBovins&amp;$BB242,Règles_bovins[Ration]&amp;Règles_bovins[Aliment],0))="s1",IF($BB242=Spécificité1Bovins,1)),
AND(INDEX(Règles_bovins[Specificite],MATCH(ChoixRationBovins&amp;$BB242,Règles_bovins[Ration]&amp;Règles_bovins[Aliment],0))="s2",IF($BB242=Spécificité2Bovins,1)),
INDEX(Règles_bovins[Specificite],MATCH(ChoixRationBovins&amp;$BB242,Règles_bovins[Ration]&amp;Règles_bovins[Aliment],0))="c"),
INDEX(Règles_bovins[Valeur 3-6],MATCH(ChoixRationBovins&amp;$BB242,Règles_bovins[Ration]&amp;Règles_bovins[Aliment],0)),0),0)*IF(ChoixBovinsPréHiver=OUI,TotalVeauFemelle_3_6_RacesLaitières,TotalBovinsFemelles_3_6mois*NbreJoursNourrirBovins))</f>
        <v>0</v>
      </c>
      <c r="BI242" s="351">
        <f t="array" ref="BI242">IF(Ration_complète_bovins[somme]&gt;0,0,IFERROR(IF(OR(AND(INDEX(Règles_bovins[Specificite],MATCH(ChoixRationBovins&amp;$BB242,Règles_bovins[Ration]&amp;Règles_bovins[Aliment],0))="s1",IF($BB242=Spécificité1Bovins,1)),
AND(INDEX(Règles_bovins[Specificite],MATCH(ChoixRationBovins&amp;$BB242,Règles_bovins[Ration]&amp;Règles_bovins[Aliment],0))="s2",IF($BB242=Spécificité2Bovins,1)),
INDEX(Règles_bovins[Specificite],MATCH(ChoixRationBovins&amp;$BB242,Règles_bovins[Ration]&amp;Règles_bovins[Aliment],0))="c"),
INDEX(Règles_bovins[Valeur 0-3],MATCH(ChoixRationBovins&amp;$BB242,Règles_bovins[Ration]&amp;Règles_bovins[Aliment],0)),0),0)*IF(ChoixBovinsPréHiver=OUI,TotalVeauFemelle_0_3_RacesLaitières,TotalBovinsFemelles_0_3mois*NbreJoursNourrirBovins))</f>
        <v>0</v>
      </c>
      <c r="BJ242" s="352">
        <f t="shared" si="67"/>
        <v>0</v>
      </c>
      <c r="BK242" s="276"/>
      <c r="BX242" s="277"/>
      <c r="BY242" s="277"/>
      <c r="BZ242" s="277"/>
      <c r="CA242" s="277"/>
      <c r="CB242" s="277"/>
      <c r="CC242" s="277"/>
      <c r="CD242" s="298"/>
      <c r="CE242" s="298"/>
      <c r="CF242" s="298"/>
      <c r="CG242" s="298"/>
      <c r="CH242" s="298"/>
      <c r="CI242" s="277"/>
      <c r="CK242" s="277"/>
      <c r="CL242" s="277"/>
      <c r="CM242" s="277"/>
      <c r="CN242" s="277"/>
      <c r="CO242" s="277"/>
      <c r="CP242" s="277"/>
      <c r="DN242" s="350" t="str">
        <f t="shared" si="70"/>
        <v>Chanvre</v>
      </c>
      <c r="DO242" s="351">
        <f t="array" ref="DO242">IF(ChoixRationHivernaleOvinsComplète=OUI,0,IFERROR(IF(OR(AND(INDEX(Règles_ovins[Specificite],MATCH(RationHivernaleOvinsAuPré&amp;$DN242,Règles_ovins[Ration]&amp;Règles_ovins[Aliment],0))="s1",IF($DN242=Spécificité1Ovins,1)),
AND(INDEX(Règles_ovins[Specificite],MATCH(RationHivernaleOvinsAuPré&amp;$DN242,Règles_ovins[Ration]&amp;Règles_ovins[Aliment],0))="s2",IF($DN242=Spécificité2Ovins,1)),
INDEX(Règles_ovins[Specificite],MATCH(RationHivernaleOvinsAuPré&amp;$DN242,Règles_ovins[Ration]&amp;Règles_ovins[Aliment],0))="c"),
INDEX(Règles_ovins[Valeur 12 et plus],MATCH(RationHivernaleOvinsAuPré&amp;$DN242,Règles_ovins[Ration]&amp;Règles_ovins[Aliment],0)),0),0)*IF(SUM(TotalOvinsAdultesAuPré)&gt;0,SUM(TotalOvinsAdultesAuPré)*SUM(AD76:AD100),SUM(TotalOvinsAdultes)*SUM(AD76:AD100)))</f>
        <v>0</v>
      </c>
      <c r="DP242" s="351">
        <f t="array" ref="DP242">IF(ChoixRationHivernaleOvinsComplète=OUI,0,IFERROR(IF(OR(AND(INDEX(Règles_ovins[Specificite],MATCH(RationHivernaleOvinsAuPré&amp;$DN242,Règles_ovins[Ration]&amp;Règles_ovins[Aliment],0))="s1",IF($DN242=Spécificité1Ovins,1)),
AND(INDEX(Règles_ovins[Specificite],MATCH(RationHivernaleOvinsAuPré&amp;$DN242,Règles_ovins[Ration]&amp;Règles_ovins[Aliment],0))="s2",IF($DN242=Spécificité2Ovins,1)),
INDEX(Règles_ovins[Specificite],MATCH(RationHivernaleOvinsAuPré&amp;$DN242,Règles_ovins[Ration]&amp;Règles_ovins[Aliment],0))="c"),
INDEX(Règles_ovins[Valeur 6-12],MATCH(RationHivernaleOvinsAuPré&amp;$DN242,Règles_ovins[Ration]&amp;Règles_ovins[Aliment],0)),0),0)*IF(SUM(TotalOvins_6_12moisAuPré)&gt;0,SUM(TotalOvins_6_12moisAuPré)*SUM(AD76:AD100),SUM(TotalJeunesOvins)*SUM(AD76:AD100)))</f>
        <v>0</v>
      </c>
      <c r="DQ242" s="351">
        <f t="array" ref="DQ242">IF(ChoixRationHivernaleOvinsComplète=OUI,0,IFERROR(IF(OR(AND(INDEX(Règles_ovins[Specificite],MATCH(RationHivernaleOvinsAuPré&amp;$DN242,Règles_ovins[Ration]&amp;Règles_ovins[Aliment],0))="s1",IF($DN242=Spécificité1Ovins,1)),
AND(INDEX(Règles_ovins[Specificite],MATCH(RationHivernaleOvinsAuPré&amp;$DN242,Règles_ovins[Ration]&amp;Règles_ovins[Aliment],0))="s2",IF($DN242=Spécificité2Ovins,1)),
INDEX(Règles_ovins[Specificite],MATCH(RationHivernaleOvinsAuPré&amp;$DN242,Règles_ovins[Ration]&amp;Règles_ovins[Aliment],0))="c"),
INDEX(Règles_ovins[Valeur 3-6],MATCH(RationHivernaleOvinsAuPré&amp;$DN242,Règles_ovins[Ration]&amp;Règles_ovins[Aliment],0)),0),0)*IF(SUM(TotalOvins_3_6moisAuPré)&gt;0,SUM(TotalOvins_3_6moisAuPré)*SUM(AD76:AD100),SUM(TotalOvins_3_6mois)*SUM(AD76:AD100)))</f>
        <v>0</v>
      </c>
      <c r="DR242" s="351">
        <f t="array" ref="DR242">IF(ChoixRationHivernaleOvinsComplète=OUI,0,IFERROR(IF(OR(AND(INDEX(Règles_ovins[Specificite],MATCH(RationHivernaleOvinsAuPré&amp;$DN242,Règles_ovins[Ration]&amp;Règles_ovins[Aliment],0))="s1",IF($DN242=Spécificité1Ovins,1)),
AND(INDEX(Règles_ovins[Specificite],MATCH(RationHivernaleOvinsAuPré&amp;$DN242,Règles_ovins[Ration]&amp;Règles_ovins[Aliment],0))="s2",IF($DN242=Spécificité2Ovins,1)),
INDEX(Règles_ovins[Specificite],MATCH(RationHivernaleOvinsAuPré&amp;$DN242,Règles_ovins[Ration]&amp;Règles_ovins[Aliment],0))="c"),
INDEX(Règles_ovins[Valeur 0-3],MATCH(RationHivernaleOvinsAuPré&amp;$DN242,Règles_ovins[Ration]&amp;Règles_ovins[Aliment],0)),0),0)*IF(SUM(TotalOvins_0_3moisAuPré)&gt;0,SUM(TotalOvins_0_3moisAuPré)*SUM(AD76:AD100),SUM(TotalOvins_3_6mois)*SUM(AD76:AD100)))</f>
        <v>0</v>
      </c>
      <c r="DS242" s="441">
        <f t="shared" si="69"/>
        <v>0</v>
      </c>
      <c r="FI242" s="276"/>
      <c r="FN242" s="281"/>
      <c r="FO242" s="281"/>
      <c r="FP242" s="281"/>
      <c r="FQ242" s="281"/>
      <c r="FR242" s="281"/>
      <c r="GG242" s="276" t="s">
        <v>955</v>
      </c>
      <c r="GH242" s="276" t="s">
        <v>955</v>
      </c>
      <c r="GI242" s="276" t="s">
        <v>955</v>
      </c>
      <c r="GJ242" s="276" t="s">
        <v>955</v>
      </c>
      <c r="GK242" s="276" t="s">
        <v>955</v>
      </c>
      <c r="GL242" s="276" t="s">
        <v>955</v>
      </c>
      <c r="GM242" s="276" t="s">
        <v>955</v>
      </c>
      <c r="GN242" s="276" t="s">
        <v>955</v>
      </c>
      <c r="GO242" s="276" t="s">
        <v>955</v>
      </c>
      <c r="GP242" s="276" t="s">
        <v>955</v>
      </c>
      <c r="GQ242" s="276" t="s">
        <v>955</v>
      </c>
      <c r="GR242" s="276" t="s">
        <v>955</v>
      </c>
      <c r="GS242" s="276" t="s">
        <v>955</v>
      </c>
      <c r="GT242" s="276" t="s">
        <v>955</v>
      </c>
      <c r="GU242" s="276" t="s">
        <v>955</v>
      </c>
      <c r="GV242" s="276" t="s">
        <v>955</v>
      </c>
    </row>
    <row r="243" spans="1:204" ht="12.75" customHeight="1" x14ac:dyDescent="0.2">
      <c r="A243" s="276"/>
      <c r="B243" s="276"/>
      <c r="BB243" s="350" t="str">
        <f t="shared" si="68"/>
        <v>concentré jeunes bovins</v>
      </c>
      <c r="BC243" s="351">
        <f t="array" ref="BC243">IF(Ration_complète_bovins[somme]&gt;0,0,IFERROR(IF(OR(AND(INDEX(Règles_bovins[Specificite],MATCH(ChoixRationBovins&amp;$BB243,Règles_bovins[Ration]&amp;Règles_bovins[Aliment],0))="s1",IF($BB243=Spécificité1Bovins,1)),
AND(INDEX(Règles_bovins[Specificite],MATCH(ChoixRationBovins&amp;$BB243,Règles_bovins[Ration]&amp;Règles_bovins[Aliment],0))="s2",IF($BB243=Spécificité2Bovins,1)),
INDEX(Règles_bovins[Specificite],MATCH(ChoixRationBovins&amp;$BB243,Règles_bovins[Ration]&amp;Règles_bovins[Aliment],0))="c"),
INDEX(Règles_bovins[Valeur 36 et plus],MATCH(ChoixRationBovins&amp;$BB243,Règles_bovins[Ration]&amp;Règles_bovins[Aliment],0)),0),0)*IF(ChoixBovinsPréHiver=OUI,TotalVachesRacesLaitières,TotalVaches*NbreJoursNourrirBovins))</f>
        <v>0</v>
      </c>
      <c r="BD243" s="351">
        <f t="array" ref="BD243">IF(Ration_complète_bovins[somme]&gt;0,0,IFERROR(IF(OR(AND(INDEX(Règles_bovins[Specificite],MATCH(ChoixRationBovins&amp;$BB243,Règles_bovins[Ration]&amp;Règles_bovins[Aliment],0))="s1",IF($BB243=Spécificité1Bovins,1)),
AND(INDEX(Règles_bovins[Specificite],MATCH(ChoixRationBovins&amp;$BB243,Règles_bovins[Ration]&amp;Règles_bovins[Aliment],0))="s2",IF($BB243=Spécificité2Bovins,1)),
INDEX(Règles_bovins[Specificite],MATCH(ChoixRationBovins&amp;$BB243,Règles_bovins[Ration]&amp;Règles_bovins[Aliment],0))="c"),
INDEX(Règles_bovins[Valeur 24-36],MATCH(ChoixRationBovins&amp;$BB243,Règles_bovins[Ration]&amp;Règles_bovins[Aliment],0)),0),0)*IF(ChoixBovinsPréHiver=OUI,TotalGénisse_24_36_RacesLaitières,TotalBovinsFemelles_24_36mois*NbreJoursNourrirBovins))</f>
        <v>0</v>
      </c>
      <c r="BE243" s="351">
        <f t="array" ref="BE243">IF(Ration_complète_bovins[somme]&gt;0,0,IFERROR(IF(OR(AND(INDEX(Règles_bovins[Specificite],MATCH(ChoixRationBovins&amp;$BB243,Règles_bovins[Ration]&amp;Règles_bovins[Aliment],0))="s1",IF($BB243=Spécificité1Bovins,1)),
AND(INDEX(Règles_bovins[Specificite],MATCH(ChoixRationBovins&amp;$BB243,Règles_bovins[Ration]&amp;Règles_bovins[Aliment],0))="s2",IF($BB243=Spécificité2Bovins,1)),
INDEX(Règles_bovins[Specificite],MATCH(ChoixRationBovins&amp;$BB243,Règles_bovins[Ration]&amp;Règles_bovins[Aliment],0))="c"),
INDEX(Règles_bovins[Valeur 18-24],MATCH(ChoixRationBovins&amp;$BB243,Règles_bovins[Ration]&amp;Règles_bovins[Aliment],0)),0),0)*IF(ChoixBovinsPréHiver=OUI,TotalGénisse_18_24_RacesLaitières,TotalBovinsFemelles_18_24mois*NbreJoursNourrirBovins))</f>
        <v>0</v>
      </c>
      <c r="BF243" s="351">
        <f t="array" ref="BF243">IF(Ration_complète_bovins[somme]&gt;0,0,IFERROR(IF(OR(AND(INDEX(Règles_bovins[Specificite],MATCH(ChoixRationBovins&amp;$BB243,Règles_bovins[Ration]&amp;Règles_bovins[Aliment],0))="s1",IF($BB243=Spécificité1Bovins,1)),
AND(INDEX(Règles_bovins[Specificite],MATCH(ChoixRationBovins&amp;$BB243,Règles_bovins[Ration]&amp;Règles_bovins[Aliment],0))="s2",IF($BB243=Spécificité2Bovins,1)),
INDEX(Règles_bovins[Specificite],MATCH(ChoixRationBovins&amp;$BB243,Règles_bovins[Ration]&amp;Règles_bovins[Aliment],0))="c"),
INDEX(Règles_bovins[Valeur 12-18],MATCH(ChoixRationBovins&amp;$BB243,Règles_bovins[Ration]&amp;Règles_bovins[Aliment],0)),0),0)*IF(ChoixBovinsPréHiver=OUI,TotalGénisse_12_18_RacesLaitières,TotalBovinsFemelles_12_18mois*NbreJoursNourrirBovins))</f>
        <v>0</v>
      </c>
      <c r="BG243" s="351">
        <f t="array" ref="BG243">IF(Ration_complète_bovins[somme]&gt;0,0,IFERROR(IF(OR(AND(INDEX(Règles_bovins[Specificite],MATCH(ChoixRationBovins&amp;$BB243,Règles_bovins[Ration]&amp;Règles_bovins[Aliment],0))="s1",IF($BB243=Spécificité1Bovins,1)),
AND(INDEX(Règles_bovins[Specificite],MATCH(ChoixRationBovins&amp;$BB243,Règles_bovins[Ration]&amp;Règles_bovins[Aliment],0))="s2",IF($BB243=Spécificité2Bovins,1)),
INDEX(Règles_bovins[Specificite],MATCH(ChoixRationBovins&amp;$BB243,Règles_bovins[Ration]&amp;Règles_bovins[Aliment],0))="c"),
INDEX(Règles_bovins[Valeur 6-12],MATCH(ChoixRationBovins&amp;$BB243,Règles_bovins[Ration]&amp;Règles_bovins[Aliment],0)),0),0)*IF(ChoixBovinsPréHiver=OUI,TotalVeauFemelle_6_12_RacesLaitières,TotalBovinsFemelles_6_12mois*NbreJoursNourrirBovins))</f>
        <v>0</v>
      </c>
      <c r="BH243" s="351">
        <f t="array" ref="BH243">IF(Ration_complète_bovins[somme]&gt;0,0,IFERROR(IF(OR(AND(INDEX(Règles_bovins[Specificite],MATCH(ChoixRationBovins&amp;$BB243,Règles_bovins[Ration]&amp;Règles_bovins[Aliment],0))="s1",IF($BB243=Spécificité1Bovins,1)),
AND(INDEX(Règles_bovins[Specificite],MATCH(ChoixRationBovins&amp;$BB243,Règles_bovins[Ration]&amp;Règles_bovins[Aliment],0))="s2",IF($BB243=Spécificité2Bovins,1)),
INDEX(Règles_bovins[Specificite],MATCH(ChoixRationBovins&amp;$BB243,Règles_bovins[Ration]&amp;Règles_bovins[Aliment],0))="c"),
INDEX(Règles_bovins[Valeur 3-6],MATCH(ChoixRationBovins&amp;$BB243,Règles_bovins[Ration]&amp;Règles_bovins[Aliment],0)),0),0)*IF(ChoixBovinsPréHiver=OUI,TotalVeauFemelle_3_6_RacesLaitières,TotalBovinsFemelles_3_6mois*NbreJoursNourrirBovins))</f>
        <v>0</v>
      </c>
      <c r="BI243" s="351">
        <f t="array" ref="BI243">IF(Ration_complète_bovins[somme]&gt;0,0,IFERROR(IF(OR(AND(INDEX(Règles_bovins[Specificite],MATCH(ChoixRationBovins&amp;$BB243,Règles_bovins[Ration]&amp;Règles_bovins[Aliment],0))="s1",IF($BB243=Spécificité1Bovins,1)),
AND(INDEX(Règles_bovins[Specificite],MATCH(ChoixRationBovins&amp;$BB243,Règles_bovins[Ration]&amp;Règles_bovins[Aliment],0))="s2",IF($BB243=Spécificité2Bovins,1)),
INDEX(Règles_bovins[Specificite],MATCH(ChoixRationBovins&amp;$BB243,Règles_bovins[Ration]&amp;Règles_bovins[Aliment],0))="c"),
INDEX(Règles_bovins[Valeur 0-3],MATCH(ChoixRationBovins&amp;$BB243,Règles_bovins[Ration]&amp;Règles_bovins[Aliment],0)),0),0)*IF(ChoixBovinsPréHiver=OUI,TotalVeauFemelle_0_3_RacesLaitières,TotalBovinsFemelles_0_3mois*NbreJoursNourrirBovins))</f>
        <v>0</v>
      </c>
      <c r="BJ243" s="352">
        <f t="shared" si="67"/>
        <v>0</v>
      </c>
      <c r="BK243" s="276"/>
      <c r="BX243" s="277"/>
      <c r="BY243" s="277"/>
      <c r="BZ243" s="277"/>
      <c r="CA243" s="277"/>
      <c r="CB243" s="277"/>
      <c r="CC243" s="277"/>
      <c r="CD243" s="298"/>
      <c r="CE243" s="298"/>
      <c r="CF243" s="298"/>
      <c r="CG243" s="298"/>
      <c r="CH243" s="298"/>
      <c r="CI243" s="277"/>
      <c r="CK243" s="277"/>
      <c r="CL243" s="277"/>
      <c r="CM243" s="277"/>
      <c r="CN243" s="277"/>
      <c r="CO243" s="277"/>
      <c r="CP243" s="277"/>
      <c r="DN243" s="350" t="str">
        <f t="shared" si="70"/>
        <v>Canola</v>
      </c>
      <c r="DO243" s="351">
        <f t="array" ref="DO243">IF(ChoixRationHivernaleOvinsComplète=OUI,0,IFERROR(IF(OR(AND(INDEX(Règles_ovins[Specificite],MATCH(RationHivernaleOvinsAuPré&amp;$DN243,Règles_ovins[Ration]&amp;Règles_ovins[Aliment],0))="s1",IF($DN243=Spécificité1Ovins,1)),
AND(INDEX(Règles_ovins[Specificite],MATCH(RationHivernaleOvinsAuPré&amp;$DN243,Règles_ovins[Ration]&amp;Règles_ovins[Aliment],0))="s2",IF($DN243=Spécificité2Ovins,1)),
INDEX(Règles_ovins[Specificite],MATCH(RationHivernaleOvinsAuPré&amp;$DN243,Règles_ovins[Ration]&amp;Règles_ovins[Aliment],0))="c"),
INDEX(Règles_ovins[Valeur 12 et plus],MATCH(RationHivernaleOvinsAuPré&amp;$DN243,Règles_ovins[Ration]&amp;Règles_ovins[Aliment],0)),0),0)*IF(SUM(TotalOvinsAdultesAuPré)&gt;0,SUM(TotalOvinsAdultesAuPré)*SUM(AD76:AD100),SUM(TotalOvinsAdultes)*SUM(AD76:AD100)))</f>
        <v>0</v>
      </c>
      <c r="DP243" s="351">
        <f t="array" ref="DP243">IF(ChoixRationHivernaleOvinsComplète=OUI,0,IFERROR(IF(OR(AND(INDEX(Règles_ovins[Specificite],MATCH(RationHivernaleOvinsAuPré&amp;$DN243,Règles_ovins[Ration]&amp;Règles_ovins[Aliment],0))="s1",IF($DN243=Spécificité1Ovins,1)),
AND(INDEX(Règles_ovins[Specificite],MATCH(RationHivernaleOvinsAuPré&amp;$DN243,Règles_ovins[Ration]&amp;Règles_ovins[Aliment],0))="s2",IF($DN243=Spécificité2Ovins,1)),
INDEX(Règles_ovins[Specificite],MATCH(RationHivernaleOvinsAuPré&amp;$DN243,Règles_ovins[Ration]&amp;Règles_ovins[Aliment],0))="c"),
INDEX(Règles_ovins[Valeur 6-12],MATCH(RationHivernaleOvinsAuPré&amp;$DN243,Règles_ovins[Ration]&amp;Règles_ovins[Aliment],0)),0),0)*IF(SUM(TotalOvins_6_12moisAuPré)&gt;0,SUM(TotalOvins_6_12moisAuPré)*SUM(AD76:AD100),SUM(TotalJeunesOvins)*SUM(AD76:AD100)))</f>
        <v>0</v>
      </c>
      <c r="DQ243" s="351">
        <f t="array" ref="DQ243">IF(ChoixRationHivernaleOvinsComplète=OUI,0,IFERROR(IF(OR(AND(INDEX(Règles_ovins[Specificite],MATCH(RationHivernaleOvinsAuPré&amp;$DN243,Règles_ovins[Ration]&amp;Règles_ovins[Aliment],0))="s1",IF($DN243=Spécificité1Ovins,1)),
AND(INDEX(Règles_ovins[Specificite],MATCH(RationHivernaleOvinsAuPré&amp;$DN243,Règles_ovins[Ration]&amp;Règles_ovins[Aliment],0))="s2",IF($DN243=Spécificité2Ovins,1)),
INDEX(Règles_ovins[Specificite],MATCH(RationHivernaleOvinsAuPré&amp;$DN243,Règles_ovins[Ration]&amp;Règles_ovins[Aliment],0))="c"),
INDEX(Règles_ovins[Valeur 3-6],MATCH(RationHivernaleOvinsAuPré&amp;$DN243,Règles_ovins[Ration]&amp;Règles_ovins[Aliment],0)),0),0)*IF(SUM(TotalOvins_3_6moisAuPré)&gt;0,SUM(TotalOvins_3_6moisAuPré)*SUM(AD76:AD100),SUM(TotalOvins_3_6mois)*SUM(AD76:AD100)))</f>
        <v>0</v>
      </c>
      <c r="DR243" s="351">
        <f t="array" ref="DR243">IF(ChoixRationHivernaleOvinsComplète=OUI,0,IFERROR(IF(OR(AND(INDEX(Règles_ovins[Specificite],MATCH(RationHivernaleOvinsAuPré&amp;$DN243,Règles_ovins[Ration]&amp;Règles_ovins[Aliment],0))="s1",IF($DN243=Spécificité1Ovins,1)),
AND(INDEX(Règles_ovins[Specificite],MATCH(RationHivernaleOvinsAuPré&amp;$DN243,Règles_ovins[Ration]&amp;Règles_ovins[Aliment],0))="s2",IF($DN243=Spécificité2Ovins,1)),
INDEX(Règles_ovins[Specificite],MATCH(RationHivernaleOvinsAuPré&amp;$DN243,Règles_ovins[Ration]&amp;Règles_ovins[Aliment],0))="c"),
INDEX(Règles_ovins[Valeur 0-3],MATCH(RationHivernaleOvinsAuPré&amp;$DN243,Règles_ovins[Ration]&amp;Règles_ovins[Aliment],0)),0),0)*IF(SUM(TotalOvins_0_3moisAuPré)&gt;0,SUM(TotalOvins_0_3moisAuPré)*SUM(AD76:AD100),SUM(TotalOvins_3_6mois)*SUM(AD76:AD100)))</f>
        <v>0</v>
      </c>
      <c r="DS243" s="441">
        <f t="shared" si="69"/>
        <v>0</v>
      </c>
      <c r="FI243" s="276"/>
      <c r="FN243" s="281"/>
      <c r="FO243" s="281"/>
      <c r="FP243" s="281"/>
      <c r="FQ243" s="281"/>
      <c r="FR243" s="281"/>
      <c r="GG243" s="276" t="s">
        <v>955</v>
      </c>
      <c r="GH243" s="276" t="s">
        <v>955</v>
      </c>
      <c r="GI243" s="276" t="s">
        <v>955</v>
      </c>
      <c r="GJ243" s="276" t="s">
        <v>955</v>
      </c>
      <c r="GK243" s="276" t="s">
        <v>955</v>
      </c>
      <c r="GL243" s="276" t="s">
        <v>955</v>
      </c>
      <c r="GM243" s="276" t="s">
        <v>955</v>
      </c>
      <c r="GN243" s="276" t="s">
        <v>955</v>
      </c>
      <c r="GO243" s="276" t="s">
        <v>955</v>
      </c>
      <c r="GP243" s="276" t="s">
        <v>955</v>
      </c>
      <c r="GQ243" s="276" t="s">
        <v>955</v>
      </c>
      <c r="GR243" s="276" t="s">
        <v>955</v>
      </c>
      <c r="GS243" s="276" t="s">
        <v>955</v>
      </c>
      <c r="GT243" s="276" t="s">
        <v>955</v>
      </c>
      <c r="GU243" s="276" t="s">
        <v>955</v>
      </c>
      <c r="GV243" s="276" t="s">
        <v>955</v>
      </c>
    </row>
    <row r="244" spans="1:204" ht="12.75" customHeight="1" x14ac:dyDescent="0.2">
      <c r="A244" s="276"/>
      <c r="B244" s="276"/>
      <c r="BB244" s="350" t="str">
        <f t="shared" si="68"/>
        <v>concentré jeunes lapins</v>
      </c>
      <c r="BC244" s="351">
        <f t="array" ref="BC244">IF(Ration_complète_bovins[somme]&gt;0,0,IFERROR(IF(OR(AND(INDEX(Règles_bovins[Specificite],MATCH(ChoixRationBovins&amp;$BB244,Règles_bovins[Ration]&amp;Règles_bovins[Aliment],0))="s1",IF($BB244=Spécificité1Bovins,1)),
AND(INDEX(Règles_bovins[Specificite],MATCH(ChoixRationBovins&amp;$BB244,Règles_bovins[Ration]&amp;Règles_bovins[Aliment],0))="s2",IF($BB244=Spécificité2Bovins,1)),
INDEX(Règles_bovins[Specificite],MATCH(ChoixRationBovins&amp;$BB244,Règles_bovins[Ration]&amp;Règles_bovins[Aliment],0))="c"),
INDEX(Règles_bovins[Valeur 36 et plus],MATCH(ChoixRationBovins&amp;$BB244,Règles_bovins[Ration]&amp;Règles_bovins[Aliment],0)),0),0)*IF(ChoixBovinsPréHiver=OUI,TotalVachesRacesLaitières,TotalVaches*NbreJoursNourrirBovins))</f>
        <v>0</v>
      </c>
      <c r="BD244" s="351">
        <f t="array" ref="BD244">IF(Ration_complète_bovins[somme]&gt;0,0,IFERROR(IF(OR(AND(INDEX(Règles_bovins[Specificite],MATCH(ChoixRationBovins&amp;$BB244,Règles_bovins[Ration]&amp;Règles_bovins[Aliment],0))="s1",IF($BB244=Spécificité1Bovins,1)),
AND(INDEX(Règles_bovins[Specificite],MATCH(ChoixRationBovins&amp;$BB244,Règles_bovins[Ration]&amp;Règles_bovins[Aliment],0))="s2",IF($BB244=Spécificité2Bovins,1)),
INDEX(Règles_bovins[Specificite],MATCH(ChoixRationBovins&amp;$BB244,Règles_bovins[Ration]&amp;Règles_bovins[Aliment],0))="c"),
INDEX(Règles_bovins[Valeur 24-36],MATCH(ChoixRationBovins&amp;$BB244,Règles_bovins[Ration]&amp;Règles_bovins[Aliment],0)),0),0)*IF(ChoixBovinsPréHiver=OUI,TotalGénisse_24_36_RacesLaitières,TotalBovinsFemelles_24_36mois*NbreJoursNourrirBovins))</f>
        <v>0</v>
      </c>
      <c r="BE244" s="351">
        <f t="array" ref="BE244">IF(Ration_complète_bovins[somme]&gt;0,0,IFERROR(IF(OR(AND(INDEX(Règles_bovins[Specificite],MATCH(ChoixRationBovins&amp;$BB244,Règles_bovins[Ration]&amp;Règles_bovins[Aliment],0))="s1",IF($BB244=Spécificité1Bovins,1)),
AND(INDEX(Règles_bovins[Specificite],MATCH(ChoixRationBovins&amp;$BB244,Règles_bovins[Ration]&amp;Règles_bovins[Aliment],0))="s2",IF($BB244=Spécificité2Bovins,1)),
INDEX(Règles_bovins[Specificite],MATCH(ChoixRationBovins&amp;$BB244,Règles_bovins[Ration]&amp;Règles_bovins[Aliment],0))="c"),
INDEX(Règles_bovins[Valeur 18-24],MATCH(ChoixRationBovins&amp;$BB244,Règles_bovins[Ration]&amp;Règles_bovins[Aliment],0)),0),0)*IF(ChoixBovinsPréHiver=OUI,TotalGénisse_18_24_RacesLaitières,TotalBovinsFemelles_18_24mois*NbreJoursNourrirBovins))</f>
        <v>0</v>
      </c>
      <c r="BF244" s="351">
        <f t="array" ref="BF244">IF(Ration_complète_bovins[somme]&gt;0,0,IFERROR(IF(OR(AND(INDEX(Règles_bovins[Specificite],MATCH(ChoixRationBovins&amp;$BB244,Règles_bovins[Ration]&amp;Règles_bovins[Aliment],0))="s1",IF($BB244=Spécificité1Bovins,1)),
AND(INDEX(Règles_bovins[Specificite],MATCH(ChoixRationBovins&amp;$BB244,Règles_bovins[Ration]&amp;Règles_bovins[Aliment],0))="s2",IF($BB244=Spécificité2Bovins,1)),
INDEX(Règles_bovins[Specificite],MATCH(ChoixRationBovins&amp;$BB244,Règles_bovins[Ration]&amp;Règles_bovins[Aliment],0))="c"),
INDEX(Règles_bovins[Valeur 12-18],MATCH(ChoixRationBovins&amp;$BB244,Règles_bovins[Ration]&amp;Règles_bovins[Aliment],0)),0),0)*IF(ChoixBovinsPréHiver=OUI,TotalGénisse_12_18_RacesLaitières,TotalBovinsFemelles_12_18mois*NbreJoursNourrirBovins))</f>
        <v>0</v>
      </c>
      <c r="BG244" s="351">
        <f t="array" ref="BG244">IF(Ration_complète_bovins[somme]&gt;0,0,IFERROR(IF(OR(AND(INDEX(Règles_bovins[Specificite],MATCH(ChoixRationBovins&amp;$BB244,Règles_bovins[Ration]&amp;Règles_bovins[Aliment],0))="s1",IF($BB244=Spécificité1Bovins,1)),
AND(INDEX(Règles_bovins[Specificite],MATCH(ChoixRationBovins&amp;$BB244,Règles_bovins[Ration]&amp;Règles_bovins[Aliment],0))="s2",IF($BB244=Spécificité2Bovins,1)),
INDEX(Règles_bovins[Specificite],MATCH(ChoixRationBovins&amp;$BB244,Règles_bovins[Ration]&amp;Règles_bovins[Aliment],0))="c"),
INDEX(Règles_bovins[Valeur 6-12],MATCH(ChoixRationBovins&amp;$BB244,Règles_bovins[Ration]&amp;Règles_bovins[Aliment],0)),0),0)*IF(ChoixBovinsPréHiver=OUI,TotalVeauFemelle_6_12_RacesLaitières,TotalBovinsFemelles_6_12mois*NbreJoursNourrirBovins))</f>
        <v>0</v>
      </c>
      <c r="BH244" s="351">
        <f t="array" ref="BH244">IF(Ration_complète_bovins[somme]&gt;0,0,IFERROR(IF(OR(AND(INDEX(Règles_bovins[Specificite],MATCH(ChoixRationBovins&amp;$BB244,Règles_bovins[Ration]&amp;Règles_bovins[Aliment],0))="s1",IF($BB244=Spécificité1Bovins,1)),
AND(INDEX(Règles_bovins[Specificite],MATCH(ChoixRationBovins&amp;$BB244,Règles_bovins[Ration]&amp;Règles_bovins[Aliment],0))="s2",IF($BB244=Spécificité2Bovins,1)),
INDEX(Règles_bovins[Specificite],MATCH(ChoixRationBovins&amp;$BB244,Règles_bovins[Ration]&amp;Règles_bovins[Aliment],0))="c"),
INDEX(Règles_bovins[Valeur 3-6],MATCH(ChoixRationBovins&amp;$BB244,Règles_bovins[Ration]&amp;Règles_bovins[Aliment],0)),0),0)*IF(ChoixBovinsPréHiver=OUI,TotalVeauFemelle_3_6_RacesLaitières,TotalBovinsFemelles_3_6mois*NbreJoursNourrirBovins))</f>
        <v>0</v>
      </c>
      <c r="BI244" s="351">
        <f t="array" ref="BI244">IF(Ration_complète_bovins[somme]&gt;0,0,IFERROR(IF(OR(AND(INDEX(Règles_bovins[Specificite],MATCH(ChoixRationBovins&amp;$BB244,Règles_bovins[Ration]&amp;Règles_bovins[Aliment],0))="s1",IF($BB244=Spécificité1Bovins,1)),
AND(INDEX(Règles_bovins[Specificite],MATCH(ChoixRationBovins&amp;$BB244,Règles_bovins[Ration]&amp;Règles_bovins[Aliment],0))="s2",IF($BB244=Spécificité2Bovins,1)),
INDEX(Règles_bovins[Specificite],MATCH(ChoixRationBovins&amp;$BB244,Règles_bovins[Ration]&amp;Règles_bovins[Aliment],0))="c"),
INDEX(Règles_bovins[Valeur 0-3],MATCH(ChoixRationBovins&amp;$BB244,Règles_bovins[Ration]&amp;Règles_bovins[Aliment],0)),0),0)*IF(ChoixBovinsPréHiver=OUI,TotalVeauFemelle_0_3_RacesLaitières,TotalBovinsFemelles_0_3mois*NbreJoursNourrirBovins))</f>
        <v>0</v>
      </c>
      <c r="BJ244" s="352">
        <f t="shared" si="67"/>
        <v>0</v>
      </c>
      <c r="BK244" s="276"/>
      <c r="BX244" s="277"/>
      <c r="BY244" s="277"/>
      <c r="BZ244" s="277"/>
      <c r="CA244" s="277"/>
      <c r="CB244" s="277"/>
      <c r="CC244" s="277"/>
      <c r="CD244" s="298"/>
      <c r="CE244" s="298"/>
      <c r="CF244" s="298"/>
      <c r="CG244" s="298"/>
      <c r="CH244" s="298"/>
      <c r="CI244" s="277"/>
      <c r="CK244" s="277"/>
      <c r="CL244" s="277"/>
      <c r="CM244" s="277"/>
      <c r="CN244" s="277"/>
      <c r="CO244" s="277"/>
      <c r="CP244" s="277"/>
      <c r="DN244" s="350" t="str">
        <f t="shared" si="70"/>
        <v>Colza</v>
      </c>
      <c r="DO244" s="351">
        <f t="array" ref="DO244">IF(ChoixRationHivernaleOvinsComplète=OUI,0,IFERROR(IF(OR(AND(INDEX(Règles_ovins[Specificite],MATCH(RationHivernaleOvinsAuPré&amp;$DN244,Règles_ovins[Ration]&amp;Règles_ovins[Aliment],0))="s1",IF($DN244=Spécificité1Ovins,1)),
AND(INDEX(Règles_ovins[Specificite],MATCH(RationHivernaleOvinsAuPré&amp;$DN244,Règles_ovins[Ration]&amp;Règles_ovins[Aliment],0))="s2",IF($DN244=Spécificité2Ovins,1)),
INDEX(Règles_ovins[Specificite],MATCH(RationHivernaleOvinsAuPré&amp;$DN244,Règles_ovins[Ration]&amp;Règles_ovins[Aliment],0))="c"),
INDEX(Règles_ovins[Valeur 12 et plus],MATCH(RationHivernaleOvinsAuPré&amp;$DN244,Règles_ovins[Ration]&amp;Règles_ovins[Aliment],0)),0),0)*IF(SUM(TotalOvinsAdultesAuPré)&gt;0,SUM(TotalOvinsAdultesAuPré)*SUM(AD76:AD100),SUM(TotalOvinsAdultes)*SUM(AD76:AD100)))</f>
        <v>0</v>
      </c>
      <c r="DP244" s="351">
        <f t="array" ref="DP244">IF(ChoixRationHivernaleOvinsComplète=OUI,0,IFERROR(IF(OR(AND(INDEX(Règles_ovins[Specificite],MATCH(RationHivernaleOvinsAuPré&amp;$DN244,Règles_ovins[Ration]&amp;Règles_ovins[Aliment],0))="s1",IF($DN244=Spécificité1Ovins,1)),
AND(INDEX(Règles_ovins[Specificite],MATCH(RationHivernaleOvinsAuPré&amp;$DN244,Règles_ovins[Ration]&amp;Règles_ovins[Aliment],0))="s2",IF($DN244=Spécificité2Ovins,1)),
INDEX(Règles_ovins[Specificite],MATCH(RationHivernaleOvinsAuPré&amp;$DN244,Règles_ovins[Ration]&amp;Règles_ovins[Aliment],0))="c"),
INDEX(Règles_ovins[Valeur 6-12],MATCH(RationHivernaleOvinsAuPré&amp;$DN244,Règles_ovins[Ration]&amp;Règles_ovins[Aliment],0)),0),0)*IF(SUM(TotalOvins_6_12moisAuPré)&gt;0,SUM(TotalOvins_6_12moisAuPré)*SUM(AD76:AD100),SUM(TotalJeunesOvins)*SUM(AD76:AD100)))</f>
        <v>0</v>
      </c>
      <c r="DQ244" s="351">
        <f t="array" ref="DQ244">IF(ChoixRationHivernaleOvinsComplète=OUI,0,IFERROR(IF(OR(AND(INDEX(Règles_ovins[Specificite],MATCH(RationHivernaleOvinsAuPré&amp;$DN244,Règles_ovins[Ration]&amp;Règles_ovins[Aliment],0))="s1",IF($DN244=Spécificité1Ovins,1)),
AND(INDEX(Règles_ovins[Specificite],MATCH(RationHivernaleOvinsAuPré&amp;$DN244,Règles_ovins[Ration]&amp;Règles_ovins[Aliment],0))="s2",IF($DN244=Spécificité2Ovins,1)),
INDEX(Règles_ovins[Specificite],MATCH(RationHivernaleOvinsAuPré&amp;$DN244,Règles_ovins[Ration]&amp;Règles_ovins[Aliment],0))="c"),
INDEX(Règles_ovins[Valeur 3-6],MATCH(RationHivernaleOvinsAuPré&amp;$DN244,Règles_ovins[Ration]&amp;Règles_ovins[Aliment],0)),0),0)*IF(SUM(TotalOvins_3_6moisAuPré)&gt;0,SUM(TotalOvins_3_6moisAuPré)*SUM(AD76:AD100),SUM(TotalOvins_3_6mois)*SUM(AD76:AD100)))</f>
        <v>0</v>
      </c>
      <c r="DR244" s="351">
        <f t="array" ref="DR244">IF(ChoixRationHivernaleOvinsComplète=OUI,0,IFERROR(IF(OR(AND(INDEX(Règles_ovins[Specificite],MATCH(RationHivernaleOvinsAuPré&amp;$DN244,Règles_ovins[Ration]&amp;Règles_ovins[Aliment],0))="s1",IF($DN244=Spécificité1Ovins,1)),
AND(INDEX(Règles_ovins[Specificite],MATCH(RationHivernaleOvinsAuPré&amp;$DN244,Règles_ovins[Ration]&amp;Règles_ovins[Aliment],0))="s2",IF($DN244=Spécificité2Ovins,1)),
INDEX(Règles_ovins[Specificite],MATCH(RationHivernaleOvinsAuPré&amp;$DN244,Règles_ovins[Ration]&amp;Règles_ovins[Aliment],0))="c"),
INDEX(Règles_ovins[Valeur 0-3],MATCH(RationHivernaleOvinsAuPré&amp;$DN244,Règles_ovins[Ration]&amp;Règles_ovins[Aliment],0)),0),0)*IF(SUM(TotalOvins_0_3moisAuPré)&gt;0,SUM(TotalOvins_0_3moisAuPré)*SUM(AD76:AD100),SUM(TotalOvins_3_6mois)*SUM(AD76:AD100)))</f>
        <v>0</v>
      </c>
      <c r="DS244" s="441">
        <f t="shared" si="69"/>
        <v>0</v>
      </c>
      <c r="FN244" s="281"/>
      <c r="FO244" s="281"/>
      <c r="FP244" s="281"/>
      <c r="FQ244" s="281"/>
      <c r="FR244" s="281"/>
      <c r="GG244" s="276" t="s">
        <v>955</v>
      </c>
      <c r="GH244" s="276" t="s">
        <v>955</v>
      </c>
      <c r="GI244" s="276" t="s">
        <v>955</v>
      </c>
      <c r="GJ244" s="276" t="s">
        <v>955</v>
      </c>
      <c r="GK244" s="276" t="s">
        <v>955</v>
      </c>
      <c r="GL244" s="276" t="s">
        <v>955</v>
      </c>
      <c r="GM244" s="276" t="s">
        <v>955</v>
      </c>
      <c r="GN244" s="276" t="s">
        <v>955</v>
      </c>
      <c r="GO244" s="276" t="s">
        <v>955</v>
      </c>
      <c r="GP244" s="276" t="s">
        <v>955</v>
      </c>
      <c r="GQ244" s="276" t="s">
        <v>955</v>
      </c>
      <c r="GR244" s="276" t="s">
        <v>955</v>
      </c>
      <c r="GS244" s="276" t="s">
        <v>955</v>
      </c>
      <c r="GT244" s="276" t="s">
        <v>955</v>
      </c>
      <c r="GU244" s="276" t="s">
        <v>955</v>
      </c>
      <c r="GV244" s="276" t="s">
        <v>955</v>
      </c>
    </row>
    <row r="245" spans="1:204" ht="12.75" customHeight="1" x14ac:dyDescent="0.2">
      <c r="A245" s="276"/>
      <c r="B245" s="276"/>
      <c r="BB245" s="350" t="str">
        <f t="shared" si="68"/>
        <v>concentré jeunes porcins</v>
      </c>
      <c r="BC245" s="351">
        <f t="array" ref="BC245">IF(Ration_complète_bovins[somme]&gt;0,0,IFERROR(IF(OR(AND(INDEX(Règles_bovins[Specificite],MATCH(ChoixRationBovins&amp;$BB245,Règles_bovins[Ration]&amp;Règles_bovins[Aliment],0))="s1",IF($BB245=Spécificité1Bovins,1)),
AND(INDEX(Règles_bovins[Specificite],MATCH(ChoixRationBovins&amp;$BB245,Règles_bovins[Ration]&amp;Règles_bovins[Aliment],0))="s2",IF($BB245=Spécificité2Bovins,1)),
INDEX(Règles_bovins[Specificite],MATCH(ChoixRationBovins&amp;$BB245,Règles_bovins[Ration]&amp;Règles_bovins[Aliment],0))="c"),
INDEX(Règles_bovins[Valeur 36 et plus],MATCH(ChoixRationBovins&amp;$BB245,Règles_bovins[Ration]&amp;Règles_bovins[Aliment],0)),0),0)*IF(ChoixBovinsPréHiver=OUI,TotalVachesRacesLaitières,TotalVaches*NbreJoursNourrirBovins))</f>
        <v>0</v>
      </c>
      <c r="BD245" s="351">
        <f t="array" ref="BD245">IF(Ration_complète_bovins[somme]&gt;0,0,IFERROR(IF(OR(AND(INDEX(Règles_bovins[Specificite],MATCH(ChoixRationBovins&amp;$BB245,Règles_bovins[Ration]&amp;Règles_bovins[Aliment],0))="s1",IF($BB245=Spécificité1Bovins,1)),
AND(INDEX(Règles_bovins[Specificite],MATCH(ChoixRationBovins&amp;$BB245,Règles_bovins[Ration]&amp;Règles_bovins[Aliment],0))="s2",IF($BB245=Spécificité2Bovins,1)),
INDEX(Règles_bovins[Specificite],MATCH(ChoixRationBovins&amp;$BB245,Règles_bovins[Ration]&amp;Règles_bovins[Aliment],0))="c"),
INDEX(Règles_bovins[Valeur 24-36],MATCH(ChoixRationBovins&amp;$BB245,Règles_bovins[Ration]&amp;Règles_bovins[Aliment],0)),0),0)*IF(ChoixBovinsPréHiver=OUI,TotalGénisse_24_36_RacesLaitières,TotalBovinsFemelles_24_36mois*NbreJoursNourrirBovins))</f>
        <v>0</v>
      </c>
      <c r="BE245" s="351">
        <f t="array" ref="BE245">IF(Ration_complète_bovins[somme]&gt;0,0,IFERROR(IF(OR(AND(INDEX(Règles_bovins[Specificite],MATCH(ChoixRationBovins&amp;$BB245,Règles_bovins[Ration]&amp;Règles_bovins[Aliment],0))="s1",IF($BB245=Spécificité1Bovins,1)),
AND(INDEX(Règles_bovins[Specificite],MATCH(ChoixRationBovins&amp;$BB245,Règles_bovins[Ration]&amp;Règles_bovins[Aliment],0))="s2",IF($BB245=Spécificité2Bovins,1)),
INDEX(Règles_bovins[Specificite],MATCH(ChoixRationBovins&amp;$BB245,Règles_bovins[Ration]&amp;Règles_bovins[Aliment],0))="c"),
INDEX(Règles_bovins[Valeur 18-24],MATCH(ChoixRationBovins&amp;$BB245,Règles_bovins[Ration]&amp;Règles_bovins[Aliment],0)),0),0)*IF(ChoixBovinsPréHiver=OUI,TotalGénisse_18_24_RacesLaitières,TotalBovinsFemelles_18_24mois*NbreJoursNourrirBovins))</f>
        <v>0</v>
      </c>
      <c r="BF245" s="351">
        <f t="array" ref="BF245">IF(Ration_complète_bovins[somme]&gt;0,0,IFERROR(IF(OR(AND(INDEX(Règles_bovins[Specificite],MATCH(ChoixRationBovins&amp;$BB245,Règles_bovins[Ration]&amp;Règles_bovins[Aliment],0))="s1",IF($BB245=Spécificité1Bovins,1)),
AND(INDEX(Règles_bovins[Specificite],MATCH(ChoixRationBovins&amp;$BB245,Règles_bovins[Ration]&amp;Règles_bovins[Aliment],0))="s2",IF($BB245=Spécificité2Bovins,1)),
INDEX(Règles_bovins[Specificite],MATCH(ChoixRationBovins&amp;$BB245,Règles_bovins[Ration]&amp;Règles_bovins[Aliment],0))="c"),
INDEX(Règles_bovins[Valeur 12-18],MATCH(ChoixRationBovins&amp;$BB245,Règles_bovins[Ration]&amp;Règles_bovins[Aliment],0)),0),0)*IF(ChoixBovinsPréHiver=OUI,TotalGénisse_12_18_RacesLaitières,TotalBovinsFemelles_12_18mois*NbreJoursNourrirBovins))</f>
        <v>0</v>
      </c>
      <c r="BG245" s="351">
        <f t="array" ref="BG245">IF(Ration_complète_bovins[somme]&gt;0,0,IFERROR(IF(OR(AND(INDEX(Règles_bovins[Specificite],MATCH(ChoixRationBovins&amp;$BB245,Règles_bovins[Ration]&amp;Règles_bovins[Aliment],0))="s1",IF($BB245=Spécificité1Bovins,1)),
AND(INDEX(Règles_bovins[Specificite],MATCH(ChoixRationBovins&amp;$BB245,Règles_bovins[Ration]&amp;Règles_bovins[Aliment],0))="s2",IF($BB245=Spécificité2Bovins,1)),
INDEX(Règles_bovins[Specificite],MATCH(ChoixRationBovins&amp;$BB245,Règles_bovins[Ration]&amp;Règles_bovins[Aliment],0))="c"),
INDEX(Règles_bovins[Valeur 6-12],MATCH(ChoixRationBovins&amp;$BB245,Règles_bovins[Ration]&amp;Règles_bovins[Aliment],0)),0),0)*IF(ChoixBovinsPréHiver=OUI,TotalVeauFemelle_6_12_RacesLaitières,TotalBovinsFemelles_6_12mois*NbreJoursNourrirBovins))</f>
        <v>0</v>
      </c>
      <c r="BH245" s="351">
        <f t="array" ref="BH245">IF(Ration_complète_bovins[somme]&gt;0,0,IFERROR(IF(OR(AND(INDEX(Règles_bovins[Specificite],MATCH(ChoixRationBovins&amp;$BB245,Règles_bovins[Ration]&amp;Règles_bovins[Aliment],0))="s1",IF($BB245=Spécificité1Bovins,1)),
AND(INDEX(Règles_bovins[Specificite],MATCH(ChoixRationBovins&amp;$BB245,Règles_bovins[Ration]&amp;Règles_bovins[Aliment],0))="s2",IF($BB245=Spécificité2Bovins,1)),
INDEX(Règles_bovins[Specificite],MATCH(ChoixRationBovins&amp;$BB245,Règles_bovins[Ration]&amp;Règles_bovins[Aliment],0))="c"),
INDEX(Règles_bovins[Valeur 3-6],MATCH(ChoixRationBovins&amp;$BB245,Règles_bovins[Ration]&amp;Règles_bovins[Aliment],0)),0),0)*IF(ChoixBovinsPréHiver=OUI,TotalVeauFemelle_3_6_RacesLaitières,TotalBovinsFemelles_3_6mois*NbreJoursNourrirBovins))</f>
        <v>0</v>
      </c>
      <c r="BI245" s="351">
        <f t="array" ref="BI245">IF(Ration_complète_bovins[somme]&gt;0,0,IFERROR(IF(OR(AND(INDEX(Règles_bovins[Specificite],MATCH(ChoixRationBovins&amp;$BB245,Règles_bovins[Ration]&amp;Règles_bovins[Aliment],0))="s1",IF($BB245=Spécificité1Bovins,1)),
AND(INDEX(Règles_bovins[Specificite],MATCH(ChoixRationBovins&amp;$BB245,Règles_bovins[Ration]&amp;Règles_bovins[Aliment],0))="s2",IF($BB245=Spécificité2Bovins,1)),
INDEX(Règles_bovins[Specificite],MATCH(ChoixRationBovins&amp;$BB245,Règles_bovins[Ration]&amp;Règles_bovins[Aliment],0))="c"),
INDEX(Règles_bovins[Valeur 0-3],MATCH(ChoixRationBovins&amp;$BB245,Règles_bovins[Ration]&amp;Règles_bovins[Aliment],0)),0),0)*IF(ChoixBovinsPréHiver=OUI,TotalVeauFemelle_0_3_RacesLaitières,TotalBovinsFemelles_0_3mois*NbreJoursNourrirBovins))</f>
        <v>0</v>
      </c>
      <c r="BJ245" s="352">
        <f t="shared" si="67"/>
        <v>0</v>
      </c>
      <c r="BK245" s="276"/>
      <c r="BX245" s="277"/>
      <c r="BY245" s="277"/>
      <c r="BZ245" s="277"/>
      <c r="CA245" s="277"/>
      <c r="CB245" s="277"/>
      <c r="CC245" s="277"/>
      <c r="CD245" s="298"/>
      <c r="CE245" s="298"/>
      <c r="CF245" s="298"/>
      <c r="CG245" s="298"/>
      <c r="CH245" s="298"/>
      <c r="CI245" s="277"/>
      <c r="CK245" s="277"/>
      <c r="CL245" s="277"/>
      <c r="CM245" s="277"/>
      <c r="CN245" s="277"/>
      <c r="CO245" s="277"/>
      <c r="CP245" s="277"/>
      <c r="DN245" s="350" t="str">
        <f t="shared" si="70"/>
        <v>concentré jeunes bovins</v>
      </c>
      <c r="DO245" s="351">
        <f t="array" ref="DO245">IF(ChoixRationHivernaleOvinsComplète=OUI,0,IFERROR(IF(OR(AND(INDEX(Règles_ovins[Specificite],MATCH(RationHivernaleOvinsAuPré&amp;$DN245,Règles_ovins[Ration]&amp;Règles_ovins[Aliment],0))="s1",IF($DN245=Spécificité1Ovins,1)),
AND(INDEX(Règles_ovins[Specificite],MATCH(RationHivernaleOvinsAuPré&amp;$DN245,Règles_ovins[Ration]&amp;Règles_ovins[Aliment],0))="s2",IF($DN245=Spécificité2Ovins,1)),
INDEX(Règles_ovins[Specificite],MATCH(RationHivernaleOvinsAuPré&amp;$DN245,Règles_ovins[Ration]&amp;Règles_ovins[Aliment],0))="c"),
INDEX(Règles_ovins[Valeur 12 et plus],MATCH(RationHivernaleOvinsAuPré&amp;$DN245,Règles_ovins[Ration]&amp;Règles_ovins[Aliment],0)),0),0)*IF(SUM(TotalOvinsAdultesAuPré)&gt;0,SUM(TotalOvinsAdultesAuPré)*SUM(AD76:AD100),SUM(TotalOvinsAdultes)*SUM(AD76:AD100)))</f>
        <v>0</v>
      </c>
      <c r="DP245" s="351">
        <f t="array" ref="DP245">IF(ChoixRationHivernaleOvinsComplète=OUI,0,IFERROR(IF(OR(AND(INDEX(Règles_ovins[Specificite],MATCH(RationHivernaleOvinsAuPré&amp;$DN245,Règles_ovins[Ration]&amp;Règles_ovins[Aliment],0))="s1",IF($DN245=Spécificité1Ovins,1)),
AND(INDEX(Règles_ovins[Specificite],MATCH(RationHivernaleOvinsAuPré&amp;$DN245,Règles_ovins[Ration]&amp;Règles_ovins[Aliment],0))="s2",IF($DN245=Spécificité2Ovins,1)),
INDEX(Règles_ovins[Specificite],MATCH(RationHivernaleOvinsAuPré&amp;$DN245,Règles_ovins[Ration]&amp;Règles_ovins[Aliment],0))="c"),
INDEX(Règles_ovins[Valeur 6-12],MATCH(RationHivernaleOvinsAuPré&amp;$DN245,Règles_ovins[Ration]&amp;Règles_ovins[Aliment],0)),0),0)*IF(SUM(TotalOvins_6_12moisAuPré)&gt;0,SUM(TotalOvins_6_12moisAuPré)*SUM(AD76:AD100),SUM(TotalJeunesOvins)*SUM(AD76:AD100)))</f>
        <v>0</v>
      </c>
      <c r="DQ245" s="351">
        <f t="array" ref="DQ245">IF(ChoixRationHivernaleOvinsComplète=OUI,0,IFERROR(IF(OR(AND(INDEX(Règles_ovins[Specificite],MATCH(RationHivernaleOvinsAuPré&amp;$DN245,Règles_ovins[Ration]&amp;Règles_ovins[Aliment],0))="s1",IF($DN245=Spécificité1Ovins,1)),
AND(INDEX(Règles_ovins[Specificite],MATCH(RationHivernaleOvinsAuPré&amp;$DN245,Règles_ovins[Ration]&amp;Règles_ovins[Aliment],0))="s2",IF($DN245=Spécificité2Ovins,1)),
INDEX(Règles_ovins[Specificite],MATCH(RationHivernaleOvinsAuPré&amp;$DN245,Règles_ovins[Ration]&amp;Règles_ovins[Aliment],0))="c"),
INDEX(Règles_ovins[Valeur 3-6],MATCH(RationHivernaleOvinsAuPré&amp;$DN245,Règles_ovins[Ration]&amp;Règles_ovins[Aliment],0)),0),0)*IF(SUM(TotalOvins_3_6moisAuPré)&gt;0,SUM(TotalOvins_3_6moisAuPré)*SUM(AD76:AD100),SUM(TotalOvins_3_6mois)*SUM(AD76:AD100)))</f>
        <v>0</v>
      </c>
      <c r="DR245" s="351">
        <f t="array" ref="DR245">IF(ChoixRationHivernaleOvinsComplète=OUI,0,IFERROR(IF(OR(AND(INDEX(Règles_ovins[Specificite],MATCH(RationHivernaleOvinsAuPré&amp;$DN245,Règles_ovins[Ration]&amp;Règles_ovins[Aliment],0))="s1",IF($DN245=Spécificité1Ovins,1)),
AND(INDEX(Règles_ovins[Specificite],MATCH(RationHivernaleOvinsAuPré&amp;$DN245,Règles_ovins[Ration]&amp;Règles_ovins[Aliment],0))="s2",IF($DN245=Spécificité2Ovins,1)),
INDEX(Règles_ovins[Specificite],MATCH(RationHivernaleOvinsAuPré&amp;$DN245,Règles_ovins[Ration]&amp;Règles_ovins[Aliment],0))="c"),
INDEX(Règles_ovins[Valeur 0-3],MATCH(RationHivernaleOvinsAuPré&amp;$DN245,Règles_ovins[Ration]&amp;Règles_ovins[Aliment],0)),0),0)*IF(SUM(TotalOvins_0_3moisAuPré)&gt;0,SUM(TotalOvins_0_3moisAuPré)*SUM(AD76:AD100),SUM(TotalOvins_3_6mois)*SUM(AD76:AD100)))</f>
        <v>0</v>
      </c>
      <c r="DS245" s="441">
        <f t="shared" si="69"/>
        <v>0</v>
      </c>
      <c r="FN245" s="281"/>
      <c r="FO245" s="281"/>
      <c r="FP245" s="281"/>
      <c r="FQ245" s="281"/>
      <c r="FR245" s="281"/>
      <c r="GG245" s="276" t="s">
        <v>955</v>
      </c>
      <c r="GH245" s="276" t="s">
        <v>955</v>
      </c>
      <c r="GI245" s="276" t="s">
        <v>955</v>
      </c>
      <c r="GJ245" s="276" t="s">
        <v>955</v>
      </c>
      <c r="GK245" s="276" t="s">
        <v>955</v>
      </c>
      <c r="GL245" s="276" t="s">
        <v>955</v>
      </c>
      <c r="GM245" s="276" t="s">
        <v>955</v>
      </c>
      <c r="GN245" s="276" t="s">
        <v>955</v>
      </c>
      <c r="GO245" s="276" t="s">
        <v>955</v>
      </c>
      <c r="GP245" s="276" t="s">
        <v>955</v>
      </c>
      <c r="GQ245" s="276" t="s">
        <v>955</v>
      </c>
      <c r="GR245" s="276" t="s">
        <v>955</v>
      </c>
      <c r="GS245" s="276" t="s">
        <v>955</v>
      </c>
      <c r="GT245" s="276" t="s">
        <v>955</v>
      </c>
      <c r="GU245" s="276" t="s">
        <v>955</v>
      </c>
      <c r="GV245" s="276" t="s">
        <v>955</v>
      </c>
    </row>
    <row r="246" spans="1:204" ht="12.75" customHeight="1" x14ac:dyDescent="0.2">
      <c r="A246" s="276"/>
      <c r="B246" s="276"/>
      <c r="BB246" s="350" t="str">
        <f t="shared" si="68"/>
        <v>Ensilage d'herbe</v>
      </c>
      <c r="BC246" s="351">
        <f t="array" ref="BC246">IF(Ration_complète_bovins[somme]&gt;0,0,IFERROR(IF(OR(AND(INDEX(Règles_bovins[Specificite],MATCH(ChoixRationBovins&amp;$BB246,Règles_bovins[Ration]&amp;Règles_bovins[Aliment],0))="s1",IF($BB246=Spécificité1Bovins,1)),
AND(INDEX(Règles_bovins[Specificite],MATCH(ChoixRationBovins&amp;$BB246,Règles_bovins[Ration]&amp;Règles_bovins[Aliment],0))="s2",IF($BB246=Spécificité2Bovins,1)),
INDEX(Règles_bovins[Specificite],MATCH(ChoixRationBovins&amp;$BB246,Règles_bovins[Ration]&amp;Règles_bovins[Aliment],0))="c"),
INDEX(Règles_bovins[Valeur 36 et plus],MATCH(ChoixRationBovins&amp;$BB246,Règles_bovins[Ration]&amp;Règles_bovins[Aliment],0)),0),0)*IF(ChoixBovinsPréHiver=OUI,TotalVachesRacesLaitières,TotalVaches*NbreJoursNourrirBovins))</f>
        <v>0</v>
      </c>
      <c r="BD246" s="351">
        <f t="array" ref="BD246">IF(Ration_complète_bovins[somme]&gt;0,0,IFERROR(IF(OR(AND(INDEX(Règles_bovins[Specificite],MATCH(ChoixRationBovins&amp;$BB246,Règles_bovins[Ration]&amp;Règles_bovins[Aliment],0))="s1",IF($BB246=Spécificité1Bovins,1)),
AND(INDEX(Règles_bovins[Specificite],MATCH(ChoixRationBovins&amp;$BB246,Règles_bovins[Ration]&amp;Règles_bovins[Aliment],0))="s2",IF($BB246=Spécificité2Bovins,1)),
INDEX(Règles_bovins[Specificite],MATCH(ChoixRationBovins&amp;$BB246,Règles_bovins[Ration]&amp;Règles_bovins[Aliment],0))="c"),
INDEX(Règles_bovins[Valeur 24-36],MATCH(ChoixRationBovins&amp;$BB246,Règles_bovins[Ration]&amp;Règles_bovins[Aliment],0)),0),0)*IF(ChoixBovinsPréHiver=OUI,TotalGénisse_24_36_RacesLaitières,TotalBovinsFemelles_24_36mois*NbreJoursNourrirBovins))</f>
        <v>0</v>
      </c>
      <c r="BE246" s="351">
        <f t="array" ref="BE246">IF(Ration_complète_bovins[somme]&gt;0,0,IFERROR(IF(OR(AND(INDEX(Règles_bovins[Specificite],MATCH(ChoixRationBovins&amp;$BB246,Règles_bovins[Ration]&amp;Règles_bovins[Aliment],0))="s1",IF($BB246=Spécificité1Bovins,1)),
AND(INDEX(Règles_bovins[Specificite],MATCH(ChoixRationBovins&amp;$BB246,Règles_bovins[Ration]&amp;Règles_bovins[Aliment],0))="s2",IF($BB246=Spécificité2Bovins,1)),
INDEX(Règles_bovins[Specificite],MATCH(ChoixRationBovins&amp;$BB246,Règles_bovins[Ration]&amp;Règles_bovins[Aliment],0))="c"),
INDEX(Règles_bovins[Valeur 18-24],MATCH(ChoixRationBovins&amp;$BB246,Règles_bovins[Ration]&amp;Règles_bovins[Aliment],0)),0),0)*IF(ChoixBovinsPréHiver=OUI,TotalGénisse_18_24_RacesLaitières,TotalBovinsFemelles_18_24mois*NbreJoursNourrirBovins))</f>
        <v>0</v>
      </c>
      <c r="BF246" s="351">
        <f t="array" ref="BF246">IF(Ration_complète_bovins[somme]&gt;0,0,IFERROR(IF(OR(AND(INDEX(Règles_bovins[Specificite],MATCH(ChoixRationBovins&amp;$BB246,Règles_bovins[Ration]&amp;Règles_bovins[Aliment],0))="s1",IF($BB246=Spécificité1Bovins,1)),
AND(INDEX(Règles_bovins[Specificite],MATCH(ChoixRationBovins&amp;$BB246,Règles_bovins[Ration]&amp;Règles_bovins[Aliment],0))="s2",IF($BB246=Spécificité2Bovins,1)),
INDEX(Règles_bovins[Specificite],MATCH(ChoixRationBovins&amp;$BB246,Règles_bovins[Ration]&amp;Règles_bovins[Aliment],0))="c"),
INDEX(Règles_bovins[Valeur 12-18],MATCH(ChoixRationBovins&amp;$BB246,Règles_bovins[Ration]&amp;Règles_bovins[Aliment],0)),0),0)*IF(ChoixBovinsPréHiver=OUI,TotalGénisse_12_18_RacesLaitières,TotalBovinsFemelles_12_18mois*NbreJoursNourrirBovins))</f>
        <v>0</v>
      </c>
      <c r="BG246" s="351">
        <f t="array" ref="BG246">IF(Ration_complète_bovins[somme]&gt;0,0,IFERROR(IF(OR(AND(INDEX(Règles_bovins[Specificite],MATCH(ChoixRationBovins&amp;$BB246,Règles_bovins[Ration]&amp;Règles_bovins[Aliment],0))="s1",IF($BB246=Spécificité1Bovins,1)),
AND(INDEX(Règles_bovins[Specificite],MATCH(ChoixRationBovins&amp;$BB246,Règles_bovins[Ration]&amp;Règles_bovins[Aliment],0))="s2",IF($BB246=Spécificité2Bovins,1)),
INDEX(Règles_bovins[Specificite],MATCH(ChoixRationBovins&amp;$BB246,Règles_bovins[Ration]&amp;Règles_bovins[Aliment],0))="c"),
INDEX(Règles_bovins[Valeur 6-12],MATCH(ChoixRationBovins&amp;$BB246,Règles_bovins[Ration]&amp;Règles_bovins[Aliment],0)),0),0)*IF(ChoixBovinsPréHiver=OUI,TotalVeauFemelle_6_12_RacesLaitières,TotalBovinsFemelles_6_12mois*NbreJoursNourrirBovins))</f>
        <v>0</v>
      </c>
      <c r="BH246" s="351">
        <f t="array" ref="BH246">IF(Ration_complète_bovins[somme]&gt;0,0,IFERROR(IF(OR(AND(INDEX(Règles_bovins[Specificite],MATCH(ChoixRationBovins&amp;$BB246,Règles_bovins[Ration]&amp;Règles_bovins[Aliment],0))="s1",IF($BB246=Spécificité1Bovins,1)),
AND(INDEX(Règles_bovins[Specificite],MATCH(ChoixRationBovins&amp;$BB246,Règles_bovins[Ration]&amp;Règles_bovins[Aliment],0))="s2",IF($BB246=Spécificité2Bovins,1)),
INDEX(Règles_bovins[Specificite],MATCH(ChoixRationBovins&amp;$BB246,Règles_bovins[Ration]&amp;Règles_bovins[Aliment],0))="c"),
INDEX(Règles_bovins[Valeur 3-6],MATCH(ChoixRationBovins&amp;$BB246,Règles_bovins[Ration]&amp;Règles_bovins[Aliment],0)),0),0)*IF(ChoixBovinsPréHiver=OUI,TotalVeauFemelle_3_6_RacesLaitières,TotalBovinsFemelles_3_6mois*NbreJoursNourrirBovins))</f>
        <v>0</v>
      </c>
      <c r="BI246" s="351">
        <f t="array" ref="BI246">IF(Ration_complète_bovins[somme]&gt;0,0,IFERROR(IF(OR(AND(INDEX(Règles_bovins[Specificite],MATCH(ChoixRationBovins&amp;$BB246,Règles_bovins[Ration]&amp;Règles_bovins[Aliment],0))="s1",IF($BB246=Spécificité1Bovins,1)),
AND(INDEX(Règles_bovins[Specificite],MATCH(ChoixRationBovins&amp;$BB246,Règles_bovins[Ration]&amp;Règles_bovins[Aliment],0))="s2",IF($BB246=Spécificité2Bovins,1)),
INDEX(Règles_bovins[Specificite],MATCH(ChoixRationBovins&amp;$BB246,Règles_bovins[Ration]&amp;Règles_bovins[Aliment],0))="c"),
INDEX(Règles_bovins[Valeur 0-3],MATCH(ChoixRationBovins&amp;$BB246,Règles_bovins[Ration]&amp;Règles_bovins[Aliment],0)),0),0)*IF(ChoixBovinsPréHiver=OUI,TotalVeauFemelle_0_3_RacesLaitières,TotalBovinsFemelles_0_3mois*NbreJoursNourrirBovins))</f>
        <v>0</v>
      </c>
      <c r="BJ246" s="352">
        <f t="shared" si="67"/>
        <v>0</v>
      </c>
      <c r="BK246" s="276"/>
      <c r="BX246" s="277"/>
      <c r="BY246" s="277"/>
      <c r="BZ246" s="277"/>
      <c r="CA246" s="277"/>
      <c r="CB246" s="277"/>
      <c r="CC246" s="277"/>
      <c r="CD246" s="298"/>
      <c r="CE246" s="298"/>
      <c r="CF246" s="298"/>
      <c r="CG246" s="298"/>
      <c r="CI246" s="277"/>
      <c r="CK246" s="277"/>
      <c r="CL246" s="277"/>
      <c r="CM246" s="277"/>
      <c r="CN246" s="277"/>
      <c r="CO246" s="277"/>
      <c r="CP246" s="277"/>
      <c r="DN246" s="350" t="str">
        <f t="shared" si="70"/>
        <v>concentré jeunes lapins</v>
      </c>
      <c r="DO246" s="351">
        <f t="array" ref="DO246">IF(ChoixRationHivernaleOvinsComplète=OUI,0,IFERROR(IF(OR(AND(INDEX(Règles_ovins[Specificite],MATCH(RationHivernaleOvinsAuPré&amp;$DN246,Règles_ovins[Ration]&amp;Règles_ovins[Aliment],0))="s1",IF($DN246=Spécificité1Ovins,1)),
AND(INDEX(Règles_ovins[Specificite],MATCH(RationHivernaleOvinsAuPré&amp;$DN246,Règles_ovins[Ration]&amp;Règles_ovins[Aliment],0))="s2",IF($DN246=Spécificité2Ovins,1)),
INDEX(Règles_ovins[Specificite],MATCH(RationHivernaleOvinsAuPré&amp;$DN246,Règles_ovins[Ration]&amp;Règles_ovins[Aliment],0))="c"),
INDEX(Règles_ovins[Valeur 12 et plus],MATCH(RationHivernaleOvinsAuPré&amp;$DN246,Règles_ovins[Ration]&amp;Règles_ovins[Aliment],0)),0),0)*IF(SUM(TotalOvinsAdultesAuPré)&gt;0,SUM(TotalOvinsAdultesAuPré)*SUM(AD76:AD100),SUM(TotalOvinsAdultes)*SUM(AD76:AD100)))</f>
        <v>0</v>
      </c>
      <c r="DP246" s="351">
        <f t="array" ref="DP246">IF(ChoixRationHivernaleOvinsComplète=OUI,0,IFERROR(IF(OR(AND(INDEX(Règles_ovins[Specificite],MATCH(RationHivernaleOvinsAuPré&amp;$DN246,Règles_ovins[Ration]&amp;Règles_ovins[Aliment],0))="s1",IF($DN246=Spécificité1Ovins,1)),
AND(INDEX(Règles_ovins[Specificite],MATCH(RationHivernaleOvinsAuPré&amp;$DN246,Règles_ovins[Ration]&amp;Règles_ovins[Aliment],0))="s2",IF($DN246=Spécificité2Ovins,1)),
INDEX(Règles_ovins[Specificite],MATCH(RationHivernaleOvinsAuPré&amp;$DN246,Règles_ovins[Ration]&amp;Règles_ovins[Aliment],0))="c"),
INDEX(Règles_ovins[Valeur 6-12],MATCH(RationHivernaleOvinsAuPré&amp;$DN246,Règles_ovins[Ration]&amp;Règles_ovins[Aliment],0)),0),0)*IF(SUM(TotalOvins_6_12moisAuPré)&gt;0,SUM(TotalOvins_6_12moisAuPré)*SUM(AD76:AD100),SUM(TotalJeunesOvins)*SUM(AD76:AD100)))</f>
        <v>0</v>
      </c>
      <c r="DQ246" s="351">
        <f t="array" ref="DQ246">IF(ChoixRationHivernaleOvinsComplète=OUI,0,IFERROR(IF(OR(AND(INDEX(Règles_ovins[Specificite],MATCH(RationHivernaleOvinsAuPré&amp;$DN246,Règles_ovins[Ration]&amp;Règles_ovins[Aliment],0))="s1",IF($DN246=Spécificité1Ovins,1)),
AND(INDEX(Règles_ovins[Specificite],MATCH(RationHivernaleOvinsAuPré&amp;$DN246,Règles_ovins[Ration]&amp;Règles_ovins[Aliment],0))="s2",IF($DN246=Spécificité2Ovins,1)),
INDEX(Règles_ovins[Specificite],MATCH(RationHivernaleOvinsAuPré&amp;$DN246,Règles_ovins[Ration]&amp;Règles_ovins[Aliment],0))="c"),
INDEX(Règles_ovins[Valeur 3-6],MATCH(RationHivernaleOvinsAuPré&amp;$DN246,Règles_ovins[Ration]&amp;Règles_ovins[Aliment],0)),0),0)*IF(SUM(TotalOvins_3_6moisAuPré)&gt;0,SUM(TotalOvins_3_6moisAuPré)*SUM(AD76:AD100),SUM(TotalOvins_3_6mois)*SUM(AD76:AD100)))</f>
        <v>0</v>
      </c>
      <c r="DR246" s="351">
        <f t="array" ref="DR246">IF(ChoixRationHivernaleOvinsComplète=OUI,0,IFERROR(IF(OR(AND(INDEX(Règles_ovins[Specificite],MATCH(RationHivernaleOvinsAuPré&amp;$DN246,Règles_ovins[Ration]&amp;Règles_ovins[Aliment],0))="s1",IF($DN246=Spécificité1Ovins,1)),
AND(INDEX(Règles_ovins[Specificite],MATCH(RationHivernaleOvinsAuPré&amp;$DN246,Règles_ovins[Ration]&amp;Règles_ovins[Aliment],0))="s2",IF($DN246=Spécificité2Ovins,1)),
INDEX(Règles_ovins[Specificite],MATCH(RationHivernaleOvinsAuPré&amp;$DN246,Règles_ovins[Ration]&amp;Règles_ovins[Aliment],0))="c"),
INDEX(Règles_ovins[Valeur 0-3],MATCH(RationHivernaleOvinsAuPré&amp;$DN246,Règles_ovins[Ration]&amp;Règles_ovins[Aliment],0)),0),0)*IF(SUM(TotalOvins_0_3moisAuPré)&gt;0,SUM(TotalOvins_0_3moisAuPré)*SUM(AD76:AD100),SUM(TotalOvins_3_6mois)*SUM(AD76:AD100)))</f>
        <v>0</v>
      </c>
      <c r="DS246" s="441">
        <f t="shared" si="69"/>
        <v>0</v>
      </c>
      <c r="FN246" s="281"/>
      <c r="FO246" s="281"/>
      <c r="FP246" s="281"/>
      <c r="FQ246" s="281"/>
      <c r="FR246" s="281"/>
      <c r="GG246" s="276" t="s">
        <v>955</v>
      </c>
      <c r="GH246" s="276" t="s">
        <v>955</v>
      </c>
      <c r="GI246" s="276" t="s">
        <v>955</v>
      </c>
      <c r="GJ246" s="276" t="s">
        <v>955</v>
      </c>
      <c r="GK246" s="276" t="s">
        <v>955</v>
      </c>
      <c r="GL246" s="276" t="s">
        <v>955</v>
      </c>
      <c r="GM246" s="276" t="s">
        <v>955</v>
      </c>
      <c r="GN246" s="276" t="s">
        <v>955</v>
      </c>
      <c r="GO246" s="276" t="s">
        <v>955</v>
      </c>
      <c r="GP246" s="276" t="s">
        <v>955</v>
      </c>
      <c r="GQ246" s="276" t="s">
        <v>955</v>
      </c>
      <c r="GR246" s="276" t="s">
        <v>955</v>
      </c>
      <c r="GS246" s="276" t="s">
        <v>955</v>
      </c>
      <c r="GT246" s="276" t="s">
        <v>955</v>
      </c>
      <c r="GU246" s="276" t="s">
        <v>955</v>
      </c>
      <c r="GV246" s="276" t="s">
        <v>955</v>
      </c>
    </row>
    <row r="247" spans="1:204" ht="12.75" customHeight="1" x14ac:dyDescent="0.2">
      <c r="A247" s="276"/>
      <c r="B247" s="276"/>
      <c r="BB247" s="350" t="str">
        <f t="shared" si="68"/>
        <v>Eau</v>
      </c>
      <c r="BC247" s="351">
        <f t="array" ref="BC247">IF(Ration_complète_bovins[somme]&gt;0,0,IFERROR(IF(OR(AND(INDEX(Règles_bovins[Specificite],MATCH(ChoixRationBovins&amp;$BB247,Règles_bovins[Ration]&amp;Règles_bovins[Aliment],0))="s1",IF($BB247=Spécificité1Bovins,1)),
AND(INDEX(Règles_bovins[Specificite],MATCH(ChoixRationBovins&amp;$BB247,Règles_bovins[Ration]&amp;Règles_bovins[Aliment],0))="s2",IF($BB247=Spécificité2Bovins,1)),
INDEX(Règles_bovins[Specificite],MATCH(ChoixRationBovins&amp;$BB247,Règles_bovins[Ration]&amp;Règles_bovins[Aliment],0))="c"),
INDEX(Règles_bovins[Valeur 36 et plus],MATCH(ChoixRationBovins&amp;$BB247,Règles_bovins[Ration]&amp;Règles_bovins[Aliment],0)),0),0)*IF(ChoixBovinsPréHiver=OUI,TotalVachesRacesLaitières,TotalVaches*NbreJoursNourrirBovins))</f>
        <v>0</v>
      </c>
      <c r="BD247" s="351">
        <f t="array" ref="BD247">IF(Ration_complète_bovins[somme]&gt;0,0,IFERROR(IF(OR(AND(INDEX(Règles_bovins[Specificite],MATCH(ChoixRationBovins&amp;$BB247,Règles_bovins[Ration]&amp;Règles_bovins[Aliment],0))="s1",IF($BB247=Spécificité1Bovins,1)),
AND(INDEX(Règles_bovins[Specificite],MATCH(ChoixRationBovins&amp;$BB247,Règles_bovins[Ration]&amp;Règles_bovins[Aliment],0))="s2",IF($BB247=Spécificité2Bovins,1)),
INDEX(Règles_bovins[Specificite],MATCH(ChoixRationBovins&amp;$BB247,Règles_bovins[Ration]&amp;Règles_bovins[Aliment],0))="c"),
INDEX(Règles_bovins[Valeur 24-36],MATCH(ChoixRationBovins&amp;$BB247,Règles_bovins[Ration]&amp;Règles_bovins[Aliment],0)),0),0)*IF(ChoixBovinsPréHiver=OUI,TotalGénisse_24_36_RacesLaitières,TotalBovinsFemelles_24_36mois*NbreJoursNourrirBovins))</f>
        <v>0</v>
      </c>
      <c r="BE247" s="351">
        <f t="array" ref="BE247">IF(Ration_complète_bovins[somme]&gt;0,0,IFERROR(IF(OR(AND(INDEX(Règles_bovins[Specificite],MATCH(ChoixRationBovins&amp;$BB247,Règles_bovins[Ration]&amp;Règles_bovins[Aliment],0))="s1",IF($BB247=Spécificité1Bovins,1)),
AND(INDEX(Règles_bovins[Specificite],MATCH(ChoixRationBovins&amp;$BB247,Règles_bovins[Ration]&amp;Règles_bovins[Aliment],0))="s2",IF($BB247=Spécificité2Bovins,1)),
INDEX(Règles_bovins[Specificite],MATCH(ChoixRationBovins&amp;$BB247,Règles_bovins[Ration]&amp;Règles_bovins[Aliment],0))="c"),
INDEX(Règles_bovins[Valeur 18-24],MATCH(ChoixRationBovins&amp;$BB247,Règles_bovins[Ration]&amp;Règles_bovins[Aliment],0)),0),0)*IF(ChoixBovinsPréHiver=OUI,TotalGénisse_18_24_RacesLaitières,TotalBovinsFemelles_18_24mois*NbreJoursNourrirBovins))</f>
        <v>0</v>
      </c>
      <c r="BF247" s="351">
        <f t="array" ref="BF247">IF(Ration_complète_bovins[somme]&gt;0,0,IFERROR(IF(OR(AND(INDEX(Règles_bovins[Specificite],MATCH(ChoixRationBovins&amp;$BB247,Règles_bovins[Ration]&amp;Règles_bovins[Aliment],0))="s1",IF($BB247=Spécificité1Bovins,1)),
AND(INDEX(Règles_bovins[Specificite],MATCH(ChoixRationBovins&amp;$BB247,Règles_bovins[Ration]&amp;Règles_bovins[Aliment],0))="s2",IF($BB247=Spécificité2Bovins,1)),
INDEX(Règles_bovins[Specificite],MATCH(ChoixRationBovins&amp;$BB247,Règles_bovins[Ration]&amp;Règles_bovins[Aliment],0))="c"),
INDEX(Règles_bovins[Valeur 12-18],MATCH(ChoixRationBovins&amp;$BB247,Règles_bovins[Ration]&amp;Règles_bovins[Aliment],0)),0),0)*IF(ChoixBovinsPréHiver=OUI,TotalGénisse_12_18_RacesLaitières,TotalBovinsFemelles_12_18mois*NbreJoursNourrirBovins))</f>
        <v>0</v>
      </c>
      <c r="BG247" s="351">
        <f t="array" ref="BG247">IF(Ration_complète_bovins[somme]&gt;0,0,IFERROR(IF(OR(AND(INDEX(Règles_bovins[Specificite],MATCH(ChoixRationBovins&amp;$BB247,Règles_bovins[Ration]&amp;Règles_bovins[Aliment],0))="s1",IF($BB247=Spécificité1Bovins,1)),
AND(INDEX(Règles_bovins[Specificite],MATCH(ChoixRationBovins&amp;$BB247,Règles_bovins[Ration]&amp;Règles_bovins[Aliment],0))="s2",IF($BB247=Spécificité2Bovins,1)),
INDEX(Règles_bovins[Specificite],MATCH(ChoixRationBovins&amp;$BB247,Règles_bovins[Ration]&amp;Règles_bovins[Aliment],0))="c"),
INDEX(Règles_bovins[Valeur 6-12],MATCH(ChoixRationBovins&amp;$BB247,Règles_bovins[Ration]&amp;Règles_bovins[Aliment],0)),0),0)*IF(ChoixBovinsPréHiver=OUI,TotalVeauFemelle_6_12_RacesLaitières,TotalBovinsFemelles_6_12mois*NbreJoursNourrirBovins))</f>
        <v>0</v>
      </c>
      <c r="BH247" s="351">
        <f t="array" ref="BH247">IF(Ration_complète_bovins[somme]&gt;0,0,IFERROR(IF(OR(AND(INDEX(Règles_bovins[Specificite],MATCH(ChoixRationBovins&amp;$BB247,Règles_bovins[Ration]&amp;Règles_bovins[Aliment],0))="s1",IF($BB247=Spécificité1Bovins,1)),
AND(INDEX(Règles_bovins[Specificite],MATCH(ChoixRationBovins&amp;$BB247,Règles_bovins[Ration]&amp;Règles_bovins[Aliment],0))="s2",IF($BB247=Spécificité2Bovins,1)),
INDEX(Règles_bovins[Specificite],MATCH(ChoixRationBovins&amp;$BB247,Règles_bovins[Ration]&amp;Règles_bovins[Aliment],0))="c"),
INDEX(Règles_bovins[Valeur 3-6],MATCH(ChoixRationBovins&amp;$BB247,Règles_bovins[Ration]&amp;Règles_bovins[Aliment],0)),0),0)*IF(ChoixBovinsPréHiver=OUI,TotalVeauFemelle_3_6_RacesLaitières,TotalBovinsFemelles_3_6mois*NbreJoursNourrirBovins))</f>
        <v>0</v>
      </c>
      <c r="BI247" s="351">
        <f t="array" ref="BI247">IF(Ration_complète_bovins[somme]&gt;0,0,IFERROR(IF(OR(AND(INDEX(Règles_bovins[Specificite],MATCH(ChoixRationBovins&amp;$BB247,Règles_bovins[Ration]&amp;Règles_bovins[Aliment],0))="s1",IF($BB247=Spécificité1Bovins,1)),
AND(INDEX(Règles_bovins[Specificite],MATCH(ChoixRationBovins&amp;$BB247,Règles_bovins[Ration]&amp;Règles_bovins[Aliment],0))="s2",IF($BB247=Spécificité2Bovins,1)),
INDEX(Règles_bovins[Specificite],MATCH(ChoixRationBovins&amp;$BB247,Règles_bovins[Ration]&amp;Règles_bovins[Aliment],0))="c"),
INDEX(Règles_bovins[Valeur 0-3],MATCH(ChoixRationBovins&amp;$BB247,Règles_bovins[Ration]&amp;Règles_bovins[Aliment],0)),0),0)*IF(ChoixBovinsPréHiver=OUI,TotalVeauFemelle_0_3_RacesLaitières,TotalBovinsFemelles_0_3mois*NbreJoursNourrirBovins))</f>
        <v>0</v>
      </c>
      <c r="BJ247" s="352">
        <f t="shared" si="67"/>
        <v>0</v>
      </c>
      <c r="BK247" s="276"/>
      <c r="BX247" s="277"/>
      <c r="BY247" s="277"/>
      <c r="BZ247" s="277"/>
      <c r="CA247" s="277"/>
      <c r="CB247" s="277"/>
      <c r="CC247" s="277"/>
      <c r="CD247" s="298"/>
      <c r="CE247" s="298"/>
      <c r="CF247" s="298"/>
      <c r="CG247" s="298"/>
      <c r="CI247" s="277"/>
      <c r="CK247" s="277"/>
      <c r="CL247" s="277"/>
      <c r="CM247" s="277"/>
      <c r="CN247" s="277"/>
      <c r="CO247" s="277"/>
      <c r="CP247" s="277"/>
      <c r="DN247" s="350" t="str">
        <f t="shared" si="70"/>
        <v>concentré jeunes porcins</v>
      </c>
      <c r="DO247" s="351">
        <f t="array" ref="DO247">IF(ChoixRationHivernaleOvinsComplète=OUI,0,IFERROR(IF(OR(AND(INDEX(Règles_ovins[Specificite],MATCH(RationHivernaleOvinsAuPré&amp;$DN247,Règles_ovins[Ration]&amp;Règles_ovins[Aliment],0))="s1",IF($DN247=Spécificité1Ovins,1)),
AND(INDEX(Règles_ovins[Specificite],MATCH(RationHivernaleOvinsAuPré&amp;$DN247,Règles_ovins[Ration]&amp;Règles_ovins[Aliment],0))="s2",IF($DN247=Spécificité2Ovins,1)),
INDEX(Règles_ovins[Specificite],MATCH(RationHivernaleOvinsAuPré&amp;$DN247,Règles_ovins[Ration]&amp;Règles_ovins[Aliment],0))="c"),
INDEX(Règles_ovins[Valeur 12 et plus],MATCH(RationHivernaleOvinsAuPré&amp;$DN247,Règles_ovins[Ration]&amp;Règles_ovins[Aliment],0)),0),0)*IF(SUM(TotalOvinsAdultesAuPré)&gt;0,SUM(TotalOvinsAdultesAuPré)*SUM(AD76:AD100),SUM(TotalOvinsAdultes)*SUM(AD76:AD100)))</f>
        <v>0</v>
      </c>
      <c r="DP247" s="351">
        <f t="array" ref="DP247">IF(ChoixRationHivernaleOvinsComplète=OUI,0,IFERROR(IF(OR(AND(INDEX(Règles_ovins[Specificite],MATCH(RationHivernaleOvinsAuPré&amp;$DN247,Règles_ovins[Ration]&amp;Règles_ovins[Aliment],0))="s1",IF($DN247=Spécificité1Ovins,1)),
AND(INDEX(Règles_ovins[Specificite],MATCH(RationHivernaleOvinsAuPré&amp;$DN247,Règles_ovins[Ration]&amp;Règles_ovins[Aliment],0))="s2",IF($DN247=Spécificité2Ovins,1)),
INDEX(Règles_ovins[Specificite],MATCH(RationHivernaleOvinsAuPré&amp;$DN247,Règles_ovins[Ration]&amp;Règles_ovins[Aliment],0))="c"),
INDEX(Règles_ovins[Valeur 6-12],MATCH(RationHivernaleOvinsAuPré&amp;$DN247,Règles_ovins[Ration]&amp;Règles_ovins[Aliment],0)),0),0)*IF(SUM(TotalOvins_6_12moisAuPré)&gt;0,SUM(TotalOvins_6_12moisAuPré)*SUM(AD76:AD100),SUM(TotalJeunesOvins)*SUM(AD76:AD100)))</f>
        <v>0</v>
      </c>
      <c r="DQ247" s="351">
        <f t="array" ref="DQ247">IF(ChoixRationHivernaleOvinsComplète=OUI,0,IFERROR(IF(OR(AND(INDEX(Règles_ovins[Specificite],MATCH(RationHivernaleOvinsAuPré&amp;$DN247,Règles_ovins[Ration]&amp;Règles_ovins[Aliment],0))="s1",IF($DN247=Spécificité1Ovins,1)),
AND(INDEX(Règles_ovins[Specificite],MATCH(RationHivernaleOvinsAuPré&amp;$DN247,Règles_ovins[Ration]&amp;Règles_ovins[Aliment],0))="s2",IF($DN247=Spécificité2Ovins,1)),
INDEX(Règles_ovins[Specificite],MATCH(RationHivernaleOvinsAuPré&amp;$DN247,Règles_ovins[Ration]&amp;Règles_ovins[Aliment],0))="c"),
INDEX(Règles_ovins[Valeur 3-6],MATCH(RationHivernaleOvinsAuPré&amp;$DN247,Règles_ovins[Ration]&amp;Règles_ovins[Aliment],0)),0),0)*IF(SUM(TotalOvins_3_6moisAuPré)&gt;0,SUM(TotalOvins_3_6moisAuPré)*SUM(AD76:AD100),SUM(TotalOvins_3_6mois)*SUM(AD76:AD100)))</f>
        <v>0</v>
      </c>
      <c r="DR247" s="351">
        <f t="array" ref="DR247">IF(ChoixRationHivernaleOvinsComplète=OUI,0,IFERROR(IF(OR(AND(INDEX(Règles_ovins[Specificite],MATCH(RationHivernaleOvinsAuPré&amp;$DN247,Règles_ovins[Ration]&amp;Règles_ovins[Aliment],0))="s1",IF($DN247=Spécificité1Ovins,1)),
AND(INDEX(Règles_ovins[Specificite],MATCH(RationHivernaleOvinsAuPré&amp;$DN247,Règles_ovins[Ration]&amp;Règles_ovins[Aliment],0))="s2",IF($DN247=Spécificité2Ovins,1)),
INDEX(Règles_ovins[Specificite],MATCH(RationHivernaleOvinsAuPré&amp;$DN247,Règles_ovins[Ration]&amp;Règles_ovins[Aliment],0))="c"),
INDEX(Règles_ovins[Valeur 0-3],MATCH(RationHivernaleOvinsAuPré&amp;$DN247,Règles_ovins[Ration]&amp;Règles_ovins[Aliment],0)),0),0)*IF(SUM(TotalOvins_0_3moisAuPré)&gt;0,SUM(TotalOvins_0_3moisAuPré)*SUM(AD76:AD100),SUM(TotalOvins_3_6mois)*SUM(AD76:AD100)))</f>
        <v>0</v>
      </c>
      <c r="DS247" s="441">
        <f t="shared" si="69"/>
        <v>0</v>
      </c>
      <c r="FN247" s="281"/>
      <c r="FO247" s="281"/>
      <c r="FP247" s="281"/>
      <c r="FQ247" s="281"/>
      <c r="FR247" s="281"/>
      <c r="GG247" s="276" t="s">
        <v>955</v>
      </c>
      <c r="GH247" s="276" t="s">
        <v>955</v>
      </c>
      <c r="GI247" s="276" t="s">
        <v>955</v>
      </c>
      <c r="GJ247" s="276" t="s">
        <v>955</v>
      </c>
      <c r="GK247" s="276" t="s">
        <v>955</v>
      </c>
      <c r="GL247" s="276" t="s">
        <v>955</v>
      </c>
      <c r="GM247" s="276" t="s">
        <v>955</v>
      </c>
      <c r="GN247" s="276" t="s">
        <v>955</v>
      </c>
      <c r="GO247" s="276" t="s">
        <v>955</v>
      </c>
      <c r="GP247" s="276" t="s">
        <v>955</v>
      </c>
      <c r="GQ247" s="276" t="s">
        <v>955</v>
      </c>
      <c r="GR247" s="276" t="s">
        <v>955</v>
      </c>
      <c r="GS247" s="276" t="s">
        <v>955</v>
      </c>
      <c r="GT247" s="276" t="s">
        <v>955</v>
      </c>
      <c r="GU247" s="276" t="s">
        <v>955</v>
      </c>
      <c r="GV247" s="276" t="s">
        <v>955</v>
      </c>
    </row>
    <row r="248" spans="1:204" ht="12.75" customHeight="1" x14ac:dyDescent="0.2">
      <c r="A248" s="276"/>
      <c r="B248" s="276"/>
      <c r="BB248" s="350" t="str">
        <f t="shared" si="68"/>
        <v>Epinard</v>
      </c>
      <c r="BC248" s="351">
        <f t="array" ref="BC248">IF(Ration_complète_bovins[somme]&gt;0,0,IFERROR(IF(OR(AND(INDEX(Règles_bovins[Specificite],MATCH(ChoixRationBovins&amp;$BB248,Règles_bovins[Ration]&amp;Règles_bovins[Aliment],0))="s1",IF($BB248=Spécificité1Bovins,1)),
AND(INDEX(Règles_bovins[Specificite],MATCH(ChoixRationBovins&amp;$BB248,Règles_bovins[Ration]&amp;Règles_bovins[Aliment],0))="s2",IF($BB248=Spécificité2Bovins,1)),
INDEX(Règles_bovins[Specificite],MATCH(ChoixRationBovins&amp;$BB248,Règles_bovins[Ration]&amp;Règles_bovins[Aliment],0))="c"),
INDEX(Règles_bovins[Valeur 36 et plus],MATCH(ChoixRationBovins&amp;$BB248,Règles_bovins[Ration]&amp;Règles_bovins[Aliment],0)),0),0)*IF(ChoixBovinsPréHiver=OUI,TotalVachesRacesLaitières,TotalVaches*NbreJoursNourrirBovins))</f>
        <v>0</v>
      </c>
      <c r="BD248" s="351">
        <f t="array" ref="BD248">IF(Ration_complète_bovins[somme]&gt;0,0,IFERROR(IF(OR(AND(INDEX(Règles_bovins[Specificite],MATCH(ChoixRationBovins&amp;$BB248,Règles_bovins[Ration]&amp;Règles_bovins[Aliment],0))="s1",IF($BB248=Spécificité1Bovins,1)),
AND(INDEX(Règles_bovins[Specificite],MATCH(ChoixRationBovins&amp;$BB248,Règles_bovins[Ration]&amp;Règles_bovins[Aliment],0))="s2",IF($BB248=Spécificité2Bovins,1)),
INDEX(Règles_bovins[Specificite],MATCH(ChoixRationBovins&amp;$BB248,Règles_bovins[Ration]&amp;Règles_bovins[Aliment],0))="c"),
INDEX(Règles_bovins[Valeur 24-36],MATCH(ChoixRationBovins&amp;$BB248,Règles_bovins[Ration]&amp;Règles_bovins[Aliment],0)),0),0)*IF(ChoixBovinsPréHiver=OUI,TotalGénisse_24_36_RacesLaitières,TotalBovinsFemelles_24_36mois*NbreJoursNourrirBovins))</f>
        <v>0</v>
      </c>
      <c r="BE248" s="351">
        <f t="array" ref="BE248">IF(Ration_complète_bovins[somme]&gt;0,0,IFERROR(IF(OR(AND(INDEX(Règles_bovins[Specificite],MATCH(ChoixRationBovins&amp;$BB248,Règles_bovins[Ration]&amp;Règles_bovins[Aliment],0))="s1",IF($BB248=Spécificité1Bovins,1)),
AND(INDEX(Règles_bovins[Specificite],MATCH(ChoixRationBovins&amp;$BB248,Règles_bovins[Ration]&amp;Règles_bovins[Aliment],0))="s2",IF($BB248=Spécificité2Bovins,1)),
INDEX(Règles_bovins[Specificite],MATCH(ChoixRationBovins&amp;$BB248,Règles_bovins[Ration]&amp;Règles_bovins[Aliment],0))="c"),
INDEX(Règles_bovins[Valeur 18-24],MATCH(ChoixRationBovins&amp;$BB248,Règles_bovins[Ration]&amp;Règles_bovins[Aliment],0)),0),0)*IF(ChoixBovinsPréHiver=OUI,TotalGénisse_18_24_RacesLaitières,TotalBovinsFemelles_18_24mois*NbreJoursNourrirBovins))</f>
        <v>0</v>
      </c>
      <c r="BF248" s="351">
        <f t="array" ref="BF248">IF(Ration_complète_bovins[somme]&gt;0,0,IFERROR(IF(OR(AND(INDEX(Règles_bovins[Specificite],MATCH(ChoixRationBovins&amp;$BB248,Règles_bovins[Ration]&amp;Règles_bovins[Aliment],0))="s1",IF($BB248=Spécificité1Bovins,1)),
AND(INDEX(Règles_bovins[Specificite],MATCH(ChoixRationBovins&amp;$BB248,Règles_bovins[Ration]&amp;Règles_bovins[Aliment],0))="s2",IF($BB248=Spécificité2Bovins,1)),
INDEX(Règles_bovins[Specificite],MATCH(ChoixRationBovins&amp;$BB248,Règles_bovins[Ration]&amp;Règles_bovins[Aliment],0))="c"),
INDEX(Règles_bovins[Valeur 12-18],MATCH(ChoixRationBovins&amp;$BB248,Règles_bovins[Ration]&amp;Règles_bovins[Aliment],0)),0),0)*IF(ChoixBovinsPréHiver=OUI,TotalGénisse_12_18_RacesLaitières,TotalBovinsFemelles_12_18mois*NbreJoursNourrirBovins))</f>
        <v>0</v>
      </c>
      <c r="BG248" s="351">
        <f t="array" ref="BG248">IF(Ration_complète_bovins[somme]&gt;0,0,IFERROR(IF(OR(AND(INDEX(Règles_bovins[Specificite],MATCH(ChoixRationBovins&amp;$BB248,Règles_bovins[Ration]&amp;Règles_bovins[Aliment],0))="s1",IF($BB248=Spécificité1Bovins,1)),
AND(INDEX(Règles_bovins[Specificite],MATCH(ChoixRationBovins&amp;$BB248,Règles_bovins[Ration]&amp;Règles_bovins[Aliment],0))="s2",IF($BB248=Spécificité2Bovins,1)),
INDEX(Règles_bovins[Specificite],MATCH(ChoixRationBovins&amp;$BB248,Règles_bovins[Ration]&amp;Règles_bovins[Aliment],0))="c"),
INDEX(Règles_bovins[Valeur 6-12],MATCH(ChoixRationBovins&amp;$BB248,Règles_bovins[Ration]&amp;Règles_bovins[Aliment],0)),0),0)*IF(ChoixBovinsPréHiver=OUI,TotalVeauFemelle_6_12_RacesLaitières,TotalBovinsFemelles_6_12mois*NbreJoursNourrirBovins))</f>
        <v>0</v>
      </c>
      <c r="BH248" s="351">
        <f t="array" ref="BH248">IF(Ration_complète_bovins[somme]&gt;0,0,IFERROR(IF(OR(AND(INDEX(Règles_bovins[Specificite],MATCH(ChoixRationBovins&amp;$BB248,Règles_bovins[Ration]&amp;Règles_bovins[Aliment],0))="s1",IF($BB248=Spécificité1Bovins,1)),
AND(INDEX(Règles_bovins[Specificite],MATCH(ChoixRationBovins&amp;$BB248,Règles_bovins[Ration]&amp;Règles_bovins[Aliment],0))="s2",IF($BB248=Spécificité2Bovins,1)),
INDEX(Règles_bovins[Specificite],MATCH(ChoixRationBovins&amp;$BB248,Règles_bovins[Ration]&amp;Règles_bovins[Aliment],0))="c"),
INDEX(Règles_bovins[Valeur 3-6],MATCH(ChoixRationBovins&amp;$BB248,Règles_bovins[Ration]&amp;Règles_bovins[Aliment],0)),0),0)*IF(ChoixBovinsPréHiver=OUI,TotalVeauFemelle_3_6_RacesLaitières,TotalBovinsFemelles_3_6mois*NbreJoursNourrirBovins))</f>
        <v>0</v>
      </c>
      <c r="BI248" s="351">
        <f t="array" ref="BI248">IF(Ration_complète_bovins[somme]&gt;0,0,IFERROR(IF(OR(AND(INDEX(Règles_bovins[Specificite],MATCH(ChoixRationBovins&amp;$BB248,Règles_bovins[Ration]&amp;Règles_bovins[Aliment],0))="s1",IF($BB248=Spécificité1Bovins,1)),
AND(INDEX(Règles_bovins[Specificite],MATCH(ChoixRationBovins&amp;$BB248,Règles_bovins[Ration]&amp;Règles_bovins[Aliment],0))="s2",IF($BB248=Spécificité2Bovins,1)),
INDEX(Règles_bovins[Specificite],MATCH(ChoixRationBovins&amp;$BB248,Règles_bovins[Ration]&amp;Règles_bovins[Aliment],0))="c"),
INDEX(Règles_bovins[Valeur 0-3],MATCH(ChoixRationBovins&amp;$BB248,Règles_bovins[Ration]&amp;Règles_bovins[Aliment],0)),0),0)*IF(ChoixBovinsPréHiver=OUI,TotalVeauFemelle_0_3_RacesLaitières,TotalBovinsFemelles_0_3mois*NbreJoursNourrirBovins))</f>
        <v>0</v>
      </c>
      <c r="BJ248" s="352">
        <f t="shared" si="67"/>
        <v>0</v>
      </c>
      <c r="BK248" s="276"/>
      <c r="BX248" s="277"/>
      <c r="BY248" s="277"/>
      <c r="BZ248" s="277"/>
      <c r="CA248" s="277"/>
      <c r="CB248" s="277"/>
      <c r="CC248" s="277"/>
      <c r="CD248" s="298"/>
      <c r="CE248" s="298"/>
      <c r="CF248" s="298"/>
      <c r="CG248" s="298"/>
      <c r="CI248" s="277"/>
      <c r="CK248" s="277"/>
      <c r="CL248" s="277"/>
      <c r="CM248" s="277"/>
      <c r="CN248" s="277"/>
      <c r="CO248" s="277"/>
      <c r="CP248" s="277"/>
      <c r="DN248" s="350" t="str">
        <f t="shared" si="70"/>
        <v>Ensilage d'herbe</v>
      </c>
      <c r="DO248" s="351">
        <f t="array" ref="DO248">IF(ChoixRationHivernaleOvinsComplète=OUI,0,IFERROR(IF(OR(AND(INDEX(Règles_ovins[Specificite],MATCH(RationHivernaleOvinsAuPré&amp;$DN248,Règles_ovins[Ration]&amp;Règles_ovins[Aliment],0))="s1",IF($DN248=Spécificité1Ovins,1)),
AND(INDEX(Règles_ovins[Specificite],MATCH(RationHivernaleOvinsAuPré&amp;$DN248,Règles_ovins[Ration]&amp;Règles_ovins[Aliment],0))="s2",IF($DN248=Spécificité2Ovins,1)),
INDEX(Règles_ovins[Specificite],MATCH(RationHivernaleOvinsAuPré&amp;$DN248,Règles_ovins[Ration]&amp;Règles_ovins[Aliment],0))="c"),
INDEX(Règles_ovins[Valeur 12 et plus],MATCH(RationHivernaleOvinsAuPré&amp;$DN248,Règles_ovins[Ration]&amp;Règles_ovins[Aliment],0)),0),0)*IF(SUM(TotalOvinsAdultesAuPré)&gt;0,SUM(TotalOvinsAdultesAuPré)*SUM(AD76:AD100),SUM(TotalOvinsAdultes)*SUM(AD76:AD100)))</f>
        <v>0</v>
      </c>
      <c r="DP248" s="351">
        <f t="array" ref="DP248">IF(ChoixRationHivernaleOvinsComplète=OUI,0,IFERROR(IF(OR(AND(INDEX(Règles_ovins[Specificite],MATCH(RationHivernaleOvinsAuPré&amp;$DN248,Règles_ovins[Ration]&amp;Règles_ovins[Aliment],0))="s1",IF($DN248=Spécificité1Ovins,1)),
AND(INDEX(Règles_ovins[Specificite],MATCH(RationHivernaleOvinsAuPré&amp;$DN248,Règles_ovins[Ration]&amp;Règles_ovins[Aliment],0))="s2",IF($DN248=Spécificité2Ovins,1)),
INDEX(Règles_ovins[Specificite],MATCH(RationHivernaleOvinsAuPré&amp;$DN248,Règles_ovins[Ration]&amp;Règles_ovins[Aliment],0))="c"),
INDEX(Règles_ovins[Valeur 6-12],MATCH(RationHivernaleOvinsAuPré&amp;$DN248,Règles_ovins[Ration]&amp;Règles_ovins[Aliment],0)),0),0)*IF(SUM(TotalOvins_6_12moisAuPré)&gt;0,SUM(TotalOvins_6_12moisAuPré)*SUM(AD76:AD100),SUM(TotalJeunesOvins)*SUM(AD76:AD100)))</f>
        <v>0</v>
      </c>
      <c r="DQ248" s="351">
        <f t="array" ref="DQ248">IF(ChoixRationHivernaleOvinsComplète=OUI,0,IFERROR(IF(OR(AND(INDEX(Règles_ovins[Specificite],MATCH(RationHivernaleOvinsAuPré&amp;$DN248,Règles_ovins[Ration]&amp;Règles_ovins[Aliment],0))="s1",IF($DN248=Spécificité1Ovins,1)),
AND(INDEX(Règles_ovins[Specificite],MATCH(RationHivernaleOvinsAuPré&amp;$DN248,Règles_ovins[Ration]&amp;Règles_ovins[Aliment],0))="s2",IF($DN248=Spécificité2Ovins,1)),
INDEX(Règles_ovins[Specificite],MATCH(RationHivernaleOvinsAuPré&amp;$DN248,Règles_ovins[Ration]&amp;Règles_ovins[Aliment],0))="c"),
INDEX(Règles_ovins[Valeur 3-6],MATCH(RationHivernaleOvinsAuPré&amp;$DN248,Règles_ovins[Ration]&amp;Règles_ovins[Aliment],0)),0),0)*IF(SUM(TotalOvins_3_6moisAuPré)&gt;0,SUM(TotalOvins_3_6moisAuPré)*SUM(AD76:AD100),SUM(TotalOvins_3_6mois)*SUM(AD76:AD100)))</f>
        <v>0</v>
      </c>
      <c r="DR248" s="351">
        <f t="array" ref="DR248">IF(ChoixRationHivernaleOvinsComplète=OUI,0,IFERROR(IF(OR(AND(INDEX(Règles_ovins[Specificite],MATCH(RationHivernaleOvinsAuPré&amp;$DN248,Règles_ovins[Ration]&amp;Règles_ovins[Aliment],0))="s1",IF($DN248=Spécificité1Ovins,1)),
AND(INDEX(Règles_ovins[Specificite],MATCH(RationHivernaleOvinsAuPré&amp;$DN248,Règles_ovins[Ration]&amp;Règles_ovins[Aliment],0))="s2",IF($DN248=Spécificité2Ovins,1)),
INDEX(Règles_ovins[Specificite],MATCH(RationHivernaleOvinsAuPré&amp;$DN248,Règles_ovins[Ration]&amp;Règles_ovins[Aliment],0))="c"),
INDEX(Règles_ovins[Valeur 0-3],MATCH(RationHivernaleOvinsAuPré&amp;$DN248,Règles_ovins[Ration]&amp;Règles_ovins[Aliment],0)),0),0)*IF(SUM(TotalOvins_0_3moisAuPré)&gt;0,SUM(TotalOvins_0_3moisAuPré)*SUM(AD76:AD100),SUM(TotalOvins_3_6mois)*SUM(AD76:AD100)))</f>
        <v>0</v>
      </c>
      <c r="DS248" s="441">
        <f t="shared" si="69"/>
        <v>0</v>
      </c>
      <c r="FN248" s="281"/>
      <c r="FO248" s="281"/>
      <c r="FP248" s="281"/>
      <c r="FQ248" s="281"/>
      <c r="FR248" s="281"/>
      <c r="GG248" s="276" t="s">
        <v>955</v>
      </c>
      <c r="GH248" s="276" t="s">
        <v>955</v>
      </c>
      <c r="GI248" s="276" t="s">
        <v>955</v>
      </c>
      <c r="GJ248" s="276" t="s">
        <v>955</v>
      </c>
      <c r="GK248" s="276" t="s">
        <v>955</v>
      </c>
      <c r="GL248" s="276" t="s">
        <v>955</v>
      </c>
      <c r="GM248" s="276" t="s">
        <v>955</v>
      </c>
      <c r="GN248" s="276" t="s">
        <v>955</v>
      </c>
      <c r="GO248" s="276" t="s">
        <v>955</v>
      </c>
      <c r="GP248" s="276" t="s">
        <v>955</v>
      </c>
      <c r="GQ248" s="276" t="s">
        <v>955</v>
      </c>
      <c r="GR248" s="276" t="s">
        <v>955</v>
      </c>
      <c r="GS248" s="276" t="s">
        <v>955</v>
      </c>
      <c r="GT248" s="276" t="s">
        <v>955</v>
      </c>
      <c r="GU248" s="276" t="s">
        <v>955</v>
      </c>
      <c r="GV248" s="276" t="s">
        <v>955</v>
      </c>
    </row>
    <row r="249" spans="1:204" ht="12.75" customHeight="1" x14ac:dyDescent="0.2">
      <c r="A249" s="276"/>
      <c r="B249" s="276"/>
      <c r="BB249" s="350" t="str">
        <f t="shared" si="68"/>
        <v>Féverole</v>
      </c>
      <c r="BC249" s="351">
        <f t="array" ref="BC249">IF(Ration_complète_bovins[somme]&gt;0,0,IFERROR(IF(OR(AND(INDEX(Règles_bovins[Specificite],MATCH(ChoixRationBovins&amp;$BB249,Règles_bovins[Ration]&amp;Règles_bovins[Aliment],0))="s1",IF($BB249=Spécificité1Bovins,1)),
AND(INDEX(Règles_bovins[Specificite],MATCH(ChoixRationBovins&amp;$BB249,Règles_bovins[Ration]&amp;Règles_bovins[Aliment],0))="s2",IF($BB249=Spécificité2Bovins,1)),
INDEX(Règles_bovins[Specificite],MATCH(ChoixRationBovins&amp;$BB249,Règles_bovins[Ration]&amp;Règles_bovins[Aliment],0))="c"),
INDEX(Règles_bovins[Valeur 36 et plus],MATCH(ChoixRationBovins&amp;$BB249,Règles_bovins[Ration]&amp;Règles_bovins[Aliment],0)),0),0)*IF(ChoixBovinsPréHiver=OUI,TotalVachesRacesLaitières,TotalVaches*NbreJoursNourrirBovins))</f>
        <v>0</v>
      </c>
      <c r="BD249" s="351">
        <f t="array" ref="BD249">IF(Ration_complète_bovins[somme]&gt;0,0,IFERROR(IF(OR(AND(INDEX(Règles_bovins[Specificite],MATCH(ChoixRationBovins&amp;$BB249,Règles_bovins[Ration]&amp;Règles_bovins[Aliment],0))="s1",IF($BB249=Spécificité1Bovins,1)),
AND(INDEX(Règles_bovins[Specificite],MATCH(ChoixRationBovins&amp;$BB249,Règles_bovins[Ration]&amp;Règles_bovins[Aliment],0))="s2",IF($BB249=Spécificité2Bovins,1)),
INDEX(Règles_bovins[Specificite],MATCH(ChoixRationBovins&amp;$BB249,Règles_bovins[Ration]&amp;Règles_bovins[Aliment],0))="c"),
INDEX(Règles_bovins[Valeur 24-36],MATCH(ChoixRationBovins&amp;$BB249,Règles_bovins[Ration]&amp;Règles_bovins[Aliment],0)),0),0)*IF(ChoixBovinsPréHiver=OUI,TotalGénisse_24_36_RacesLaitières,TotalBovinsFemelles_24_36mois*NbreJoursNourrirBovins))</f>
        <v>0</v>
      </c>
      <c r="BE249" s="351">
        <f t="array" ref="BE249">IF(Ration_complète_bovins[somme]&gt;0,0,IFERROR(IF(OR(AND(INDEX(Règles_bovins[Specificite],MATCH(ChoixRationBovins&amp;$BB249,Règles_bovins[Ration]&amp;Règles_bovins[Aliment],0))="s1",IF($BB249=Spécificité1Bovins,1)),
AND(INDEX(Règles_bovins[Specificite],MATCH(ChoixRationBovins&amp;$BB249,Règles_bovins[Ration]&amp;Règles_bovins[Aliment],0))="s2",IF($BB249=Spécificité2Bovins,1)),
INDEX(Règles_bovins[Specificite],MATCH(ChoixRationBovins&amp;$BB249,Règles_bovins[Ration]&amp;Règles_bovins[Aliment],0))="c"),
INDEX(Règles_bovins[Valeur 18-24],MATCH(ChoixRationBovins&amp;$BB249,Règles_bovins[Ration]&amp;Règles_bovins[Aliment],0)),0),0)*IF(ChoixBovinsPréHiver=OUI,TotalGénisse_18_24_RacesLaitières,TotalBovinsFemelles_18_24mois*NbreJoursNourrirBovins))</f>
        <v>0</v>
      </c>
      <c r="BF249" s="351">
        <f t="array" ref="BF249">IF(Ration_complète_bovins[somme]&gt;0,0,IFERROR(IF(OR(AND(INDEX(Règles_bovins[Specificite],MATCH(ChoixRationBovins&amp;$BB249,Règles_bovins[Ration]&amp;Règles_bovins[Aliment],0))="s1",IF($BB249=Spécificité1Bovins,1)),
AND(INDEX(Règles_bovins[Specificite],MATCH(ChoixRationBovins&amp;$BB249,Règles_bovins[Ration]&amp;Règles_bovins[Aliment],0))="s2",IF($BB249=Spécificité2Bovins,1)),
INDEX(Règles_bovins[Specificite],MATCH(ChoixRationBovins&amp;$BB249,Règles_bovins[Ration]&amp;Règles_bovins[Aliment],0))="c"),
INDEX(Règles_bovins[Valeur 12-18],MATCH(ChoixRationBovins&amp;$BB249,Règles_bovins[Ration]&amp;Règles_bovins[Aliment],0)),0),0)*IF(ChoixBovinsPréHiver=OUI,TotalGénisse_12_18_RacesLaitières,TotalBovinsFemelles_12_18mois*NbreJoursNourrirBovins))</f>
        <v>0</v>
      </c>
      <c r="BG249" s="351">
        <f t="array" ref="BG249">IF(Ration_complète_bovins[somme]&gt;0,0,IFERROR(IF(OR(AND(INDEX(Règles_bovins[Specificite],MATCH(ChoixRationBovins&amp;$BB249,Règles_bovins[Ration]&amp;Règles_bovins[Aliment],0))="s1",IF($BB249=Spécificité1Bovins,1)),
AND(INDEX(Règles_bovins[Specificite],MATCH(ChoixRationBovins&amp;$BB249,Règles_bovins[Ration]&amp;Règles_bovins[Aliment],0))="s2",IF($BB249=Spécificité2Bovins,1)),
INDEX(Règles_bovins[Specificite],MATCH(ChoixRationBovins&amp;$BB249,Règles_bovins[Ration]&amp;Règles_bovins[Aliment],0))="c"),
INDEX(Règles_bovins[Valeur 6-12],MATCH(ChoixRationBovins&amp;$BB249,Règles_bovins[Ration]&amp;Règles_bovins[Aliment],0)),0),0)*IF(ChoixBovinsPréHiver=OUI,TotalVeauFemelle_6_12_RacesLaitières,TotalBovinsFemelles_6_12mois*NbreJoursNourrirBovins))</f>
        <v>0</v>
      </c>
      <c r="BH249" s="351">
        <f t="array" ref="BH249">IF(Ration_complète_bovins[somme]&gt;0,0,IFERROR(IF(OR(AND(INDEX(Règles_bovins[Specificite],MATCH(ChoixRationBovins&amp;$BB249,Règles_bovins[Ration]&amp;Règles_bovins[Aliment],0))="s1",IF($BB249=Spécificité1Bovins,1)),
AND(INDEX(Règles_bovins[Specificite],MATCH(ChoixRationBovins&amp;$BB249,Règles_bovins[Ration]&amp;Règles_bovins[Aliment],0))="s2",IF($BB249=Spécificité2Bovins,1)),
INDEX(Règles_bovins[Specificite],MATCH(ChoixRationBovins&amp;$BB249,Règles_bovins[Ration]&amp;Règles_bovins[Aliment],0))="c"),
INDEX(Règles_bovins[Valeur 3-6],MATCH(ChoixRationBovins&amp;$BB249,Règles_bovins[Ration]&amp;Règles_bovins[Aliment],0)),0),0)*IF(ChoixBovinsPréHiver=OUI,TotalVeauFemelle_3_6_RacesLaitières,TotalBovinsFemelles_3_6mois*NbreJoursNourrirBovins))</f>
        <v>0</v>
      </c>
      <c r="BI249" s="351">
        <f t="array" ref="BI249">IF(Ration_complète_bovins[somme]&gt;0,0,IFERROR(IF(OR(AND(INDEX(Règles_bovins[Specificite],MATCH(ChoixRationBovins&amp;$BB249,Règles_bovins[Ration]&amp;Règles_bovins[Aliment],0))="s1",IF($BB249=Spécificité1Bovins,1)),
AND(INDEX(Règles_bovins[Specificite],MATCH(ChoixRationBovins&amp;$BB249,Règles_bovins[Ration]&amp;Règles_bovins[Aliment],0))="s2",IF($BB249=Spécificité2Bovins,1)),
INDEX(Règles_bovins[Specificite],MATCH(ChoixRationBovins&amp;$BB249,Règles_bovins[Ration]&amp;Règles_bovins[Aliment],0))="c"),
INDEX(Règles_bovins[Valeur 0-3],MATCH(ChoixRationBovins&amp;$BB249,Règles_bovins[Ration]&amp;Règles_bovins[Aliment],0)),0),0)*IF(ChoixBovinsPréHiver=OUI,TotalVeauFemelle_0_3_RacesLaitières,TotalBovinsFemelles_0_3mois*NbreJoursNourrirBovins))</f>
        <v>0</v>
      </c>
      <c r="BJ249" s="352">
        <f t="shared" si="67"/>
        <v>0</v>
      </c>
      <c r="BX249" s="277"/>
      <c r="BY249" s="277"/>
      <c r="BZ249" s="277"/>
      <c r="CA249" s="277"/>
      <c r="CB249" s="277"/>
      <c r="CC249" s="277"/>
      <c r="CD249" s="298"/>
      <c r="CE249" s="298"/>
      <c r="CF249" s="298"/>
      <c r="CG249" s="298"/>
      <c r="CI249" s="277"/>
      <c r="CK249" s="277"/>
      <c r="CL249" s="277"/>
      <c r="CM249" s="277"/>
      <c r="CN249" s="277"/>
      <c r="CO249" s="277"/>
      <c r="CP249" s="277"/>
      <c r="DN249" s="350" t="str">
        <f t="shared" si="70"/>
        <v>Eau</v>
      </c>
      <c r="DO249" s="351">
        <f t="array" ref="DO249">IFERROR(IF(OR(AND(INDEX(Règles_ovins[Specificite],MATCH(RationHivernaleOvinsAuPré&amp;$DN249,Règles_ovins[Ration]&amp;Règles_ovins[Aliment],0))="s1",IF($DN249=Spécificité1Ovins,1)),
AND(INDEX(Règles_ovins[Specificite],MATCH(RationHivernaleOvinsAuPré&amp;$DN249,Règles_ovins[Ration]&amp;Règles_ovins[Aliment],0))="s2",IF($DN249=Spécificité2Ovins,1)),
INDEX(Règles_ovins[Specificite],MATCH(RationHivernaleOvinsAuPré&amp;$DN249,Règles_ovins[Ration]&amp;Règles_ovins[Aliment],0))="c"),
INDEX(Règles_ovins[Valeur 12 et plus],MATCH(RationHivernaleOvinsAuPré&amp;$DN249,Règles_ovins[Ration]&amp;Règles_ovins[Aliment],0)),0),0)*IF(SUM(TotalOvinsAdultesAuPré)&gt;0,SUM(TotalOvinsAdultesAuPré),SUM(TotalOvinsAdultes))*84</f>
        <v>0</v>
      </c>
      <c r="DP249" s="351">
        <f t="array" ref="DP249">IFERROR(IF(OR(AND(INDEX(Règles_ovins[Specificite],MATCH(RationHivernaleOvinsAuPré&amp;$DN249,Règles_ovins[Ration]&amp;Règles_ovins[Aliment],0))="s1",IF($DN249=Spécificité1Ovins,1)),
AND(INDEX(Règles_ovins[Specificite],MATCH(RationHivernaleOvinsAuPré&amp;$DN249,Règles_ovins[Ration]&amp;Règles_ovins[Aliment],0))="s2",IF($DN249=Spécificité2Ovins,1)),
INDEX(Règles_ovins[Specificite],MATCH(RationHivernaleOvinsAuPré&amp;$DN249,Règles_ovins[Ration]&amp;Règles_ovins[Aliment],0))="c"),
INDEX(Règles_ovins[Valeur 6-12],MATCH(RationHivernaleOvinsAuPré&amp;$DN249,Règles_ovins[Ration]&amp;Règles_ovins[Aliment],0)),0),0)*IF(SUM(TotalOvins_6_12moisAuPré)&gt;0,SUM(TotalOvins_6_12moisAuPré),SUM(TotalJeunesOvins))*84</f>
        <v>0</v>
      </c>
      <c r="DQ249" s="351">
        <f t="array" ref="DQ249">IFERROR(IF(OR(AND(INDEX(Règles_ovins[Specificite],MATCH(RationHivernaleOvinsAuPré&amp;$DN249,Règles_ovins[Ration]&amp;Règles_ovins[Aliment],0))="s1",IF($DN249=Spécificité1Ovins,1)),
AND(INDEX(Règles_ovins[Specificite],MATCH(RationHivernaleOvinsAuPré&amp;$DN249,Règles_ovins[Ration]&amp;Règles_ovins[Aliment],0))="s2",IF($DN249=Spécificité2Ovins,1)),
INDEX(Règles_ovins[Specificite],MATCH(RationHivernaleOvinsAuPré&amp;$DN249,Règles_ovins[Ration]&amp;Règles_ovins[Aliment],0))="c"),
INDEX(Règles_ovins[Valeur 3-6],MATCH(RationHivernaleOvinsAuPré&amp;$DN249,Règles_ovins[Ration]&amp;Règles_ovins[Aliment],0)),0),0)*IF(SUM(TotalOvins_3_6moisAuPré)&gt;0,SUM(TotalOvins_3_6moisAuPré),SUM(TotalOvins_3_6mois))*84</f>
        <v>0</v>
      </c>
      <c r="DR249" s="351">
        <f t="array" ref="DR249">IFERROR(IF(OR(AND(INDEX(Règles_ovins[Specificite],MATCH(RationHivernaleOvinsAuPré&amp;$DN249,Règles_ovins[Ration]&amp;Règles_ovins[Aliment],0))="s1",IF($DN249=Spécificité1Ovins,1)),
AND(INDEX(Règles_ovins[Specificite],MATCH(RationHivernaleOvinsAuPré&amp;$DN249,Règles_ovins[Ration]&amp;Règles_ovins[Aliment],0))="s2",IF($DN249=Spécificité2Ovins,1)),
INDEX(Règles_ovins[Specificite],MATCH(RationHivernaleOvinsAuPré&amp;$DN249,Règles_ovins[Ration]&amp;Règles_ovins[Aliment],0))="c"),
INDEX(Règles_ovins[Valeur 0-3],MATCH(RationHivernaleOvinsAuPré&amp;$DN249,Règles_ovins[Ration]&amp;Règles_ovins[Aliment],0)),0),0)*IF(SUM(TotalOvins_0_3moisAuPré)&gt;0,SUM(TotalOvins_0_3moisAuPré),SUM(TotalOvins_3_6mois))*84</f>
        <v>0</v>
      </c>
      <c r="DS249" s="441">
        <f t="shared" si="69"/>
        <v>0</v>
      </c>
      <c r="FN249" s="281"/>
      <c r="FO249" s="281"/>
      <c r="FP249" s="281"/>
      <c r="FQ249" s="281"/>
      <c r="FR249" s="281"/>
      <c r="GG249" s="276" t="s">
        <v>955</v>
      </c>
      <c r="GH249" s="276" t="s">
        <v>955</v>
      </c>
      <c r="GI249" s="276" t="s">
        <v>955</v>
      </c>
      <c r="GJ249" s="276" t="s">
        <v>955</v>
      </c>
      <c r="GK249" s="276" t="s">
        <v>955</v>
      </c>
      <c r="GL249" s="276" t="s">
        <v>955</v>
      </c>
      <c r="GM249" s="276" t="s">
        <v>955</v>
      </c>
      <c r="GN249" s="276" t="s">
        <v>955</v>
      </c>
      <c r="GO249" s="276" t="s">
        <v>955</v>
      </c>
      <c r="GP249" s="276" t="s">
        <v>955</v>
      </c>
      <c r="GQ249" s="276" t="s">
        <v>955</v>
      </c>
      <c r="GR249" s="276" t="s">
        <v>955</v>
      </c>
      <c r="GS249" s="276" t="s">
        <v>955</v>
      </c>
      <c r="GT249" s="276" t="s">
        <v>955</v>
      </c>
      <c r="GU249" s="276" t="s">
        <v>955</v>
      </c>
      <c r="GV249" s="276" t="s">
        <v>955</v>
      </c>
    </row>
    <row r="250" spans="1:204" ht="12.75" customHeight="1" x14ac:dyDescent="0.2">
      <c r="A250" s="276"/>
      <c r="B250" s="276"/>
      <c r="BB250" s="350" t="str">
        <f t="shared" si="68"/>
        <v>Foin</v>
      </c>
      <c r="BC250" s="351">
        <f t="array" ref="BC250">IF(Ration_complète_bovins[somme]&gt;0,0,IFERROR(IF(OR(AND(INDEX(Règles_bovins[Specificite],MATCH(ChoixRationBovins&amp;$BB250,Règles_bovins[Ration]&amp;Règles_bovins[Aliment],0))="s1",IF($BB250=Spécificité1Bovins,1)),
AND(INDEX(Règles_bovins[Specificite],MATCH(ChoixRationBovins&amp;$BB250,Règles_bovins[Ration]&amp;Règles_bovins[Aliment],0))="s2",IF($BB250=Spécificité2Bovins,1)),
INDEX(Règles_bovins[Specificite],MATCH(ChoixRationBovins&amp;$BB250,Règles_bovins[Ration]&amp;Règles_bovins[Aliment],0))="c"),
INDEX(Règles_bovins[Valeur 36 et plus],MATCH(ChoixRationBovins&amp;$BB250,Règles_bovins[Ration]&amp;Règles_bovins[Aliment],0)),0),0)*IF(ChoixBovinsPréHiver=OUI,TotalVachesRacesLaitières,TotalVaches*NbreJoursNourrirBovins))</f>
        <v>0</v>
      </c>
      <c r="BD250" s="351">
        <f t="array" ref="BD250">IF(Ration_complète_bovins[somme]&gt;0,0,IFERROR(IF(OR(AND(INDEX(Règles_bovins[Specificite],MATCH(ChoixRationBovins&amp;$BB250,Règles_bovins[Ration]&amp;Règles_bovins[Aliment],0))="s1",IF($BB250=Spécificité1Bovins,1)),
AND(INDEX(Règles_bovins[Specificite],MATCH(ChoixRationBovins&amp;$BB250,Règles_bovins[Ration]&amp;Règles_bovins[Aliment],0))="s2",IF($BB250=Spécificité2Bovins,1)),
INDEX(Règles_bovins[Specificite],MATCH(ChoixRationBovins&amp;$BB250,Règles_bovins[Ration]&amp;Règles_bovins[Aliment],0))="c"),
INDEX(Règles_bovins[Valeur 24-36],MATCH(ChoixRationBovins&amp;$BB250,Règles_bovins[Ration]&amp;Règles_bovins[Aliment],0)),0),0)*IF(ChoixBovinsPréHiver=OUI,TotalGénisse_24_36_RacesLaitières,TotalBovinsFemelles_24_36mois*NbreJoursNourrirBovins))</f>
        <v>0</v>
      </c>
      <c r="BE250" s="351">
        <f t="array" ref="BE250">IF(Ration_complète_bovins[somme]&gt;0,0,IFERROR(IF(OR(AND(INDEX(Règles_bovins[Specificite],MATCH(ChoixRationBovins&amp;$BB250,Règles_bovins[Ration]&amp;Règles_bovins[Aliment],0))="s1",IF($BB250=Spécificité1Bovins,1)),
AND(INDEX(Règles_bovins[Specificite],MATCH(ChoixRationBovins&amp;$BB250,Règles_bovins[Ration]&amp;Règles_bovins[Aliment],0))="s2",IF($BB250=Spécificité2Bovins,1)),
INDEX(Règles_bovins[Specificite],MATCH(ChoixRationBovins&amp;$BB250,Règles_bovins[Ration]&amp;Règles_bovins[Aliment],0))="c"),
INDEX(Règles_bovins[Valeur 18-24],MATCH(ChoixRationBovins&amp;$BB250,Règles_bovins[Ration]&amp;Règles_bovins[Aliment],0)),0),0)*IF(ChoixBovinsPréHiver=OUI,TotalGénisse_18_24_RacesLaitières,TotalBovinsFemelles_18_24mois*NbreJoursNourrirBovins))</f>
        <v>0</v>
      </c>
      <c r="BF250" s="351">
        <f t="array" ref="BF250">IF(Ration_complète_bovins[somme]&gt;0,0,IFERROR(IF(OR(AND(INDEX(Règles_bovins[Specificite],MATCH(ChoixRationBovins&amp;$BB250,Règles_bovins[Ration]&amp;Règles_bovins[Aliment],0))="s1",IF($BB250=Spécificité1Bovins,1)),
AND(INDEX(Règles_bovins[Specificite],MATCH(ChoixRationBovins&amp;$BB250,Règles_bovins[Ration]&amp;Règles_bovins[Aliment],0))="s2",IF($BB250=Spécificité2Bovins,1)),
INDEX(Règles_bovins[Specificite],MATCH(ChoixRationBovins&amp;$BB250,Règles_bovins[Ration]&amp;Règles_bovins[Aliment],0))="c"),
INDEX(Règles_bovins[Valeur 12-18],MATCH(ChoixRationBovins&amp;$BB250,Règles_bovins[Ration]&amp;Règles_bovins[Aliment],0)),0),0)*IF(ChoixBovinsPréHiver=OUI,TotalGénisse_12_18_RacesLaitières,TotalBovinsFemelles_12_18mois*NbreJoursNourrirBovins))</f>
        <v>0</v>
      </c>
      <c r="BG250" s="351">
        <f t="array" ref="BG250">IF(Ration_complète_bovins[somme]&gt;0,0,IFERROR(IF(OR(AND(INDEX(Règles_bovins[Specificite],MATCH(ChoixRationBovins&amp;$BB250,Règles_bovins[Ration]&amp;Règles_bovins[Aliment],0))="s1",IF($BB250=Spécificité1Bovins,1)),
AND(INDEX(Règles_bovins[Specificite],MATCH(ChoixRationBovins&amp;$BB250,Règles_bovins[Ration]&amp;Règles_bovins[Aliment],0))="s2",IF($BB250=Spécificité2Bovins,1)),
INDEX(Règles_bovins[Specificite],MATCH(ChoixRationBovins&amp;$BB250,Règles_bovins[Ration]&amp;Règles_bovins[Aliment],0))="c"),
INDEX(Règles_bovins[Valeur 6-12],MATCH(ChoixRationBovins&amp;$BB250,Règles_bovins[Ration]&amp;Règles_bovins[Aliment],0)),0),0)*IF(ChoixBovinsPréHiver=OUI,TotalVeauFemelle_6_12_RacesLaitières,TotalBovinsFemelles_6_12mois*NbreJoursNourrirBovins))</f>
        <v>0</v>
      </c>
      <c r="BH250" s="351">
        <f t="array" ref="BH250">IF(Ration_complète_bovins[somme]&gt;0,0,IFERROR(IF(OR(AND(INDEX(Règles_bovins[Specificite],MATCH(ChoixRationBovins&amp;$BB250,Règles_bovins[Ration]&amp;Règles_bovins[Aliment],0))="s1",IF($BB250=Spécificité1Bovins,1)),
AND(INDEX(Règles_bovins[Specificite],MATCH(ChoixRationBovins&amp;$BB250,Règles_bovins[Ration]&amp;Règles_bovins[Aliment],0))="s2",IF($BB250=Spécificité2Bovins,1)),
INDEX(Règles_bovins[Specificite],MATCH(ChoixRationBovins&amp;$BB250,Règles_bovins[Ration]&amp;Règles_bovins[Aliment],0))="c"),
INDEX(Règles_bovins[Valeur 3-6],MATCH(ChoixRationBovins&amp;$BB250,Règles_bovins[Ration]&amp;Règles_bovins[Aliment],0)),0),0)*IF(ChoixBovinsPréHiver=OUI,TotalVeauFemelle_3_6_RacesLaitières,TotalBovinsFemelles_3_6mois*NbreJoursNourrirBovins))</f>
        <v>0</v>
      </c>
      <c r="BI250" s="351">
        <f t="array" ref="BI250">IF(Ration_complète_bovins[somme]&gt;0,0,IFERROR(IF(OR(AND(INDEX(Règles_bovins[Specificite],MATCH(ChoixRationBovins&amp;$BB250,Règles_bovins[Ration]&amp;Règles_bovins[Aliment],0))="s1",IF($BB250=Spécificité1Bovins,1)),
AND(INDEX(Règles_bovins[Specificite],MATCH(ChoixRationBovins&amp;$BB250,Règles_bovins[Ration]&amp;Règles_bovins[Aliment],0))="s2",IF($BB250=Spécificité2Bovins,1)),
INDEX(Règles_bovins[Specificite],MATCH(ChoixRationBovins&amp;$BB250,Règles_bovins[Ration]&amp;Règles_bovins[Aliment],0))="c"),
INDEX(Règles_bovins[Valeur 0-3],MATCH(ChoixRationBovins&amp;$BB250,Règles_bovins[Ration]&amp;Règles_bovins[Aliment],0)),0),0)*IF(ChoixBovinsPréHiver=OUI,TotalVeauFemelle_0_3_RacesLaitières,TotalBovinsFemelles_0_3mois*NbreJoursNourrirBovins))</f>
        <v>0</v>
      </c>
      <c r="BJ250" s="352">
        <f t="shared" si="67"/>
        <v>0</v>
      </c>
      <c r="BX250" s="277"/>
      <c r="BY250" s="277"/>
      <c r="BZ250" s="277"/>
      <c r="CA250" s="277"/>
      <c r="CB250" s="277"/>
      <c r="CC250" s="277"/>
      <c r="CD250" s="298"/>
      <c r="CE250" s="298"/>
      <c r="CF250" s="298"/>
      <c r="CG250" s="298"/>
      <c r="CI250" s="277"/>
      <c r="CK250" s="277"/>
      <c r="CL250" s="277"/>
      <c r="CM250" s="277"/>
      <c r="CN250" s="277"/>
      <c r="CO250" s="277"/>
      <c r="CP250" s="277"/>
      <c r="DN250" s="350" t="str">
        <f t="shared" si="70"/>
        <v>Epinard</v>
      </c>
      <c r="DO250" s="351">
        <f t="array" ref="DO250">IF(ChoixRationHivernaleOvinsComplète=OUI,0,IFERROR(IF(OR(AND(INDEX(Règles_ovins[Specificite],MATCH(RationHivernaleOvinsAuPré&amp;$DN250,Règles_ovins[Ration]&amp;Règles_ovins[Aliment],0))="s1",IF($DN250=Spécificité1Ovins,1)),
AND(INDEX(Règles_ovins[Specificite],MATCH(RationHivernaleOvinsAuPré&amp;$DN250,Règles_ovins[Ration]&amp;Règles_ovins[Aliment],0))="s2",IF($DN250=Spécificité2Ovins,1)),
INDEX(Règles_ovins[Specificite],MATCH(RationHivernaleOvinsAuPré&amp;$DN250,Règles_ovins[Ration]&amp;Règles_ovins[Aliment],0))="c"),
INDEX(Règles_ovins[Valeur 12 et plus],MATCH(RationHivernaleOvinsAuPré&amp;$DN250,Règles_ovins[Ration]&amp;Règles_ovins[Aliment],0)),0),0)*IF(SUM(TotalOvinsAdultesAuPré)&gt;0,SUM(TotalOvinsAdultesAuPré)*SUM(AD76:AD100),SUM(TotalOvinsAdultes)*SUM(AD76:AD100)))</f>
        <v>0</v>
      </c>
      <c r="DP250" s="351">
        <f t="array" ref="DP250">IF(ChoixRationHivernaleOvinsComplète=OUI,0,IFERROR(IF(OR(AND(INDEX(Règles_ovins[Specificite],MATCH(RationHivernaleOvinsAuPré&amp;$DN250,Règles_ovins[Ration]&amp;Règles_ovins[Aliment],0))="s1",IF($DN250=Spécificité1Ovins,1)),
AND(INDEX(Règles_ovins[Specificite],MATCH(RationHivernaleOvinsAuPré&amp;$DN250,Règles_ovins[Ration]&amp;Règles_ovins[Aliment],0))="s2",IF($DN250=Spécificité2Ovins,1)),
INDEX(Règles_ovins[Specificite],MATCH(RationHivernaleOvinsAuPré&amp;$DN250,Règles_ovins[Ration]&amp;Règles_ovins[Aliment],0))="c"),
INDEX(Règles_ovins[Valeur 6-12],MATCH(RationHivernaleOvinsAuPré&amp;$DN250,Règles_ovins[Ration]&amp;Règles_ovins[Aliment],0)),0),0)*IF(SUM(TotalOvins_6_12moisAuPré)&gt;0,SUM(TotalOvins_6_12moisAuPré)*SUM(AD76:AD100),SUM(TotalJeunesOvins)*SUM(AD76:AD100)))</f>
        <v>0</v>
      </c>
      <c r="DQ250" s="351">
        <f t="array" ref="DQ250">IF(ChoixRationHivernaleOvinsComplète=OUI,0,IFERROR(IF(OR(AND(INDEX(Règles_ovins[Specificite],MATCH(RationHivernaleOvinsAuPré&amp;$DN250,Règles_ovins[Ration]&amp;Règles_ovins[Aliment],0))="s1",IF($DN250=Spécificité1Ovins,1)),
AND(INDEX(Règles_ovins[Specificite],MATCH(RationHivernaleOvinsAuPré&amp;$DN250,Règles_ovins[Ration]&amp;Règles_ovins[Aliment],0))="s2",IF($DN250=Spécificité2Ovins,1)),
INDEX(Règles_ovins[Specificite],MATCH(RationHivernaleOvinsAuPré&amp;$DN250,Règles_ovins[Ration]&amp;Règles_ovins[Aliment],0))="c"),
INDEX(Règles_ovins[Valeur 3-6],MATCH(RationHivernaleOvinsAuPré&amp;$DN250,Règles_ovins[Ration]&amp;Règles_ovins[Aliment],0)),0),0)*IF(SUM(TotalOvins_3_6moisAuPré)&gt;0,SUM(TotalOvins_3_6moisAuPré)*SUM(AD76:AD100),SUM(TotalOvins_3_6mois)*SUM(AD76:AD100)))</f>
        <v>0</v>
      </c>
      <c r="DR250" s="351">
        <f t="array" ref="DR250">IF(ChoixRationHivernaleOvinsComplète=OUI,0,IFERROR(IF(OR(AND(INDEX(Règles_ovins[Specificite],MATCH(RationHivernaleOvinsAuPré&amp;$DN250,Règles_ovins[Ration]&amp;Règles_ovins[Aliment],0))="s1",IF($DN250=Spécificité1Ovins,1)),
AND(INDEX(Règles_ovins[Specificite],MATCH(RationHivernaleOvinsAuPré&amp;$DN250,Règles_ovins[Ration]&amp;Règles_ovins[Aliment],0))="s2",IF($DN250=Spécificité2Ovins,1)),
INDEX(Règles_ovins[Specificite],MATCH(RationHivernaleOvinsAuPré&amp;$DN250,Règles_ovins[Ration]&amp;Règles_ovins[Aliment],0))="c"),
INDEX(Règles_ovins[Valeur 0-3],MATCH(RationHivernaleOvinsAuPré&amp;$DN250,Règles_ovins[Ration]&amp;Règles_ovins[Aliment],0)),0),0)*IF(SUM(TotalOvins_0_3moisAuPré)&gt;0,SUM(TotalOvins_0_3moisAuPré)*SUM(AD76:AD100),SUM(TotalOvins_3_6mois)*SUM(AD76:AD100)))</f>
        <v>0</v>
      </c>
      <c r="DS250" s="441">
        <f t="shared" si="69"/>
        <v>0</v>
      </c>
      <c r="GG250" s="276" t="s">
        <v>955</v>
      </c>
      <c r="GH250" s="276" t="s">
        <v>955</v>
      </c>
      <c r="GI250" s="276" t="s">
        <v>955</v>
      </c>
      <c r="GJ250" s="276" t="s">
        <v>955</v>
      </c>
      <c r="GK250" s="276" t="s">
        <v>955</v>
      </c>
      <c r="GL250" s="276" t="s">
        <v>955</v>
      </c>
      <c r="GM250" s="276" t="s">
        <v>955</v>
      </c>
      <c r="GN250" s="276" t="s">
        <v>955</v>
      </c>
      <c r="GO250" s="276" t="s">
        <v>955</v>
      </c>
      <c r="GP250" s="276" t="s">
        <v>955</v>
      </c>
      <c r="GQ250" s="276" t="s">
        <v>955</v>
      </c>
      <c r="GR250" s="276" t="s">
        <v>955</v>
      </c>
      <c r="GS250" s="276" t="s">
        <v>955</v>
      </c>
      <c r="GT250" s="276" t="s">
        <v>955</v>
      </c>
      <c r="GU250" s="276" t="s">
        <v>955</v>
      </c>
      <c r="GV250" s="276" t="s">
        <v>955</v>
      </c>
    </row>
    <row r="251" spans="1:204" ht="12.75" customHeight="1" x14ac:dyDescent="0.2">
      <c r="A251" s="276"/>
      <c r="B251" s="276"/>
      <c r="BB251" s="350" t="str">
        <f t="shared" si="68"/>
        <v>Haricot vert</v>
      </c>
      <c r="BC251" s="351">
        <f t="array" ref="BC251">IF(Ration_complète_bovins[somme]&gt;0,0,IFERROR(IF(OR(AND(INDEX(Règles_bovins[Specificite],MATCH(ChoixRationBovins&amp;$BB251,Règles_bovins[Ration]&amp;Règles_bovins[Aliment],0))="s1",IF($BB251=Spécificité1Bovins,1)),
AND(INDEX(Règles_bovins[Specificite],MATCH(ChoixRationBovins&amp;$BB251,Règles_bovins[Ration]&amp;Règles_bovins[Aliment],0))="s2",IF($BB251=Spécificité2Bovins,1)),
INDEX(Règles_bovins[Specificite],MATCH(ChoixRationBovins&amp;$BB251,Règles_bovins[Ration]&amp;Règles_bovins[Aliment],0))="c"),
INDEX(Règles_bovins[Valeur 36 et plus],MATCH(ChoixRationBovins&amp;$BB251,Règles_bovins[Ration]&amp;Règles_bovins[Aliment],0)),0),0)*IF(ChoixBovinsPréHiver=OUI,TotalVachesRacesLaitières,TotalVaches*NbreJoursNourrirBovins))</f>
        <v>0</v>
      </c>
      <c r="BD251" s="351">
        <f t="array" ref="BD251">IF(Ration_complète_bovins[somme]&gt;0,0,IFERROR(IF(OR(AND(INDEX(Règles_bovins[Specificite],MATCH(ChoixRationBovins&amp;$BB251,Règles_bovins[Ration]&amp;Règles_bovins[Aliment],0))="s1",IF($BB251=Spécificité1Bovins,1)),
AND(INDEX(Règles_bovins[Specificite],MATCH(ChoixRationBovins&amp;$BB251,Règles_bovins[Ration]&amp;Règles_bovins[Aliment],0))="s2",IF($BB251=Spécificité2Bovins,1)),
INDEX(Règles_bovins[Specificite],MATCH(ChoixRationBovins&amp;$BB251,Règles_bovins[Ration]&amp;Règles_bovins[Aliment],0))="c"),
INDEX(Règles_bovins[Valeur 24-36],MATCH(ChoixRationBovins&amp;$BB251,Règles_bovins[Ration]&amp;Règles_bovins[Aliment],0)),0),0)*IF(ChoixBovinsPréHiver=OUI,TotalGénisse_24_36_RacesLaitières,TotalBovinsFemelles_24_36mois*NbreJoursNourrirBovins))</f>
        <v>0</v>
      </c>
      <c r="BE251" s="351">
        <f t="array" ref="BE251">IF(Ration_complète_bovins[somme]&gt;0,0,IFERROR(IF(OR(AND(INDEX(Règles_bovins[Specificite],MATCH(ChoixRationBovins&amp;$BB251,Règles_bovins[Ration]&amp;Règles_bovins[Aliment],0))="s1",IF($BB251=Spécificité1Bovins,1)),
AND(INDEX(Règles_bovins[Specificite],MATCH(ChoixRationBovins&amp;$BB251,Règles_bovins[Ration]&amp;Règles_bovins[Aliment],0))="s2",IF($BB251=Spécificité2Bovins,1)),
INDEX(Règles_bovins[Specificite],MATCH(ChoixRationBovins&amp;$BB251,Règles_bovins[Ration]&amp;Règles_bovins[Aliment],0))="c"),
INDEX(Règles_bovins[Valeur 18-24],MATCH(ChoixRationBovins&amp;$BB251,Règles_bovins[Ration]&amp;Règles_bovins[Aliment],0)),0),0)*IF(ChoixBovinsPréHiver=OUI,TotalGénisse_18_24_RacesLaitières,TotalBovinsFemelles_18_24mois*NbreJoursNourrirBovins))</f>
        <v>0</v>
      </c>
      <c r="BF251" s="351">
        <f t="array" ref="BF251">IF(Ration_complète_bovins[somme]&gt;0,0,IFERROR(IF(OR(AND(INDEX(Règles_bovins[Specificite],MATCH(ChoixRationBovins&amp;$BB251,Règles_bovins[Ration]&amp;Règles_bovins[Aliment],0))="s1",IF($BB251=Spécificité1Bovins,1)),
AND(INDEX(Règles_bovins[Specificite],MATCH(ChoixRationBovins&amp;$BB251,Règles_bovins[Ration]&amp;Règles_bovins[Aliment],0))="s2",IF($BB251=Spécificité2Bovins,1)),
INDEX(Règles_bovins[Specificite],MATCH(ChoixRationBovins&amp;$BB251,Règles_bovins[Ration]&amp;Règles_bovins[Aliment],0))="c"),
INDEX(Règles_bovins[Valeur 12-18],MATCH(ChoixRationBovins&amp;$BB251,Règles_bovins[Ration]&amp;Règles_bovins[Aliment],0)),0),0)*IF(ChoixBovinsPréHiver=OUI,TotalGénisse_12_18_RacesLaitières,TotalBovinsFemelles_12_18mois*NbreJoursNourrirBovins))</f>
        <v>0</v>
      </c>
      <c r="BG251" s="351">
        <f t="array" ref="BG251">IF(Ration_complète_bovins[somme]&gt;0,0,IFERROR(IF(OR(AND(INDEX(Règles_bovins[Specificite],MATCH(ChoixRationBovins&amp;$BB251,Règles_bovins[Ration]&amp;Règles_bovins[Aliment],0))="s1",IF($BB251=Spécificité1Bovins,1)),
AND(INDEX(Règles_bovins[Specificite],MATCH(ChoixRationBovins&amp;$BB251,Règles_bovins[Ration]&amp;Règles_bovins[Aliment],0))="s2",IF($BB251=Spécificité2Bovins,1)),
INDEX(Règles_bovins[Specificite],MATCH(ChoixRationBovins&amp;$BB251,Règles_bovins[Ration]&amp;Règles_bovins[Aliment],0))="c"),
INDEX(Règles_bovins[Valeur 6-12],MATCH(ChoixRationBovins&amp;$BB251,Règles_bovins[Ration]&amp;Règles_bovins[Aliment],0)),0),0)*IF(ChoixBovinsPréHiver=OUI,TotalVeauFemelle_6_12_RacesLaitières,TotalBovinsFemelles_6_12mois*NbreJoursNourrirBovins))</f>
        <v>0</v>
      </c>
      <c r="BH251" s="351">
        <f t="array" ref="BH251">IF(Ration_complète_bovins[somme]&gt;0,0,IFERROR(IF(OR(AND(INDEX(Règles_bovins[Specificite],MATCH(ChoixRationBovins&amp;$BB251,Règles_bovins[Ration]&amp;Règles_bovins[Aliment],0))="s1",IF($BB251=Spécificité1Bovins,1)),
AND(INDEX(Règles_bovins[Specificite],MATCH(ChoixRationBovins&amp;$BB251,Règles_bovins[Ration]&amp;Règles_bovins[Aliment],0))="s2",IF($BB251=Spécificité2Bovins,1)),
INDEX(Règles_bovins[Specificite],MATCH(ChoixRationBovins&amp;$BB251,Règles_bovins[Ration]&amp;Règles_bovins[Aliment],0))="c"),
INDEX(Règles_bovins[Valeur 3-6],MATCH(ChoixRationBovins&amp;$BB251,Règles_bovins[Ration]&amp;Règles_bovins[Aliment],0)),0),0)*IF(ChoixBovinsPréHiver=OUI,TotalVeauFemelle_3_6_RacesLaitières,TotalBovinsFemelles_3_6mois*NbreJoursNourrirBovins))</f>
        <v>0</v>
      </c>
      <c r="BI251" s="351">
        <f t="array" ref="BI251">IF(Ration_complète_bovins[somme]&gt;0,0,IFERROR(IF(OR(AND(INDEX(Règles_bovins[Specificite],MATCH(ChoixRationBovins&amp;$BB251,Règles_bovins[Ration]&amp;Règles_bovins[Aliment],0))="s1",IF($BB251=Spécificité1Bovins,1)),
AND(INDEX(Règles_bovins[Specificite],MATCH(ChoixRationBovins&amp;$BB251,Règles_bovins[Ration]&amp;Règles_bovins[Aliment],0))="s2",IF($BB251=Spécificité2Bovins,1)),
INDEX(Règles_bovins[Specificite],MATCH(ChoixRationBovins&amp;$BB251,Règles_bovins[Ration]&amp;Règles_bovins[Aliment],0))="c"),
INDEX(Règles_bovins[Valeur 0-3],MATCH(ChoixRationBovins&amp;$BB251,Règles_bovins[Ration]&amp;Règles_bovins[Aliment],0)),0),0)*IF(ChoixBovinsPréHiver=OUI,TotalVeauFemelle_0_3_RacesLaitières,TotalBovinsFemelles_0_3mois*NbreJoursNourrirBovins))</f>
        <v>0</v>
      </c>
      <c r="BJ251" s="352">
        <f t="shared" si="67"/>
        <v>0</v>
      </c>
      <c r="BX251" s="277"/>
      <c r="BY251" s="515"/>
      <c r="BZ251" s="515"/>
      <c r="CA251" s="515"/>
      <c r="CB251" s="515"/>
      <c r="CC251" s="515"/>
      <c r="CD251" s="298"/>
      <c r="CE251" s="298"/>
      <c r="CF251" s="298"/>
      <c r="CG251" s="298"/>
      <c r="CI251" s="277"/>
      <c r="CK251" s="277"/>
      <c r="CL251" s="277"/>
      <c r="CM251" s="277"/>
      <c r="CN251" s="277"/>
      <c r="CO251" s="277"/>
      <c r="CP251" s="277"/>
      <c r="DN251" s="350" t="str">
        <f t="shared" si="70"/>
        <v>Féverole</v>
      </c>
      <c r="DO251" s="351">
        <f t="array" ref="DO251">IF(ChoixRationHivernaleOvinsComplète=OUI,0,IFERROR(IF(OR(AND(INDEX(Règles_ovins[Specificite],MATCH(RationHivernaleOvinsAuPré&amp;$DN251,Règles_ovins[Ration]&amp;Règles_ovins[Aliment],0))="s1",IF($DN251=Spécificité1Ovins,1)),
AND(INDEX(Règles_ovins[Specificite],MATCH(RationHivernaleOvinsAuPré&amp;$DN251,Règles_ovins[Ration]&amp;Règles_ovins[Aliment],0))="s2",IF($DN251=Spécificité2Ovins,1)),
INDEX(Règles_ovins[Specificite],MATCH(RationHivernaleOvinsAuPré&amp;$DN251,Règles_ovins[Ration]&amp;Règles_ovins[Aliment],0))="c"),
INDEX(Règles_ovins[Valeur 12 et plus],MATCH(RationHivernaleOvinsAuPré&amp;$DN251,Règles_ovins[Ration]&amp;Règles_ovins[Aliment],0)),0),0)*IF(SUM(TotalOvinsAdultesAuPré)&gt;0,SUM(TotalOvinsAdultesAuPré)*SUM(AD76:AD100),SUM(TotalOvinsAdultes)*SUM(AD76:AD100)))</f>
        <v>0</v>
      </c>
      <c r="DP251" s="351">
        <f t="array" ref="DP251">IF(ChoixRationHivernaleOvinsComplète=OUI,0,IFERROR(IF(OR(AND(INDEX(Règles_ovins[Specificite],MATCH(RationHivernaleOvinsAuPré&amp;$DN251,Règles_ovins[Ration]&amp;Règles_ovins[Aliment],0))="s1",IF($DN251=Spécificité1Ovins,1)),
AND(INDEX(Règles_ovins[Specificite],MATCH(RationHivernaleOvinsAuPré&amp;$DN251,Règles_ovins[Ration]&amp;Règles_ovins[Aliment],0))="s2",IF($DN251=Spécificité2Ovins,1)),
INDEX(Règles_ovins[Specificite],MATCH(RationHivernaleOvinsAuPré&amp;$DN251,Règles_ovins[Ration]&amp;Règles_ovins[Aliment],0))="c"),
INDEX(Règles_ovins[Valeur 6-12],MATCH(RationHivernaleOvinsAuPré&amp;$DN251,Règles_ovins[Ration]&amp;Règles_ovins[Aliment],0)),0),0)*IF(SUM(TotalOvins_6_12moisAuPré)&gt;0,SUM(TotalOvins_6_12moisAuPré)*SUM(AD76:AD100),SUM(TotalJeunesOvins)*SUM(AD76:AD100)))</f>
        <v>0</v>
      </c>
      <c r="DQ251" s="351">
        <f t="array" ref="DQ251">IF(ChoixRationHivernaleOvinsComplète=OUI,0,IFERROR(IF(OR(AND(INDEX(Règles_ovins[Specificite],MATCH(RationHivernaleOvinsAuPré&amp;$DN251,Règles_ovins[Ration]&amp;Règles_ovins[Aliment],0))="s1",IF($DN251=Spécificité1Ovins,1)),
AND(INDEX(Règles_ovins[Specificite],MATCH(RationHivernaleOvinsAuPré&amp;$DN251,Règles_ovins[Ration]&amp;Règles_ovins[Aliment],0))="s2",IF($DN251=Spécificité2Ovins,1)),
INDEX(Règles_ovins[Specificite],MATCH(RationHivernaleOvinsAuPré&amp;$DN251,Règles_ovins[Ration]&amp;Règles_ovins[Aliment],0))="c"),
INDEX(Règles_ovins[Valeur 3-6],MATCH(RationHivernaleOvinsAuPré&amp;$DN251,Règles_ovins[Ration]&amp;Règles_ovins[Aliment],0)),0),0)*IF(SUM(TotalOvins_3_6moisAuPré)&gt;0,SUM(TotalOvins_3_6moisAuPré)*SUM(AD76:AD100),SUM(TotalOvins_3_6mois)*SUM(AD76:AD100)))</f>
        <v>0</v>
      </c>
      <c r="DR251" s="351">
        <f t="array" ref="DR251">IF(ChoixRationHivernaleOvinsComplète=OUI,0,IFERROR(IF(OR(AND(INDEX(Règles_ovins[Specificite],MATCH(RationHivernaleOvinsAuPré&amp;$DN251,Règles_ovins[Ration]&amp;Règles_ovins[Aliment],0))="s1",IF($DN251=Spécificité1Ovins,1)),
AND(INDEX(Règles_ovins[Specificite],MATCH(RationHivernaleOvinsAuPré&amp;$DN251,Règles_ovins[Ration]&amp;Règles_ovins[Aliment],0))="s2",IF($DN251=Spécificité2Ovins,1)),
INDEX(Règles_ovins[Specificite],MATCH(RationHivernaleOvinsAuPré&amp;$DN251,Règles_ovins[Ration]&amp;Règles_ovins[Aliment],0))="c"),
INDEX(Règles_ovins[Valeur 0-3],MATCH(RationHivernaleOvinsAuPré&amp;$DN251,Règles_ovins[Ration]&amp;Règles_ovins[Aliment],0)),0),0)*IF(SUM(TotalOvins_0_3moisAuPré)&gt;0,SUM(TotalOvins_0_3moisAuPré)*SUM(AD76:AD100),SUM(TotalOvins_3_6mois)*SUM(AD76:AD100)))</f>
        <v>0</v>
      </c>
      <c r="DS251" s="441">
        <f t="shared" si="69"/>
        <v>0</v>
      </c>
      <c r="GG251" s="276" t="s">
        <v>955</v>
      </c>
      <c r="GH251" s="276" t="s">
        <v>955</v>
      </c>
      <c r="GI251" s="276" t="s">
        <v>955</v>
      </c>
      <c r="GJ251" s="276" t="s">
        <v>955</v>
      </c>
      <c r="GK251" s="276" t="s">
        <v>955</v>
      </c>
      <c r="GL251" s="276" t="s">
        <v>955</v>
      </c>
      <c r="GM251" s="276" t="s">
        <v>955</v>
      </c>
      <c r="GN251" s="276" t="s">
        <v>955</v>
      </c>
      <c r="GO251" s="276" t="s">
        <v>955</v>
      </c>
      <c r="GP251" s="276" t="s">
        <v>955</v>
      </c>
      <c r="GQ251" s="276" t="s">
        <v>955</v>
      </c>
      <c r="GR251" s="276" t="s">
        <v>955</v>
      </c>
      <c r="GS251" s="276" t="s">
        <v>955</v>
      </c>
      <c r="GT251" s="276" t="s">
        <v>955</v>
      </c>
      <c r="GU251" s="276" t="s">
        <v>955</v>
      </c>
      <c r="GV251" s="276" t="s">
        <v>955</v>
      </c>
    </row>
    <row r="252" spans="1:204" ht="12.75" customHeight="1" x14ac:dyDescent="0.2">
      <c r="A252" s="276"/>
      <c r="B252" s="276"/>
      <c r="BB252" s="350" t="str">
        <f t="shared" si="68"/>
        <v>Lentille</v>
      </c>
      <c r="BC252" s="351">
        <f t="array" ref="BC252">IF(Ration_complète_bovins[somme]&gt;0,0,IFERROR(IF(OR(AND(INDEX(Règles_bovins[Specificite],MATCH(ChoixRationBovins&amp;$BB252,Règles_bovins[Ration]&amp;Règles_bovins[Aliment],0))="s1",IF($BB252=Spécificité1Bovins,1)),
AND(INDEX(Règles_bovins[Specificite],MATCH(ChoixRationBovins&amp;$BB252,Règles_bovins[Ration]&amp;Règles_bovins[Aliment],0))="s2",IF($BB252=Spécificité2Bovins,1)),
INDEX(Règles_bovins[Specificite],MATCH(ChoixRationBovins&amp;$BB252,Règles_bovins[Ration]&amp;Règles_bovins[Aliment],0))="c"),
INDEX(Règles_bovins[Valeur 36 et plus],MATCH(ChoixRationBovins&amp;$BB252,Règles_bovins[Ration]&amp;Règles_bovins[Aliment],0)),0),0)*IF(ChoixBovinsPréHiver=OUI,TotalVachesRacesLaitières,TotalVaches*NbreJoursNourrirBovins))</f>
        <v>0</v>
      </c>
      <c r="BD252" s="351">
        <f t="array" ref="BD252">IF(Ration_complète_bovins[somme]&gt;0,0,IFERROR(IF(OR(AND(INDEX(Règles_bovins[Specificite],MATCH(ChoixRationBovins&amp;$BB252,Règles_bovins[Ration]&amp;Règles_bovins[Aliment],0))="s1",IF($BB252=Spécificité1Bovins,1)),
AND(INDEX(Règles_bovins[Specificite],MATCH(ChoixRationBovins&amp;$BB252,Règles_bovins[Ration]&amp;Règles_bovins[Aliment],0))="s2",IF($BB252=Spécificité2Bovins,1)),
INDEX(Règles_bovins[Specificite],MATCH(ChoixRationBovins&amp;$BB252,Règles_bovins[Ration]&amp;Règles_bovins[Aliment],0))="c"),
INDEX(Règles_bovins[Valeur 24-36],MATCH(ChoixRationBovins&amp;$BB252,Règles_bovins[Ration]&amp;Règles_bovins[Aliment],0)),0),0)*IF(ChoixBovinsPréHiver=OUI,TotalGénisse_24_36_RacesLaitières,TotalBovinsFemelles_24_36mois*NbreJoursNourrirBovins))</f>
        <v>0</v>
      </c>
      <c r="BE252" s="351">
        <f t="array" ref="BE252">IF(Ration_complète_bovins[somme]&gt;0,0,IFERROR(IF(OR(AND(INDEX(Règles_bovins[Specificite],MATCH(ChoixRationBovins&amp;$BB252,Règles_bovins[Ration]&amp;Règles_bovins[Aliment],0))="s1",IF($BB252=Spécificité1Bovins,1)),
AND(INDEX(Règles_bovins[Specificite],MATCH(ChoixRationBovins&amp;$BB252,Règles_bovins[Ration]&amp;Règles_bovins[Aliment],0))="s2",IF($BB252=Spécificité2Bovins,1)),
INDEX(Règles_bovins[Specificite],MATCH(ChoixRationBovins&amp;$BB252,Règles_bovins[Ration]&amp;Règles_bovins[Aliment],0))="c"),
INDEX(Règles_bovins[Valeur 18-24],MATCH(ChoixRationBovins&amp;$BB252,Règles_bovins[Ration]&amp;Règles_bovins[Aliment],0)),0),0)*IF(ChoixBovinsPréHiver=OUI,TotalGénisse_18_24_RacesLaitières,TotalBovinsFemelles_18_24mois*NbreJoursNourrirBovins))</f>
        <v>0</v>
      </c>
      <c r="BF252" s="351">
        <f t="array" ref="BF252">IF(Ration_complète_bovins[somme]&gt;0,0,IFERROR(IF(OR(AND(INDEX(Règles_bovins[Specificite],MATCH(ChoixRationBovins&amp;$BB252,Règles_bovins[Ration]&amp;Règles_bovins[Aliment],0))="s1",IF($BB252=Spécificité1Bovins,1)),
AND(INDEX(Règles_bovins[Specificite],MATCH(ChoixRationBovins&amp;$BB252,Règles_bovins[Ration]&amp;Règles_bovins[Aliment],0))="s2",IF($BB252=Spécificité2Bovins,1)),
INDEX(Règles_bovins[Specificite],MATCH(ChoixRationBovins&amp;$BB252,Règles_bovins[Ration]&amp;Règles_bovins[Aliment],0))="c"),
INDEX(Règles_bovins[Valeur 12-18],MATCH(ChoixRationBovins&amp;$BB252,Règles_bovins[Ration]&amp;Règles_bovins[Aliment],0)),0),0)*IF(ChoixBovinsPréHiver=OUI,TotalGénisse_12_18_RacesLaitières,TotalBovinsFemelles_12_18mois*NbreJoursNourrirBovins))</f>
        <v>0</v>
      </c>
      <c r="BG252" s="351">
        <f t="array" ref="BG252">IF(Ration_complète_bovins[somme]&gt;0,0,IFERROR(IF(OR(AND(INDEX(Règles_bovins[Specificite],MATCH(ChoixRationBovins&amp;$BB252,Règles_bovins[Ration]&amp;Règles_bovins[Aliment],0))="s1",IF($BB252=Spécificité1Bovins,1)),
AND(INDEX(Règles_bovins[Specificite],MATCH(ChoixRationBovins&amp;$BB252,Règles_bovins[Ration]&amp;Règles_bovins[Aliment],0))="s2",IF($BB252=Spécificité2Bovins,1)),
INDEX(Règles_bovins[Specificite],MATCH(ChoixRationBovins&amp;$BB252,Règles_bovins[Ration]&amp;Règles_bovins[Aliment],0))="c"),
INDEX(Règles_bovins[Valeur 6-12],MATCH(ChoixRationBovins&amp;$BB252,Règles_bovins[Ration]&amp;Règles_bovins[Aliment],0)),0),0)*IF(ChoixBovinsPréHiver=OUI,TotalVeauFemelle_6_12_RacesLaitières,TotalBovinsFemelles_6_12mois*NbreJoursNourrirBovins))</f>
        <v>0</v>
      </c>
      <c r="BH252" s="351">
        <f t="array" ref="BH252">IF(Ration_complète_bovins[somme]&gt;0,0,IFERROR(IF(OR(AND(INDEX(Règles_bovins[Specificite],MATCH(ChoixRationBovins&amp;$BB252,Règles_bovins[Ration]&amp;Règles_bovins[Aliment],0))="s1",IF($BB252=Spécificité1Bovins,1)),
AND(INDEX(Règles_bovins[Specificite],MATCH(ChoixRationBovins&amp;$BB252,Règles_bovins[Ration]&amp;Règles_bovins[Aliment],0))="s2",IF($BB252=Spécificité2Bovins,1)),
INDEX(Règles_bovins[Specificite],MATCH(ChoixRationBovins&amp;$BB252,Règles_bovins[Ration]&amp;Règles_bovins[Aliment],0))="c"),
INDEX(Règles_bovins[Valeur 3-6],MATCH(ChoixRationBovins&amp;$BB252,Règles_bovins[Ration]&amp;Règles_bovins[Aliment],0)),0),0)*IF(ChoixBovinsPréHiver=OUI,TotalVeauFemelle_3_6_RacesLaitières,TotalBovinsFemelles_3_6mois*NbreJoursNourrirBovins))</f>
        <v>0</v>
      </c>
      <c r="BI252" s="351">
        <f t="array" ref="BI252">IF(Ration_complète_bovins[somme]&gt;0,0,IFERROR(IF(OR(AND(INDEX(Règles_bovins[Specificite],MATCH(ChoixRationBovins&amp;$BB252,Règles_bovins[Ration]&amp;Règles_bovins[Aliment],0))="s1",IF($BB252=Spécificité1Bovins,1)),
AND(INDEX(Règles_bovins[Specificite],MATCH(ChoixRationBovins&amp;$BB252,Règles_bovins[Ration]&amp;Règles_bovins[Aliment],0))="s2",IF($BB252=Spécificité2Bovins,1)),
INDEX(Règles_bovins[Specificite],MATCH(ChoixRationBovins&amp;$BB252,Règles_bovins[Ration]&amp;Règles_bovins[Aliment],0))="c"),
INDEX(Règles_bovins[Valeur 0-3],MATCH(ChoixRationBovins&amp;$BB252,Règles_bovins[Ration]&amp;Règles_bovins[Aliment],0)),0),0)*IF(ChoixBovinsPréHiver=OUI,TotalVeauFemelle_0_3_RacesLaitières,TotalBovinsFemelles_0_3mois*NbreJoursNourrirBovins))</f>
        <v>0</v>
      </c>
      <c r="BJ252" s="352">
        <f t="shared" si="67"/>
        <v>0</v>
      </c>
      <c r="BX252" s="277"/>
      <c r="BY252" s="277"/>
      <c r="BZ252" s="279"/>
      <c r="CA252" s="279"/>
      <c r="CB252" s="279"/>
      <c r="CC252" s="279"/>
      <c r="CD252" s="298"/>
      <c r="CE252" s="298"/>
      <c r="CF252" s="298"/>
      <c r="CG252" s="298"/>
      <c r="CI252" s="277"/>
      <c r="CK252" s="277"/>
      <c r="CL252" s="277"/>
      <c r="CM252" s="277"/>
      <c r="CN252" s="277"/>
      <c r="CO252" s="277"/>
      <c r="CP252" s="277"/>
      <c r="DN252" s="350" t="str">
        <f t="shared" si="70"/>
        <v>Foin</v>
      </c>
      <c r="DO252" s="351">
        <f t="array" ref="DO252">IF(ChoixRationHivernaleOvinsComplète=OUI,0,IFERROR(IF(OR(AND(INDEX(Règles_ovins[Specificite],MATCH(RationHivernaleOvinsAuPré&amp;$DN252,Règles_ovins[Ration]&amp;Règles_ovins[Aliment],0))="s1",IF($DN252=Spécificité1Ovins,1)),
AND(INDEX(Règles_ovins[Specificite],MATCH(RationHivernaleOvinsAuPré&amp;$DN252,Règles_ovins[Ration]&amp;Règles_ovins[Aliment],0))="s2",IF($DN252=Spécificité2Ovins,1)),
INDEX(Règles_ovins[Specificite],MATCH(RationHivernaleOvinsAuPré&amp;$DN252,Règles_ovins[Ration]&amp;Règles_ovins[Aliment],0))="c"),
INDEX(Règles_ovins[Valeur 12 et plus],MATCH(RationHivernaleOvinsAuPré&amp;$DN252,Règles_ovins[Ration]&amp;Règles_ovins[Aliment],0)),0),0)*IF(SUM(TotalOvinsAdultesAuPré)&gt;0,SUM(TotalOvinsAdultesAuPré)*SUM(AD76:AD100),SUM(TotalOvinsAdultes)*SUM(AD76:AD100)))</f>
        <v>0</v>
      </c>
      <c r="DP252" s="351">
        <f t="array" ref="DP252">IF(ChoixRationHivernaleOvinsComplète=OUI,0,IFERROR(IF(OR(AND(INDEX(Règles_ovins[Specificite],MATCH(RationHivernaleOvinsAuPré&amp;$DN252,Règles_ovins[Ration]&amp;Règles_ovins[Aliment],0))="s1",IF($DN252=Spécificité1Ovins,1)),
AND(INDEX(Règles_ovins[Specificite],MATCH(RationHivernaleOvinsAuPré&amp;$DN252,Règles_ovins[Ration]&amp;Règles_ovins[Aliment],0))="s2",IF($DN252=Spécificité2Ovins,1)),
INDEX(Règles_ovins[Specificite],MATCH(RationHivernaleOvinsAuPré&amp;$DN252,Règles_ovins[Ration]&amp;Règles_ovins[Aliment],0))="c"),
INDEX(Règles_ovins[Valeur 6-12],MATCH(RationHivernaleOvinsAuPré&amp;$DN252,Règles_ovins[Ration]&amp;Règles_ovins[Aliment],0)),0),0)*IF(SUM(TotalOvins_6_12moisAuPré)&gt;0,SUM(TotalOvins_6_12moisAuPré)*SUM(AD76:AD100),SUM(TotalJeunesOvins)*SUM(AD76:AD100)))</f>
        <v>0</v>
      </c>
      <c r="DQ252" s="351">
        <f t="array" ref="DQ252">IF(ChoixRationHivernaleOvinsComplète=OUI,0,IFERROR(IF(OR(AND(INDEX(Règles_ovins[Specificite],MATCH(RationHivernaleOvinsAuPré&amp;$DN252,Règles_ovins[Ration]&amp;Règles_ovins[Aliment],0))="s1",IF($DN252=Spécificité1Ovins,1)),
AND(INDEX(Règles_ovins[Specificite],MATCH(RationHivernaleOvinsAuPré&amp;$DN252,Règles_ovins[Ration]&amp;Règles_ovins[Aliment],0))="s2",IF($DN252=Spécificité2Ovins,1)),
INDEX(Règles_ovins[Specificite],MATCH(RationHivernaleOvinsAuPré&amp;$DN252,Règles_ovins[Ration]&amp;Règles_ovins[Aliment],0))="c"),
INDEX(Règles_ovins[Valeur 3-6],MATCH(RationHivernaleOvinsAuPré&amp;$DN252,Règles_ovins[Ration]&amp;Règles_ovins[Aliment],0)),0),0)*IF(SUM(TotalOvins_3_6moisAuPré)&gt;0,SUM(TotalOvins_3_6moisAuPré)*SUM(AD76:AD100),SUM(TotalOvins_3_6mois)*SUM(AD76:AD100)))</f>
        <v>0</v>
      </c>
      <c r="DR252" s="351">
        <f t="array" ref="DR252">IF(ChoixRationHivernaleOvinsComplète=OUI,0,IFERROR(IF(OR(AND(INDEX(Règles_ovins[Specificite],MATCH(RationHivernaleOvinsAuPré&amp;$DN252,Règles_ovins[Ration]&amp;Règles_ovins[Aliment],0))="s1",IF($DN252=Spécificité1Ovins,1)),
AND(INDEX(Règles_ovins[Specificite],MATCH(RationHivernaleOvinsAuPré&amp;$DN252,Règles_ovins[Ration]&amp;Règles_ovins[Aliment],0))="s2",IF($DN252=Spécificité2Ovins,1)),
INDEX(Règles_ovins[Specificite],MATCH(RationHivernaleOvinsAuPré&amp;$DN252,Règles_ovins[Ration]&amp;Règles_ovins[Aliment],0))="c"),
INDEX(Règles_ovins[Valeur 0-3],MATCH(RationHivernaleOvinsAuPré&amp;$DN252,Règles_ovins[Ration]&amp;Règles_ovins[Aliment],0)),0),0)*IF(SUM(TotalOvins_0_3moisAuPré)&gt;0,SUM(TotalOvins_0_3moisAuPré)*SUM(AD76:AD100),SUM(TotalOvins_3_6mois)*SUM(AD76:AD100)))</f>
        <v>0</v>
      </c>
      <c r="DS252" s="441">
        <f t="shared" si="69"/>
        <v>0</v>
      </c>
      <c r="GG252" s="276" t="s">
        <v>955</v>
      </c>
      <c r="GH252" s="276" t="s">
        <v>955</v>
      </c>
      <c r="GI252" s="276" t="s">
        <v>955</v>
      </c>
      <c r="GJ252" s="276" t="s">
        <v>955</v>
      </c>
      <c r="GK252" s="276" t="s">
        <v>955</v>
      </c>
      <c r="GL252" s="276" t="s">
        <v>955</v>
      </c>
      <c r="GM252" s="276" t="s">
        <v>955</v>
      </c>
      <c r="GN252" s="276" t="s">
        <v>955</v>
      </c>
      <c r="GO252" s="276" t="s">
        <v>955</v>
      </c>
      <c r="GP252" s="276" t="s">
        <v>955</v>
      </c>
      <c r="GQ252" s="276" t="s">
        <v>955</v>
      </c>
      <c r="GR252" s="276" t="s">
        <v>955</v>
      </c>
      <c r="GS252" s="276" t="s">
        <v>955</v>
      </c>
      <c r="GT252" s="276" t="s">
        <v>955</v>
      </c>
      <c r="GU252" s="276" t="s">
        <v>955</v>
      </c>
      <c r="GV252" s="276" t="s">
        <v>955</v>
      </c>
    </row>
    <row r="253" spans="1:204" ht="12.75" customHeight="1" x14ac:dyDescent="0.2">
      <c r="A253" s="276"/>
      <c r="B253" s="276"/>
      <c r="BB253" s="350" t="str">
        <f t="shared" si="68"/>
        <v>Maïs ensilé</v>
      </c>
      <c r="BC253" s="351">
        <f t="array" ref="BC253">IF(Ration_complète_bovins[somme]&gt;0,0,IFERROR(IF(OR(AND(INDEX(Règles_bovins[Specificite],MATCH(ChoixRationBovins&amp;$BB253,Règles_bovins[Ration]&amp;Règles_bovins[Aliment],0))="s1",IF($BB253=Spécificité1Bovins,1)),
AND(INDEX(Règles_bovins[Specificite],MATCH(ChoixRationBovins&amp;$BB253,Règles_bovins[Ration]&amp;Règles_bovins[Aliment],0))="s2",IF($BB253=Spécificité2Bovins,1)),
INDEX(Règles_bovins[Specificite],MATCH(ChoixRationBovins&amp;$BB253,Règles_bovins[Ration]&amp;Règles_bovins[Aliment],0))="c"),
INDEX(Règles_bovins[Valeur 36 et plus],MATCH(ChoixRationBovins&amp;$BB253,Règles_bovins[Ration]&amp;Règles_bovins[Aliment],0)),0),0)*IF(ChoixBovinsPréHiver=OUI,TotalVachesRacesLaitières,TotalVaches*NbreJoursNourrirBovins))</f>
        <v>0</v>
      </c>
      <c r="BD253" s="351">
        <f t="array" ref="BD253">IF(Ration_complète_bovins[somme]&gt;0,0,IFERROR(IF(OR(AND(INDEX(Règles_bovins[Specificite],MATCH(ChoixRationBovins&amp;$BB253,Règles_bovins[Ration]&amp;Règles_bovins[Aliment],0))="s1",IF($BB253=Spécificité1Bovins,1)),
AND(INDEX(Règles_bovins[Specificite],MATCH(ChoixRationBovins&amp;$BB253,Règles_bovins[Ration]&amp;Règles_bovins[Aliment],0))="s2",IF($BB253=Spécificité2Bovins,1)),
INDEX(Règles_bovins[Specificite],MATCH(ChoixRationBovins&amp;$BB253,Règles_bovins[Ration]&amp;Règles_bovins[Aliment],0))="c"),
INDEX(Règles_bovins[Valeur 24-36],MATCH(ChoixRationBovins&amp;$BB253,Règles_bovins[Ration]&amp;Règles_bovins[Aliment],0)),0),0)*IF(ChoixBovinsPréHiver=OUI,TotalGénisse_24_36_RacesLaitières,TotalBovinsFemelles_24_36mois*NbreJoursNourrirBovins))</f>
        <v>0</v>
      </c>
      <c r="BE253" s="351">
        <f t="array" ref="BE253">IF(Ration_complète_bovins[somme]&gt;0,0,IFERROR(IF(OR(AND(INDEX(Règles_bovins[Specificite],MATCH(ChoixRationBovins&amp;$BB253,Règles_bovins[Ration]&amp;Règles_bovins[Aliment],0))="s1",IF($BB253=Spécificité1Bovins,1)),
AND(INDEX(Règles_bovins[Specificite],MATCH(ChoixRationBovins&amp;$BB253,Règles_bovins[Ration]&amp;Règles_bovins[Aliment],0))="s2",IF($BB253=Spécificité2Bovins,1)),
INDEX(Règles_bovins[Specificite],MATCH(ChoixRationBovins&amp;$BB253,Règles_bovins[Ration]&amp;Règles_bovins[Aliment],0))="c"),
INDEX(Règles_bovins[Valeur 18-24],MATCH(ChoixRationBovins&amp;$BB253,Règles_bovins[Ration]&amp;Règles_bovins[Aliment],0)),0),0)*IF(ChoixBovinsPréHiver=OUI,TotalGénisse_18_24_RacesLaitières,TotalBovinsFemelles_18_24mois*NbreJoursNourrirBovins))</f>
        <v>0</v>
      </c>
      <c r="BF253" s="351">
        <f t="array" ref="BF253">IF(Ration_complète_bovins[somme]&gt;0,0,IFERROR(IF(OR(AND(INDEX(Règles_bovins[Specificite],MATCH(ChoixRationBovins&amp;$BB253,Règles_bovins[Ration]&amp;Règles_bovins[Aliment],0))="s1",IF($BB253=Spécificité1Bovins,1)),
AND(INDEX(Règles_bovins[Specificite],MATCH(ChoixRationBovins&amp;$BB253,Règles_bovins[Ration]&amp;Règles_bovins[Aliment],0))="s2",IF($BB253=Spécificité2Bovins,1)),
INDEX(Règles_bovins[Specificite],MATCH(ChoixRationBovins&amp;$BB253,Règles_bovins[Ration]&amp;Règles_bovins[Aliment],0))="c"),
INDEX(Règles_bovins[Valeur 12-18],MATCH(ChoixRationBovins&amp;$BB253,Règles_bovins[Ration]&amp;Règles_bovins[Aliment],0)),0),0)*IF(ChoixBovinsPréHiver=OUI,TotalGénisse_12_18_RacesLaitières,TotalBovinsFemelles_12_18mois*NbreJoursNourrirBovins))</f>
        <v>0</v>
      </c>
      <c r="BG253" s="351">
        <f t="array" ref="BG253">IF(Ration_complète_bovins[somme]&gt;0,0,IFERROR(IF(OR(AND(INDEX(Règles_bovins[Specificite],MATCH(ChoixRationBovins&amp;$BB253,Règles_bovins[Ration]&amp;Règles_bovins[Aliment],0))="s1",IF($BB253=Spécificité1Bovins,1)),
AND(INDEX(Règles_bovins[Specificite],MATCH(ChoixRationBovins&amp;$BB253,Règles_bovins[Ration]&amp;Règles_bovins[Aliment],0))="s2",IF($BB253=Spécificité2Bovins,1)),
INDEX(Règles_bovins[Specificite],MATCH(ChoixRationBovins&amp;$BB253,Règles_bovins[Ration]&amp;Règles_bovins[Aliment],0))="c"),
INDEX(Règles_bovins[Valeur 6-12],MATCH(ChoixRationBovins&amp;$BB253,Règles_bovins[Ration]&amp;Règles_bovins[Aliment],0)),0),0)*IF(ChoixBovinsPréHiver=OUI,TotalVeauFemelle_6_12_RacesLaitières,TotalBovinsFemelles_6_12mois*NbreJoursNourrirBovins))</f>
        <v>0</v>
      </c>
      <c r="BH253" s="351">
        <f t="array" ref="BH253">IF(Ration_complète_bovins[somme]&gt;0,0,IFERROR(IF(OR(AND(INDEX(Règles_bovins[Specificite],MATCH(ChoixRationBovins&amp;$BB253,Règles_bovins[Ration]&amp;Règles_bovins[Aliment],0))="s1",IF($BB253=Spécificité1Bovins,1)),
AND(INDEX(Règles_bovins[Specificite],MATCH(ChoixRationBovins&amp;$BB253,Règles_bovins[Ration]&amp;Règles_bovins[Aliment],0))="s2",IF($BB253=Spécificité2Bovins,1)),
INDEX(Règles_bovins[Specificite],MATCH(ChoixRationBovins&amp;$BB253,Règles_bovins[Ration]&amp;Règles_bovins[Aliment],0))="c"),
INDEX(Règles_bovins[Valeur 3-6],MATCH(ChoixRationBovins&amp;$BB253,Règles_bovins[Ration]&amp;Règles_bovins[Aliment],0)),0),0)*IF(ChoixBovinsPréHiver=OUI,TotalVeauFemelle_3_6_RacesLaitières,TotalBovinsFemelles_3_6mois*NbreJoursNourrirBovins))</f>
        <v>0</v>
      </c>
      <c r="BI253" s="351">
        <f t="array" ref="BI253">IF(Ration_complète_bovins[somme]&gt;0,0,IFERROR(IF(OR(AND(INDEX(Règles_bovins[Specificite],MATCH(ChoixRationBovins&amp;$BB253,Règles_bovins[Ration]&amp;Règles_bovins[Aliment],0))="s1",IF($BB253=Spécificité1Bovins,1)),
AND(INDEX(Règles_bovins[Specificite],MATCH(ChoixRationBovins&amp;$BB253,Règles_bovins[Ration]&amp;Règles_bovins[Aliment],0))="s2",IF($BB253=Spécificité2Bovins,1)),
INDEX(Règles_bovins[Specificite],MATCH(ChoixRationBovins&amp;$BB253,Règles_bovins[Ration]&amp;Règles_bovins[Aliment],0))="c"),
INDEX(Règles_bovins[Valeur 0-3],MATCH(ChoixRationBovins&amp;$BB253,Règles_bovins[Ration]&amp;Règles_bovins[Aliment],0)),0),0)*IF(ChoixBovinsPréHiver=OUI,TotalVeauFemelle_0_3_RacesLaitières,TotalBovinsFemelles_0_3mois*NbreJoursNourrirBovins))</f>
        <v>0</v>
      </c>
      <c r="BJ253" s="352">
        <f t="shared" si="67"/>
        <v>0</v>
      </c>
      <c r="BX253" s="277"/>
      <c r="BY253" s="277"/>
      <c r="BZ253" s="279"/>
      <c r="CA253" s="279"/>
      <c r="CB253" s="279"/>
      <c r="CC253" s="279"/>
      <c r="CD253" s="298"/>
      <c r="CE253" s="298"/>
      <c r="CF253" s="298"/>
      <c r="CG253" s="298"/>
      <c r="CI253" s="277"/>
      <c r="CK253" s="277"/>
      <c r="CL253" s="277"/>
      <c r="CM253" s="277"/>
      <c r="CN253" s="277"/>
      <c r="CO253" s="277"/>
      <c r="CP253" s="277"/>
      <c r="DN253" s="350" t="str">
        <f t="shared" si="70"/>
        <v>Haricot vert</v>
      </c>
      <c r="DO253" s="351">
        <f t="array" ref="DO253">IF(ChoixRationHivernaleOvinsComplète=OUI,0,IFERROR(IF(OR(AND(INDEX(Règles_ovins[Specificite],MATCH(RationHivernaleOvinsAuPré&amp;$DN253,Règles_ovins[Ration]&amp;Règles_ovins[Aliment],0))="s1",IF($DN253=Spécificité1Ovins,1)),
AND(INDEX(Règles_ovins[Specificite],MATCH(RationHivernaleOvinsAuPré&amp;$DN253,Règles_ovins[Ration]&amp;Règles_ovins[Aliment],0))="s2",IF($DN253=Spécificité2Ovins,1)),
INDEX(Règles_ovins[Specificite],MATCH(RationHivernaleOvinsAuPré&amp;$DN253,Règles_ovins[Ration]&amp;Règles_ovins[Aliment],0))="c"),
INDEX(Règles_ovins[Valeur 12 et plus],MATCH(RationHivernaleOvinsAuPré&amp;$DN253,Règles_ovins[Ration]&amp;Règles_ovins[Aliment],0)),0),0)*IF(SUM(TotalOvinsAdultesAuPré)&gt;0,SUM(TotalOvinsAdultesAuPré)*SUM(AD76:AD100),SUM(TotalOvinsAdultes)*SUM(AD76:AD100)))</f>
        <v>0</v>
      </c>
      <c r="DP253" s="351">
        <f t="array" ref="DP253">IF(ChoixRationHivernaleOvinsComplète=OUI,0,IFERROR(IF(OR(AND(INDEX(Règles_ovins[Specificite],MATCH(RationHivernaleOvinsAuPré&amp;$DN253,Règles_ovins[Ration]&amp;Règles_ovins[Aliment],0))="s1",IF($DN253=Spécificité1Ovins,1)),
AND(INDEX(Règles_ovins[Specificite],MATCH(RationHivernaleOvinsAuPré&amp;$DN253,Règles_ovins[Ration]&amp;Règles_ovins[Aliment],0))="s2",IF($DN253=Spécificité2Ovins,1)),
INDEX(Règles_ovins[Specificite],MATCH(RationHivernaleOvinsAuPré&amp;$DN253,Règles_ovins[Ration]&amp;Règles_ovins[Aliment],0))="c"),
INDEX(Règles_ovins[Valeur 6-12],MATCH(RationHivernaleOvinsAuPré&amp;$DN253,Règles_ovins[Ration]&amp;Règles_ovins[Aliment],0)),0),0)*IF(SUM(TotalOvins_6_12moisAuPré)&gt;0,SUM(TotalOvins_6_12moisAuPré)*SUM(AD76:AD100),SUM(TotalJeunesOvins)*SUM(AD76:AD100)))</f>
        <v>0</v>
      </c>
      <c r="DQ253" s="351">
        <f t="array" ref="DQ253">IF(ChoixRationHivernaleOvinsComplète=OUI,0,IFERROR(IF(OR(AND(INDEX(Règles_ovins[Specificite],MATCH(RationHivernaleOvinsAuPré&amp;$DN253,Règles_ovins[Ration]&amp;Règles_ovins[Aliment],0))="s1",IF($DN253=Spécificité1Ovins,1)),
AND(INDEX(Règles_ovins[Specificite],MATCH(RationHivernaleOvinsAuPré&amp;$DN253,Règles_ovins[Ration]&amp;Règles_ovins[Aliment],0))="s2",IF($DN253=Spécificité2Ovins,1)),
INDEX(Règles_ovins[Specificite],MATCH(RationHivernaleOvinsAuPré&amp;$DN253,Règles_ovins[Ration]&amp;Règles_ovins[Aliment],0))="c"),
INDEX(Règles_ovins[Valeur 3-6],MATCH(RationHivernaleOvinsAuPré&amp;$DN253,Règles_ovins[Ration]&amp;Règles_ovins[Aliment],0)),0),0)*IF(SUM(TotalOvins_3_6moisAuPré)&gt;0,SUM(TotalOvins_3_6moisAuPré)*SUM(AD76:AD100),SUM(TotalOvins_3_6mois)*SUM(AD76:AD100)))</f>
        <v>0</v>
      </c>
      <c r="DR253" s="351">
        <f t="array" ref="DR253">IF(ChoixRationHivernaleOvinsComplète=OUI,0,IFERROR(IF(OR(AND(INDEX(Règles_ovins[Specificite],MATCH(RationHivernaleOvinsAuPré&amp;$DN253,Règles_ovins[Ration]&amp;Règles_ovins[Aliment],0))="s1",IF($DN253=Spécificité1Ovins,1)),
AND(INDEX(Règles_ovins[Specificite],MATCH(RationHivernaleOvinsAuPré&amp;$DN253,Règles_ovins[Ration]&amp;Règles_ovins[Aliment],0))="s2",IF($DN253=Spécificité2Ovins,1)),
INDEX(Règles_ovins[Specificite],MATCH(RationHivernaleOvinsAuPré&amp;$DN253,Règles_ovins[Ration]&amp;Règles_ovins[Aliment],0))="c"),
INDEX(Règles_ovins[Valeur 0-3],MATCH(RationHivernaleOvinsAuPré&amp;$DN253,Règles_ovins[Ration]&amp;Règles_ovins[Aliment],0)),0),0)*IF(SUM(TotalOvins_0_3moisAuPré)&gt;0,SUM(TotalOvins_0_3moisAuPré)*SUM(AD76:AD100),SUM(TotalOvins_3_6mois)*SUM(AD76:AD100)))</f>
        <v>0</v>
      </c>
      <c r="DS253" s="441">
        <f t="shared" si="69"/>
        <v>0</v>
      </c>
      <c r="GG253" s="276" t="s">
        <v>955</v>
      </c>
      <c r="GH253" s="276" t="s">
        <v>955</v>
      </c>
      <c r="GI253" s="276" t="s">
        <v>955</v>
      </c>
      <c r="GJ253" s="276" t="s">
        <v>955</v>
      </c>
      <c r="GK253" s="276" t="s">
        <v>955</v>
      </c>
      <c r="GL253" s="276" t="s">
        <v>955</v>
      </c>
      <c r="GM253" s="276" t="s">
        <v>955</v>
      </c>
      <c r="GN253" s="276" t="s">
        <v>955</v>
      </c>
      <c r="GO253" s="276" t="s">
        <v>955</v>
      </c>
      <c r="GP253" s="276" t="s">
        <v>955</v>
      </c>
      <c r="GQ253" s="276" t="s">
        <v>955</v>
      </c>
      <c r="GR253" s="276" t="s">
        <v>955</v>
      </c>
      <c r="GS253" s="276" t="s">
        <v>955</v>
      </c>
      <c r="GT253" s="276" t="s">
        <v>955</v>
      </c>
      <c r="GU253" s="276" t="s">
        <v>955</v>
      </c>
      <c r="GV253" s="276" t="s">
        <v>955</v>
      </c>
    </row>
    <row r="254" spans="1:204" ht="12.75" customHeight="1" x14ac:dyDescent="0.2">
      <c r="A254" s="276"/>
      <c r="B254" s="276"/>
      <c r="BB254" s="350" t="str">
        <f t="shared" si="68"/>
        <v>Maïs grain</v>
      </c>
      <c r="BC254" s="351">
        <f t="array" ref="BC254">IF(Ration_complète_bovins[somme]&gt;0,0,IFERROR(IF(OR(AND(INDEX(Règles_bovins[Specificite],MATCH(ChoixRationBovins&amp;$BB254,Règles_bovins[Ration]&amp;Règles_bovins[Aliment],0))="s1",IF($BB254=Spécificité1Bovins,1)),
AND(INDEX(Règles_bovins[Specificite],MATCH(ChoixRationBovins&amp;$BB254,Règles_bovins[Ration]&amp;Règles_bovins[Aliment],0))="s2",IF($BB254=Spécificité2Bovins,1)),
INDEX(Règles_bovins[Specificite],MATCH(ChoixRationBovins&amp;$BB254,Règles_bovins[Ration]&amp;Règles_bovins[Aliment],0))="c"),
INDEX(Règles_bovins[Valeur 36 et plus],MATCH(ChoixRationBovins&amp;$BB254,Règles_bovins[Ration]&amp;Règles_bovins[Aliment],0)),0),0)*IF(ChoixBovinsPréHiver=OUI,TotalVachesRacesLaitières,TotalVaches*NbreJoursNourrirBovins))</f>
        <v>0</v>
      </c>
      <c r="BD254" s="351">
        <f t="array" ref="BD254">IF(Ration_complète_bovins[somme]&gt;0,0,IFERROR(IF(OR(AND(INDEX(Règles_bovins[Specificite],MATCH(ChoixRationBovins&amp;$BB254,Règles_bovins[Ration]&amp;Règles_bovins[Aliment],0))="s1",IF($BB254=Spécificité1Bovins,1)),
AND(INDEX(Règles_bovins[Specificite],MATCH(ChoixRationBovins&amp;$BB254,Règles_bovins[Ration]&amp;Règles_bovins[Aliment],0))="s2",IF($BB254=Spécificité2Bovins,1)),
INDEX(Règles_bovins[Specificite],MATCH(ChoixRationBovins&amp;$BB254,Règles_bovins[Ration]&amp;Règles_bovins[Aliment],0))="c"),
INDEX(Règles_bovins[Valeur 24-36],MATCH(ChoixRationBovins&amp;$BB254,Règles_bovins[Ration]&amp;Règles_bovins[Aliment],0)),0),0)*IF(ChoixBovinsPréHiver=OUI,TotalGénisse_24_36_RacesLaitières,TotalBovinsFemelles_24_36mois*NbreJoursNourrirBovins))</f>
        <v>0</v>
      </c>
      <c r="BE254" s="351">
        <f t="array" ref="BE254">IF(Ration_complète_bovins[somme]&gt;0,0,IFERROR(IF(OR(AND(INDEX(Règles_bovins[Specificite],MATCH(ChoixRationBovins&amp;$BB254,Règles_bovins[Ration]&amp;Règles_bovins[Aliment],0))="s1",IF($BB254=Spécificité1Bovins,1)),
AND(INDEX(Règles_bovins[Specificite],MATCH(ChoixRationBovins&amp;$BB254,Règles_bovins[Ration]&amp;Règles_bovins[Aliment],0))="s2",IF($BB254=Spécificité2Bovins,1)),
INDEX(Règles_bovins[Specificite],MATCH(ChoixRationBovins&amp;$BB254,Règles_bovins[Ration]&amp;Règles_bovins[Aliment],0))="c"),
INDEX(Règles_bovins[Valeur 18-24],MATCH(ChoixRationBovins&amp;$BB254,Règles_bovins[Ration]&amp;Règles_bovins[Aliment],0)),0),0)*IF(ChoixBovinsPréHiver=OUI,TotalGénisse_18_24_RacesLaitières,TotalBovinsFemelles_18_24mois*NbreJoursNourrirBovins))</f>
        <v>0</v>
      </c>
      <c r="BF254" s="351">
        <f t="array" ref="BF254">IF(Ration_complète_bovins[somme]&gt;0,0,IFERROR(IF(OR(AND(INDEX(Règles_bovins[Specificite],MATCH(ChoixRationBovins&amp;$BB254,Règles_bovins[Ration]&amp;Règles_bovins[Aliment],0))="s1",IF($BB254=Spécificité1Bovins,1)),
AND(INDEX(Règles_bovins[Specificite],MATCH(ChoixRationBovins&amp;$BB254,Règles_bovins[Ration]&amp;Règles_bovins[Aliment],0))="s2",IF($BB254=Spécificité2Bovins,1)),
INDEX(Règles_bovins[Specificite],MATCH(ChoixRationBovins&amp;$BB254,Règles_bovins[Ration]&amp;Règles_bovins[Aliment],0))="c"),
INDEX(Règles_bovins[Valeur 12-18],MATCH(ChoixRationBovins&amp;$BB254,Règles_bovins[Ration]&amp;Règles_bovins[Aliment],0)),0),0)*IF(ChoixBovinsPréHiver=OUI,TotalGénisse_12_18_RacesLaitières,TotalBovinsFemelles_12_18mois*NbreJoursNourrirBovins))</f>
        <v>0</v>
      </c>
      <c r="BG254" s="351">
        <f t="array" ref="BG254">IF(Ration_complète_bovins[somme]&gt;0,0,IFERROR(IF(OR(AND(INDEX(Règles_bovins[Specificite],MATCH(ChoixRationBovins&amp;$BB254,Règles_bovins[Ration]&amp;Règles_bovins[Aliment],0))="s1",IF($BB254=Spécificité1Bovins,1)),
AND(INDEX(Règles_bovins[Specificite],MATCH(ChoixRationBovins&amp;$BB254,Règles_bovins[Ration]&amp;Règles_bovins[Aliment],0))="s2",IF($BB254=Spécificité2Bovins,1)),
INDEX(Règles_bovins[Specificite],MATCH(ChoixRationBovins&amp;$BB254,Règles_bovins[Ration]&amp;Règles_bovins[Aliment],0))="c"),
INDEX(Règles_bovins[Valeur 6-12],MATCH(ChoixRationBovins&amp;$BB254,Règles_bovins[Ration]&amp;Règles_bovins[Aliment],0)),0),0)*IF(ChoixBovinsPréHiver=OUI,TotalVeauFemelle_6_12_RacesLaitières,TotalBovinsFemelles_6_12mois*NbreJoursNourrirBovins))</f>
        <v>0</v>
      </c>
      <c r="BH254" s="351">
        <f t="array" ref="BH254">IF(Ration_complète_bovins[somme]&gt;0,0,IFERROR(IF(OR(AND(INDEX(Règles_bovins[Specificite],MATCH(ChoixRationBovins&amp;$BB254,Règles_bovins[Ration]&amp;Règles_bovins[Aliment],0))="s1",IF($BB254=Spécificité1Bovins,1)),
AND(INDEX(Règles_bovins[Specificite],MATCH(ChoixRationBovins&amp;$BB254,Règles_bovins[Ration]&amp;Règles_bovins[Aliment],0))="s2",IF($BB254=Spécificité2Bovins,1)),
INDEX(Règles_bovins[Specificite],MATCH(ChoixRationBovins&amp;$BB254,Règles_bovins[Ration]&amp;Règles_bovins[Aliment],0))="c"),
INDEX(Règles_bovins[Valeur 3-6],MATCH(ChoixRationBovins&amp;$BB254,Règles_bovins[Ration]&amp;Règles_bovins[Aliment],0)),0),0)*IF(ChoixBovinsPréHiver=OUI,TotalVeauFemelle_3_6_RacesLaitières,TotalBovinsFemelles_3_6mois*NbreJoursNourrirBovins))</f>
        <v>0</v>
      </c>
      <c r="BI254" s="351">
        <f t="array" ref="BI254">IF(Ration_complète_bovins[somme]&gt;0,0,IFERROR(IF(OR(AND(INDEX(Règles_bovins[Specificite],MATCH(ChoixRationBovins&amp;$BB254,Règles_bovins[Ration]&amp;Règles_bovins[Aliment],0))="s1",IF($BB254=Spécificité1Bovins,1)),
AND(INDEX(Règles_bovins[Specificite],MATCH(ChoixRationBovins&amp;$BB254,Règles_bovins[Ration]&amp;Règles_bovins[Aliment],0))="s2",IF($BB254=Spécificité2Bovins,1)),
INDEX(Règles_bovins[Specificite],MATCH(ChoixRationBovins&amp;$BB254,Règles_bovins[Ration]&amp;Règles_bovins[Aliment],0))="c"),
INDEX(Règles_bovins[Valeur 0-3],MATCH(ChoixRationBovins&amp;$BB254,Règles_bovins[Ration]&amp;Règles_bovins[Aliment],0)),0),0)*IF(ChoixBovinsPréHiver=OUI,TotalVeauFemelle_0_3_RacesLaitières,TotalBovinsFemelles_0_3mois*NbreJoursNourrirBovins))</f>
        <v>0</v>
      </c>
      <c r="BJ254" s="352">
        <f t="shared" si="67"/>
        <v>0</v>
      </c>
      <c r="BX254" s="277"/>
      <c r="BY254" s="277"/>
      <c r="BZ254" s="279"/>
      <c r="CA254" s="279"/>
      <c r="CB254" s="279"/>
      <c r="CC254" s="279"/>
      <c r="CD254" s="298"/>
      <c r="CE254" s="298"/>
      <c r="CF254" s="298"/>
      <c r="CG254" s="298"/>
      <c r="CI254" s="277"/>
      <c r="CK254" s="277"/>
      <c r="CL254" s="277"/>
      <c r="CM254" s="277"/>
      <c r="CN254" s="277"/>
      <c r="CO254" s="277"/>
      <c r="CP254" s="277"/>
      <c r="DN254" s="350" t="str">
        <f t="shared" si="70"/>
        <v>Lentille</v>
      </c>
      <c r="DO254" s="351">
        <f t="array" ref="DO254">IF(ChoixRationHivernaleOvinsComplète=OUI,0,IFERROR(IF(OR(AND(INDEX(Règles_ovins[Specificite],MATCH(RationHivernaleOvinsAuPré&amp;$DN254,Règles_ovins[Ration]&amp;Règles_ovins[Aliment],0))="s1",IF($DN254=Spécificité1Ovins,1)),
AND(INDEX(Règles_ovins[Specificite],MATCH(RationHivernaleOvinsAuPré&amp;$DN254,Règles_ovins[Ration]&amp;Règles_ovins[Aliment],0))="s2",IF($DN254=Spécificité2Ovins,1)),
INDEX(Règles_ovins[Specificite],MATCH(RationHivernaleOvinsAuPré&amp;$DN254,Règles_ovins[Ration]&amp;Règles_ovins[Aliment],0))="c"),
INDEX(Règles_ovins[Valeur 12 et plus],MATCH(RationHivernaleOvinsAuPré&amp;$DN254,Règles_ovins[Ration]&amp;Règles_ovins[Aliment],0)),0),0)*IF(SUM(TotalOvinsAdultesAuPré)&gt;0,SUM(TotalOvinsAdultesAuPré)*SUM(AD76:AD100),SUM(TotalOvinsAdultes)*SUM(AD76:AD100)))</f>
        <v>0</v>
      </c>
      <c r="DP254" s="351">
        <f t="array" ref="DP254">IF(ChoixRationHivernaleOvinsComplète=OUI,0,IFERROR(IF(OR(AND(INDEX(Règles_ovins[Specificite],MATCH(RationHivernaleOvinsAuPré&amp;$DN254,Règles_ovins[Ration]&amp;Règles_ovins[Aliment],0))="s1",IF($DN254=Spécificité1Ovins,1)),
AND(INDEX(Règles_ovins[Specificite],MATCH(RationHivernaleOvinsAuPré&amp;$DN254,Règles_ovins[Ration]&amp;Règles_ovins[Aliment],0))="s2",IF($DN254=Spécificité2Ovins,1)),
INDEX(Règles_ovins[Specificite],MATCH(RationHivernaleOvinsAuPré&amp;$DN254,Règles_ovins[Ration]&amp;Règles_ovins[Aliment],0))="c"),
INDEX(Règles_ovins[Valeur 6-12],MATCH(RationHivernaleOvinsAuPré&amp;$DN254,Règles_ovins[Ration]&amp;Règles_ovins[Aliment],0)),0),0)*IF(SUM(TotalOvins_6_12moisAuPré)&gt;0,SUM(TotalOvins_6_12moisAuPré)*SUM(AD76:AD100),SUM(TotalJeunesOvins)*SUM(AD76:AD100)))</f>
        <v>0</v>
      </c>
      <c r="DQ254" s="351">
        <f t="array" ref="DQ254">IF(ChoixRationHivernaleOvinsComplète=OUI,0,IFERROR(IF(OR(AND(INDEX(Règles_ovins[Specificite],MATCH(RationHivernaleOvinsAuPré&amp;$DN254,Règles_ovins[Ration]&amp;Règles_ovins[Aliment],0))="s1",IF($DN254=Spécificité1Ovins,1)),
AND(INDEX(Règles_ovins[Specificite],MATCH(RationHivernaleOvinsAuPré&amp;$DN254,Règles_ovins[Ration]&amp;Règles_ovins[Aliment],0))="s2",IF($DN254=Spécificité2Ovins,1)),
INDEX(Règles_ovins[Specificite],MATCH(RationHivernaleOvinsAuPré&amp;$DN254,Règles_ovins[Ration]&amp;Règles_ovins[Aliment],0))="c"),
INDEX(Règles_ovins[Valeur 3-6],MATCH(RationHivernaleOvinsAuPré&amp;$DN254,Règles_ovins[Ration]&amp;Règles_ovins[Aliment],0)),0),0)*IF(SUM(TotalOvins_3_6moisAuPré)&gt;0,SUM(TotalOvins_3_6moisAuPré)*SUM(AD76:AD100),SUM(TotalOvins_3_6mois)*SUM(AD76:AD100)))</f>
        <v>0</v>
      </c>
      <c r="DR254" s="351">
        <f t="array" ref="DR254">IF(ChoixRationHivernaleOvinsComplète=OUI,0,IFERROR(IF(OR(AND(INDEX(Règles_ovins[Specificite],MATCH(RationHivernaleOvinsAuPré&amp;$DN254,Règles_ovins[Ration]&amp;Règles_ovins[Aliment],0))="s1",IF($DN254=Spécificité1Ovins,1)),
AND(INDEX(Règles_ovins[Specificite],MATCH(RationHivernaleOvinsAuPré&amp;$DN254,Règles_ovins[Ration]&amp;Règles_ovins[Aliment],0))="s2",IF($DN254=Spécificité2Ovins,1)),
INDEX(Règles_ovins[Specificite],MATCH(RationHivernaleOvinsAuPré&amp;$DN254,Règles_ovins[Ration]&amp;Règles_ovins[Aliment],0))="c"),
INDEX(Règles_ovins[Valeur 0-3],MATCH(RationHivernaleOvinsAuPré&amp;$DN254,Règles_ovins[Ration]&amp;Règles_ovins[Aliment],0)),0),0)*IF(SUM(TotalOvins_0_3moisAuPré)&gt;0,SUM(TotalOvins_0_3moisAuPré)*SUM(AD76:AD100),SUM(TotalOvins_3_6mois)*SUM(AD76:AD100)))</f>
        <v>0</v>
      </c>
      <c r="DS254" s="441">
        <f t="shared" si="69"/>
        <v>0</v>
      </c>
      <c r="GG254" s="276" t="s">
        <v>955</v>
      </c>
      <c r="GH254" s="276" t="s">
        <v>955</v>
      </c>
      <c r="GI254" s="276" t="s">
        <v>955</v>
      </c>
      <c r="GJ254" s="276" t="s">
        <v>955</v>
      </c>
      <c r="GK254" s="276" t="s">
        <v>955</v>
      </c>
      <c r="GL254" s="276" t="s">
        <v>955</v>
      </c>
      <c r="GM254" s="276" t="s">
        <v>955</v>
      </c>
      <c r="GN254" s="276" t="s">
        <v>955</v>
      </c>
      <c r="GO254" s="276" t="s">
        <v>955</v>
      </c>
      <c r="GP254" s="276" t="s">
        <v>955</v>
      </c>
      <c r="GQ254" s="276" t="s">
        <v>955</v>
      </c>
      <c r="GR254" s="276" t="s">
        <v>955</v>
      </c>
      <c r="GS254" s="276" t="s">
        <v>955</v>
      </c>
      <c r="GT254" s="276" t="s">
        <v>955</v>
      </c>
      <c r="GU254" s="276" t="s">
        <v>955</v>
      </c>
      <c r="GV254" s="276" t="s">
        <v>955</v>
      </c>
    </row>
    <row r="255" spans="1:204" ht="12.75" customHeight="1" x14ac:dyDescent="0.2">
      <c r="A255" s="276"/>
      <c r="B255" s="276"/>
      <c r="BB255" s="350" t="str">
        <f t="shared" si="68"/>
        <v>Minéraux + vitamines</v>
      </c>
      <c r="BC255" s="351">
        <f t="array" ref="BC255">IF(Ration_complète_bovins[somme]&gt;0,0,IFERROR(IF(OR(AND(INDEX(Règles_bovins[Specificite],MATCH(ChoixRationBovins&amp;$BB255,Règles_bovins[Ration]&amp;Règles_bovins[Aliment],0))="s1",IF($BB255=Spécificité1Bovins,1)),
AND(INDEX(Règles_bovins[Specificite],MATCH(ChoixRationBovins&amp;$BB255,Règles_bovins[Ration]&amp;Règles_bovins[Aliment],0))="s2",IF($BB255=Spécificité2Bovins,1)),
INDEX(Règles_bovins[Specificite],MATCH(ChoixRationBovins&amp;$BB255,Règles_bovins[Ration]&amp;Règles_bovins[Aliment],0))="c"),
INDEX(Règles_bovins[Valeur 36 et plus],MATCH(ChoixRationBovins&amp;$BB255,Règles_bovins[Ration]&amp;Règles_bovins[Aliment],0)),0),0)*IF(ChoixBovinsPréHiver=OUI,TotalVachesRacesLaitières,TotalVaches*NbreJoursNourrirBovins))</f>
        <v>0</v>
      </c>
      <c r="BD255" s="351">
        <f t="array" ref="BD255">IF(Ration_complète_bovins[somme]&gt;0,0,IFERROR(IF(OR(AND(INDEX(Règles_bovins[Specificite],MATCH(ChoixRationBovins&amp;$BB255,Règles_bovins[Ration]&amp;Règles_bovins[Aliment],0))="s1",IF($BB255=Spécificité1Bovins,1)),
AND(INDEX(Règles_bovins[Specificite],MATCH(ChoixRationBovins&amp;$BB255,Règles_bovins[Ration]&amp;Règles_bovins[Aliment],0))="s2",IF($BB255=Spécificité2Bovins,1)),
INDEX(Règles_bovins[Specificite],MATCH(ChoixRationBovins&amp;$BB255,Règles_bovins[Ration]&amp;Règles_bovins[Aliment],0))="c"),
INDEX(Règles_bovins[Valeur 24-36],MATCH(ChoixRationBovins&amp;$BB255,Règles_bovins[Ration]&amp;Règles_bovins[Aliment],0)),0),0)*IF(ChoixBovinsPréHiver=OUI,TotalGénisse_24_36_RacesLaitières,TotalBovinsFemelles_24_36mois*NbreJoursNourrirBovins))</f>
        <v>0</v>
      </c>
      <c r="BE255" s="351">
        <f t="array" ref="BE255">IF(Ration_complète_bovins[somme]&gt;0,0,IFERROR(IF(OR(AND(INDEX(Règles_bovins[Specificite],MATCH(ChoixRationBovins&amp;$BB255,Règles_bovins[Ration]&amp;Règles_bovins[Aliment],0))="s1",IF($BB255=Spécificité1Bovins,1)),
AND(INDEX(Règles_bovins[Specificite],MATCH(ChoixRationBovins&amp;$BB255,Règles_bovins[Ration]&amp;Règles_bovins[Aliment],0))="s2",IF($BB255=Spécificité2Bovins,1)),
INDEX(Règles_bovins[Specificite],MATCH(ChoixRationBovins&amp;$BB255,Règles_bovins[Ration]&amp;Règles_bovins[Aliment],0))="c"),
INDEX(Règles_bovins[Valeur 18-24],MATCH(ChoixRationBovins&amp;$BB255,Règles_bovins[Ration]&amp;Règles_bovins[Aliment],0)),0),0)*IF(ChoixBovinsPréHiver=OUI,TotalGénisse_18_24_RacesLaitières,TotalBovinsFemelles_18_24mois*NbreJoursNourrirBovins))</f>
        <v>0</v>
      </c>
      <c r="BF255" s="351">
        <f t="array" ref="BF255">IF(Ration_complète_bovins[somme]&gt;0,0,IFERROR(IF(OR(AND(INDEX(Règles_bovins[Specificite],MATCH(ChoixRationBovins&amp;$BB255,Règles_bovins[Ration]&amp;Règles_bovins[Aliment],0))="s1",IF($BB255=Spécificité1Bovins,1)),
AND(INDEX(Règles_bovins[Specificite],MATCH(ChoixRationBovins&amp;$BB255,Règles_bovins[Ration]&amp;Règles_bovins[Aliment],0))="s2",IF($BB255=Spécificité2Bovins,1)),
INDEX(Règles_bovins[Specificite],MATCH(ChoixRationBovins&amp;$BB255,Règles_bovins[Ration]&amp;Règles_bovins[Aliment],0))="c"),
INDEX(Règles_bovins[Valeur 12-18],MATCH(ChoixRationBovins&amp;$BB255,Règles_bovins[Ration]&amp;Règles_bovins[Aliment],0)),0),0)*IF(ChoixBovinsPréHiver=OUI,TotalGénisse_12_18_RacesLaitières,TotalBovinsFemelles_12_18mois*NbreJoursNourrirBovins))</f>
        <v>0</v>
      </c>
      <c r="BG255" s="351">
        <f t="array" ref="BG255">IF(Ration_complète_bovins[somme]&gt;0,0,IFERROR(IF(OR(AND(INDEX(Règles_bovins[Specificite],MATCH(ChoixRationBovins&amp;$BB255,Règles_bovins[Ration]&amp;Règles_bovins[Aliment],0))="s1",IF($BB255=Spécificité1Bovins,1)),
AND(INDEX(Règles_bovins[Specificite],MATCH(ChoixRationBovins&amp;$BB255,Règles_bovins[Ration]&amp;Règles_bovins[Aliment],0))="s2",IF($BB255=Spécificité2Bovins,1)),
INDEX(Règles_bovins[Specificite],MATCH(ChoixRationBovins&amp;$BB255,Règles_bovins[Ration]&amp;Règles_bovins[Aliment],0))="c"),
INDEX(Règles_bovins[Valeur 6-12],MATCH(ChoixRationBovins&amp;$BB255,Règles_bovins[Ration]&amp;Règles_bovins[Aliment],0)),0),0)*IF(ChoixBovinsPréHiver=OUI,TotalVeauFemelle_6_12_RacesLaitières,TotalBovinsFemelles_6_12mois*NbreJoursNourrirBovins))</f>
        <v>0</v>
      </c>
      <c r="BH255" s="351">
        <f t="array" ref="BH255">IF(Ration_complète_bovins[somme]&gt;0,0,IFERROR(IF(OR(AND(INDEX(Règles_bovins[Specificite],MATCH(ChoixRationBovins&amp;$BB255,Règles_bovins[Ration]&amp;Règles_bovins[Aliment],0))="s1",IF($BB255=Spécificité1Bovins,1)),
AND(INDEX(Règles_bovins[Specificite],MATCH(ChoixRationBovins&amp;$BB255,Règles_bovins[Ration]&amp;Règles_bovins[Aliment],0))="s2",IF($BB255=Spécificité2Bovins,1)),
INDEX(Règles_bovins[Specificite],MATCH(ChoixRationBovins&amp;$BB255,Règles_bovins[Ration]&amp;Règles_bovins[Aliment],0))="c"),
INDEX(Règles_bovins[Valeur 3-6],MATCH(ChoixRationBovins&amp;$BB255,Règles_bovins[Ration]&amp;Règles_bovins[Aliment],0)),0),0)*IF(ChoixBovinsPréHiver=OUI,TotalVeauFemelle_3_6_RacesLaitières,TotalBovinsFemelles_3_6mois*NbreJoursNourrirBovins))</f>
        <v>0</v>
      </c>
      <c r="BI255" s="351">
        <f t="array" ref="BI255">IF(Ration_complète_bovins[somme]&gt;0,0,IFERROR(IF(OR(AND(INDEX(Règles_bovins[Specificite],MATCH(ChoixRationBovins&amp;$BB255,Règles_bovins[Ration]&amp;Règles_bovins[Aliment],0))="s1",IF($BB255=Spécificité1Bovins,1)),
AND(INDEX(Règles_bovins[Specificite],MATCH(ChoixRationBovins&amp;$BB255,Règles_bovins[Ration]&amp;Règles_bovins[Aliment],0))="s2",IF($BB255=Spécificité2Bovins,1)),
INDEX(Règles_bovins[Specificite],MATCH(ChoixRationBovins&amp;$BB255,Règles_bovins[Ration]&amp;Règles_bovins[Aliment],0))="c"),
INDEX(Règles_bovins[Valeur 0-3],MATCH(ChoixRationBovins&amp;$BB255,Règles_bovins[Ration]&amp;Règles_bovins[Aliment],0)),0),0)*IF(ChoixBovinsPréHiver=OUI,TotalVeauFemelle_0_3_RacesLaitières,TotalBovinsFemelles_0_3mois*NbreJoursNourrirBovins))</f>
        <v>0</v>
      </c>
      <c r="BJ255" s="352">
        <f t="shared" si="67"/>
        <v>0</v>
      </c>
      <c r="BX255" s="277"/>
      <c r="BY255" s="277"/>
      <c r="BZ255" s="279"/>
      <c r="CA255" s="279"/>
      <c r="CB255" s="279"/>
      <c r="CC255" s="279"/>
      <c r="CD255" s="298"/>
      <c r="CE255" s="298"/>
      <c r="CF255" s="298"/>
      <c r="CG255" s="298"/>
      <c r="CI255" s="277"/>
      <c r="CK255" s="277"/>
      <c r="CL255" s="277"/>
      <c r="CM255" s="277"/>
      <c r="CN255" s="277"/>
      <c r="CO255" s="277"/>
      <c r="CP255" s="277"/>
      <c r="DN255" s="350" t="str">
        <f t="shared" si="70"/>
        <v>Maïs ensilé</v>
      </c>
      <c r="DO255" s="351">
        <f t="array" ref="DO255">IF(ChoixRationHivernaleOvinsComplète=OUI,0,IFERROR(IF(OR(AND(INDEX(Règles_ovins[Specificite],MATCH(RationHivernaleOvinsAuPré&amp;$DN255,Règles_ovins[Ration]&amp;Règles_ovins[Aliment],0))="s1",IF($DN255=Spécificité1Ovins,1)),
AND(INDEX(Règles_ovins[Specificite],MATCH(RationHivernaleOvinsAuPré&amp;$DN255,Règles_ovins[Ration]&amp;Règles_ovins[Aliment],0))="s2",IF($DN255=Spécificité2Ovins,1)),
INDEX(Règles_ovins[Specificite],MATCH(RationHivernaleOvinsAuPré&amp;$DN255,Règles_ovins[Ration]&amp;Règles_ovins[Aliment],0))="c"),
INDEX(Règles_ovins[Valeur 12 et plus],MATCH(RationHivernaleOvinsAuPré&amp;$DN255,Règles_ovins[Ration]&amp;Règles_ovins[Aliment],0)),0),0)*IF(SUM(TotalOvinsAdultesAuPré)&gt;0,SUM(TotalOvinsAdultesAuPré)*SUM(AD76:AD100),SUM(TotalOvinsAdultes)*SUM(AD76:AD100)))</f>
        <v>0</v>
      </c>
      <c r="DP255" s="351">
        <f t="array" ref="DP255">IF(ChoixRationHivernaleOvinsComplète=OUI,0,IFERROR(IF(OR(AND(INDEX(Règles_ovins[Specificite],MATCH(RationHivernaleOvinsAuPré&amp;$DN255,Règles_ovins[Ration]&amp;Règles_ovins[Aliment],0))="s1",IF($DN255=Spécificité1Ovins,1)),
AND(INDEX(Règles_ovins[Specificite],MATCH(RationHivernaleOvinsAuPré&amp;$DN255,Règles_ovins[Ration]&amp;Règles_ovins[Aliment],0))="s2",IF($DN255=Spécificité2Ovins,1)),
INDEX(Règles_ovins[Specificite],MATCH(RationHivernaleOvinsAuPré&amp;$DN255,Règles_ovins[Ration]&amp;Règles_ovins[Aliment],0))="c"),
INDEX(Règles_ovins[Valeur 6-12],MATCH(RationHivernaleOvinsAuPré&amp;$DN255,Règles_ovins[Ration]&amp;Règles_ovins[Aliment],0)),0),0)*IF(SUM(TotalOvins_6_12moisAuPré)&gt;0,SUM(TotalOvins_6_12moisAuPré)*SUM(AD76:AD100),SUM(TotalJeunesOvins)*SUM(AD76:AD100)))</f>
        <v>0</v>
      </c>
      <c r="DQ255" s="351">
        <f t="array" ref="DQ255">IF(ChoixRationHivernaleOvinsComplète=OUI,0,IFERROR(IF(OR(AND(INDEX(Règles_ovins[Specificite],MATCH(RationHivernaleOvinsAuPré&amp;$DN255,Règles_ovins[Ration]&amp;Règles_ovins[Aliment],0))="s1",IF($DN255=Spécificité1Ovins,1)),
AND(INDEX(Règles_ovins[Specificite],MATCH(RationHivernaleOvinsAuPré&amp;$DN255,Règles_ovins[Ration]&amp;Règles_ovins[Aliment],0))="s2",IF($DN255=Spécificité2Ovins,1)),
INDEX(Règles_ovins[Specificite],MATCH(RationHivernaleOvinsAuPré&amp;$DN255,Règles_ovins[Ration]&amp;Règles_ovins[Aliment],0))="c"),
INDEX(Règles_ovins[Valeur 3-6],MATCH(RationHivernaleOvinsAuPré&amp;$DN255,Règles_ovins[Ration]&amp;Règles_ovins[Aliment],0)),0),0)*IF(SUM(TotalOvins_3_6moisAuPré)&gt;0,SUM(TotalOvins_3_6moisAuPré)*SUM(AD76:AD100),SUM(TotalOvins_3_6mois)*SUM(AD76:AD100)))</f>
        <v>0</v>
      </c>
      <c r="DR255" s="351">
        <f t="array" ref="DR255">IF(ChoixRationHivernaleOvinsComplète=OUI,0,IFERROR(IF(OR(AND(INDEX(Règles_ovins[Specificite],MATCH(RationHivernaleOvinsAuPré&amp;$DN255,Règles_ovins[Ration]&amp;Règles_ovins[Aliment],0))="s1",IF($DN255=Spécificité1Ovins,1)),
AND(INDEX(Règles_ovins[Specificite],MATCH(RationHivernaleOvinsAuPré&amp;$DN255,Règles_ovins[Ration]&amp;Règles_ovins[Aliment],0))="s2",IF($DN255=Spécificité2Ovins,1)),
INDEX(Règles_ovins[Specificite],MATCH(RationHivernaleOvinsAuPré&amp;$DN255,Règles_ovins[Ration]&amp;Règles_ovins[Aliment],0))="c"),
INDEX(Règles_ovins[Valeur 0-3],MATCH(RationHivernaleOvinsAuPré&amp;$DN255,Règles_ovins[Ration]&amp;Règles_ovins[Aliment],0)),0),0)*IF(SUM(TotalOvins_0_3moisAuPré)&gt;0,SUM(TotalOvins_0_3moisAuPré)*SUM(AD76:AD100),SUM(TotalOvins_3_6mois)*SUM(AD76:AD100)))</f>
        <v>0</v>
      </c>
      <c r="DS255" s="441">
        <f t="shared" si="69"/>
        <v>0</v>
      </c>
      <c r="GG255" s="276" t="s">
        <v>955</v>
      </c>
      <c r="GH255" s="276" t="s">
        <v>955</v>
      </c>
      <c r="GI255" s="276" t="s">
        <v>955</v>
      </c>
      <c r="GJ255" s="276" t="s">
        <v>955</v>
      </c>
      <c r="GK255" s="276" t="s">
        <v>955</v>
      </c>
      <c r="GL255" s="276" t="s">
        <v>955</v>
      </c>
      <c r="GM255" s="276" t="s">
        <v>955</v>
      </c>
      <c r="GN255" s="276" t="s">
        <v>955</v>
      </c>
      <c r="GO255" s="276" t="s">
        <v>955</v>
      </c>
      <c r="GP255" s="276" t="s">
        <v>955</v>
      </c>
      <c r="GQ255" s="276" t="s">
        <v>955</v>
      </c>
      <c r="GR255" s="276" t="s">
        <v>955</v>
      </c>
      <c r="GS255" s="276" t="s">
        <v>955</v>
      </c>
      <c r="GT255" s="276" t="s">
        <v>955</v>
      </c>
      <c r="GU255" s="276" t="s">
        <v>955</v>
      </c>
      <c r="GV255" s="276" t="s">
        <v>955</v>
      </c>
    </row>
    <row r="256" spans="1:204" ht="12.75" customHeight="1" x14ac:dyDescent="0.2">
      <c r="A256" s="276"/>
      <c r="B256" s="276"/>
      <c r="BB256" s="350" t="str">
        <f t="shared" si="68"/>
        <v>Orge</v>
      </c>
      <c r="BC256" s="351">
        <f t="array" ref="BC256">IF(Ration_complète_bovins[somme]&gt;0,0,IFERROR(IF(OR(AND(INDEX(Règles_bovins[Specificite],MATCH(ChoixRationBovins&amp;$BB256,Règles_bovins[Ration]&amp;Règles_bovins[Aliment],0))="s1",IF($BB256=Spécificité1Bovins,1)),
AND(INDEX(Règles_bovins[Specificite],MATCH(ChoixRationBovins&amp;$BB256,Règles_bovins[Ration]&amp;Règles_bovins[Aliment],0))="s2",IF($BB256=Spécificité2Bovins,1)),
INDEX(Règles_bovins[Specificite],MATCH(ChoixRationBovins&amp;$BB256,Règles_bovins[Ration]&amp;Règles_bovins[Aliment],0))="c"),
INDEX(Règles_bovins[Valeur 36 et plus],MATCH(ChoixRationBovins&amp;$BB256,Règles_bovins[Ration]&amp;Règles_bovins[Aliment],0)),0),0)*IF(ChoixBovinsPréHiver=OUI,TotalVachesRacesLaitières,TotalVaches*NbreJoursNourrirBovins))</f>
        <v>0</v>
      </c>
      <c r="BD256" s="351">
        <f t="array" ref="BD256">IF(Ration_complète_bovins[somme]&gt;0,0,IFERROR(IF(OR(AND(INDEX(Règles_bovins[Specificite],MATCH(ChoixRationBovins&amp;$BB256,Règles_bovins[Ration]&amp;Règles_bovins[Aliment],0))="s1",IF($BB256=Spécificité1Bovins,1)),
AND(INDEX(Règles_bovins[Specificite],MATCH(ChoixRationBovins&amp;$BB256,Règles_bovins[Ration]&amp;Règles_bovins[Aliment],0))="s2",IF($BB256=Spécificité2Bovins,1)),
INDEX(Règles_bovins[Specificite],MATCH(ChoixRationBovins&amp;$BB256,Règles_bovins[Ration]&amp;Règles_bovins[Aliment],0))="c"),
INDEX(Règles_bovins[Valeur 24-36],MATCH(ChoixRationBovins&amp;$BB256,Règles_bovins[Ration]&amp;Règles_bovins[Aliment],0)),0),0)*IF(ChoixBovinsPréHiver=OUI,TotalGénisse_24_36_RacesLaitières,TotalBovinsFemelles_24_36mois*NbreJoursNourrirBovins))</f>
        <v>0</v>
      </c>
      <c r="BE256" s="351">
        <f t="array" ref="BE256">IF(Ration_complète_bovins[somme]&gt;0,0,IFERROR(IF(OR(AND(INDEX(Règles_bovins[Specificite],MATCH(ChoixRationBovins&amp;$BB256,Règles_bovins[Ration]&amp;Règles_bovins[Aliment],0))="s1",IF($BB256=Spécificité1Bovins,1)),
AND(INDEX(Règles_bovins[Specificite],MATCH(ChoixRationBovins&amp;$BB256,Règles_bovins[Ration]&amp;Règles_bovins[Aliment],0))="s2",IF($BB256=Spécificité2Bovins,1)),
INDEX(Règles_bovins[Specificite],MATCH(ChoixRationBovins&amp;$BB256,Règles_bovins[Ration]&amp;Règles_bovins[Aliment],0))="c"),
INDEX(Règles_bovins[Valeur 18-24],MATCH(ChoixRationBovins&amp;$BB256,Règles_bovins[Ration]&amp;Règles_bovins[Aliment],0)),0),0)*IF(ChoixBovinsPréHiver=OUI,TotalGénisse_18_24_RacesLaitières,TotalBovinsFemelles_18_24mois*NbreJoursNourrirBovins))</f>
        <v>0</v>
      </c>
      <c r="BF256" s="351">
        <f t="array" ref="BF256">IF(Ration_complète_bovins[somme]&gt;0,0,IFERROR(IF(OR(AND(INDEX(Règles_bovins[Specificite],MATCH(ChoixRationBovins&amp;$BB256,Règles_bovins[Ration]&amp;Règles_bovins[Aliment],0))="s1",IF($BB256=Spécificité1Bovins,1)),
AND(INDEX(Règles_bovins[Specificite],MATCH(ChoixRationBovins&amp;$BB256,Règles_bovins[Ration]&amp;Règles_bovins[Aliment],0))="s2",IF($BB256=Spécificité2Bovins,1)),
INDEX(Règles_bovins[Specificite],MATCH(ChoixRationBovins&amp;$BB256,Règles_bovins[Ration]&amp;Règles_bovins[Aliment],0))="c"),
INDEX(Règles_bovins[Valeur 12-18],MATCH(ChoixRationBovins&amp;$BB256,Règles_bovins[Ration]&amp;Règles_bovins[Aliment],0)),0),0)*IF(ChoixBovinsPréHiver=OUI,TotalGénisse_12_18_RacesLaitières,TotalBovinsFemelles_12_18mois*NbreJoursNourrirBovins))</f>
        <v>0</v>
      </c>
      <c r="BG256" s="351">
        <f t="array" ref="BG256">IF(Ration_complète_bovins[somme]&gt;0,0,IFERROR(IF(OR(AND(INDEX(Règles_bovins[Specificite],MATCH(ChoixRationBovins&amp;$BB256,Règles_bovins[Ration]&amp;Règles_bovins[Aliment],0))="s1",IF($BB256=Spécificité1Bovins,1)),
AND(INDEX(Règles_bovins[Specificite],MATCH(ChoixRationBovins&amp;$BB256,Règles_bovins[Ration]&amp;Règles_bovins[Aliment],0))="s2",IF($BB256=Spécificité2Bovins,1)),
INDEX(Règles_bovins[Specificite],MATCH(ChoixRationBovins&amp;$BB256,Règles_bovins[Ration]&amp;Règles_bovins[Aliment],0))="c"),
INDEX(Règles_bovins[Valeur 6-12],MATCH(ChoixRationBovins&amp;$BB256,Règles_bovins[Ration]&amp;Règles_bovins[Aliment],0)),0),0)*IF(ChoixBovinsPréHiver=OUI,TotalVeauFemelle_6_12_RacesLaitières,TotalBovinsFemelles_6_12mois*NbreJoursNourrirBovins))</f>
        <v>0</v>
      </c>
      <c r="BH256" s="351">
        <f t="array" ref="BH256">IF(Ration_complète_bovins[somme]&gt;0,0,IFERROR(IF(OR(AND(INDEX(Règles_bovins[Specificite],MATCH(ChoixRationBovins&amp;$BB256,Règles_bovins[Ration]&amp;Règles_bovins[Aliment],0))="s1",IF($BB256=Spécificité1Bovins,1)),
AND(INDEX(Règles_bovins[Specificite],MATCH(ChoixRationBovins&amp;$BB256,Règles_bovins[Ration]&amp;Règles_bovins[Aliment],0))="s2",IF($BB256=Spécificité2Bovins,1)),
INDEX(Règles_bovins[Specificite],MATCH(ChoixRationBovins&amp;$BB256,Règles_bovins[Ration]&amp;Règles_bovins[Aliment],0))="c"),
INDEX(Règles_bovins[Valeur 3-6],MATCH(ChoixRationBovins&amp;$BB256,Règles_bovins[Ration]&amp;Règles_bovins[Aliment],0)),0),0)*IF(ChoixBovinsPréHiver=OUI,TotalVeauFemelle_3_6_RacesLaitières,TotalBovinsFemelles_3_6mois*NbreJoursNourrirBovins))</f>
        <v>0</v>
      </c>
      <c r="BI256" s="351">
        <f t="array" ref="BI256">IF(Ration_complète_bovins[somme]&gt;0,0,IFERROR(IF(OR(AND(INDEX(Règles_bovins[Specificite],MATCH(ChoixRationBovins&amp;$BB256,Règles_bovins[Ration]&amp;Règles_bovins[Aliment],0))="s1",IF($BB256=Spécificité1Bovins,1)),
AND(INDEX(Règles_bovins[Specificite],MATCH(ChoixRationBovins&amp;$BB256,Règles_bovins[Ration]&amp;Règles_bovins[Aliment],0))="s2",IF($BB256=Spécificité2Bovins,1)),
INDEX(Règles_bovins[Specificite],MATCH(ChoixRationBovins&amp;$BB256,Règles_bovins[Ration]&amp;Règles_bovins[Aliment],0))="c"),
INDEX(Règles_bovins[Valeur 0-3],MATCH(ChoixRationBovins&amp;$BB256,Règles_bovins[Ration]&amp;Règles_bovins[Aliment],0)),0),0)*IF(ChoixBovinsPréHiver=OUI,TotalVeauFemelle_0_3_RacesLaitières,TotalBovinsFemelles_0_3mois*NbreJoursNourrirBovins))</f>
        <v>0</v>
      </c>
      <c r="BJ256" s="352">
        <f t="shared" si="67"/>
        <v>0</v>
      </c>
      <c r="BX256" s="277"/>
      <c r="BY256" s="277"/>
      <c r="BZ256" s="279"/>
      <c r="CA256" s="279"/>
      <c r="CB256" s="279"/>
      <c r="CC256" s="279"/>
      <c r="CD256" s="298"/>
      <c r="CE256" s="298"/>
      <c r="CF256" s="298"/>
      <c r="CG256" s="298"/>
      <c r="CI256" s="277"/>
      <c r="CK256" s="277"/>
      <c r="CL256" s="277"/>
      <c r="CM256" s="277"/>
      <c r="CN256" s="277"/>
      <c r="CO256" s="277"/>
      <c r="CP256" s="277"/>
      <c r="DN256" s="350" t="str">
        <f t="shared" si="70"/>
        <v>Maïs grain</v>
      </c>
      <c r="DO256" s="351">
        <f t="array" ref="DO256">IF(ChoixRationHivernaleOvinsComplète=OUI,0,IFERROR(IF(OR(AND(INDEX(Règles_ovins[Specificite],MATCH(RationHivernaleOvinsAuPré&amp;$DN256,Règles_ovins[Ration]&amp;Règles_ovins[Aliment],0))="s1",IF($DN256=Spécificité1Ovins,1)),
AND(INDEX(Règles_ovins[Specificite],MATCH(RationHivernaleOvinsAuPré&amp;$DN256,Règles_ovins[Ration]&amp;Règles_ovins[Aliment],0))="s2",IF($DN256=Spécificité2Ovins,1)),
INDEX(Règles_ovins[Specificite],MATCH(RationHivernaleOvinsAuPré&amp;$DN256,Règles_ovins[Ration]&amp;Règles_ovins[Aliment],0))="c"),
INDEX(Règles_ovins[Valeur 12 et plus],MATCH(RationHivernaleOvinsAuPré&amp;$DN256,Règles_ovins[Ration]&amp;Règles_ovins[Aliment],0)),0),0)*IF(SUM(TotalOvinsAdultesAuPré)&gt;0,SUM(TotalOvinsAdultesAuPré)*SUM(AD76:AD100),SUM(TotalOvinsAdultes)*SUM(AD76:AD100)))</f>
        <v>0</v>
      </c>
      <c r="DP256" s="351">
        <f t="array" ref="DP256">IF(ChoixRationHivernaleOvinsComplète=OUI,0,IFERROR(IF(OR(AND(INDEX(Règles_ovins[Specificite],MATCH(RationHivernaleOvinsAuPré&amp;$DN256,Règles_ovins[Ration]&amp;Règles_ovins[Aliment],0))="s1",IF($DN256=Spécificité1Ovins,1)),
AND(INDEX(Règles_ovins[Specificite],MATCH(RationHivernaleOvinsAuPré&amp;$DN256,Règles_ovins[Ration]&amp;Règles_ovins[Aliment],0))="s2",IF($DN256=Spécificité2Ovins,1)),
INDEX(Règles_ovins[Specificite],MATCH(RationHivernaleOvinsAuPré&amp;$DN256,Règles_ovins[Ration]&amp;Règles_ovins[Aliment],0))="c"),
INDEX(Règles_ovins[Valeur 6-12],MATCH(RationHivernaleOvinsAuPré&amp;$DN256,Règles_ovins[Ration]&amp;Règles_ovins[Aliment],0)),0),0)*IF(SUM(TotalOvins_6_12moisAuPré)&gt;0,SUM(TotalOvins_6_12moisAuPré)*SUM(AD76:AD100),SUM(TotalJeunesOvins)*SUM(AD76:AD100)))</f>
        <v>0</v>
      </c>
      <c r="DQ256" s="351">
        <f t="array" ref="DQ256">IF(ChoixRationHivernaleOvinsComplète=OUI,0,IFERROR(IF(OR(AND(INDEX(Règles_ovins[Specificite],MATCH(RationHivernaleOvinsAuPré&amp;$DN256,Règles_ovins[Ration]&amp;Règles_ovins[Aliment],0))="s1",IF($DN256=Spécificité1Ovins,1)),
AND(INDEX(Règles_ovins[Specificite],MATCH(RationHivernaleOvinsAuPré&amp;$DN256,Règles_ovins[Ration]&amp;Règles_ovins[Aliment],0))="s2",IF($DN256=Spécificité2Ovins,1)),
INDEX(Règles_ovins[Specificite],MATCH(RationHivernaleOvinsAuPré&amp;$DN256,Règles_ovins[Ration]&amp;Règles_ovins[Aliment],0))="c"),
INDEX(Règles_ovins[Valeur 3-6],MATCH(RationHivernaleOvinsAuPré&amp;$DN256,Règles_ovins[Ration]&amp;Règles_ovins[Aliment],0)),0),0)*IF(SUM(TotalOvins_3_6moisAuPré)&gt;0,SUM(TotalOvins_3_6moisAuPré)*SUM(AD76:AD100),SUM(TotalOvins_3_6mois)*SUM(AD76:AD100)))</f>
        <v>0</v>
      </c>
      <c r="DR256" s="351">
        <f t="array" ref="DR256">IF(ChoixRationHivernaleOvinsComplète=OUI,0,IFERROR(IF(OR(AND(INDEX(Règles_ovins[Specificite],MATCH(RationHivernaleOvinsAuPré&amp;$DN256,Règles_ovins[Ration]&amp;Règles_ovins[Aliment],0))="s1",IF($DN256=Spécificité1Ovins,1)),
AND(INDEX(Règles_ovins[Specificite],MATCH(RationHivernaleOvinsAuPré&amp;$DN256,Règles_ovins[Ration]&amp;Règles_ovins[Aliment],0))="s2",IF($DN256=Spécificité2Ovins,1)),
INDEX(Règles_ovins[Specificite],MATCH(RationHivernaleOvinsAuPré&amp;$DN256,Règles_ovins[Ration]&amp;Règles_ovins[Aliment],0))="c"),
INDEX(Règles_ovins[Valeur 0-3],MATCH(RationHivernaleOvinsAuPré&amp;$DN256,Règles_ovins[Ration]&amp;Règles_ovins[Aliment],0)),0),0)*IF(SUM(TotalOvins_0_3moisAuPré)&gt;0,SUM(TotalOvins_0_3moisAuPré)*SUM(AD76:AD100),SUM(TotalOvins_3_6mois)*SUM(AD76:AD100)))</f>
        <v>0</v>
      </c>
      <c r="DS256" s="441">
        <f t="shared" si="69"/>
        <v>0</v>
      </c>
      <c r="GG256" s="276" t="s">
        <v>955</v>
      </c>
      <c r="GH256" s="276" t="s">
        <v>955</v>
      </c>
      <c r="GI256" s="276" t="s">
        <v>955</v>
      </c>
      <c r="GJ256" s="276" t="s">
        <v>955</v>
      </c>
      <c r="GK256" s="276" t="s">
        <v>955</v>
      </c>
      <c r="GL256" s="276" t="s">
        <v>955</v>
      </c>
      <c r="GM256" s="276" t="s">
        <v>955</v>
      </c>
      <c r="GN256" s="276" t="s">
        <v>955</v>
      </c>
      <c r="GO256" s="276" t="s">
        <v>955</v>
      </c>
      <c r="GP256" s="276" t="s">
        <v>955</v>
      </c>
      <c r="GQ256" s="276" t="s">
        <v>955</v>
      </c>
      <c r="GR256" s="276" t="s">
        <v>955</v>
      </c>
      <c r="GS256" s="276" t="s">
        <v>955</v>
      </c>
      <c r="GT256" s="276" t="s">
        <v>955</v>
      </c>
      <c r="GU256" s="276" t="s">
        <v>955</v>
      </c>
      <c r="GV256" s="276" t="s">
        <v>955</v>
      </c>
    </row>
    <row r="257" spans="1:204" ht="12.75" customHeight="1" x14ac:dyDescent="0.2">
      <c r="A257" s="276"/>
      <c r="B257" s="276"/>
      <c r="BB257" s="350" t="str">
        <f t="shared" si="68"/>
        <v>Paille</v>
      </c>
      <c r="BC257" s="351">
        <f t="array" ref="BC257">IF(Ration_complète_bovins[somme]&gt;0,0,IFERROR(IF(OR(AND(INDEX(Règles_bovins[Specificite],MATCH(ChoixRationBovins&amp;$BB257,Règles_bovins[Ration]&amp;Règles_bovins[Aliment],0))="s1",IF($BB257=Spécificité1Bovins,1)),
AND(INDEX(Règles_bovins[Specificite],MATCH(ChoixRationBovins&amp;$BB257,Règles_bovins[Ration]&amp;Règles_bovins[Aliment],0))="s2",IF($BB257=Spécificité2Bovins,1)),
INDEX(Règles_bovins[Specificite],MATCH(ChoixRationBovins&amp;$BB257,Règles_bovins[Ration]&amp;Règles_bovins[Aliment],0))="c"),
INDEX(Règles_bovins[Valeur 36 et plus],MATCH(ChoixRationBovins&amp;$BB257,Règles_bovins[Ration]&amp;Règles_bovins[Aliment],0)),0),0)*IF(ChoixBovinsPréHiver=OUI,TotalVachesRacesLaitières,TotalVaches*NbreJoursNourrirBovins))</f>
        <v>0</v>
      </c>
      <c r="BD257" s="351">
        <f t="array" ref="BD257">IF(Ration_complète_bovins[somme]&gt;0,0,IFERROR(IF(OR(AND(INDEX(Règles_bovins[Specificite],MATCH(ChoixRationBovins&amp;$BB257,Règles_bovins[Ration]&amp;Règles_bovins[Aliment],0))="s1",IF($BB257=Spécificité1Bovins,1)),
AND(INDEX(Règles_bovins[Specificite],MATCH(ChoixRationBovins&amp;$BB257,Règles_bovins[Ration]&amp;Règles_bovins[Aliment],0))="s2",IF($BB257=Spécificité2Bovins,1)),
INDEX(Règles_bovins[Specificite],MATCH(ChoixRationBovins&amp;$BB257,Règles_bovins[Ration]&amp;Règles_bovins[Aliment],0))="c"),
INDEX(Règles_bovins[Valeur 24-36],MATCH(ChoixRationBovins&amp;$BB257,Règles_bovins[Ration]&amp;Règles_bovins[Aliment],0)),0),0)*IF(ChoixBovinsPréHiver=OUI,TotalGénisse_24_36_RacesLaitières,TotalBovinsFemelles_24_36mois*NbreJoursNourrirBovins))</f>
        <v>0</v>
      </c>
      <c r="BE257" s="351">
        <f t="array" ref="BE257">IF(Ration_complète_bovins[somme]&gt;0,0,IFERROR(IF(OR(AND(INDEX(Règles_bovins[Specificite],MATCH(ChoixRationBovins&amp;$BB257,Règles_bovins[Ration]&amp;Règles_bovins[Aliment],0))="s1",IF($BB257=Spécificité1Bovins,1)),
AND(INDEX(Règles_bovins[Specificite],MATCH(ChoixRationBovins&amp;$BB257,Règles_bovins[Ration]&amp;Règles_bovins[Aliment],0))="s2",IF($BB257=Spécificité2Bovins,1)),
INDEX(Règles_bovins[Specificite],MATCH(ChoixRationBovins&amp;$BB257,Règles_bovins[Ration]&amp;Règles_bovins[Aliment],0))="c"),
INDEX(Règles_bovins[Valeur 18-24],MATCH(ChoixRationBovins&amp;$BB257,Règles_bovins[Ration]&amp;Règles_bovins[Aliment],0)),0),0)*IF(ChoixBovinsPréHiver=OUI,TotalGénisse_18_24_RacesLaitières,TotalBovinsFemelles_18_24mois*NbreJoursNourrirBovins))</f>
        <v>0</v>
      </c>
      <c r="BF257" s="351">
        <f t="array" ref="BF257">IF(Ration_complète_bovins[somme]&gt;0,0,IFERROR(IF(OR(AND(INDEX(Règles_bovins[Specificite],MATCH(ChoixRationBovins&amp;$BB257,Règles_bovins[Ration]&amp;Règles_bovins[Aliment],0))="s1",IF($BB257=Spécificité1Bovins,1)),
AND(INDEX(Règles_bovins[Specificite],MATCH(ChoixRationBovins&amp;$BB257,Règles_bovins[Ration]&amp;Règles_bovins[Aliment],0))="s2",IF($BB257=Spécificité2Bovins,1)),
INDEX(Règles_bovins[Specificite],MATCH(ChoixRationBovins&amp;$BB257,Règles_bovins[Ration]&amp;Règles_bovins[Aliment],0))="c"),
INDEX(Règles_bovins[Valeur 12-18],MATCH(ChoixRationBovins&amp;$BB257,Règles_bovins[Ration]&amp;Règles_bovins[Aliment],0)),0),0)*IF(ChoixBovinsPréHiver=OUI,TotalGénisse_12_18_RacesLaitières,TotalBovinsFemelles_12_18mois*NbreJoursNourrirBovins))</f>
        <v>0</v>
      </c>
      <c r="BG257" s="351">
        <f t="array" ref="BG257">IF(Ration_complète_bovins[somme]&gt;0,0,IFERROR(IF(OR(AND(INDEX(Règles_bovins[Specificite],MATCH(ChoixRationBovins&amp;$BB257,Règles_bovins[Ration]&amp;Règles_bovins[Aliment],0))="s1",IF($BB257=Spécificité1Bovins,1)),
AND(INDEX(Règles_bovins[Specificite],MATCH(ChoixRationBovins&amp;$BB257,Règles_bovins[Ration]&amp;Règles_bovins[Aliment],0))="s2",IF($BB257=Spécificité2Bovins,1)),
INDEX(Règles_bovins[Specificite],MATCH(ChoixRationBovins&amp;$BB257,Règles_bovins[Ration]&amp;Règles_bovins[Aliment],0))="c"),
INDEX(Règles_bovins[Valeur 6-12],MATCH(ChoixRationBovins&amp;$BB257,Règles_bovins[Ration]&amp;Règles_bovins[Aliment],0)),0),0)*IF(ChoixBovinsPréHiver=OUI,TotalVeauFemelle_6_12_RacesLaitières,TotalBovinsFemelles_6_12mois*NbreJoursNourrirBovins))</f>
        <v>0</v>
      </c>
      <c r="BH257" s="351">
        <f t="array" ref="BH257">IF(Ration_complète_bovins[somme]&gt;0,0,IFERROR(IF(OR(AND(INDEX(Règles_bovins[Specificite],MATCH(ChoixRationBovins&amp;$BB257,Règles_bovins[Ration]&amp;Règles_bovins[Aliment],0))="s1",IF($BB257=Spécificité1Bovins,1)),
AND(INDEX(Règles_bovins[Specificite],MATCH(ChoixRationBovins&amp;$BB257,Règles_bovins[Ration]&amp;Règles_bovins[Aliment],0))="s2",IF($BB257=Spécificité2Bovins,1)),
INDEX(Règles_bovins[Specificite],MATCH(ChoixRationBovins&amp;$BB257,Règles_bovins[Ration]&amp;Règles_bovins[Aliment],0))="c"),
INDEX(Règles_bovins[Valeur 3-6],MATCH(ChoixRationBovins&amp;$BB257,Règles_bovins[Ration]&amp;Règles_bovins[Aliment],0)),0),0)*IF(ChoixBovinsPréHiver=OUI,TotalVeauFemelle_3_6_RacesLaitières,TotalBovinsFemelles_3_6mois*NbreJoursNourrirBovins))</f>
        <v>0</v>
      </c>
      <c r="BI257" s="351">
        <f t="array" ref="BI257">IF(Ration_complète_bovins[somme]&gt;0,0,IFERROR(IF(OR(AND(INDEX(Règles_bovins[Specificite],MATCH(ChoixRationBovins&amp;$BB257,Règles_bovins[Ration]&amp;Règles_bovins[Aliment],0))="s1",IF($BB257=Spécificité1Bovins,1)),
AND(INDEX(Règles_bovins[Specificite],MATCH(ChoixRationBovins&amp;$BB257,Règles_bovins[Ration]&amp;Règles_bovins[Aliment],0))="s2",IF($BB257=Spécificité2Bovins,1)),
INDEX(Règles_bovins[Specificite],MATCH(ChoixRationBovins&amp;$BB257,Règles_bovins[Ration]&amp;Règles_bovins[Aliment],0))="c"),
INDEX(Règles_bovins[Valeur 0-3],MATCH(ChoixRationBovins&amp;$BB257,Règles_bovins[Ration]&amp;Règles_bovins[Aliment],0)),0),0)*IF(ChoixBovinsPréHiver=OUI,TotalVeauFemelle_0_3_RacesLaitières,TotalBovinsFemelles_0_3mois*NbreJoursNourrirBovins))</f>
        <v>0</v>
      </c>
      <c r="BJ257" s="352">
        <f t="shared" si="67"/>
        <v>0</v>
      </c>
      <c r="BX257" s="277"/>
      <c r="BY257" s="277"/>
      <c r="BZ257" s="279"/>
      <c r="CA257" s="279"/>
      <c r="CB257" s="279"/>
      <c r="CC257" s="279"/>
      <c r="CD257" s="298"/>
      <c r="CE257" s="298"/>
      <c r="CF257" s="298"/>
      <c r="CG257" s="298"/>
      <c r="CI257" s="277"/>
      <c r="CK257" s="277"/>
      <c r="CL257" s="277"/>
      <c r="CM257" s="277"/>
      <c r="CN257" s="277"/>
      <c r="CO257" s="277"/>
      <c r="CP257" s="277"/>
      <c r="DN257" s="350" t="str">
        <f t="shared" si="70"/>
        <v>Minéraux + vitamines</v>
      </c>
      <c r="DO257" s="351">
        <f t="array" ref="DO257">IF(ChoixRationHivernaleOvinsComplète=OUI,0,IFERROR(IF(OR(AND(INDEX(Règles_ovins[Specificite],MATCH(RationHivernaleOvinsAuPré&amp;$DN257,Règles_ovins[Ration]&amp;Règles_ovins[Aliment],0))="s1",IF($DN257=Spécificité1Ovins,1)),
AND(INDEX(Règles_ovins[Specificite],MATCH(RationHivernaleOvinsAuPré&amp;$DN257,Règles_ovins[Ration]&amp;Règles_ovins[Aliment],0))="s2",IF($DN257=Spécificité2Ovins,1)),
INDEX(Règles_ovins[Specificite],MATCH(RationHivernaleOvinsAuPré&amp;$DN257,Règles_ovins[Ration]&amp;Règles_ovins[Aliment],0))="c"),
INDEX(Règles_ovins[Valeur 12 et plus],MATCH(RationHivernaleOvinsAuPré&amp;$DN257,Règles_ovins[Ration]&amp;Règles_ovins[Aliment],0)),0),0)*IF(SUM(TotalOvinsAdultesAuPré)&gt;0,SUM(TotalOvinsAdultesAuPré)*SUM(AD76:AD100),SUM(TotalOvinsAdultes)*SUM(AD76:AD100)))</f>
        <v>0</v>
      </c>
      <c r="DP257" s="351">
        <f t="array" ref="DP257">IF(ChoixRationHivernaleOvinsComplète=OUI,0,IFERROR(IF(OR(AND(INDEX(Règles_ovins[Specificite],MATCH(RationHivernaleOvinsAuPré&amp;$DN257,Règles_ovins[Ration]&amp;Règles_ovins[Aliment],0))="s1",IF($DN257=Spécificité1Ovins,1)),
AND(INDEX(Règles_ovins[Specificite],MATCH(RationHivernaleOvinsAuPré&amp;$DN257,Règles_ovins[Ration]&amp;Règles_ovins[Aliment],0))="s2",IF($DN257=Spécificité2Ovins,1)),
INDEX(Règles_ovins[Specificite],MATCH(RationHivernaleOvinsAuPré&amp;$DN257,Règles_ovins[Ration]&amp;Règles_ovins[Aliment],0))="c"),
INDEX(Règles_ovins[Valeur 6-12],MATCH(RationHivernaleOvinsAuPré&amp;$DN257,Règles_ovins[Ration]&amp;Règles_ovins[Aliment],0)),0),0)*IF(SUM(TotalOvins_6_12moisAuPré)&gt;0,SUM(TotalOvins_6_12moisAuPré)*SUM(AD76:AD100),SUM(TotalJeunesOvins)*SUM(AD76:AD100)))</f>
        <v>0</v>
      </c>
      <c r="DQ257" s="351">
        <f t="array" ref="DQ257">IF(ChoixRationHivernaleOvinsComplète=OUI,0,IFERROR(IF(OR(AND(INDEX(Règles_ovins[Specificite],MATCH(RationHivernaleOvinsAuPré&amp;$DN257,Règles_ovins[Ration]&amp;Règles_ovins[Aliment],0))="s1",IF($DN257=Spécificité1Ovins,1)),
AND(INDEX(Règles_ovins[Specificite],MATCH(RationHivernaleOvinsAuPré&amp;$DN257,Règles_ovins[Ration]&amp;Règles_ovins[Aliment],0))="s2",IF($DN257=Spécificité2Ovins,1)),
INDEX(Règles_ovins[Specificite],MATCH(RationHivernaleOvinsAuPré&amp;$DN257,Règles_ovins[Ration]&amp;Règles_ovins[Aliment],0))="c"),
INDEX(Règles_ovins[Valeur 3-6],MATCH(RationHivernaleOvinsAuPré&amp;$DN257,Règles_ovins[Ration]&amp;Règles_ovins[Aliment],0)),0),0)*IF(SUM(TotalOvins_3_6moisAuPré)&gt;0,SUM(TotalOvins_3_6moisAuPré)*SUM(AD76:AD100),SUM(TotalOvins_3_6mois)*SUM(AD76:AD100)))</f>
        <v>0</v>
      </c>
      <c r="DR257" s="351">
        <f t="array" ref="DR257">IF(ChoixRationHivernaleOvinsComplète=OUI,0,IFERROR(IF(OR(AND(INDEX(Règles_ovins[Specificite],MATCH(RationHivernaleOvinsAuPré&amp;$DN257,Règles_ovins[Ration]&amp;Règles_ovins[Aliment],0))="s1",IF($DN257=Spécificité1Ovins,1)),
AND(INDEX(Règles_ovins[Specificite],MATCH(RationHivernaleOvinsAuPré&amp;$DN257,Règles_ovins[Ration]&amp;Règles_ovins[Aliment],0))="s2",IF($DN257=Spécificité2Ovins,1)),
INDEX(Règles_ovins[Specificite],MATCH(RationHivernaleOvinsAuPré&amp;$DN257,Règles_ovins[Ration]&amp;Règles_ovins[Aliment],0))="c"),
INDEX(Règles_ovins[Valeur 0-3],MATCH(RationHivernaleOvinsAuPré&amp;$DN257,Règles_ovins[Ration]&amp;Règles_ovins[Aliment],0)),0),0)*IF(SUM(TotalOvins_0_3moisAuPré)&gt;0,SUM(TotalOvins_0_3moisAuPré)*SUM(AD76:AD100),SUM(TotalOvins_3_6mois)*SUM(AD76:AD100)))</f>
        <v>0</v>
      </c>
      <c r="DS257" s="441">
        <f t="shared" si="69"/>
        <v>0</v>
      </c>
      <c r="GG257" s="276" t="s">
        <v>955</v>
      </c>
      <c r="GH257" s="276" t="s">
        <v>955</v>
      </c>
      <c r="GI257" s="276" t="s">
        <v>955</v>
      </c>
      <c r="GJ257" s="276" t="s">
        <v>955</v>
      </c>
      <c r="GK257" s="276" t="s">
        <v>955</v>
      </c>
      <c r="GL257" s="276" t="s">
        <v>955</v>
      </c>
      <c r="GM257" s="276" t="s">
        <v>955</v>
      </c>
      <c r="GN257" s="276" t="s">
        <v>955</v>
      </c>
      <c r="GO257" s="276" t="s">
        <v>955</v>
      </c>
      <c r="GP257" s="276" t="s">
        <v>955</v>
      </c>
      <c r="GQ257" s="276" t="s">
        <v>955</v>
      </c>
      <c r="GR257" s="276" t="s">
        <v>955</v>
      </c>
      <c r="GS257" s="276" t="s">
        <v>955</v>
      </c>
      <c r="GT257" s="276" t="s">
        <v>955</v>
      </c>
      <c r="GU257" s="276" t="s">
        <v>955</v>
      </c>
      <c r="GV257" s="276" t="s">
        <v>955</v>
      </c>
    </row>
    <row r="258" spans="1:204" ht="12.75" customHeight="1" x14ac:dyDescent="0.2">
      <c r="A258" s="276"/>
      <c r="B258" s="276"/>
      <c r="BB258" s="350" t="str">
        <f t="shared" si="68"/>
        <v>Pois</v>
      </c>
      <c r="BC258" s="351">
        <f t="array" ref="BC258">IF(Ration_complète_bovins[somme]&gt;0,0,IFERROR(IF(OR(AND(INDEX(Règles_bovins[Specificite],MATCH(ChoixRationBovins&amp;$BB258,Règles_bovins[Ration]&amp;Règles_bovins[Aliment],0))="s1",IF($BB258=Spécificité1Bovins,1)),
AND(INDEX(Règles_bovins[Specificite],MATCH(ChoixRationBovins&amp;$BB258,Règles_bovins[Ration]&amp;Règles_bovins[Aliment],0))="s2",IF($BB258=Spécificité2Bovins,1)),
INDEX(Règles_bovins[Specificite],MATCH(ChoixRationBovins&amp;$BB258,Règles_bovins[Ration]&amp;Règles_bovins[Aliment],0))="c"),
INDEX(Règles_bovins[Valeur 36 et plus],MATCH(ChoixRationBovins&amp;$BB258,Règles_bovins[Ration]&amp;Règles_bovins[Aliment],0)),0),0)*IF(ChoixBovinsPréHiver=OUI,TotalVachesRacesLaitières,TotalVaches*NbreJoursNourrirBovins))</f>
        <v>0</v>
      </c>
      <c r="BD258" s="351">
        <f t="array" ref="BD258">IF(Ration_complète_bovins[somme]&gt;0,0,IFERROR(IF(OR(AND(INDEX(Règles_bovins[Specificite],MATCH(ChoixRationBovins&amp;$BB258,Règles_bovins[Ration]&amp;Règles_bovins[Aliment],0))="s1",IF($BB258=Spécificité1Bovins,1)),
AND(INDEX(Règles_bovins[Specificite],MATCH(ChoixRationBovins&amp;$BB258,Règles_bovins[Ration]&amp;Règles_bovins[Aliment],0))="s2",IF($BB258=Spécificité2Bovins,1)),
INDEX(Règles_bovins[Specificite],MATCH(ChoixRationBovins&amp;$BB258,Règles_bovins[Ration]&amp;Règles_bovins[Aliment],0))="c"),
INDEX(Règles_bovins[Valeur 24-36],MATCH(ChoixRationBovins&amp;$BB258,Règles_bovins[Ration]&amp;Règles_bovins[Aliment],0)),0),0)*IF(ChoixBovinsPréHiver=OUI,TotalGénisse_24_36_RacesLaitières,TotalBovinsFemelles_24_36mois*NbreJoursNourrirBovins))</f>
        <v>0</v>
      </c>
      <c r="BE258" s="351">
        <f t="array" ref="BE258">IF(Ration_complète_bovins[somme]&gt;0,0,IFERROR(IF(OR(AND(INDEX(Règles_bovins[Specificite],MATCH(ChoixRationBovins&amp;$BB258,Règles_bovins[Ration]&amp;Règles_bovins[Aliment],0))="s1",IF($BB258=Spécificité1Bovins,1)),
AND(INDEX(Règles_bovins[Specificite],MATCH(ChoixRationBovins&amp;$BB258,Règles_bovins[Ration]&amp;Règles_bovins[Aliment],0))="s2",IF($BB258=Spécificité2Bovins,1)),
INDEX(Règles_bovins[Specificite],MATCH(ChoixRationBovins&amp;$BB258,Règles_bovins[Ration]&amp;Règles_bovins[Aliment],0))="c"),
INDEX(Règles_bovins[Valeur 18-24],MATCH(ChoixRationBovins&amp;$BB258,Règles_bovins[Ration]&amp;Règles_bovins[Aliment],0)),0),0)*IF(ChoixBovinsPréHiver=OUI,TotalGénisse_18_24_RacesLaitières,TotalBovinsFemelles_18_24mois*NbreJoursNourrirBovins))</f>
        <v>0</v>
      </c>
      <c r="BF258" s="351">
        <f t="array" ref="BF258">IF(Ration_complète_bovins[somme]&gt;0,0,IFERROR(IF(OR(AND(INDEX(Règles_bovins[Specificite],MATCH(ChoixRationBovins&amp;$BB258,Règles_bovins[Ration]&amp;Règles_bovins[Aliment],0))="s1",IF($BB258=Spécificité1Bovins,1)),
AND(INDEX(Règles_bovins[Specificite],MATCH(ChoixRationBovins&amp;$BB258,Règles_bovins[Ration]&amp;Règles_bovins[Aliment],0))="s2",IF($BB258=Spécificité2Bovins,1)),
INDEX(Règles_bovins[Specificite],MATCH(ChoixRationBovins&amp;$BB258,Règles_bovins[Ration]&amp;Règles_bovins[Aliment],0))="c"),
INDEX(Règles_bovins[Valeur 12-18],MATCH(ChoixRationBovins&amp;$BB258,Règles_bovins[Ration]&amp;Règles_bovins[Aliment],0)),0),0)*IF(ChoixBovinsPréHiver=OUI,TotalGénisse_12_18_RacesLaitières,TotalBovinsFemelles_12_18mois*NbreJoursNourrirBovins))</f>
        <v>0</v>
      </c>
      <c r="BG258" s="351">
        <f t="array" ref="BG258">IF(Ration_complète_bovins[somme]&gt;0,0,IFERROR(IF(OR(AND(INDEX(Règles_bovins[Specificite],MATCH(ChoixRationBovins&amp;$BB258,Règles_bovins[Ration]&amp;Règles_bovins[Aliment],0))="s1",IF($BB258=Spécificité1Bovins,1)),
AND(INDEX(Règles_bovins[Specificite],MATCH(ChoixRationBovins&amp;$BB258,Règles_bovins[Ration]&amp;Règles_bovins[Aliment],0))="s2",IF($BB258=Spécificité2Bovins,1)),
INDEX(Règles_bovins[Specificite],MATCH(ChoixRationBovins&amp;$BB258,Règles_bovins[Ration]&amp;Règles_bovins[Aliment],0))="c"),
INDEX(Règles_bovins[Valeur 6-12],MATCH(ChoixRationBovins&amp;$BB258,Règles_bovins[Ration]&amp;Règles_bovins[Aliment],0)),0),0)*IF(ChoixBovinsPréHiver=OUI,TotalVeauFemelle_6_12_RacesLaitières,TotalBovinsFemelles_6_12mois*NbreJoursNourrirBovins))</f>
        <v>0</v>
      </c>
      <c r="BH258" s="351">
        <f t="array" ref="BH258">IF(Ration_complète_bovins[somme]&gt;0,0,IFERROR(IF(OR(AND(INDEX(Règles_bovins[Specificite],MATCH(ChoixRationBovins&amp;$BB258,Règles_bovins[Ration]&amp;Règles_bovins[Aliment],0))="s1",IF($BB258=Spécificité1Bovins,1)),
AND(INDEX(Règles_bovins[Specificite],MATCH(ChoixRationBovins&amp;$BB258,Règles_bovins[Ration]&amp;Règles_bovins[Aliment],0))="s2",IF($BB258=Spécificité2Bovins,1)),
INDEX(Règles_bovins[Specificite],MATCH(ChoixRationBovins&amp;$BB258,Règles_bovins[Ration]&amp;Règles_bovins[Aliment],0))="c"),
INDEX(Règles_bovins[Valeur 3-6],MATCH(ChoixRationBovins&amp;$BB258,Règles_bovins[Ration]&amp;Règles_bovins[Aliment],0)),0),0)*IF(ChoixBovinsPréHiver=OUI,TotalVeauFemelle_3_6_RacesLaitières,TotalBovinsFemelles_3_6mois*NbreJoursNourrirBovins))</f>
        <v>0</v>
      </c>
      <c r="BI258" s="351">
        <f t="array" ref="BI258">IF(Ration_complète_bovins[somme]&gt;0,0,IFERROR(IF(OR(AND(INDEX(Règles_bovins[Specificite],MATCH(ChoixRationBovins&amp;$BB258,Règles_bovins[Ration]&amp;Règles_bovins[Aliment],0))="s1",IF($BB258=Spécificité1Bovins,1)),
AND(INDEX(Règles_bovins[Specificite],MATCH(ChoixRationBovins&amp;$BB258,Règles_bovins[Ration]&amp;Règles_bovins[Aliment],0))="s2",IF($BB258=Spécificité2Bovins,1)),
INDEX(Règles_bovins[Specificite],MATCH(ChoixRationBovins&amp;$BB258,Règles_bovins[Ration]&amp;Règles_bovins[Aliment],0))="c"),
INDEX(Règles_bovins[Valeur 0-3],MATCH(ChoixRationBovins&amp;$BB258,Règles_bovins[Ration]&amp;Règles_bovins[Aliment],0)),0),0)*IF(ChoixBovinsPréHiver=OUI,TotalVeauFemelle_0_3_RacesLaitières,TotalBovinsFemelles_0_3mois*NbreJoursNourrirBovins))</f>
        <v>0</v>
      </c>
      <c r="BJ258" s="352">
        <f t="shared" si="67"/>
        <v>0</v>
      </c>
      <c r="BX258" s="277"/>
      <c r="BY258" s="277"/>
      <c r="BZ258" s="279"/>
      <c r="CA258" s="279"/>
      <c r="CB258" s="279"/>
      <c r="CC258" s="279"/>
      <c r="CD258" s="298"/>
      <c r="CE258" s="298"/>
      <c r="CF258" s="298"/>
      <c r="CG258" s="298"/>
      <c r="CI258" s="277"/>
      <c r="CK258" s="277"/>
      <c r="CL258" s="277"/>
      <c r="CM258" s="277"/>
      <c r="CN258" s="277"/>
      <c r="CO258" s="277"/>
      <c r="CP258" s="277"/>
      <c r="DN258" s="350" t="str">
        <f t="shared" si="70"/>
        <v>Orge</v>
      </c>
      <c r="DO258" s="351">
        <f t="array" ref="DO258">IF(ChoixRationHivernaleOvinsComplète=OUI,0,IFERROR(IF(OR(AND(INDEX(Règles_ovins[Specificite],MATCH(RationHivernaleOvinsAuPré&amp;$DN258,Règles_ovins[Ration]&amp;Règles_ovins[Aliment],0))="s1",IF($DN258=Spécificité1Ovins,1)),
AND(INDEX(Règles_ovins[Specificite],MATCH(RationHivernaleOvinsAuPré&amp;$DN258,Règles_ovins[Ration]&amp;Règles_ovins[Aliment],0))="s2",IF($DN258=Spécificité2Ovins,1)),
INDEX(Règles_ovins[Specificite],MATCH(RationHivernaleOvinsAuPré&amp;$DN258,Règles_ovins[Ration]&amp;Règles_ovins[Aliment],0))="c"),
INDEX(Règles_ovins[Valeur 12 et plus],MATCH(RationHivernaleOvinsAuPré&amp;$DN258,Règles_ovins[Ration]&amp;Règles_ovins[Aliment],0)),0),0)*IF(SUM(TotalOvinsAdultesAuPré)&gt;0,SUM(TotalOvinsAdultesAuPré)*SUM(AD76:AD100),SUM(TotalOvinsAdultes)*SUM(AD76:AD100)))</f>
        <v>0</v>
      </c>
      <c r="DP258" s="351">
        <f t="array" ref="DP258">IF(ChoixRationHivernaleOvinsComplète=OUI,0,IFERROR(IF(OR(AND(INDEX(Règles_ovins[Specificite],MATCH(RationHivernaleOvinsAuPré&amp;$DN258,Règles_ovins[Ration]&amp;Règles_ovins[Aliment],0))="s1",IF($DN258=Spécificité1Ovins,1)),
AND(INDEX(Règles_ovins[Specificite],MATCH(RationHivernaleOvinsAuPré&amp;$DN258,Règles_ovins[Ration]&amp;Règles_ovins[Aliment],0))="s2",IF($DN258=Spécificité2Ovins,1)),
INDEX(Règles_ovins[Specificite],MATCH(RationHivernaleOvinsAuPré&amp;$DN258,Règles_ovins[Ration]&amp;Règles_ovins[Aliment],0))="c"),
INDEX(Règles_ovins[Valeur 6-12],MATCH(RationHivernaleOvinsAuPré&amp;$DN258,Règles_ovins[Ration]&amp;Règles_ovins[Aliment],0)),0),0)*IF(SUM(TotalOvins_6_12moisAuPré)&gt;0,SUM(TotalOvins_6_12moisAuPré)*SUM(AD76:AD100),SUM(TotalJeunesOvins)*SUM(AD76:AD100)))</f>
        <v>0</v>
      </c>
      <c r="DQ258" s="351">
        <f t="array" ref="DQ258">IF(ChoixRationHivernaleOvinsComplète=OUI,0,IFERROR(IF(OR(AND(INDEX(Règles_ovins[Specificite],MATCH(RationHivernaleOvinsAuPré&amp;$DN258,Règles_ovins[Ration]&amp;Règles_ovins[Aliment],0))="s1",IF($DN258=Spécificité1Ovins,1)),
AND(INDEX(Règles_ovins[Specificite],MATCH(RationHivernaleOvinsAuPré&amp;$DN258,Règles_ovins[Ration]&amp;Règles_ovins[Aliment],0))="s2",IF($DN258=Spécificité2Ovins,1)),
INDEX(Règles_ovins[Specificite],MATCH(RationHivernaleOvinsAuPré&amp;$DN258,Règles_ovins[Ration]&amp;Règles_ovins[Aliment],0))="c"),
INDEX(Règles_ovins[Valeur 3-6],MATCH(RationHivernaleOvinsAuPré&amp;$DN258,Règles_ovins[Ration]&amp;Règles_ovins[Aliment],0)),0),0)*IF(SUM(TotalOvins_3_6moisAuPré)&gt;0,SUM(TotalOvins_3_6moisAuPré)*SUM(AD76:AD100),SUM(TotalOvins_3_6mois)*SUM(AD76:AD100)))</f>
        <v>0</v>
      </c>
      <c r="DR258" s="351">
        <f t="array" ref="DR258">IF(ChoixRationHivernaleOvinsComplète=OUI,0,IFERROR(IF(OR(AND(INDEX(Règles_ovins[Specificite],MATCH(RationHivernaleOvinsAuPré&amp;$DN258,Règles_ovins[Ration]&amp;Règles_ovins[Aliment],0))="s1",IF($DN258=Spécificité1Ovins,1)),
AND(INDEX(Règles_ovins[Specificite],MATCH(RationHivernaleOvinsAuPré&amp;$DN258,Règles_ovins[Ration]&amp;Règles_ovins[Aliment],0))="s2",IF($DN258=Spécificité2Ovins,1)),
INDEX(Règles_ovins[Specificite],MATCH(RationHivernaleOvinsAuPré&amp;$DN258,Règles_ovins[Ration]&amp;Règles_ovins[Aliment],0))="c"),
INDEX(Règles_ovins[Valeur 0-3],MATCH(RationHivernaleOvinsAuPré&amp;$DN258,Règles_ovins[Ration]&amp;Règles_ovins[Aliment],0)),0),0)*IF(SUM(TotalOvins_0_3moisAuPré)&gt;0,SUM(TotalOvins_0_3moisAuPré)*SUM(AD76:AD100),SUM(TotalOvins_3_6mois)*SUM(AD76:AD100)))</f>
        <v>0</v>
      </c>
      <c r="DS258" s="441">
        <f t="shared" si="69"/>
        <v>0</v>
      </c>
      <c r="GG258" s="276" t="s">
        <v>955</v>
      </c>
      <c r="GH258" s="276" t="s">
        <v>955</v>
      </c>
      <c r="GI258" s="276" t="s">
        <v>955</v>
      </c>
      <c r="GJ258" s="276" t="s">
        <v>955</v>
      </c>
      <c r="GK258" s="276" t="s">
        <v>955</v>
      </c>
      <c r="GL258" s="276" t="s">
        <v>955</v>
      </c>
      <c r="GM258" s="276" t="s">
        <v>955</v>
      </c>
      <c r="GN258" s="276" t="s">
        <v>955</v>
      </c>
      <c r="GO258" s="276" t="s">
        <v>955</v>
      </c>
      <c r="GP258" s="276" t="s">
        <v>955</v>
      </c>
      <c r="GQ258" s="276" t="s">
        <v>955</v>
      </c>
      <c r="GR258" s="276" t="s">
        <v>955</v>
      </c>
      <c r="GS258" s="276" t="s">
        <v>955</v>
      </c>
      <c r="GT258" s="276" t="s">
        <v>955</v>
      </c>
      <c r="GU258" s="276" t="s">
        <v>955</v>
      </c>
      <c r="GV258" s="276" t="s">
        <v>955</v>
      </c>
    </row>
    <row r="259" spans="1:204" ht="12.75" customHeight="1" x14ac:dyDescent="0.2">
      <c r="A259" s="276"/>
      <c r="B259" s="276"/>
      <c r="BB259" s="350" t="str">
        <f t="shared" si="68"/>
        <v>Pomme de terre</v>
      </c>
      <c r="BC259" s="351">
        <f t="array" ref="BC259">IF(Ration_complète_bovins[somme]&gt;0,0,IFERROR(IF(OR(AND(INDEX(Règles_bovins[Specificite],MATCH(ChoixRationBovins&amp;$BB259,Règles_bovins[Ration]&amp;Règles_bovins[Aliment],0))="s1",IF($BB259=Spécificité1Bovins,1)),
AND(INDEX(Règles_bovins[Specificite],MATCH(ChoixRationBovins&amp;$BB259,Règles_bovins[Ration]&amp;Règles_bovins[Aliment],0))="s2",IF($BB259=Spécificité2Bovins,1)),
INDEX(Règles_bovins[Specificite],MATCH(ChoixRationBovins&amp;$BB259,Règles_bovins[Ration]&amp;Règles_bovins[Aliment],0))="c"),
INDEX(Règles_bovins[Valeur 36 et plus],MATCH(ChoixRationBovins&amp;$BB259,Règles_bovins[Ration]&amp;Règles_bovins[Aliment],0)),0),0)*IF(ChoixBovinsPréHiver=OUI,TotalVachesRacesLaitières,TotalVaches*NbreJoursNourrirBovins))</f>
        <v>0</v>
      </c>
      <c r="BD259" s="351">
        <f t="array" ref="BD259">IF(Ration_complète_bovins[somme]&gt;0,0,IFERROR(IF(OR(AND(INDEX(Règles_bovins[Specificite],MATCH(ChoixRationBovins&amp;$BB259,Règles_bovins[Ration]&amp;Règles_bovins[Aliment],0))="s1",IF($BB259=Spécificité1Bovins,1)),
AND(INDEX(Règles_bovins[Specificite],MATCH(ChoixRationBovins&amp;$BB259,Règles_bovins[Ration]&amp;Règles_bovins[Aliment],0))="s2",IF($BB259=Spécificité2Bovins,1)),
INDEX(Règles_bovins[Specificite],MATCH(ChoixRationBovins&amp;$BB259,Règles_bovins[Ration]&amp;Règles_bovins[Aliment],0))="c"),
INDEX(Règles_bovins[Valeur 24-36],MATCH(ChoixRationBovins&amp;$BB259,Règles_bovins[Ration]&amp;Règles_bovins[Aliment],0)),0),0)*IF(ChoixBovinsPréHiver=OUI,TotalGénisse_24_36_RacesLaitières,TotalBovinsFemelles_24_36mois*NbreJoursNourrirBovins))</f>
        <v>0</v>
      </c>
      <c r="BE259" s="351">
        <f t="array" ref="BE259">IF(Ration_complète_bovins[somme]&gt;0,0,IFERROR(IF(OR(AND(INDEX(Règles_bovins[Specificite],MATCH(ChoixRationBovins&amp;$BB259,Règles_bovins[Ration]&amp;Règles_bovins[Aliment],0))="s1",IF($BB259=Spécificité1Bovins,1)),
AND(INDEX(Règles_bovins[Specificite],MATCH(ChoixRationBovins&amp;$BB259,Règles_bovins[Ration]&amp;Règles_bovins[Aliment],0))="s2",IF($BB259=Spécificité2Bovins,1)),
INDEX(Règles_bovins[Specificite],MATCH(ChoixRationBovins&amp;$BB259,Règles_bovins[Ration]&amp;Règles_bovins[Aliment],0))="c"),
INDEX(Règles_bovins[Valeur 18-24],MATCH(ChoixRationBovins&amp;$BB259,Règles_bovins[Ration]&amp;Règles_bovins[Aliment],0)),0),0)*IF(ChoixBovinsPréHiver=OUI,TotalGénisse_18_24_RacesLaitières,TotalBovinsFemelles_18_24mois*NbreJoursNourrirBovins))</f>
        <v>0</v>
      </c>
      <c r="BF259" s="351">
        <f t="array" ref="BF259">IF(Ration_complète_bovins[somme]&gt;0,0,IFERROR(IF(OR(AND(INDEX(Règles_bovins[Specificite],MATCH(ChoixRationBovins&amp;$BB259,Règles_bovins[Ration]&amp;Règles_bovins[Aliment],0))="s1",IF($BB259=Spécificité1Bovins,1)),
AND(INDEX(Règles_bovins[Specificite],MATCH(ChoixRationBovins&amp;$BB259,Règles_bovins[Ration]&amp;Règles_bovins[Aliment],0))="s2",IF($BB259=Spécificité2Bovins,1)),
INDEX(Règles_bovins[Specificite],MATCH(ChoixRationBovins&amp;$BB259,Règles_bovins[Ration]&amp;Règles_bovins[Aliment],0))="c"),
INDEX(Règles_bovins[Valeur 12-18],MATCH(ChoixRationBovins&amp;$BB259,Règles_bovins[Ration]&amp;Règles_bovins[Aliment],0)),0),0)*IF(ChoixBovinsPréHiver=OUI,TotalGénisse_12_18_RacesLaitières,TotalBovinsFemelles_12_18mois*NbreJoursNourrirBovins))</f>
        <v>0</v>
      </c>
      <c r="BG259" s="351">
        <f t="array" ref="BG259">IF(Ration_complète_bovins[somme]&gt;0,0,IFERROR(IF(OR(AND(INDEX(Règles_bovins[Specificite],MATCH(ChoixRationBovins&amp;$BB259,Règles_bovins[Ration]&amp;Règles_bovins[Aliment],0))="s1",IF($BB259=Spécificité1Bovins,1)),
AND(INDEX(Règles_bovins[Specificite],MATCH(ChoixRationBovins&amp;$BB259,Règles_bovins[Ration]&amp;Règles_bovins[Aliment],0))="s2",IF($BB259=Spécificité2Bovins,1)),
INDEX(Règles_bovins[Specificite],MATCH(ChoixRationBovins&amp;$BB259,Règles_bovins[Ration]&amp;Règles_bovins[Aliment],0))="c"),
INDEX(Règles_bovins[Valeur 6-12],MATCH(ChoixRationBovins&amp;$BB259,Règles_bovins[Ration]&amp;Règles_bovins[Aliment],0)),0),0)*IF(ChoixBovinsPréHiver=OUI,TotalVeauFemelle_6_12_RacesLaitières,TotalBovinsFemelles_6_12mois*NbreJoursNourrirBovins))</f>
        <v>0</v>
      </c>
      <c r="BH259" s="351">
        <f t="array" ref="BH259">IF(Ration_complète_bovins[somme]&gt;0,0,IFERROR(IF(OR(AND(INDEX(Règles_bovins[Specificite],MATCH(ChoixRationBovins&amp;$BB259,Règles_bovins[Ration]&amp;Règles_bovins[Aliment],0))="s1",IF($BB259=Spécificité1Bovins,1)),
AND(INDEX(Règles_bovins[Specificite],MATCH(ChoixRationBovins&amp;$BB259,Règles_bovins[Ration]&amp;Règles_bovins[Aliment],0))="s2",IF($BB259=Spécificité2Bovins,1)),
INDEX(Règles_bovins[Specificite],MATCH(ChoixRationBovins&amp;$BB259,Règles_bovins[Ration]&amp;Règles_bovins[Aliment],0))="c"),
INDEX(Règles_bovins[Valeur 3-6],MATCH(ChoixRationBovins&amp;$BB259,Règles_bovins[Ration]&amp;Règles_bovins[Aliment],0)),0),0)*IF(ChoixBovinsPréHiver=OUI,TotalVeauFemelle_3_6_RacesLaitières,TotalBovinsFemelles_3_6mois*NbreJoursNourrirBovins))</f>
        <v>0</v>
      </c>
      <c r="BI259" s="351">
        <f t="array" ref="BI259">IF(Ration_complète_bovins[somme]&gt;0,0,IFERROR(IF(OR(AND(INDEX(Règles_bovins[Specificite],MATCH(ChoixRationBovins&amp;$BB259,Règles_bovins[Ration]&amp;Règles_bovins[Aliment],0))="s1",IF($BB259=Spécificité1Bovins,1)),
AND(INDEX(Règles_bovins[Specificite],MATCH(ChoixRationBovins&amp;$BB259,Règles_bovins[Ration]&amp;Règles_bovins[Aliment],0))="s2",IF($BB259=Spécificité2Bovins,1)),
INDEX(Règles_bovins[Specificite],MATCH(ChoixRationBovins&amp;$BB259,Règles_bovins[Ration]&amp;Règles_bovins[Aliment],0))="c"),
INDEX(Règles_bovins[Valeur 0-3],MATCH(ChoixRationBovins&amp;$BB259,Règles_bovins[Ration]&amp;Règles_bovins[Aliment],0)),0),0)*IF(ChoixBovinsPréHiver=OUI,TotalVeauFemelle_0_3_RacesLaitières,TotalBovinsFemelles_0_3mois*NbreJoursNourrirBovins))</f>
        <v>0</v>
      </c>
      <c r="BJ259" s="352">
        <f t="shared" si="67"/>
        <v>0</v>
      </c>
      <c r="BX259" s="277"/>
      <c r="BY259" s="277"/>
      <c r="BZ259" s="279"/>
      <c r="CA259" s="279"/>
      <c r="CB259" s="279"/>
      <c r="CC259" s="279"/>
      <c r="CD259" s="298"/>
      <c r="CE259" s="298"/>
      <c r="CF259" s="298"/>
      <c r="CG259" s="298"/>
      <c r="CI259" s="277"/>
      <c r="CK259" s="277"/>
      <c r="CL259" s="277"/>
      <c r="CM259" s="277"/>
      <c r="CN259" s="277"/>
      <c r="CO259" s="277"/>
      <c r="CP259" s="277"/>
      <c r="DN259" s="350" t="str">
        <f t="shared" si="70"/>
        <v>Paille</v>
      </c>
      <c r="DO259" s="351">
        <f t="array" ref="DO259">IF(ChoixRationHivernaleOvinsComplète=OUI,0,IFERROR(IF(OR(AND(INDEX(Règles_ovins[Specificite],MATCH(RationHivernaleOvinsAuPré&amp;$DN259,Règles_ovins[Ration]&amp;Règles_ovins[Aliment],0))="s1",IF($DN259=Spécificité1Ovins,1)),
AND(INDEX(Règles_ovins[Specificite],MATCH(RationHivernaleOvinsAuPré&amp;$DN259,Règles_ovins[Ration]&amp;Règles_ovins[Aliment],0))="s2",IF($DN259=Spécificité2Ovins,1)),
INDEX(Règles_ovins[Specificite],MATCH(RationHivernaleOvinsAuPré&amp;$DN259,Règles_ovins[Ration]&amp;Règles_ovins[Aliment],0))="c"),
INDEX(Règles_ovins[Valeur 12 et plus],MATCH(RationHivernaleOvinsAuPré&amp;$DN259,Règles_ovins[Ration]&amp;Règles_ovins[Aliment],0)),0),0)*IF(SUM(TotalOvinsAdultesAuPré)&gt;0,SUM(TotalOvinsAdultesAuPré)*SUM(AD76:AD100),SUM(TotalOvinsAdultes)*SUM(AD76:AD100)))</f>
        <v>0</v>
      </c>
      <c r="DP259" s="351">
        <f t="array" ref="DP259">IF(ChoixRationHivernaleOvinsComplète=OUI,0,IFERROR(IF(OR(AND(INDEX(Règles_ovins[Specificite],MATCH(RationHivernaleOvinsAuPré&amp;$DN259,Règles_ovins[Ration]&amp;Règles_ovins[Aliment],0))="s1",IF($DN259=Spécificité1Ovins,1)),
AND(INDEX(Règles_ovins[Specificite],MATCH(RationHivernaleOvinsAuPré&amp;$DN259,Règles_ovins[Ration]&amp;Règles_ovins[Aliment],0))="s2",IF($DN259=Spécificité2Ovins,1)),
INDEX(Règles_ovins[Specificite],MATCH(RationHivernaleOvinsAuPré&amp;$DN259,Règles_ovins[Ration]&amp;Règles_ovins[Aliment],0))="c"),
INDEX(Règles_ovins[Valeur 6-12],MATCH(RationHivernaleOvinsAuPré&amp;$DN259,Règles_ovins[Ration]&amp;Règles_ovins[Aliment],0)),0),0)*IF(SUM(TotalOvins_6_12moisAuPré)&gt;0,SUM(TotalOvins_6_12moisAuPré)*SUM(AD76:AD100),SUM(TotalJeunesOvins)*SUM(AD76:AD100)))</f>
        <v>0</v>
      </c>
      <c r="DQ259" s="351">
        <f t="array" ref="DQ259">IF(ChoixRationHivernaleOvinsComplète=OUI,0,IFERROR(IF(OR(AND(INDEX(Règles_ovins[Specificite],MATCH(RationHivernaleOvinsAuPré&amp;$DN259,Règles_ovins[Ration]&amp;Règles_ovins[Aliment],0))="s1",IF($DN259=Spécificité1Ovins,1)),
AND(INDEX(Règles_ovins[Specificite],MATCH(RationHivernaleOvinsAuPré&amp;$DN259,Règles_ovins[Ration]&amp;Règles_ovins[Aliment],0))="s2",IF($DN259=Spécificité2Ovins,1)),
INDEX(Règles_ovins[Specificite],MATCH(RationHivernaleOvinsAuPré&amp;$DN259,Règles_ovins[Ration]&amp;Règles_ovins[Aliment],0))="c"),
INDEX(Règles_ovins[Valeur 3-6],MATCH(RationHivernaleOvinsAuPré&amp;$DN259,Règles_ovins[Ration]&amp;Règles_ovins[Aliment],0)),0),0)*IF(SUM(TotalOvins_3_6moisAuPré)&gt;0,SUM(TotalOvins_3_6moisAuPré)*SUM(AD76:AD100),SUM(TotalOvins_3_6mois)*SUM(AD76:AD100)))</f>
        <v>0</v>
      </c>
      <c r="DR259" s="351">
        <f t="array" ref="DR259">IF(ChoixRationHivernaleOvinsComplète=OUI,0,IFERROR(IF(OR(AND(INDEX(Règles_ovins[Specificite],MATCH(RationHivernaleOvinsAuPré&amp;$DN259,Règles_ovins[Ration]&amp;Règles_ovins[Aliment],0))="s1",IF($DN259=Spécificité1Ovins,1)),
AND(INDEX(Règles_ovins[Specificite],MATCH(RationHivernaleOvinsAuPré&amp;$DN259,Règles_ovins[Ration]&amp;Règles_ovins[Aliment],0))="s2",IF($DN259=Spécificité2Ovins,1)),
INDEX(Règles_ovins[Specificite],MATCH(RationHivernaleOvinsAuPré&amp;$DN259,Règles_ovins[Ration]&amp;Règles_ovins[Aliment],0))="c"),
INDEX(Règles_ovins[Valeur 0-3],MATCH(RationHivernaleOvinsAuPré&amp;$DN259,Règles_ovins[Ration]&amp;Règles_ovins[Aliment],0)),0),0)*IF(SUM(TotalOvins_0_3moisAuPré)&gt;0,SUM(TotalOvins_0_3moisAuPré)*SUM(AD76:AD100),SUM(TotalOvins_3_6mois)*SUM(AD76:AD100)))</f>
        <v>0</v>
      </c>
      <c r="DS259" s="441">
        <f t="shared" si="69"/>
        <v>0</v>
      </c>
      <c r="GG259" s="276" t="s">
        <v>955</v>
      </c>
      <c r="GH259" s="276" t="s">
        <v>955</v>
      </c>
      <c r="GI259" s="276" t="s">
        <v>955</v>
      </c>
      <c r="GJ259" s="276" t="s">
        <v>955</v>
      </c>
      <c r="GK259" s="276" t="s">
        <v>955</v>
      </c>
      <c r="GL259" s="276" t="s">
        <v>955</v>
      </c>
      <c r="GM259" s="276" t="s">
        <v>955</v>
      </c>
      <c r="GN259" s="276" t="s">
        <v>955</v>
      </c>
      <c r="GO259" s="276" t="s">
        <v>955</v>
      </c>
      <c r="GP259" s="276" t="s">
        <v>955</v>
      </c>
      <c r="GQ259" s="276" t="s">
        <v>955</v>
      </c>
      <c r="GR259" s="276" t="s">
        <v>955</v>
      </c>
      <c r="GS259" s="276" t="s">
        <v>955</v>
      </c>
      <c r="GT259" s="276" t="s">
        <v>955</v>
      </c>
      <c r="GU259" s="276" t="s">
        <v>955</v>
      </c>
      <c r="GV259" s="276" t="s">
        <v>955</v>
      </c>
    </row>
    <row r="260" spans="1:204" ht="12.75" customHeight="1" x14ac:dyDescent="0.2">
      <c r="A260" s="276"/>
      <c r="B260" s="276"/>
      <c r="BB260" s="350" t="str">
        <f t="shared" si="68"/>
        <v>Pulpe déshydratée de betterave</v>
      </c>
      <c r="BC260" s="351">
        <f t="array" ref="BC260">IF(Ration_complète_bovins[somme]&gt;0,0,IFERROR(IF(OR(AND(INDEX(Règles_bovins[Specificite],MATCH(ChoixRationBovins&amp;$BB260,Règles_bovins[Ration]&amp;Règles_bovins[Aliment],0))="s1",IF($BB260=Spécificité1Bovins,1)),
AND(INDEX(Règles_bovins[Specificite],MATCH(ChoixRationBovins&amp;$BB260,Règles_bovins[Ration]&amp;Règles_bovins[Aliment],0))="s2",IF($BB260=Spécificité2Bovins,1)),
INDEX(Règles_bovins[Specificite],MATCH(ChoixRationBovins&amp;$BB260,Règles_bovins[Ration]&amp;Règles_bovins[Aliment],0))="c"),
INDEX(Règles_bovins[Valeur 36 et plus],MATCH(ChoixRationBovins&amp;$BB260,Règles_bovins[Ration]&amp;Règles_bovins[Aliment],0)),0),0)*IF(ChoixBovinsPréHiver=OUI,TotalVachesRacesLaitières,TotalVaches*NbreJoursNourrirBovins))</f>
        <v>0</v>
      </c>
      <c r="BD260" s="351">
        <f t="array" ref="BD260">IF(Ration_complète_bovins[somme]&gt;0,0,IFERROR(IF(OR(AND(INDEX(Règles_bovins[Specificite],MATCH(ChoixRationBovins&amp;$BB260,Règles_bovins[Ration]&amp;Règles_bovins[Aliment],0))="s1",IF($BB260=Spécificité1Bovins,1)),
AND(INDEX(Règles_bovins[Specificite],MATCH(ChoixRationBovins&amp;$BB260,Règles_bovins[Ration]&amp;Règles_bovins[Aliment],0))="s2",IF($BB260=Spécificité2Bovins,1)),
INDEX(Règles_bovins[Specificite],MATCH(ChoixRationBovins&amp;$BB260,Règles_bovins[Ration]&amp;Règles_bovins[Aliment],0))="c"),
INDEX(Règles_bovins[Valeur 24-36],MATCH(ChoixRationBovins&amp;$BB260,Règles_bovins[Ration]&amp;Règles_bovins[Aliment],0)),0),0)*IF(ChoixBovinsPréHiver=OUI,TotalGénisse_24_36_RacesLaitières,TotalBovinsFemelles_24_36mois*NbreJoursNourrirBovins))</f>
        <v>0</v>
      </c>
      <c r="BE260" s="351">
        <f t="array" ref="BE260">IF(Ration_complète_bovins[somme]&gt;0,0,IFERROR(IF(OR(AND(INDEX(Règles_bovins[Specificite],MATCH(ChoixRationBovins&amp;$BB260,Règles_bovins[Ration]&amp;Règles_bovins[Aliment],0))="s1",IF($BB260=Spécificité1Bovins,1)),
AND(INDEX(Règles_bovins[Specificite],MATCH(ChoixRationBovins&amp;$BB260,Règles_bovins[Ration]&amp;Règles_bovins[Aliment],0))="s2",IF($BB260=Spécificité2Bovins,1)),
INDEX(Règles_bovins[Specificite],MATCH(ChoixRationBovins&amp;$BB260,Règles_bovins[Ration]&amp;Règles_bovins[Aliment],0))="c"),
INDEX(Règles_bovins[Valeur 18-24],MATCH(ChoixRationBovins&amp;$BB260,Règles_bovins[Ration]&amp;Règles_bovins[Aliment],0)),0),0)*IF(ChoixBovinsPréHiver=OUI,TotalGénisse_18_24_RacesLaitières,TotalBovinsFemelles_18_24mois*NbreJoursNourrirBovins))</f>
        <v>0</v>
      </c>
      <c r="BF260" s="351">
        <f t="array" ref="BF260">IF(Ration_complète_bovins[somme]&gt;0,0,IFERROR(IF(OR(AND(INDEX(Règles_bovins[Specificite],MATCH(ChoixRationBovins&amp;$BB260,Règles_bovins[Ration]&amp;Règles_bovins[Aliment],0))="s1",IF($BB260=Spécificité1Bovins,1)),
AND(INDEX(Règles_bovins[Specificite],MATCH(ChoixRationBovins&amp;$BB260,Règles_bovins[Ration]&amp;Règles_bovins[Aliment],0))="s2",IF($BB260=Spécificité2Bovins,1)),
INDEX(Règles_bovins[Specificite],MATCH(ChoixRationBovins&amp;$BB260,Règles_bovins[Ration]&amp;Règles_bovins[Aliment],0))="c"),
INDEX(Règles_bovins[Valeur 12-18],MATCH(ChoixRationBovins&amp;$BB260,Règles_bovins[Ration]&amp;Règles_bovins[Aliment],0)),0),0)*IF(ChoixBovinsPréHiver=OUI,TotalGénisse_12_18_RacesLaitières,TotalBovinsFemelles_12_18mois*NbreJoursNourrirBovins))</f>
        <v>0</v>
      </c>
      <c r="BG260" s="351">
        <f t="array" ref="BG260">IF(Ration_complète_bovins[somme]&gt;0,0,IFERROR(IF(OR(AND(INDEX(Règles_bovins[Specificite],MATCH(ChoixRationBovins&amp;$BB260,Règles_bovins[Ration]&amp;Règles_bovins[Aliment],0))="s1",IF($BB260=Spécificité1Bovins,1)),
AND(INDEX(Règles_bovins[Specificite],MATCH(ChoixRationBovins&amp;$BB260,Règles_bovins[Ration]&amp;Règles_bovins[Aliment],0))="s2",IF($BB260=Spécificité2Bovins,1)),
INDEX(Règles_bovins[Specificite],MATCH(ChoixRationBovins&amp;$BB260,Règles_bovins[Ration]&amp;Règles_bovins[Aliment],0))="c"),
INDEX(Règles_bovins[Valeur 6-12],MATCH(ChoixRationBovins&amp;$BB260,Règles_bovins[Ration]&amp;Règles_bovins[Aliment],0)),0),0)*IF(ChoixBovinsPréHiver=OUI,TotalVeauFemelle_6_12_RacesLaitières,TotalBovinsFemelles_6_12mois*NbreJoursNourrirBovins))</f>
        <v>0</v>
      </c>
      <c r="BH260" s="351">
        <f t="array" ref="BH260">IF(Ration_complète_bovins[somme]&gt;0,0,IFERROR(IF(OR(AND(INDEX(Règles_bovins[Specificite],MATCH(ChoixRationBovins&amp;$BB260,Règles_bovins[Ration]&amp;Règles_bovins[Aliment],0))="s1",IF($BB260=Spécificité1Bovins,1)),
AND(INDEX(Règles_bovins[Specificite],MATCH(ChoixRationBovins&amp;$BB260,Règles_bovins[Ration]&amp;Règles_bovins[Aliment],0))="s2",IF($BB260=Spécificité2Bovins,1)),
INDEX(Règles_bovins[Specificite],MATCH(ChoixRationBovins&amp;$BB260,Règles_bovins[Ration]&amp;Règles_bovins[Aliment],0))="c"),
INDEX(Règles_bovins[Valeur 3-6],MATCH(ChoixRationBovins&amp;$BB260,Règles_bovins[Ration]&amp;Règles_bovins[Aliment],0)),0),0)*IF(ChoixBovinsPréHiver=OUI,TotalVeauFemelle_3_6_RacesLaitières,TotalBovinsFemelles_3_6mois*NbreJoursNourrirBovins))</f>
        <v>0</v>
      </c>
      <c r="BI260" s="351">
        <f t="array" ref="BI260">IF(Ration_complète_bovins[somme]&gt;0,0,IFERROR(IF(OR(AND(INDEX(Règles_bovins[Specificite],MATCH(ChoixRationBovins&amp;$BB260,Règles_bovins[Ration]&amp;Règles_bovins[Aliment],0))="s1",IF($BB260=Spécificité1Bovins,1)),
AND(INDEX(Règles_bovins[Specificite],MATCH(ChoixRationBovins&amp;$BB260,Règles_bovins[Ration]&amp;Règles_bovins[Aliment],0))="s2",IF($BB260=Spécificité2Bovins,1)),
INDEX(Règles_bovins[Specificite],MATCH(ChoixRationBovins&amp;$BB260,Règles_bovins[Ration]&amp;Règles_bovins[Aliment],0))="c"),
INDEX(Règles_bovins[Valeur 0-3],MATCH(ChoixRationBovins&amp;$BB260,Règles_bovins[Ration]&amp;Règles_bovins[Aliment],0)),0),0)*IF(ChoixBovinsPréHiver=OUI,TotalVeauFemelle_0_3_RacesLaitières,TotalBovinsFemelles_0_3mois*NbreJoursNourrirBovins))</f>
        <v>0</v>
      </c>
      <c r="BJ260" s="352">
        <f t="shared" si="67"/>
        <v>0</v>
      </c>
      <c r="BX260" s="277"/>
      <c r="BY260" s="277"/>
      <c r="BZ260" s="279"/>
      <c r="CA260" s="279"/>
      <c r="CB260" s="279"/>
      <c r="CC260" s="279"/>
      <c r="CD260" s="298"/>
      <c r="CE260" s="298"/>
      <c r="CF260" s="298"/>
      <c r="CG260" s="298"/>
      <c r="CI260" s="277"/>
      <c r="CK260" s="277"/>
      <c r="CL260" s="277"/>
      <c r="CM260" s="277"/>
      <c r="CN260" s="277"/>
      <c r="CO260" s="277"/>
      <c r="CP260" s="277"/>
      <c r="DN260" s="350" t="str">
        <f t="shared" si="70"/>
        <v>Pois</v>
      </c>
      <c r="DO260" s="351">
        <f t="array" ref="DO260">IF(ChoixRationHivernaleOvinsComplète=OUI,0,IFERROR(IF(OR(AND(INDEX(Règles_ovins[Specificite],MATCH(RationHivernaleOvinsAuPré&amp;$DN260,Règles_ovins[Ration]&amp;Règles_ovins[Aliment],0))="s1",IF($DN260=Spécificité1Ovins,1)),
AND(INDEX(Règles_ovins[Specificite],MATCH(RationHivernaleOvinsAuPré&amp;$DN260,Règles_ovins[Ration]&amp;Règles_ovins[Aliment],0))="s2",IF($DN260=Spécificité2Ovins,1)),
INDEX(Règles_ovins[Specificite],MATCH(RationHivernaleOvinsAuPré&amp;$DN260,Règles_ovins[Ration]&amp;Règles_ovins[Aliment],0))="c"),
INDEX(Règles_ovins[Valeur 12 et plus],MATCH(RationHivernaleOvinsAuPré&amp;$DN260,Règles_ovins[Ration]&amp;Règles_ovins[Aliment],0)),0),0)*IF(SUM(TotalOvinsAdultesAuPré)&gt;0,SUM(TotalOvinsAdultesAuPré)*SUM(AD76:AD100),SUM(TotalOvinsAdultes)*SUM(AD76:AD100)))</f>
        <v>0</v>
      </c>
      <c r="DP260" s="351">
        <f t="array" ref="DP260">IF(ChoixRationHivernaleOvinsComplète=OUI,0,IFERROR(IF(OR(AND(INDEX(Règles_ovins[Specificite],MATCH(RationHivernaleOvinsAuPré&amp;$DN260,Règles_ovins[Ration]&amp;Règles_ovins[Aliment],0))="s1",IF($DN260=Spécificité1Ovins,1)),
AND(INDEX(Règles_ovins[Specificite],MATCH(RationHivernaleOvinsAuPré&amp;$DN260,Règles_ovins[Ration]&amp;Règles_ovins[Aliment],0))="s2",IF($DN260=Spécificité2Ovins,1)),
INDEX(Règles_ovins[Specificite],MATCH(RationHivernaleOvinsAuPré&amp;$DN260,Règles_ovins[Ration]&amp;Règles_ovins[Aliment],0))="c"),
INDEX(Règles_ovins[Valeur 6-12],MATCH(RationHivernaleOvinsAuPré&amp;$DN260,Règles_ovins[Ration]&amp;Règles_ovins[Aliment],0)),0),0)*IF(SUM(TotalOvins_6_12moisAuPré)&gt;0,SUM(TotalOvins_6_12moisAuPré)*SUM(AD76:AD100),SUM(TotalJeunesOvins)*SUM(AD76:AD100)))</f>
        <v>0</v>
      </c>
      <c r="DQ260" s="351">
        <f t="array" ref="DQ260">IF(ChoixRationHivernaleOvinsComplète=OUI,0,IFERROR(IF(OR(AND(INDEX(Règles_ovins[Specificite],MATCH(RationHivernaleOvinsAuPré&amp;$DN260,Règles_ovins[Ration]&amp;Règles_ovins[Aliment],0))="s1",IF($DN260=Spécificité1Ovins,1)),
AND(INDEX(Règles_ovins[Specificite],MATCH(RationHivernaleOvinsAuPré&amp;$DN260,Règles_ovins[Ration]&amp;Règles_ovins[Aliment],0))="s2",IF($DN260=Spécificité2Ovins,1)),
INDEX(Règles_ovins[Specificite],MATCH(RationHivernaleOvinsAuPré&amp;$DN260,Règles_ovins[Ration]&amp;Règles_ovins[Aliment],0))="c"),
INDEX(Règles_ovins[Valeur 3-6],MATCH(RationHivernaleOvinsAuPré&amp;$DN260,Règles_ovins[Ration]&amp;Règles_ovins[Aliment],0)),0),0)*IF(SUM(TotalOvins_3_6moisAuPré)&gt;0,SUM(TotalOvins_3_6moisAuPré)*SUM(AD76:AD100),SUM(TotalOvins_3_6mois)*SUM(AD76:AD100)))</f>
        <v>0</v>
      </c>
      <c r="DR260" s="351">
        <f t="array" ref="DR260">IF(ChoixRationHivernaleOvinsComplète=OUI,0,IFERROR(IF(OR(AND(INDEX(Règles_ovins[Specificite],MATCH(RationHivernaleOvinsAuPré&amp;$DN260,Règles_ovins[Ration]&amp;Règles_ovins[Aliment],0))="s1",IF($DN260=Spécificité1Ovins,1)),
AND(INDEX(Règles_ovins[Specificite],MATCH(RationHivernaleOvinsAuPré&amp;$DN260,Règles_ovins[Ration]&amp;Règles_ovins[Aliment],0))="s2",IF($DN260=Spécificité2Ovins,1)),
INDEX(Règles_ovins[Specificite],MATCH(RationHivernaleOvinsAuPré&amp;$DN260,Règles_ovins[Ration]&amp;Règles_ovins[Aliment],0))="c"),
INDEX(Règles_ovins[Valeur 0-3],MATCH(RationHivernaleOvinsAuPré&amp;$DN260,Règles_ovins[Ration]&amp;Règles_ovins[Aliment],0)),0),0)*IF(SUM(TotalOvins_0_3moisAuPré)&gt;0,SUM(TotalOvins_0_3moisAuPré)*SUM(AD76:AD100),SUM(TotalOvins_3_6mois)*SUM(AD76:AD100)))</f>
        <v>0</v>
      </c>
      <c r="DS260" s="441">
        <f t="shared" si="69"/>
        <v>0</v>
      </c>
      <c r="GG260" s="276" t="s">
        <v>955</v>
      </c>
      <c r="GH260" s="276" t="s">
        <v>955</v>
      </c>
      <c r="GI260" s="276" t="s">
        <v>955</v>
      </c>
      <c r="GJ260" s="276" t="s">
        <v>955</v>
      </c>
      <c r="GK260" s="276" t="s">
        <v>955</v>
      </c>
      <c r="GL260" s="276" t="s">
        <v>955</v>
      </c>
      <c r="GM260" s="276" t="s">
        <v>955</v>
      </c>
      <c r="GN260" s="276" t="s">
        <v>955</v>
      </c>
      <c r="GO260" s="276" t="s">
        <v>955</v>
      </c>
      <c r="GP260" s="276" t="s">
        <v>955</v>
      </c>
      <c r="GQ260" s="276" t="s">
        <v>955</v>
      </c>
      <c r="GR260" s="276" t="s">
        <v>955</v>
      </c>
      <c r="GS260" s="276" t="s">
        <v>955</v>
      </c>
      <c r="GT260" s="276" t="s">
        <v>955</v>
      </c>
      <c r="GU260" s="276" t="s">
        <v>955</v>
      </c>
      <c r="GV260" s="276" t="s">
        <v>955</v>
      </c>
    </row>
    <row r="261" spans="1:204" ht="12.75" customHeight="1" x14ac:dyDescent="0.2">
      <c r="A261" s="276"/>
      <c r="B261" s="276"/>
      <c r="BB261" s="350" t="str">
        <f t="shared" si="68"/>
        <v>Ration complète</v>
      </c>
      <c r="BC261" s="351">
        <f t="array" ref="BC261">IF(Ration_complète_bovins[somme]&gt;0,0,IFERROR(IF(OR(AND(INDEX(Règles_bovins[Specificite],MATCH(ChoixRationBovins&amp;$BB261,Règles_bovins[Ration]&amp;Règles_bovins[Aliment],0))="s1",IF($BB261=Spécificité1Bovins,1)),
AND(INDEX(Règles_bovins[Specificite],MATCH(ChoixRationBovins&amp;$BB261,Règles_bovins[Ration]&amp;Règles_bovins[Aliment],0))="s2",IF($BB261=Spécificité2Bovins,1)),
INDEX(Règles_bovins[Specificite],MATCH(ChoixRationBovins&amp;$BB261,Règles_bovins[Ration]&amp;Règles_bovins[Aliment],0))="c"),
INDEX(Règles_bovins[Valeur 36 et plus],MATCH(ChoixRationBovins&amp;$BB261,Règles_bovins[Ration]&amp;Règles_bovins[Aliment],0)),0),0)*IF(ChoixBovinsPréHiver=OUI,TotalVachesRacesLaitières,TotalVaches*NbreJoursNourrirBovins))</f>
        <v>0</v>
      </c>
      <c r="BD261" s="351">
        <f t="array" ref="BD261">IF(Ration_complète_bovins[somme]&gt;0,0,IFERROR(IF(OR(AND(INDEX(Règles_bovins[Specificite],MATCH(ChoixRationBovins&amp;$BB261,Règles_bovins[Ration]&amp;Règles_bovins[Aliment],0))="s1",IF($BB261=Spécificité1Bovins,1)),
AND(INDEX(Règles_bovins[Specificite],MATCH(ChoixRationBovins&amp;$BB261,Règles_bovins[Ration]&amp;Règles_bovins[Aliment],0))="s2",IF($BB261=Spécificité2Bovins,1)),
INDEX(Règles_bovins[Specificite],MATCH(ChoixRationBovins&amp;$BB261,Règles_bovins[Ration]&amp;Règles_bovins[Aliment],0))="c"),
INDEX(Règles_bovins[Valeur 24-36],MATCH(ChoixRationBovins&amp;$BB261,Règles_bovins[Ration]&amp;Règles_bovins[Aliment],0)),0),0)*IF(ChoixBovinsPréHiver=OUI,TotalGénisse_24_36_RacesLaitières,TotalBovinsFemelles_24_36mois*NbreJoursNourrirBovins))</f>
        <v>0</v>
      </c>
      <c r="BE261" s="351">
        <f t="array" ref="BE261">IF(Ration_complète_bovins[somme]&gt;0,0,IFERROR(IF(OR(AND(INDEX(Règles_bovins[Specificite],MATCH(ChoixRationBovins&amp;$BB261,Règles_bovins[Ration]&amp;Règles_bovins[Aliment],0))="s1",IF($BB261=Spécificité1Bovins,1)),
AND(INDEX(Règles_bovins[Specificite],MATCH(ChoixRationBovins&amp;$BB261,Règles_bovins[Ration]&amp;Règles_bovins[Aliment],0))="s2",IF($BB261=Spécificité2Bovins,1)),
INDEX(Règles_bovins[Specificite],MATCH(ChoixRationBovins&amp;$BB261,Règles_bovins[Ration]&amp;Règles_bovins[Aliment],0))="c"),
INDEX(Règles_bovins[Valeur 18-24],MATCH(ChoixRationBovins&amp;$BB261,Règles_bovins[Ration]&amp;Règles_bovins[Aliment],0)),0),0)*IF(ChoixBovinsPréHiver=OUI,TotalGénisse_18_24_RacesLaitières,TotalBovinsFemelles_18_24mois*NbreJoursNourrirBovins))</f>
        <v>0</v>
      </c>
      <c r="BF261" s="351">
        <f t="array" ref="BF261">IF(Ration_complète_bovins[somme]&gt;0,0,IFERROR(IF(OR(AND(INDEX(Règles_bovins[Specificite],MATCH(ChoixRationBovins&amp;$BB261,Règles_bovins[Ration]&amp;Règles_bovins[Aliment],0))="s1",IF($BB261=Spécificité1Bovins,1)),
AND(INDEX(Règles_bovins[Specificite],MATCH(ChoixRationBovins&amp;$BB261,Règles_bovins[Ration]&amp;Règles_bovins[Aliment],0))="s2",IF($BB261=Spécificité2Bovins,1)),
INDEX(Règles_bovins[Specificite],MATCH(ChoixRationBovins&amp;$BB261,Règles_bovins[Ration]&amp;Règles_bovins[Aliment],0))="c"),
INDEX(Règles_bovins[Valeur 12-18],MATCH(ChoixRationBovins&amp;$BB261,Règles_bovins[Ration]&amp;Règles_bovins[Aliment],0)),0),0)*IF(ChoixBovinsPréHiver=OUI,TotalGénisse_12_18_RacesLaitières,TotalBovinsFemelles_12_18mois*NbreJoursNourrirBovins))</f>
        <v>0</v>
      </c>
      <c r="BG261" s="351">
        <f t="array" ref="BG261">IF(Ration_complète_bovins[somme]&gt;0,0,IFERROR(IF(OR(AND(INDEX(Règles_bovins[Specificite],MATCH(ChoixRationBovins&amp;$BB261,Règles_bovins[Ration]&amp;Règles_bovins[Aliment],0))="s1",IF($BB261=Spécificité1Bovins,1)),
AND(INDEX(Règles_bovins[Specificite],MATCH(ChoixRationBovins&amp;$BB261,Règles_bovins[Ration]&amp;Règles_bovins[Aliment],0))="s2",IF($BB261=Spécificité2Bovins,1)),
INDEX(Règles_bovins[Specificite],MATCH(ChoixRationBovins&amp;$BB261,Règles_bovins[Ration]&amp;Règles_bovins[Aliment],0))="c"),
INDEX(Règles_bovins[Valeur 6-12],MATCH(ChoixRationBovins&amp;$BB261,Règles_bovins[Ration]&amp;Règles_bovins[Aliment],0)),0),0)*IF(ChoixBovinsPréHiver=OUI,TotalVeauFemelle_6_12_RacesLaitières,TotalBovinsFemelles_6_12mois*NbreJoursNourrirBovins))</f>
        <v>0</v>
      </c>
      <c r="BH261" s="351">
        <f t="array" ref="BH261">IF(Ration_complète_bovins[somme]&gt;0,0,IFERROR(IF(OR(AND(INDEX(Règles_bovins[Specificite],MATCH(ChoixRationBovins&amp;$BB261,Règles_bovins[Ration]&amp;Règles_bovins[Aliment],0))="s1",IF($BB261=Spécificité1Bovins,1)),
AND(INDEX(Règles_bovins[Specificite],MATCH(ChoixRationBovins&amp;$BB261,Règles_bovins[Ration]&amp;Règles_bovins[Aliment],0))="s2",IF($BB261=Spécificité2Bovins,1)),
INDEX(Règles_bovins[Specificite],MATCH(ChoixRationBovins&amp;$BB261,Règles_bovins[Ration]&amp;Règles_bovins[Aliment],0))="c"),
INDEX(Règles_bovins[Valeur 3-6],MATCH(ChoixRationBovins&amp;$BB261,Règles_bovins[Ration]&amp;Règles_bovins[Aliment],0)),0),0)*IF(ChoixBovinsPréHiver=OUI,TotalVeauFemelle_3_6_RacesLaitières,TotalBovinsFemelles_3_6mois*NbreJoursNourrirBovins))</f>
        <v>0</v>
      </c>
      <c r="BI261" s="351">
        <f t="array" ref="BI261">IF(Ration_complète_bovins[somme]&gt;0,0,IFERROR(IF(OR(AND(INDEX(Règles_bovins[Specificite],MATCH(ChoixRationBovins&amp;$BB261,Règles_bovins[Ration]&amp;Règles_bovins[Aliment],0))="s1",IF($BB261=Spécificité1Bovins,1)),
AND(INDEX(Règles_bovins[Specificite],MATCH(ChoixRationBovins&amp;$BB261,Règles_bovins[Ration]&amp;Règles_bovins[Aliment],0))="s2",IF($BB261=Spécificité2Bovins,1)),
INDEX(Règles_bovins[Specificite],MATCH(ChoixRationBovins&amp;$BB261,Règles_bovins[Ration]&amp;Règles_bovins[Aliment],0))="c"),
INDEX(Règles_bovins[Valeur 0-3],MATCH(ChoixRationBovins&amp;$BB261,Règles_bovins[Ration]&amp;Règles_bovins[Aliment],0)),0),0)*IF(ChoixBovinsPréHiver=OUI,TotalVeauFemelle_0_3_RacesLaitières,TotalBovinsFemelles_0_3mois*NbreJoursNourrirBovins))</f>
        <v>0</v>
      </c>
      <c r="BJ261" s="352">
        <f t="shared" si="67"/>
        <v>0</v>
      </c>
      <c r="BX261" s="277"/>
      <c r="BY261" s="298"/>
      <c r="BZ261" s="277"/>
      <c r="CA261" s="277"/>
      <c r="CB261" s="277"/>
      <c r="CC261" s="277"/>
      <c r="CD261" s="298"/>
      <c r="CE261" s="298"/>
      <c r="CF261" s="298"/>
      <c r="CG261" s="298"/>
      <c r="CI261" s="277"/>
      <c r="CK261" s="277"/>
      <c r="CL261" s="277"/>
      <c r="CM261" s="277"/>
      <c r="CN261" s="277"/>
      <c r="CO261" s="277"/>
      <c r="CP261" s="277"/>
      <c r="DN261" s="350" t="str">
        <f t="shared" si="70"/>
        <v>Pomme de terre</v>
      </c>
      <c r="DO261" s="351">
        <f t="array" ref="DO261">IF(ChoixRationHivernaleOvinsComplète=OUI,0,IFERROR(IF(OR(AND(INDEX(Règles_ovins[Specificite],MATCH(RationHivernaleOvinsAuPré&amp;$DN261,Règles_ovins[Ration]&amp;Règles_ovins[Aliment],0))="s1",IF($DN261=Spécificité1Ovins,1)),
AND(INDEX(Règles_ovins[Specificite],MATCH(RationHivernaleOvinsAuPré&amp;$DN261,Règles_ovins[Ration]&amp;Règles_ovins[Aliment],0))="s2",IF($DN261=Spécificité2Ovins,1)),
INDEX(Règles_ovins[Specificite],MATCH(RationHivernaleOvinsAuPré&amp;$DN261,Règles_ovins[Ration]&amp;Règles_ovins[Aliment],0))="c"),
INDEX(Règles_ovins[Valeur 12 et plus],MATCH(RationHivernaleOvinsAuPré&amp;$DN261,Règles_ovins[Ration]&amp;Règles_ovins[Aliment],0)),0),0)*IF(SUM(TotalOvinsAdultesAuPré)&gt;0,SUM(TotalOvinsAdultesAuPré)*SUM(AD76:AD100),SUM(TotalOvinsAdultes)*SUM(AD76:AD100)))</f>
        <v>0</v>
      </c>
      <c r="DP261" s="351">
        <f t="array" ref="DP261">IF(ChoixRationHivernaleOvinsComplète=OUI,0,IFERROR(IF(OR(AND(INDEX(Règles_ovins[Specificite],MATCH(RationHivernaleOvinsAuPré&amp;$DN261,Règles_ovins[Ration]&amp;Règles_ovins[Aliment],0))="s1",IF($DN261=Spécificité1Ovins,1)),
AND(INDEX(Règles_ovins[Specificite],MATCH(RationHivernaleOvinsAuPré&amp;$DN261,Règles_ovins[Ration]&amp;Règles_ovins[Aliment],0))="s2",IF($DN261=Spécificité2Ovins,1)),
INDEX(Règles_ovins[Specificite],MATCH(RationHivernaleOvinsAuPré&amp;$DN261,Règles_ovins[Ration]&amp;Règles_ovins[Aliment],0))="c"),
INDEX(Règles_ovins[Valeur 6-12],MATCH(RationHivernaleOvinsAuPré&amp;$DN261,Règles_ovins[Ration]&amp;Règles_ovins[Aliment],0)),0),0)*IF(SUM(TotalOvins_6_12moisAuPré)&gt;0,SUM(TotalOvins_6_12moisAuPré)*SUM(AD76:AD100),SUM(TotalJeunesOvins)*SUM(AD76:AD100)))</f>
        <v>0</v>
      </c>
      <c r="DQ261" s="351">
        <f t="array" ref="DQ261">IF(ChoixRationHivernaleOvinsComplète=OUI,0,IFERROR(IF(OR(AND(INDEX(Règles_ovins[Specificite],MATCH(RationHivernaleOvinsAuPré&amp;$DN261,Règles_ovins[Ration]&amp;Règles_ovins[Aliment],0))="s1",IF($DN261=Spécificité1Ovins,1)),
AND(INDEX(Règles_ovins[Specificite],MATCH(RationHivernaleOvinsAuPré&amp;$DN261,Règles_ovins[Ration]&amp;Règles_ovins[Aliment],0))="s2",IF($DN261=Spécificité2Ovins,1)),
INDEX(Règles_ovins[Specificite],MATCH(RationHivernaleOvinsAuPré&amp;$DN261,Règles_ovins[Ration]&amp;Règles_ovins[Aliment],0))="c"),
INDEX(Règles_ovins[Valeur 3-6],MATCH(RationHivernaleOvinsAuPré&amp;$DN261,Règles_ovins[Ration]&amp;Règles_ovins[Aliment],0)),0),0)*IF(SUM(TotalOvins_3_6moisAuPré)&gt;0,SUM(TotalOvins_3_6moisAuPré)*SUM(AD76:AD100),SUM(TotalOvins_3_6mois)*SUM(AD76:AD100)))</f>
        <v>0</v>
      </c>
      <c r="DR261" s="351">
        <f t="array" ref="DR261">IF(ChoixRationHivernaleOvinsComplète=OUI,0,IFERROR(IF(OR(AND(INDEX(Règles_ovins[Specificite],MATCH(RationHivernaleOvinsAuPré&amp;$DN261,Règles_ovins[Ration]&amp;Règles_ovins[Aliment],0))="s1",IF($DN261=Spécificité1Ovins,1)),
AND(INDEX(Règles_ovins[Specificite],MATCH(RationHivernaleOvinsAuPré&amp;$DN261,Règles_ovins[Ration]&amp;Règles_ovins[Aliment],0))="s2",IF($DN261=Spécificité2Ovins,1)),
INDEX(Règles_ovins[Specificite],MATCH(RationHivernaleOvinsAuPré&amp;$DN261,Règles_ovins[Ration]&amp;Règles_ovins[Aliment],0))="c"),
INDEX(Règles_ovins[Valeur 0-3],MATCH(RationHivernaleOvinsAuPré&amp;$DN261,Règles_ovins[Ration]&amp;Règles_ovins[Aliment],0)),0),0)*IF(SUM(TotalOvins_0_3moisAuPré)&gt;0,SUM(TotalOvins_0_3moisAuPré)*SUM(AD76:AD100),SUM(TotalOvins_3_6mois)*SUM(AD76:AD100)))</f>
        <v>0</v>
      </c>
      <c r="DS261" s="441">
        <f t="shared" si="69"/>
        <v>0</v>
      </c>
      <c r="GG261" s="276" t="s">
        <v>955</v>
      </c>
      <c r="GH261" s="276" t="s">
        <v>955</v>
      </c>
      <c r="GI261" s="276" t="s">
        <v>955</v>
      </c>
      <c r="GJ261" s="276" t="s">
        <v>955</v>
      </c>
      <c r="GK261" s="276" t="s">
        <v>955</v>
      </c>
      <c r="GL261" s="276" t="s">
        <v>955</v>
      </c>
      <c r="GM261" s="276" t="s">
        <v>955</v>
      </c>
      <c r="GN261" s="276" t="s">
        <v>955</v>
      </c>
      <c r="GO261" s="276" t="s">
        <v>955</v>
      </c>
      <c r="GP261" s="276" t="s">
        <v>955</v>
      </c>
      <c r="GQ261" s="276" t="s">
        <v>955</v>
      </c>
      <c r="GR261" s="276" t="s">
        <v>955</v>
      </c>
      <c r="GS261" s="276" t="s">
        <v>955</v>
      </c>
      <c r="GT261" s="276" t="s">
        <v>955</v>
      </c>
      <c r="GU261" s="276" t="s">
        <v>955</v>
      </c>
      <c r="GV261" s="276" t="s">
        <v>955</v>
      </c>
    </row>
    <row r="262" spans="1:204" ht="12.75" customHeight="1" x14ac:dyDescent="0.2">
      <c r="A262" s="276"/>
      <c r="B262" s="276"/>
      <c r="BB262" s="350" t="str">
        <f t="shared" si="68"/>
        <v>Seigle</v>
      </c>
      <c r="BC262" s="351">
        <f t="array" ref="BC262">IF(Ration_complète_bovins[somme]&gt;0,0,IFERROR(IF(OR(AND(INDEX(Règles_bovins[Specificite],MATCH(ChoixRationBovins&amp;$BB262,Règles_bovins[Ration]&amp;Règles_bovins[Aliment],0))="s1",IF($BB262=Spécificité1Bovins,1)),
AND(INDEX(Règles_bovins[Specificite],MATCH(ChoixRationBovins&amp;$BB262,Règles_bovins[Ration]&amp;Règles_bovins[Aliment],0))="s2",IF($BB262=Spécificité2Bovins,1)),
INDEX(Règles_bovins[Specificite],MATCH(ChoixRationBovins&amp;$BB262,Règles_bovins[Ration]&amp;Règles_bovins[Aliment],0))="c"),
INDEX(Règles_bovins[Valeur 36 et plus],MATCH(ChoixRationBovins&amp;$BB262,Règles_bovins[Ration]&amp;Règles_bovins[Aliment],0)),0),0)*IF(ChoixBovinsPréHiver=OUI,TotalVachesRacesLaitières,TotalVaches*NbreJoursNourrirBovins))</f>
        <v>0</v>
      </c>
      <c r="BD262" s="351">
        <f t="array" ref="BD262">IF(Ration_complète_bovins[somme]&gt;0,0,IFERROR(IF(OR(AND(INDEX(Règles_bovins[Specificite],MATCH(ChoixRationBovins&amp;$BB262,Règles_bovins[Ration]&amp;Règles_bovins[Aliment],0))="s1",IF($BB262=Spécificité1Bovins,1)),
AND(INDEX(Règles_bovins[Specificite],MATCH(ChoixRationBovins&amp;$BB262,Règles_bovins[Ration]&amp;Règles_bovins[Aliment],0))="s2",IF($BB262=Spécificité2Bovins,1)),
INDEX(Règles_bovins[Specificite],MATCH(ChoixRationBovins&amp;$BB262,Règles_bovins[Ration]&amp;Règles_bovins[Aliment],0))="c"),
INDEX(Règles_bovins[Valeur 24-36],MATCH(ChoixRationBovins&amp;$BB262,Règles_bovins[Ration]&amp;Règles_bovins[Aliment],0)),0),0)*IF(ChoixBovinsPréHiver=OUI,TotalGénisse_24_36_RacesLaitières,TotalBovinsFemelles_24_36mois*NbreJoursNourrirBovins))</f>
        <v>0</v>
      </c>
      <c r="BE262" s="351">
        <f t="array" ref="BE262">IF(Ration_complète_bovins[somme]&gt;0,0,IFERROR(IF(OR(AND(INDEX(Règles_bovins[Specificite],MATCH(ChoixRationBovins&amp;$BB262,Règles_bovins[Ration]&amp;Règles_bovins[Aliment],0))="s1",IF($BB262=Spécificité1Bovins,1)),
AND(INDEX(Règles_bovins[Specificite],MATCH(ChoixRationBovins&amp;$BB262,Règles_bovins[Ration]&amp;Règles_bovins[Aliment],0))="s2",IF($BB262=Spécificité2Bovins,1)),
INDEX(Règles_bovins[Specificite],MATCH(ChoixRationBovins&amp;$BB262,Règles_bovins[Ration]&amp;Règles_bovins[Aliment],0))="c"),
INDEX(Règles_bovins[Valeur 18-24],MATCH(ChoixRationBovins&amp;$BB262,Règles_bovins[Ration]&amp;Règles_bovins[Aliment],0)),0),0)*IF(ChoixBovinsPréHiver=OUI,TotalGénisse_18_24_RacesLaitières,TotalBovinsFemelles_18_24mois*NbreJoursNourrirBovins))</f>
        <v>0</v>
      </c>
      <c r="BF262" s="351">
        <f t="array" ref="BF262">IF(Ration_complète_bovins[somme]&gt;0,0,IFERROR(IF(OR(AND(INDEX(Règles_bovins[Specificite],MATCH(ChoixRationBovins&amp;$BB262,Règles_bovins[Ration]&amp;Règles_bovins[Aliment],0))="s1",IF($BB262=Spécificité1Bovins,1)),
AND(INDEX(Règles_bovins[Specificite],MATCH(ChoixRationBovins&amp;$BB262,Règles_bovins[Ration]&amp;Règles_bovins[Aliment],0))="s2",IF($BB262=Spécificité2Bovins,1)),
INDEX(Règles_bovins[Specificite],MATCH(ChoixRationBovins&amp;$BB262,Règles_bovins[Ration]&amp;Règles_bovins[Aliment],0))="c"),
INDEX(Règles_bovins[Valeur 12-18],MATCH(ChoixRationBovins&amp;$BB262,Règles_bovins[Ration]&amp;Règles_bovins[Aliment],0)),0),0)*IF(ChoixBovinsPréHiver=OUI,TotalGénisse_12_18_RacesLaitières,TotalBovinsFemelles_12_18mois*NbreJoursNourrirBovins))</f>
        <v>0</v>
      </c>
      <c r="BG262" s="351">
        <f t="array" ref="BG262">IF(Ration_complète_bovins[somme]&gt;0,0,IFERROR(IF(OR(AND(INDEX(Règles_bovins[Specificite],MATCH(ChoixRationBovins&amp;$BB262,Règles_bovins[Ration]&amp;Règles_bovins[Aliment],0))="s1",IF($BB262=Spécificité1Bovins,1)),
AND(INDEX(Règles_bovins[Specificite],MATCH(ChoixRationBovins&amp;$BB262,Règles_bovins[Ration]&amp;Règles_bovins[Aliment],0))="s2",IF($BB262=Spécificité2Bovins,1)),
INDEX(Règles_bovins[Specificite],MATCH(ChoixRationBovins&amp;$BB262,Règles_bovins[Ration]&amp;Règles_bovins[Aliment],0))="c"),
INDEX(Règles_bovins[Valeur 6-12],MATCH(ChoixRationBovins&amp;$BB262,Règles_bovins[Ration]&amp;Règles_bovins[Aliment],0)),0),0)*IF(ChoixBovinsPréHiver=OUI,TotalVeauFemelle_6_12_RacesLaitières,TotalBovinsFemelles_6_12mois*NbreJoursNourrirBovins))</f>
        <v>0</v>
      </c>
      <c r="BH262" s="351">
        <f t="array" ref="BH262">IF(Ration_complète_bovins[somme]&gt;0,0,IFERROR(IF(OR(AND(INDEX(Règles_bovins[Specificite],MATCH(ChoixRationBovins&amp;$BB262,Règles_bovins[Ration]&amp;Règles_bovins[Aliment],0))="s1",IF($BB262=Spécificité1Bovins,1)),
AND(INDEX(Règles_bovins[Specificite],MATCH(ChoixRationBovins&amp;$BB262,Règles_bovins[Ration]&amp;Règles_bovins[Aliment],0))="s2",IF($BB262=Spécificité2Bovins,1)),
INDEX(Règles_bovins[Specificite],MATCH(ChoixRationBovins&amp;$BB262,Règles_bovins[Ration]&amp;Règles_bovins[Aliment],0))="c"),
INDEX(Règles_bovins[Valeur 3-6],MATCH(ChoixRationBovins&amp;$BB262,Règles_bovins[Ration]&amp;Règles_bovins[Aliment],0)),0),0)*IF(ChoixBovinsPréHiver=OUI,TotalVeauFemelle_3_6_RacesLaitières,TotalBovinsFemelles_3_6mois*NbreJoursNourrirBovins))</f>
        <v>0</v>
      </c>
      <c r="BI262" s="351">
        <f t="array" ref="BI262">IF(Ration_complète_bovins[somme]&gt;0,0,IFERROR(IF(OR(AND(INDEX(Règles_bovins[Specificite],MATCH(ChoixRationBovins&amp;$BB262,Règles_bovins[Ration]&amp;Règles_bovins[Aliment],0))="s1",IF($BB262=Spécificité1Bovins,1)),
AND(INDEX(Règles_bovins[Specificite],MATCH(ChoixRationBovins&amp;$BB262,Règles_bovins[Ration]&amp;Règles_bovins[Aliment],0))="s2",IF($BB262=Spécificité2Bovins,1)),
INDEX(Règles_bovins[Specificite],MATCH(ChoixRationBovins&amp;$BB262,Règles_bovins[Ration]&amp;Règles_bovins[Aliment],0))="c"),
INDEX(Règles_bovins[Valeur 0-3],MATCH(ChoixRationBovins&amp;$BB262,Règles_bovins[Ration]&amp;Règles_bovins[Aliment],0)),0),0)*IF(ChoixBovinsPréHiver=OUI,TotalVeauFemelle_0_3_RacesLaitières,TotalBovinsFemelles_0_3mois*NbreJoursNourrirBovins))</f>
        <v>0</v>
      </c>
      <c r="BJ262" s="352">
        <f t="shared" si="67"/>
        <v>0</v>
      </c>
      <c r="BX262" s="277"/>
      <c r="BY262" s="277"/>
      <c r="BZ262" s="277"/>
      <c r="CA262" s="277"/>
      <c r="CB262" s="277"/>
      <c r="CC262" s="277"/>
      <c r="CD262" s="298"/>
      <c r="CE262" s="298"/>
      <c r="CF262" s="298"/>
      <c r="CG262" s="298"/>
      <c r="CI262" s="277"/>
      <c r="CK262" s="277"/>
      <c r="CL262" s="277"/>
      <c r="CM262" s="277"/>
      <c r="CN262" s="277"/>
      <c r="CO262" s="277"/>
      <c r="CP262" s="277"/>
      <c r="DN262" s="350" t="str">
        <f t="shared" si="70"/>
        <v>Pulpe déshydratée de betterave</v>
      </c>
      <c r="DO262" s="351">
        <f t="array" ref="DO262">IF(ChoixRationHivernaleOvinsComplète=OUI,0,IFERROR(IF(OR(AND(INDEX(Règles_ovins[Specificite],MATCH(RationHivernaleOvinsAuPré&amp;$DN262,Règles_ovins[Ration]&amp;Règles_ovins[Aliment],0))="s1",IF($DN262=Spécificité1Ovins,1)),
AND(INDEX(Règles_ovins[Specificite],MATCH(RationHivernaleOvinsAuPré&amp;$DN262,Règles_ovins[Ration]&amp;Règles_ovins[Aliment],0))="s2",IF($DN262=Spécificité2Ovins,1)),
INDEX(Règles_ovins[Specificite],MATCH(RationHivernaleOvinsAuPré&amp;$DN262,Règles_ovins[Ration]&amp;Règles_ovins[Aliment],0))="c"),
INDEX(Règles_ovins[Valeur 12 et plus],MATCH(RationHivernaleOvinsAuPré&amp;$DN262,Règles_ovins[Ration]&amp;Règles_ovins[Aliment],0)),0),0)*IF(SUM(TotalOvinsAdultesAuPré)&gt;0,SUM(TotalOvinsAdultesAuPré)*SUM(AD76:AD100),SUM(TotalOvinsAdultes)*SUM(AD76:AD100)))</f>
        <v>0</v>
      </c>
      <c r="DP262" s="351">
        <f t="array" ref="DP262">IF(ChoixRationHivernaleOvinsComplète=OUI,0,IFERROR(IF(OR(AND(INDEX(Règles_ovins[Specificite],MATCH(RationHivernaleOvinsAuPré&amp;$DN262,Règles_ovins[Ration]&amp;Règles_ovins[Aliment],0))="s1",IF($DN262=Spécificité1Ovins,1)),
AND(INDEX(Règles_ovins[Specificite],MATCH(RationHivernaleOvinsAuPré&amp;$DN262,Règles_ovins[Ration]&amp;Règles_ovins[Aliment],0))="s2",IF($DN262=Spécificité2Ovins,1)),
INDEX(Règles_ovins[Specificite],MATCH(RationHivernaleOvinsAuPré&amp;$DN262,Règles_ovins[Ration]&amp;Règles_ovins[Aliment],0))="c"),
INDEX(Règles_ovins[Valeur 6-12],MATCH(RationHivernaleOvinsAuPré&amp;$DN262,Règles_ovins[Ration]&amp;Règles_ovins[Aliment],0)),0),0)*IF(SUM(TotalOvins_6_12moisAuPré)&gt;0,SUM(TotalOvins_6_12moisAuPré)*SUM(AD76:AD100),SUM(TotalJeunesOvins)*SUM(AD76:AD100)))</f>
        <v>0</v>
      </c>
      <c r="DQ262" s="351">
        <f t="array" ref="DQ262">IF(ChoixRationHivernaleOvinsComplète=OUI,0,IFERROR(IF(OR(AND(INDEX(Règles_ovins[Specificite],MATCH(RationHivernaleOvinsAuPré&amp;$DN262,Règles_ovins[Ration]&amp;Règles_ovins[Aliment],0))="s1",IF($DN262=Spécificité1Ovins,1)),
AND(INDEX(Règles_ovins[Specificite],MATCH(RationHivernaleOvinsAuPré&amp;$DN262,Règles_ovins[Ration]&amp;Règles_ovins[Aliment],0))="s2",IF($DN262=Spécificité2Ovins,1)),
INDEX(Règles_ovins[Specificite],MATCH(RationHivernaleOvinsAuPré&amp;$DN262,Règles_ovins[Ration]&amp;Règles_ovins[Aliment],0))="c"),
INDEX(Règles_ovins[Valeur 3-6],MATCH(RationHivernaleOvinsAuPré&amp;$DN262,Règles_ovins[Ration]&amp;Règles_ovins[Aliment],0)),0),0)*IF(SUM(TotalOvins_3_6moisAuPré)&gt;0,SUM(TotalOvins_3_6moisAuPré)*SUM(AD76:AD100),SUM(TotalOvins_3_6mois)*SUM(AD76:AD100)))</f>
        <v>0</v>
      </c>
      <c r="DR262" s="351">
        <f t="array" ref="DR262">IF(ChoixRationHivernaleOvinsComplète=OUI,0,IFERROR(IF(OR(AND(INDEX(Règles_ovins[Specificite],MATCH(RationHivernaleOvinsAuPré&amp;$DN262,Règles_ovins[Ration]&amp;Règles_ovins[Aliment],0))="s1",IF($DN262=Spécificité1Ovins,1)),
AND(INDEX(Règles_ovins[Specificite],MATCH(RationHivernaleOvinsAuPré&amp;$DN262,Règles_ovins[Ration]&amp;Règles_ovins[Aliment],0))="s2",IF($DN262=Spécificité2Ovins,1)),
INDEX(Règles_ovins[Specificite],MATCH(RationHivernaleOvinsAuPré&amp;$DN262,Règles_ovins[Ration]&amp;Règles_ovins[Aliment],0))="c"),
INDEX(Règles_ovins[Valeur 0-3],MATCH(RationHivernaleOvinsAuPré&amp;$DN262,Règles_ovins[Ration]&amp;Règles_ovins[Aliment],0)),0),0)*IF(SUM(TotalOvins_0_3moisAuPré)&gt;0,SUM(TotalOvins_0_3moisAuPré)*SUM(AD76:AD100),SUM(TotalOvins_3_6mois)*SUM(AD76:AD100)))</f>
        <v>0</v>
      </c>
      <c r="DS262" s="441">
        <f t="shared" si="69"/>
        <v>0</v>
      </c>
      <c r="GG262" s="276" t="s">
        <v>955</v>
      </c>
      <c r="GH262" s="276" t="s">
        <v>955</v>
      </c>
      <c r="GI262" s="276" t="s">
        <v>955</v>
      </c>
      <c r="GJ262" s="276" t="s">
        <v>955</v>
      </c>
      <c r="GK262" s="276" t="s">
        <v>955</v>
      </c>
      <c r="GL262" s="276" t="s">
        <v>955</v>
      </c>
      <c r="GM262" s="276" t="s">
        <v>955</v>
      </c>
      <c r="GN262" s="276" t="s">
        <v>955</v>
      </c>
      <c r="GO262" s="276" t="s">
        <v>955</v>
      </c>
      <c r="GP262" s="276" t="s">
        <v>955</v>
      </c>
      <c r="GQ262" s="276" t="s">
        <v>955</v>
      </c>
      <c r="GR262" s="276" t="s">
        <v>955</v>
      </c>
      <c r="GS262" s="276" t="s">
        <v>955</v>
      </c>
      <c r="GT262" s="276" t="s">
        <v>955</v>
      </c>
      <c r="GU262" s="276" t="s">
        <v>955</v>
      </c>
      <c r="GV262" s="276" t="s">
        <v>955</v>
      </c>
    </row>
    <row r="263" spans="1:204" ht="12.75" customHeight="1" x14ac:dyDescent="0.2">
      <c r="A263" s="276"/>
      <c r="B263" s="276"/>
      <c r="BB263" s="350" t="str">
        <f t="shared" si="68"/>
        <v>Soja</v>
      </c>
      <c r="BC263" s="351">
        <f t="array" ref="BC263">IF(Ration_complète_bovins[somme]&gt;0,0,IFERROR(IF(OR(AND(INDEX(Règles_bovins[Specificite],MATCH(ChoixRationBovins&amp;$BB263,Règles_bovins[Ration]&amp;Règles_bovins[Aliment],0))="s1",IF($BB263=Spécificité1Bovins,1)),
AND(INDEX(Règles_bovins[Specificite],MATCH(ChoixRationBovins&amp;$BB263,Règles_bovins[Ration]&amp;Règles_bovins[Aliment],0))="s2",IF($BB263=Spécificité2Bovins,1)),
INDEX(Règles_bovins[Specificite],MATCH(ChoixRationBovins&amp;$BB263,Règles_bovins[Ration]&amp;Règles_bovins[Aliment],0))="c"),
INDEX(Règles_bovins[Valeur 36 et plus],MATCH(ChoixRationBovins&amp;$BB263,Règles_bovins[Ration]&amp;Règles_bovins[Aliment],0)),0),0)*IF(ChoixBovinsPréHiver=OUI,TotalVachesRacesLaitières,TotalVaches*NbreJoursNourrirBovins))</f>
        <v>0</v>
      </c>
      <c r="BD263" s="351">
        <f t="array" ref="BD263">IF(Ration_complète_bovins[somme]&gt;0,0,IFERROR(IF(OR(AND(INDEX(Règles_bovins[Specificite],MATCH(ChoixRationBovins&amp;$BB263,Règles_bovins[Ration]&amp;Règles_bovins[Aliment],0))="s1",IF($BB263=Spécificité1Bovins,1)),
AND(INDEX(Règles_bovins[Specificite],MATCH(ChoixRationBovins&amp;$BB263,Règles_bovins[Ration]&amp;Règles_bovins[Aliment],0))="s2",IF($BB263=Spécificité2Bovins,1)),
INDEX(Règles_bovins[Specificite],MATCH(ChoixRationBovins&amp;$BB263,Règles_bovins[Ration]&amp;Règles_bovins[Aliment],0))="c"),
INDEX(Règles_bovins[Valeur 24-36],MATCH(ChoixRationBovins&amp;$BB263,Règles_bovins[Ration]&amp;Règles_bovins[Aliment],0)),0),0)*IF(ChoixBovinsPréHiver=OUI,TotalGénisse_24_36_RacesLaitières,TotalBovinsFemelles_24_36mois*NbreJoursNourrirBovins))</f>
        <v>0</v>
      </c>
      <c r="BE263" s="351">
        <f t="array" ref="BE263">IF(Ration_complète_bovins[somme]&gt;0,0,IFERROR(IF(OR(AND(INDEX(Règles_bovins[Specificite],MATCH(ChoixRationBovins&amp;$BB263,Règles_bovins[Ration]&amp;Règles_bovins[Aliment],0))="s1",IF($BB263=Spécificité1Bovins,1)),
AND(INDEX(Règles_bovins[Specificite],MATCH(ChoixRationBovins&amp;$BB263,Règles_bovins[Ration]&amp;Règles_bovins[Aliment],0))="s2",IF($BB263=Spécificité2Bovins,1)),
INDEX(Règles_bovins[Specificite],MATCH(ChoixRationBovins&amp;$BB263,Règles_bovins[Ration]&amp;Règles_bovins[Aliment],0))="c"),
INDEX(Règles_bovins[Valeur 18-24],MATCH(ChoixRationBovins&amp;$BB263,Règles_bovins[Ration]&amp;Règles_bovins[Aliment],0)),0),0)*IF(ChoixBovinsPréHiver=OUI,TotalGénisse_18_24_RacesLaitières,TotalBovinsFemelles_18_24mois*NbreJoursNourrirBovins))</f>
        <v>0</v>
      </c>
      <c r="BF263" s="351">
        <f t="array" ref="BF263">IF(Ration_complète_bovins[somme]&gt;0,0,IFERROR(IF(OR(AND(INDEX(Règles_bovins[Specificite],MATCH(ChoixRationBovins&amp;$BB263,Règles_bovins[Ration]&amp;Règles_bovins[Aliment],0))="s1",IF($BB263=Spécificité1Bovins,1)),
AND(INDEX(Règles_bovins[Specificite],MATCH(ChoixRationBovins&amp;$BB263,Règles_bovins[Ration]&amp;Règles_bovins[Aliment],0))="s2",IF($BB263=Spécificité2Bovins,1)),
INDEX(Règles_bovins[Specificite],MATCH(ChoixRationBovins&amp;$BB263,Règles_bovins[Ration]&amp;Règles_bovins[Aliment],0))="c"),
INDEX(Règles_bovins[Valeur 12-18],MATCH(ChoixRationBovins&amp;$BB263,Règles_bovins[Ration]&amp;Règles_bovins[Aliment],0)),0),0)*IF(ChoixBovinsPréHiver=OUI,TotalGénisse_12_18_RacesLaitières,TotalBovinsFemelles_12_18mois*NbreJoursNourrirBovins))</f>
        <v>0</v>
      </c>
      <c r="BG263" s="351">
        <f t="array" ref="BG263">IF(Ration_complète_bovins[somme]&gt;0,0,IFERROR(IF(OR(AND(INDEX(Règles_bovins[Specificite],MATCH(ChoixRationBovins&amp;$BB263,Règles_bovins[Ration]&amp;Règles_bovins[Aliment],0))="s1",IF($BB263=Spécificité1Bovins,1)),
AND(INDEX(Règles_bovins[Specificite],MATCH(ChoixRationBovins&amp;$BB263,Règles_bovins[Ration]&amp;Règles_bovins[Aliment],0))="s2",IF($BB263=Spécificité2Bovins,1)),
INDEX(Règles_bovins[Specificite],MATCH(ChoixRationBovins&amp;$BB263,Règles_bovins[Ration]&amp;Règles_bovins[Aliment],0))="c"),
INDEX(Règles_bovins[Valeur 6-12],MATCH(ChoixRationBovins&amp;$BB263,Règles_bovins[Ration]&amp;Règles_bovins[Aliment],0)),0),0)*IF(ChoixBovinsPréHiver=OUI,TotalVeauFemelle_6_12_RacesLaitières,TotalBovinsFemelles_6_12mois*NbreJoursNourrirBovins))</f>
        <v>0</v>
      </c>
      <c r="BH263" s="351">
        <f t="array" ref="BH263">IF(Ration_complète_bovins[somme]&gt;0,0,IFERROR(IF(OR(AND(INDEX(Règles_bovins[Specificite],MATCH(ChoixRationBovins&amp;$BB263,Règles_bovins[Ration]&amp;Règles_bovins[Aliment],0))="s1",IF($BB263=Spécificité1Bovins,1)),
AND(INDEX(Règles_bovins[Specificite],MATCH(ChoixRationBovins&amp;$BB263,Règles_bovins[Ration]&amp;Règles_bovins[Aliment],0))="s2",IF($BB263=Spécificité2Bovins,1)),
INDEX(Règles_bovins[Specificite],MATCH(ChoixRationBovins&amp;$BB263,Règles_bovins[Ration]&amp;Règles_bovins[Aliment],0))="c"),
INDEX(Règles_bovins[Valeur 3-6],MATCH(ChoixRationBovins&amp;$BB263,Règles_bovins[Ration]&amp;Règles_bovins[Aliment],0)),0),0)*IF(ChoixBovinsPréHiver=OUI,TotalVeauFemelle_3_6_RacesLaitières,TotalBovinsFemelles_3_6mois*NbreJoursNourrirBovins))</f>
        <v>0</v>
      </c>
      <c r="BI263" s="351">
        <f t="array" ref="BI263">IF(Ration_complète_bovins[somme]&gt;0,0,IFERROR(IF(OR(AND(INDEX(Règles_bovins[Specificite],MATCH(ChoixRationBovins&amp;$BB263,Règles_bovins[Ration]&amp;Règles_bovins[Aliment],0))="s1",IF($BB263=Spécificité1Bovins,1)),
AND(INDEX(Règles_bovins[Specificite],MATCH(ChoixRationBovins&amp;$BB263,Règles_bovins[Ration]&amp;Règles_bovins[Aliment],0))="s2",IF($BB263=Spécificité2Bovins,1)),
INDEX(Règles_bovins[Specificite],MATCH(ChoixRationBovins&amp;$BB263,Règles_bovins[Ration]&amp;Règles_bovins[Aliment],0))="c"),
INDEX(Règles_bovins[Valeur 0-3],MATCH(ChoixRationBovins&amp;$BB263,Règles_bovins[Ration]&amp;Règles_bovins[Aliment],0)),0),0)*IF(ChoixBovinsPréHiver=OUI,TotalVeauFemelle_0_3_RacesLaitières,TotalBovinsFemelles_0_3mois*NbreJoursNourrirBovins))</f>
        <v>0</v>
      </c>
      <c r="BJ263" s="352">
        <f t="shared" si="67"/>
        <v>0</v>
      </c>
      <c r="BX263" s="277"/>
      <c r="BY263" s="277"/>
      <c r="BZ263" s="277"/>
      <c r="CA263" s="277"/>
      <c r="CB263" s="277"/>
      <c r="CC263" s="277"/>
      <c r="CD263" s="298"/>
      <c r="CE263" s="298"/>
      <c r="CF263" s="298"/>
      <c r="CG263" s="298"/>
      <c r="CI263" s="277"/>
      <c r="CK263" s="277"/>
      <c r="CL263" s="277"/>
      <c r="CM263" s="277"/>
      <c r="CN263" s="277"/>
      <c r="CO263" s="277"/>
      <c r="CP263" s="277"/>
      <c r="DN263" s="350" t="str">
        <f t="shared" si="70"/>
        <v>Ration complète</v>
      </c>
      <c r="DO263" s="351">
        <f t="array" ref="DO263">IF(ChoixRationHivernaleOvinsComplète=OUI,0,IFERROR(IF(OR(AND(INDEX(Règles_ovins[Specificite],MATCH(RationHivernaleOvinsAuPré&amp;$DN263,Règles_ovins[Ration]&amp;Règles_ovins[Aliment],0))="s1",IF($DN263=Spécificité1Ovins,1)),
AND(INDEX(Règles_ovins[Specificite],MATCH(RationHivernaleOvinsAuPré&amp;$DN263,Règles_ovins[Ration]&amp;Règles_ovins[Aliment],0))="s2",IF($DN263=Spécificité2Ovins,1)),
INDEX(Règles_ovins[Specificite],MATCH(RationHivernaleOvinsAuPré&amp;$DN263,Règles_ovins[Ration]&amp;Règles_ovins[Aliment],0))="c"),
INDEX(Règles_ovins[Valeur 12 et plus],MATCH(RationHivernaleOvinsAuPré&amp;$DN263,Règles_ovins[Ration]&amp;Règles_ovins[Aliment],0)),0),0)*IF(SUM(TotalOvinsAdultesAuPré)&gt;0,SUM(TotalOvinsAdultesAuPré)*SUM(AD76:AD100),SUM(TotalOvinsAdultes)*SUM(AD76:AD100)))</f>
        <v>0</v>
      </c>
      <c r="DP263" s="351">
        <f t="array" ref="DP263">IF(ChoixRationHivernaleOvinsComplète=OUI,0,IFERROR(IF(OR(AND(INDEX(Règles_ovins[Specificite],MATCH(RationHivernaleOvinsAuPré&amp;$DN263,Règles_ovins[Ration]&amp;Règles_ovins[Aliment],0))="s1",IF($DN263=Spécificité1Ovins,1)),
AND(INDEX(Règles_ovins[Specificite],MATCH(RationHivernaleOvinsAuPré&amp;$DN263,Règles_ovins[Ration]&amp;Règles_ovins[Aliment],0))="s2",IF($DN263=Spécificité2Ovins,1)),
INDEX(Règles_ovins[Specificite],MATCH(RationHivernaleOvinsAuPré&amp;$DN263,Règles_ovins[Ration]&amp;Règles_ovins[Aliment],0))="c"),
INDEX(Règles_ovins[Valeur 6-12],MATCH(RationHivernaleOvinsAuPré&amp;$DN263,Règles_ovins[Ration]&amp;Règles_ovins[Aliment],0)),0),0)*IF(SUM(TotalOvins_6_12moisAuPré)&gt;0,SUM(TotalOvins_6_12moisAuPré)*SUM(AD76:AD100),SUM(TotalJeunesOvins)*SUM(AD76:AD100)))</f>
        <v>0</v>
      </c>
      <c r="DQ263" s="351">
        <f t="array" ref="DQ263">IF(ChoixRationHivernaleOvinsComplète=OUI,0,IFERROR(IF(OR(AND(INDEX(Règles_ovins[Specificite],MATCH(RationHivernaleOvinsAuPré&amp;$DN263,Règles_ovins[Ration]&amp;Règles_ovins[Aliment],0))="s1",IF($DN263=Spécificité1Ovins,1)),
AND(INDEX(Règles_ovins[Specificite],MATCH(RationHivernaleOvinsAuPré&amp;$DN263,Règles_ovins[Ration]&amp;Règles_ovins[Aliment],0))="s2",IF($DN263=Spécificité2Ovins,1)),
INDEX(Règles_ovins[Specificite],MATCH(RationHivernaleOvinsAuPré&amp;$DN263,Règles_ovins[Ration]&amp;Règles_ovins[Aliment],0))="c"),
INDEX(Règles_ovins[Valeur 3-6],MATCH(RationHivernaleOvinsAuPré&amp;$DN263,Règles_ovins[Ration]&amp;Règles_ovins[Aliment],0)),0),0)*IF(SUM(TotalOvins_3_6moisAuPré)&gt;0,SUM(TotalOvins_3_6moisAuPré)*SUM(AD76:AD100),SUM(TotalOvins_3_6mois)*SUM(AD76:AD100)))</f>
        <v>0</v>
      </c>
      <c r="DR263" s="351">
        <f t="array" ref="DR263">IF(ChoixRationHivernaleOvinsComplète=OUI,0,IFERROR(IF(OR(AND(INDEX(Règles_ovins[Specificite],MATCH(RationHivernaleOvinsAuPré&amp;$DN263,Règles_ovins[Ration]&amp;Règles_ovins[Aliment],0))="s1",IF($DN263=Spécificité1Ovins,1)),
AND(INDEX(Règles_ovins[Specificite],MATCH(RationHivernaleOvinsAuPré&amp;$DN263,Règles_ovins[Ration]&amp;Règles_ovins[Aliment],0))="s2",IF($DN263=Spécificité2Ovins,1)),
INDEX(Règles_ovins[Specificite],MATCH(RationHivernaleOvinsAuPré&amp;$DN263,Règles_ovins[Ration]&amp;Règles_ovins[Aliment],0))="c"),
INDEX(Règles_ovins[Valeur 0-3],MATCH(RationHivernaleOvinsAuPré&amp;$DN263,Règles_ovins[Ration]&amp;Règles_ovins[Aliment],0)),0),0)*IF(SUM(TotalOvins_0_3moisAuPré)&gt;0,SUM(TotalOvins_0_3moisAuPré)*SUM(AD76:AD100),SUM(TotalOvins_3_6mois)*SUM(AD76:AD100)))</f>
        <v>0</v>
      </c>
      <c r="DS263" s="441">
        <f t="shared" si="69"/>
        <v>0</v>
      </c>
      <c r="GG263" s="276" t="s">
        <v>955</v>
      </c>
      <c r="GH263" s="276" t="s">
        <v>955</v>
      </c>
      <c r="GI263" s="276" t="s">
        <v>955</v>
      </c>
      <c r="GJ263" s="276" t="s">
        <v>955</v>
      </c>
      <c r="GK263" s="276" t="s">
        <v>955</v>
      </c>
      <c r="GL263" s="276" t="s">
        <v>955</v>
      </c>
      <c r="GM263" s="276" t="s">
        <v>955</v>
      </c>
      <c r="GN263" s="276" t="s">
        <v>955</v>
      </c>
      <c r="GO263" s="276" t="s">
        <v>955</v>
      </c>
      <c r="GP263" s="276" t="s">
        <v>955</v>
      </c>
      <c r="GQ263" s="276" t="s">
        <v>955</v>
      </c>
      <c r="GR263" s="276" t="s">
        <v>955</v>
      </c>
      <c r="GS263" s="276" t="s">
        <v>955</v>
      </c>
      <c r="GT263" s="276" t="s">
        <v>955</v>
      </c>
      <c r="GU263" s="276" t="s">
        <v>955</v>
      </c>
      <c r="GV263" s="276" t="s">
        <v>955</v>
      </c>
    </row>
    <row r="264" spans="1:204" ht="12.75" customHeight="1" x14ac:dyDescent="0.2">
      <c r="A264" s="276"/>
      <c r="B264" s="276"/>
      <c r="BB264" s="350" t="str">
        <f t="shared" si="68"/>
        <v>Sorgho ensilé</v>
      </c>
      <c r="BC264" s="351">
        <f t="array" ref="BC264">IF(Ration_complète_bovins[somme]&gt;0,0,IFERROR(IF(OR(AND(INDEX(Règles_bovins[Specificite],MATCH(ChoixRationBovins&amp;$BB264,Règles_bovins[Ration]&amp;Règles_bovins[Aliment],0))="s1",IF($BB264=Spécificité1Bovins,1)),
AND(INDEX(Règles_bovins[Specificite],MATCH(ChoixRationBovins&amp;$BB264,Règles_bovins[Ration]&amp;Règles_bovins[Aliment],0))="s2",IF($BB264=Spécificité2Bovins,1)),
INDEX(Règles_bovins[Specificite],MATCH(ChoixRationBovins&amp;$BB264,Règles_bovins[Ration]&amp;Règles_bovins[Aliment],0))="c"),
INDEX(Règles_bovins[Valeur 36 et plus],MATCH(ChoixRationBovins&amp;$BB264,Règles_bovins[Ration]&amp;Règles_bovins[Aliment],0)),0),0)*IF(ChoixBovinsPréHiver=OUI,TotalVachesRacesLaitières,TotalVaches*NbreJoursNourrirBovins))</f>
        <v>0</v>
      </c>
      <c r="BD264" s="351">
        <f t="array" ref="BD264">IF(Ration_complète_bovins[somme]&gt;0,0,IFERROR(IF(OR(AND(INDEX(Règles_bovins[Specificite],MATCH(ChoixRationBovins&amp;$BB264,Règles_bovins[Ration]&amp;Règles_bovins[Aliment],0))="s1",IF($BB264=Spécificité1Bovins,1)),
AND(INDEX(Règles_bovins[Specificite],MATCH(ChoixRationBovins&amp;$BB264,Règles_bovins[Ration]&amp;Règles_bovins[Aliment],0))="s2",IF($BB264=Spécificité2Bovins,1)),
INDEX(Règles_bovins[Specificite],MATCH(ChoixRationBovins&amp;$BB264,Règles_bovins[Ration]&amp;Règles_bovins[Aliment],0))="c"),
INDEX(Règles_bovins[Valeur 24-36],MATCH(ChoixRationBovins&amp;$BB264,Règles_bovins[Ration]&amp;Règles_bovins[Aliment],0)),0),0)*IF(ChoixBovinsPréHiver=OUI,TotalGénisse_24_36_RacesLaitières,TotalBovinsFemelles_24_36mois*NbreJoursNourrirBovins))</f>
        <v>0</v>
      </c>
      <c r="BE264" s="351">
        <f t="array" ref="BE264">IF(Ration_complète_bovins[somme]&gt;0,0,IFERROR(IF(OR(AND(INDEX(Règles_bovins[Specificite],MATCH(ChoixRationBovins&amp;$BB264,Règles_bovins[Ration]&amp;Règles_bovins[Aliment],0))="s1",IF($BB264=Spécificité1Bovins,1)),
AND(INDEX(Règles_bovins[Specificite],MATCH(ChoixRationBovins&amp;$BB264,Règles_bovins[Ration]&amp;Règles_bovins[Aliment],0))="s2",IF($BB264=Spécificité2Bovins,1)),
INDEX(Règles_bovins[Specificite],MATCH(ChoixRationBovins&amp;$BB264,Règles_bovins[Ration]&amp;Règles_bovins[Aliment],0))="c"),
INDEX(Règles_bovins[Valeur 18-24],MATCH(ChoixRationBovins&amp;$BB264,Règles_bovins[Ration]&amp;Règles_bovins[Aliment],0)),0),0)*IF(ChoixBovinsPréHiver=OUI,TotalGénisse_18_24_RacesLaitières,TotalBovinsFemelles_18_24mois*NbreJoursNourrirBovins))</f>
        <v>0</v>
      </c>
      <c r="BF264" s="351">
        <f t="array" ref="BF264">IF(Ration_complète_bovins[somme]&gt;0,0,IFERROR(IF(OR(AND(INDEX(Règles_bovins[Specificite],MATCH(ChoixRationBovins&amp;$BB264,Règles_bovins[Ration]&amp;Règles_bovins[Aliment],0))="s1",IF($BB264=Spécificité1Bovins,1)),
AND(INDEX(Règles_bovins[Specificite],MATCH(ChoixRationBovins&amp;$BB264,Règles_bovins[Ration]&amp;Règles_bovins[Aliment],0))="s2",IF($BB264=Spécificité2Bovins,1)),
INDEX(Règles_bovins[Specificite],MATCH(ChoixRationBovins&amp;$BB264,Règles_bovins[Ration]&amp;Règles_bovins[Aliment],0))="c"),
INDEX(Règles_bovins[Valeur 12-18],MATCH(ChoixRationBovins&amp;$BB264,Règles_bovins[Ration]&amp;Règles_bovins[Aliment],0)),0),0)*IF(ChoixBovinsPréHiver=OUI,TotalGénisse_12_18_RacesLaitières,TotalBovinsFemelles_12_18mois*NbreJoursNourrirBovins))</f>
        <v>0</v>
      </c>
      <c r="BG264" s="351">
        <f t="array" ref="BG264">IF(Ration_complète_bovins[somme]&gt;0,0,IFERROR(IF(OR(AND(INDEX(Règles_bovins[Specificite],MATCH(ChoixRationBovins&amp;$BB264,Règles_bovins[Ration]&amp;Règles_bovins[Aliment],0))="s1",IF($BB264=Spécificité1Bovins,1)),
AND(INDEX(Règles_bovins[Specificite],MATCH(ChoixRationBovins&amp;$BB264,Règles_bovins[Ration]&amp;Règles_bovins[Aliment],0))="s2",IF($BB264=Spécificité2Bovins,1)),
INDEX(Règles_bovins[Specificite],MATCH(ChoixRationBovins&amp;$BB264,Règles_bovins[Ration]&amp;Règles_bovins[Aliment],0))="c"),
INDEX(Règles_bovins[Valeur 6-12],MATCH(ChoixRationBovins&amp;$BB264,Règles_bovins[Ration]&amp;Règles_bovins[Aliment],0)),0),0)*IF(ChoixBovinsPréHiver=OUI,TotalVeauFemelle_6_12_RacesLaitières,TotalBovinsFemelles_6_12mois*NbreJoursNourrirBovins))</f>
        <v>0</v>
      </c>
      <c r="BH264" s="351">
        <f t="array" ref="BH264">IF(Ration_complète_bovins[somme]&gt;0,0,IFERROR(IF(OR(AND(INDEX(Règles_bovins[Specificite],MATCH(ChoixRationBovins&amp;$BB264,Règles_bovins[Ration]&amp;Règles_bovins[Aliment],0))="s1",IF($BB264=Spécificité1Bovins,1)),
AND(INDEX(Règles_bovins[Specificite],MATCH(ChoixRationBovins&amp;$BB264,Règles_bovins[Ration]&amp;Règles_bovins[Aliment],0))="s2",IF($BB264=Spécificité2Bovins,1)),
INDEX(Règles_bovins[Specificite],MATCH(ChoixRationBovins&amp;$BB264,Règles_bovins[Ration]&amp;Règles_bovins[Aliment],0))="c"),
INDEX(Règles_bovins[Valeur 3-6],MATCH(ChoixRationBovins&amp;$BB264,Règles_bovins[Ration]&amp;Règles_bovins[Aliment],0)),0),0)*IF(ChoixBovinsPréHiver=OUI,TotalVeauFemelle_3_6_RacesLaitières,TotalBovinsFemelles_3_6mois*NbreJoursNourrirBovins))</f>
        <v>0</v>
      </c>
      <c r="BI264" s="351">
        <f t="array" ref="BI264">IF(Ration_complète_bovins[somme]&gt;0,0,IFERROR(IF(OR(AND(INDEX(Règles_bovins[Specificite],MATCH(ChoixRationBovins&amp;$BB264,Règles_bovins[Ration]&amp;Règles_bovins[Aliment],0))="s1",IF($BB264=Spécificité1Bovins,1)),
AND(INDEX(Règles_bovins[Specificite],MATCH(ChoixRationBovins&amp;$BB264,Règles_bovins[Ration]&amp;Règles_bovins[Aliment],0))="s2",IF($BB264=Spécificité2Bovins,1)),
INDEX(Règles_bovins[Specificite],MATCH(ChoixRationBovins&amp;$BB264,Règles_bovins[Ration]&amp;Règles_bovins[Aliment],0))="c"),
INDEX(Règles_bovins[Valeur 0-3],MATCH(ChoixRationBovins&amp;$BB264,Règles_bovins[Ration]&amp;Règles_bovins[Aliment],0)),0),0)*IF(ChoixBovinsPréHiver=OUI,TotalVeauFemelle_0_3_RacesLaitières,TotalBovinsFemelles_0_3mois*NbreJoursNourrirBovins))</f>
        <v>0</v>
      </c>
      <c r="BJ264" s="352">
        <f t="shared" si="67"/>
        <v>0</v>
      </c>
      <c r="BX264" s="277"/>
      <c r="BY264" s="277"/>
      <c r="BZ264" s="277"/>
      <c r="CA264" s="277"/>
      <c r="CB264" s="277"/>
      <c r="CC264" s="277"/>
      <c r="CD264" s="298"/>
      <c r="CE264" s="298"/>
      <c r="CF264" s="298"/>
      <c r="CG264" s="298"/>
      <c r="CI264" s="277"/>
      <c r="CK264" s="277"/>
      <c r="CL264" s="277"/>
      <c r="CM264" s="277"/>
      <c r="CN264" s="277"/>
      <c r="CO264" s="277"/>
      <c r="CP264" s="277"/>
      <c r="DN264" s="350" t="str">
        <f t="shared" si="70"/>
        <v>Seigle</v>
      </c>
      <c r="DO264" s="351">
        <f t="array" ref="DO264">IF(ChoixRationHivernaleOvinsComplète=OUI,0,IFERROR(IF(OR(AND(INDEX(Règles_ovins[Specificite],MATCH(RationHivernaleOvinsAuPré&amp;$DN264,Règles_ovins[Ration]&amp;Règles_ovins[Aliment],0))="s1",IF($DN264=Spécificité1Ovins,1)),
AND(INDEX(Règles_ovins[Specificite],MATCH(RationHivernaleOvinsAuPré&amp;$DN264,Règles_ovins[Ration]&amp;Règles_ovins[Aliment],0))="s2",IF($DN264=Spécificité2Ovins,1)),
INDEX(Règles_ovins[Specificite],MATCH(RationHivernaleOvinsAuPré&amp;$DN264,Règles_ovins[Ration]&amp;Règles_ovins[Aliment],0))="c"),
INDEX(Règles_ovins[Valeur 12 et plus],MATCH(RationHivernaleOvinsAuPré&amp;$DN264,Règles_ovins[Ration]&amp;Règles_ovins[Aliment],0)),0),0)*IF(SUM(TotalOvinsAdultesAuPré)&gt;0,SUM(TotalOvinsAdultesAuPré)*SUM(AD76:AD100),SUM(TotalOvinsAdultes)*SUM(AD76:AD100)))</f>
        <v>0</v>
      </c>
      <c r="DP264" s="351">
        <f t="array" ref="DP264">IF(ChoixRationHivernaleOvinsComplète=OUI,0,IFERROR(IF(OR(AND(INDEX(Règles_ovins[Specificite],MATCH(RationHivernaleOvinsAuPré&amp;$DN264,Règles_ovins[Ration]&amp;Règles_ovins[Aliment],0))="s1",IF($DN264=Spécificité1Ovins,1)),
AND(INDEX(Règles_ovins[Specificite],MATCH(RationHivernaleOvinsAuPré&amp;$DN264,Règles_ovins[Ration]&amp;Règles_ovins[Aliment],0))="s2",IF($DN264=Spécificité2Ovins,1)),
INDEX(Règles_ovins[Specificite],MATCH(RationHivernaleOvinsAuPré&amp;$DN264,Règles_ovins[Ration]&amp;Règles_ovins[Aliment],0))="c"),
INDEX(Règles_ovins[Valeur 6-12],MATCH(RationHivernaleOvinsAuPré&amp;$DN264,Règles_ovins[Ration]&amp;Règles_ovins[Aliment],0)),0),0)*IF(SUM(TotalOvins_6_12moisAuPré)&gt;0,SUM(TotalOvins_6_12moisAuPré)*SUM(AD76:AD100),SUM(TotalJeunesOvins)*SUM(AD76:AD100)))</f>
        <v>0</v>
      </c>
      <c r="DQ264" s="351">
        <f t="array" ref="DQ264">IF(ChoixRationHivernaleOvinsComplète=OUI,0,IFERROR(IF(OR(AND(INDEX(Règles_ovins[Specificite],MATCH(RationHivernaleOvinsAuPré&amp;$DN264,Règles_ovins[Ration]&amp;Règles_ovins[Aliment],0))="s1",IF($DN264=Spécificité1Ovins,1)),
AND(INDEX(Règles_ovins[Specificite],MATCH(RationHivernaleOvinsAuPré&amp;$DN264,Règles_ovins[Ration]&amp;Règles_ovins[Aliment],0))="s2",IF($DN264=Spécificité2Ovins,1)),
INDEX(Règles_ovins[Specificite],MATCH(RationHivernaleOvinsAuPré&amp;$DN264,Règles_ovins[Ration]&amp;Règles_ovins[Aliment],0))="c"),
INDEX(Règles_ovins[Valeur 3-6],MATCH(RationHivernaleOvinsAuPré&amp;$DN264,Règles_ovins[Ration]&amp;Règles_ovins[Aliment],0)),0),0)*IF(SUM(TotalOvins_3_6moisAuPré)&gt;0,SUM(TotalOvins_3_6moisAuPré)*SUM(AD76:AD100),SUM(TotalOvins_3_6mois)*SUM(AD76:AD100)))</f>
        <v>0</v>
      </c>
      <c r="DR264" s="351">
        <f t="array" ref="DR264">IF(ChoixRationHivernaleOvinsComplète=OUI,0,IFERROR(IF(OR(AND(INDEX(Règles_ovins[Specificite],MATCH(RationHivernaleOvinsAuPré&amp;$DN264,Règles_ovins[Ration]&amp;Règles_ovins[Aliment],0))="s1",IF($DN264=Spécificité1Ovins,1)),
AND(INDEX(Règles_ovins[Specificite],MATCH(RationHivernaleOvinsAuPré&amp;$DN264,Règles_ovins[Ration]&amp;Règles_ovins[Aliment],0))="s2",IF($DN264=Spécificité2Ovins,1)),
INDEX(Règles_ovins[Specificite],MATCH(RationHivernaleOvinsAuPré&amp;$DN264,Règles_ovins[Ration]&amp;Règles_ovins[Aliment],0))="c"),
INDEX(Règles_ovins[Valeur 0-3],MATCH(RationHivernaleOvinsAuPré&amp;$DN264,Règles_ovins[Ration]&amp;Règles_ovins[Aliment],0)),0),0)*IF(SUM(TotalOvins_0_3moisAuPré)&gt;0,SUM(TotalOvins_0_3moisAuPré)*SUM(AD76:AD100),SUM(TotalOvins_3_6mois)*SUM(AD76:AD100)))</f>
        <v>0</v>
      </c>
      <c r="DS264" s="441">
        <f t="shared" si="69"/>
        <v>0</v>
      </c>
      <c r="GG264" s="276" t="s">
        <v>955</v>
      </c>
      <c r="GH264" s="276" t="s">
        <v>955</v>
      </c>
      <c r="GI264" s="276" t="s">
        <v>955</v>
      </c>
      <c r="GJ264" s="276" t="s">
        <v>955</v>
      </c>
      <c r="GK264" s="276" t="s">
        <v>955</v>
      </c>
      <c r="GL264" s="276" t="s">
        <v>955</v>
      </c>
      <c r="GM264" s="276" t="s">
        <v>955</v>
      </c>
      <c r="GN264" s="276" t="s">
        <v>955</v>
      </c>
      <c r="GO264" s="276" t="s">
        <v>955</v>
      </c>
      <c r="GP264" s="276" t="s">
        <v>955</v>
      </c>
      <c r="GQ264" s="276" t="s">
        <v>955</v>
      </c>
      <c r="GR264" s="276" t="s">
        <v>955</v>
      </c>
      <c r="GS264" s="276" t="s">
        <v>955</v>
      </c>
      <c r="GT264" s="276" t="s">
        <v>955</v>
      </c>
      <c r="GU264" s="276" t="s">
        <v>955</v>
      </c>
      <c r="GV264" s="276" t="s">
        <v>955</v>
      </c>
    </row>
    <row r="265" spans="1:204" ht="12.75" customHeight="1" x14ac:dyDescent="0.2">
      <c r="A265" s="276"/>
      <c r="B265" s="276"/>
      <c r="BB265" s="350" t="str">
        <f t="shared" si="68"/>
        <v>Tournesol</v>
      </c>
      <c r="BC265" s="351">
        <f t="array" ref="BC265">IF(Ration_complète_bovins[somme]&gt;0,0,IFERROR(IF(OR(AND(INDEX(Règles_bovins[Specificite],MATCH(ChoixRationBovins&amp;$BB265,Règles_bovins[Ration]&amp;Règles_bovins[Aliment],0))="s1",IF($BB265=Spécificité1Bovins,1)),
AND(INDEX(Règles_bovins[Specificite],MATCH(ChoixRationBovins&amp;$BB265,Règles_bovins[Ration]&amp;Règles_bovins[Aliment],0))="s2",IF($BB265=Spécificité2Bovins,1)),
INDEX(Règles_bovins[Specificite],MATCH(ChoixRationBovins&amp;$BB265,Règles_bovins[Ration]&amp;Règles_bovins[Aliment],0))="c"),
INDEX(Règles_bovins[Valeur 36 et plus],MATCH(ChoixRationBovins&amp;$BB265,Règles_bovins[Ration]&amp;Règles_bovins[Aliment],0)),0),0)*IF(ChoixBovinsPréHiver=OUI,TotalVachesRacesLaitières,TotalVaches*NbreJoursNourrirBovins))</f>
        <v>0</v>
      </c>
      <c r="BD265" s="351">
        <f t="array" ref="BD265">IF(Ration_complète_bovins[somme]&gt;0,0,IFERROR(IF(OR(AND(INDEX(Règles_bovins[Specificite],MATCH(ChoixRationBovins&amp;$BB265,Règles_bovins[Ration]&amp;Règles_bovins[Aliment],0))="s1",IF($BB265=Spécificité1Bovins,1)),
AND(INDEX(Règles_bovins[Specificite],MATCH(ChoixRationBovins&amp;$BB265,Règles_bovins[Ration]&amp;Règles_bovins[Aliment],0))="s2",IF($BB265=Spécificité2Bovins,1)),
INDEX(Règles_bovins[Specificite],MATCH(ChoixRationBovins&amp;$BB265,Règles_bovins[Ration]&amp;Règles_bovins[Aliment],0))="c"),
INDEX(Règles_bovins[Valeur 24-36],MATCH(ChoixRationBovins&amp;$BB265,Règles_bovins[Ration]&amp;Règles_bovins[Aliment],0)),0),0)*IF(ChoixBovinsPréHiver=OUI,TotalGénisse_24_36_RacesLaitières,TotalBovinsFemelles_24_36mois*NbreJoursNourrirBovins))</f>
        <v>0</v>
      </c>
      <c r="BE265" s="351">
        <f t="array" ref="BE265">IF(Ration_complète_bovins[somme]&gt;0,0,IFERROR(IF(OR(AND(INDEX(Règles_bovins[Specificite],MATCH(ChoixRationBovins&amp;$BB265,Règles_bovins[Ration]&amp;Règles_bovins[Aliment],0))="s1",IF($BB265=Spécificité1Bovins,1)),
AND(INDEX(Règles_bovins[Specificite],MATCH(ChoixRationBovins&amp;$BB265,Règles_bovins[Ration]&amp;Règles_bovins[Aliment],0))="s2",IF($BB265=Spécificité2Bovins,1)),
INDEX(Règles_bovins[Specificite],MATCH(ChoixRationBovins&amp;$BB265,Règles_bovins[Ration]&amp;Règles_bovins[Aliment],0))="c"),
INDEX(Règles_bovins[Valeur 18-24],MATCH(ChoixRationBovins&amp;$BB265,Règles_bovins[Ration]&amp;Règles_bovins[Aliment],0)),0),0)*IF(ChoixBovinsPréHiver=OUI,TotalGénisse_18_24_RacesLaitières,TotalBovinsFemelles_18_24mois*NbreJoursNourrirBovins))</f>
        <v>0</v>
      </c>
      <c r="BF265" s="351">
        <f t="array" ref="BF265">IF(Ration_complète_bovins[somme]&gt;0,0,IFERROR(IF(OR(AND(INDEX(Règles_bovins[Specificite],MATCH(ChoixRationBovins&amp;$BB265,Règles_bovins[Ration]&amp;Règles_bovins[Aliment],0))="s1",IF($BB265=Spécificité1Bovins,1)),
AND(INDEX(Règles_bovins[Specificite],MATCH(ChoixRationBovins&amp;$BB265,Règles_bovins[Ration]&amp;Règles_bovins[Aliment],0))="s2",IF($BB265=Spécificité2Bovins,1)),
INDEX(Règles_bovins[Specificite],MATCH(ChoixRationBovins&amp;$BB265,Règles_bovins[Ration]&amp;Règles_bovins[Aliment],0))="c"),
INDEX(Règles_bovins[Valeur 12-18],MATCH(ChoixRationBovins&amp;$BB265,Règles_bovins[Ration]&amp;Règles_bovins[Aliment],0)),0),0)*IF(ChoixBovinsPréHiver=OUI,TotalGénisse_12_18_RacesLaitières,TotalBovinsFemelles_12_18mois*NbreJoursNourrirBovins))</f>
        <v>0</v>
      </c>
      <c r="BG265" s="351">
        <f t="array" ref="BG265">IF(Ration_complète_bovins[somme]&gt;0,0,IFERROR(IF(OR(AND(INDEX(Règles_bovins[Specificite],MATCH(ChoixRationBovins&amp;$BB265,Règles_bovins[Ration]&amp;Règles_bovins[Aliment],0))="s1",IF($BB265=Spécificité1Bovins,1)),
AND(INDEX(Règles_bovins[Specificite],MATCH(ChoixRationBovins&amp;$BB265,Règles_bovins[Ration]&amp;Règles_bovins[Aliment],0))="s2",IF($BB265=Spécificité2Bovins,1)),
INDEX(Règles_bovins[Specificite],MATCH(ChoixRationBovins&amp;$BB265,Règles_bovins[Ration]&amp;Règles_bovins[Aliment],0))="c"),
INDEX(Règles_bovins[Valeur 6-12],MATCH(ChoixRationBovins&amp;$BB265,Règles_bovins[Ration]&amp;Règles_bovins[Aliment],0)),0),0)*IF(ChoixBovinsPréHiver=OUI,TotalVeauFemelle_6_12_RacesLaitières,TotalBovinsFemelles_6_12mois*NbreJoursNourrirBovins))</f>
        <v>0</v>
      </c>
      <c r="BH265" s="351">
        <f t="array" ref="BH265">IF(Ration_complète_bovins[somme]&gt;0,0,IFERROR(IF(OR(AND(INDEX(Règles_bovins[Specificite],MATCH(ChoixRationBovins&amp;$BB265,Règles_bovins[Ration]&amp;Règles_bovins[Aliment],0))="s1",IF($BB265=Spécificité1Bovins,1)),
AND(INDEX(Règles_bovins[Specificite],MATCH(ChoixRationBovins&amp;$BB265,Règles_bovins[Ration]&amp;Règles_bovins[Aliment],0))="s2",IF($BB265=Spécificité2Bovins,1)),
INDEX(Règles_bovins[Specificite],MATCH(ChoixRationBovins&amp;$BB265,Règles_bovins[Ration]&amp;Règles_bovins[Aliment],0))="c"),
INDEX(Règles_bovins[Valeur 3-6],MATCH(ChoixRationBovins&amp;$BB265,Règles_bovins[Ration]&amp;Règles_bovins[Aliment],0)),0),0)*IF(ChoixBovinsPréHiver=OUI,TotalVeauFemelle_3_6_RacesLaitières,TotalBovinsFemelles_3_6mois*NbreJoursNourrirBovins))</f>
        <v>0</v>
      </c>
      <c r="BI265" s="351">
        <f t="array" ref="BI265">IF(Ration_complète_bovins[somme]&gt;0,0,IFERROR(IF(OR(AND(INDEX(Règles_bovins[Specificite],MATCH(ChoixRationBovins&amp;$BB265,Règles_bovins[Ration]&amp;Règles_bovins[Aliment],0))="s1",IF($BB265=Spécificité1Bovins,1)),
AND(INDEX(Règles_bovins[Specificite],MATCH(ChoixRationBovins&amp;$BB265,Règles_bovins[Ration]&amp;Règles_bovins[Aliment],0))="s2",IF($BB265=Spécificité2Bovins,1)),
INDEX(Règles_bovins[Specificite],MATCH(ChoixRationBovins&amp;$BB265,Règles_bovins[Ration]&amp;Règles_bovins[Aliment],0))="c"),
INDEX(Règles_bovins[Valeur 0-3],MATCH(ChoixRationBovins&amp;$BB265,Règles_bovins[Ration]&amp;Règles_bovins[Aliment],0)),0),0)*IF(ChoixBovinsPréHiver=OUI,TotalVeauFemelle_0_3_RacesLaitières,TotalBovinsFemelles_0_3mois*NbreJoursNourrirBovins))</f>
        <v>0</v>
      </c>
      <c r="BJ265" s="352">
        <f t="shared" si="67"/>
        <v>0</v>
      </c>
      <c r="BX265" s="277"/>
      <c r="BY265" s="277"/>
      <c r="BZ265" s="277"/>
      <c r="CA265" s="277"/>
      <c r="CB265" s="277"/>
      <c r="CC265" s="277"/>
      <c r="CD265" s="298"/>
      <c r="CE265" s="298"/>
      <c r="CF265" s="298"/>
      <c r="CG265" s="298"/>
      <c r="CI265" s="277"/>
      <c r="CK265" s="277"/>
      <c r="CL265" s="277"/>
      <c r="CM265" s="277"/>
      <c r="CN265" s="277"/>
      <c r="CO265" s="277"/>
      <c r="CP265" s="277"/>
      <c r="DN265" s="350" t="str">
        <f t="shared" si="70"/>
        <v>Soja</v>
      </c>
      <c r="DO265" s="351">
        <f t="array" ref="DO265">IF(ChoixRationHivernaleOvinsComplète=OUI,0,IFERROR(IF(OR(AND(INDEX(Règles_ovins[Specificite],MATCH(RationHivernaleOvinsAuPré&amp;$DN265,Règles_ovins[Ration]&amp;Règles_ovins[Aliment],0))="s1",IF($DN265=Spécificité1Ovins,1)),
AND(INDEX(Règles_ovins[Specificite],MATCH(RationHivernaleOvinsAuPré&amp;$DN265,Règles_ovins[Ration]&amp;Règles_ovins[Aliment],0))="s2",IF($DN265=Spécificité2Ovins,1)),
INDEX(Règles_ovins[Specificite],MATCH(RationHivernaleOvinsAuPré&amp;$DN265,Règles_ovins[Ration]&amp;Règles_ovins[Aliment],0))="c"),
INDEX(Règles_ovins[Valeur 12 et plus],MATCH(RationHivernaleOvinsAuPré&amp;$DN265,Règles_ovins[Ration]&amp;Règles_ovins[Aliment],0)),0),0)*IF(SUM(TotalOvinsAdultesAuPré)&gt;0,SUM(TotalOvinsAdultesAuPré)*SUM(AD76:AD100),SUM(TotalOvinsAdultes)*SUM(AD76:AD100)))</f>
        <v>0</v>
      </c>
      <c r="DP265" s="351">
        <f t="array" ref="DP265">IF(ChoixRationHivernaleOvinsComplète=OUI,0,IFERROR(IF(OR(AND(INDEX(Règles_ovins[Specificite],MATCH(RationHivernaleOvinsAuPré&amp;$DN265,Règles_ovins[Ration]&amp;Règles_ovins[Aliment],0))="s1",IF($DN265=Spécificité1Ovins,1)),
AND(INDEX(Règles_ovins[Specificite],MATCH(RationHivernaleOvinsAuPré&amp;$DN265,Règles_ovins[Ration]&amp;Règles_ovins[Aliment],0))="s2",IF($DN265=Spécificité2Ovins,1)),
INDEX(Règles_ovins[Specificite],MATCH(RationHivernaleOvinsAuPré&amp;$DN265,Règles_ovins[Ration]&amp;Règles_ovins[Aliment],0))="c"),
INDEX(Règles_ovins[Valeur 6-12],MATCH(RationHivernaleOvinsAuPré&amp;$DN265,Règles_ovins[Ration]&amp;Règles_ovins[Aliment],0)),0),0)*IF(SUM(TotalOvins_6_12moisAuPré)&gt;0,SUM(TotalOvins_6_12moisAuPré)*SUM(AD76:AD100),SUM(TotalJeunesOvins)*SUM(AD76:AD100)))</f>
        <v>0</v>
      </c>
      <c r="DQ265" s="351">
        <f t="array" ref="DQ265">IF(ChoixRationHivernaleOvinsComplète=OUI,0,IFERROR(IF(OR(AND(INDEX(Règles_ovins[Specificite],MATCH(RationHivernaleOvinsAuPré&amp;$DN265,Règles_ovins[Ration]&amp;Règles_ovins[Aliment],0))="s1",IF($DN265=Spécificité1Ovins,1)),
AND(INDEX(Règles_ovins[Specificite],MATCH(RationHivernaleOvinsAuPré&amp;$DN265,Règles_ovins[Ration]&amp;Règles_ovins[Aliment],0))="s2",IF($DN265=Spécificité2Ovins,1)),
INDEX(Règles_ovins[Specificite],MATCH(RationHivernaleOvinsAuPré&amp;$DN265,Règles_ovins[Ration]&amp;Règles_ovins[Aliment],0))="c"),
INDEX(Règles_ovins[Valeur 3-6],MATCH(RationHivernaleOvinsAuPré&amp;$DN265,Règles_ovins[Ration]&amp;Règles_ovins[Aliment],0)),0),0)*IF(SUM(TotalOvins_3_6moisAuPré)&gt;0,SUM(TotalOvins_3_6moisAuPré)*SUM(AD76:AD100),SUM(TotalOvins_3_6mois)*SUM(AD76:AD100)))</f>
        <v>0</v>
      </c>
      <c r="DR265" s="351">
        <f t="array" ref="DR265">IF(ChoixRationHivernaleOvinsComplète=OUI,0,IFERROR(IF(OR(AND(INDEX(Règles_ovins[Specificite],MATCH(RationHivernaleOvinsAuPré&amp;$DN265,Règles_ovins[Ration]&amp;Règles_ovins[Aliment],0))="s1",IF($DN265=Spécificité1Ovins,1)),
AND(INDEX(Règles_ovins[Specificite],MATCH(RationHivernaleOvinsAuPré&amp;$DN265,Règles_ovins[Ration]&amp;Règles_ovins[Aliment],0))="s2",IF($DN265=Spécificité2Ovins,1)),
INDEX(Règles_ovins[Specificite],MATCH(RationHivernaleOvinsAuPré&amp;$DN265,Règles_ovins[Ration]&amp;Règles_ovins[Aliment],0))="c"),
INDEX(Règles_ovins[Valeur 0-3],MATCH(RationHivernaleOvinsAuPré&amp;$DN265,Règles_ovins[Ration]&amp;Règles_ovins[Aliment],0)),0),0)*IF(SUM(TotalOvins_0_3moisAuPré)&gt;0,SUM(TotalOvins_0_3moisAuPré)*SUM(AD76:AD100),SUM(TotalOvins_3_6mois)*SUM(AD76:AD100)))</f>
        <v>0</v>
      </c>
      <c r="DS265" s="441">
        <f t="shared" si="69"/>
        <v>0</v>
      </c>
      <c r="GG265" s="276" t="s">
        <v>955</v>
      </c>
      <c r="GH265" s="276" t="s">
        <v>955</v>
      </c>
      <c r="GI265" s="276" t="s">
        <v>955</v>
      </c>
      <c r="GJ265" s="276" t="s">
        <v>955</v>
      </c>
      <c r="GK265" s="276" t="s">
        <v>955</v>
      </c>
      <c r="GL265" s="276" t="s">
        <v>955</v>
      </c>
      <c r="GM265" s="276" t="s">
        <v>955</v>
      </c>
      <c r="GN265" s="276" t="s">
        <v>955</v>
      </c>
      <c r="GO265" s="276" t="s">
        <v>955</v>
      </c>
      <c r="GP265" s="276" t="s">
        <v>955</v>
      </c>
      <c r="GQ265" s="276" t="s">
        <v>955</v>
      </c>
      <c r="GR265" s="276" t="s">
        <v>955</v>
      </c>
      <c r="GS265" s="276" t="s">
        <v>955</v>
      </c>
      <c r="GT265" s="276" t="s">
        <v>955</v>
      </c>
      <c r="GU265" s="276" t="s">
        <v>955</v>
      </c>
      <c r="GV265" s="276" t="s">
        <v>955</v>
      </c>
    </row>
    <row r="266" spans="1:204" ht="12.75" customHeight="1" x14ac:dyDescent="0.2">
      <c r="A266" s="276"/>
      <c r="B266" s="276"/>
      <c r="BB266" s="350" t="str">
        <f t="shared" si="68"/>
        <v>Tourteau de colza</v>
      </c>
      <c r="BC266" s="351">
        <f t="array" ref="BC266">IF(Ration_complète_bovins[somme]&gt;0,0,IFERROR(IF(OR(AND(INDEX(Règles_bovins[Specificite],MATCH(ChoixRationBovins&amp;$BB266,Règles_bovins[Ration]&amp;Règles_bovins[Aliment],0))="s1",IF($BB266=Spécificité1Bovins,1)),
AND(INDEX(Règles_bovins[Specificite],MATCH(ChoixRationBovins&amp;$BB266,Règles_bovins[Ration]&amp;Règles_bovins[Aliment],0))="s2",IF($BB266=Spécificité2Bovins,1)),
INDEX(Règles_bovins[Specificite],MATCH(ChoixRationBovins&amp;$BB266,Règles_bovins[Ration]&amp;Règles_bovins[Aliment],0))="c"),
INDEX(Règles_bovins[Valeur 36 et plus],MATCH(ChoixRationBovins&amp;$BB266,Règles_bovins[Ration]&amp;Règles_bovins[Aliment],0)),0),0)*IF(ChoixBovinsPréHiver=OUI,TotalVachesRacesLaitières,TotalVaches*NbreJoursNourrirBovins))</f>
        <v>0</v>
      </c>
      <c r="BD266" s="351">
        <f t="array" ref="BD266">IF(Ration_complète_bovins[somme]&gt;0,0,IFERROR(IF(OR(AND(INDEX(Règles_bovins[Specificite],MATCH(ChoixRationBovins&amp;$BB266,Règles_bovins[Ration]&amp;Règles_bovins[Aliment],0))="s1",IF($BB266=Spécificité1Bovins,1)),
AND(INDEX(Règles_bovins[Specificite],MATCH(ChoixRationBovins&amp;$BB266,Règles_bovins[Ration]&amp;Règles_bovins[Aliment],0))="s2",IF($BB266=Spécificité2Bovins,1)),
INDEX(Règles_bovins[Specificite],MATCH(ChoixRationBovins&amp;$BB266,Règles_bovins[Ration]&amp;Règles_bovins[Aliment],0))="c"),
INDEX(Règles_bovins[Valeur 24-36],MATCH(ChoixRationBovins&amp;$BB266,Règles_bovins[Ration]&amp;Règles_bovins[Aliment],0)),0),0)*IF(ChoixBovinsPréHiver=OUI,TotalGénisse_24_36_RacesLaitières,TotalBovinsFemelles_24_36mois*NbreJoursNourrirBovins))</f>
        <v>0</v>
      </c>
      <c r="BE266" s="351">
        <f t="array" ref="BE266">IF(Ration_complète_bovins[somme]&gt;0,0,IFERROR(IF(OR(AND(INDEX(Règles_bovins[Specificite],MATCH(ChoixRationBovins&amp;$BB266,Règles_bovins[Ration]&amp;Règles_bovins[Aliment],0))="s1",IF($BB266=Spécificité1Bovins,1)),
AND(INDEX(Règles_bovins[Specificite],MATCH(ChoixRationBovins&amp;$BB266,Règles_bovins[Ration]&amp;Règles_bovins[Aliment],0))="s2",IF($BB266=Spécificité2Bovins,1)),
INDEX(Règles_bovins[Specificite],MATCH(ChoixRationBovins&amp;$BB266,Règles_bovins[Ration]&amp;Règles_bovins[Aliment],0))="c"),
INDEX(Règles_bovins[Valeur 18-24],MATCH(ChoixRationBovins&amp;$BB266,Règles_bovins[Ration]&amp;Règles_bovins[Aliment],0)),0),0)*IF(ChoixBovinsPréHiver=OUI,TotalGénisse_18_24_RacesLaitières,TotalBovinsFemelles_18_24mois*NbreJoursNourrirBovins))</f>
        <v>0</v>
      </c>
      <c r="BF266" s="351">
        <f t="array" ref="BF266">IF(Ration_complète_bovins[somme]&gt;0,0,IFERROR(IF(OR(AND(INDEX(Règles_bovins[Specificite],MATCH(ChoixRationBovins&amp;$BB266,Règles_bovins[Ration]&amp;Règles_bovins[Aliment],0))="s1",IF($BB266=Spécificité1Bovins,1)),
AND(INDEX(Règles_bovins[Specificite],MATCH(ChoixRationBovins&amp;$BB266,Règles_bovins[Ration]&amp;Règles_bovins[Aliment],0))="s2",IF($BB266=Spécificité2Bovins,1)),
INDEX(Règles_bovins[Specificite],MATCH(ChoixRationBovins&amp;$BB266,Règles_bovins[Ration]&amp;Règles_bovins[Aliment],0))="c"),
INDEX(Règles_bovins[Valeur 12-18],MATCH(ChoixRationBovins&amp;$BB266,Règles_bovins[Ration]&amp;Règles_bovins[Aliment],0)),0),0)*IF(ChoixBovinsPréHiver=OUI,TotalGénisse_12_18_RacesLaitières,TotalBovinsFemelles_12_18mois*NbreJoursNourrirBovins))</f>
        <v>0</v>
      </c>
      <c r="BG266" s="351">
        <f t="array" ref="BG266">IF(Ration_complète_bovins[somme]&gt;0,0,IFERROR(IF(OR(AND(INDEX(Règles_bovins[Specificite],MATCH(ChoixRationBovins&amp;$BB266,Règles_bovins[Ration]&amp;Règles_bovins[Aliment],0))="s1",IF($BB266=Spécificité1Bovins,1)),
AND(INDEX(Règles_bovins[Specificite],MATCH(ChoixRationBovins&amp;$BB266,Règles_bovins[Ration]&amp;Règles_bovins[Aliment],0))="s2",IF($BB266=Spécificité2Bovins,1)),
INDEX(Règles_bovins[Specificite],MATCH(ChoixRationBovins&amp;$BB266,Règles_bovins[Ration]&amp;Règles_bovins[Aliment],0))="c"),
INDEX(Règles_bovins[Valeur 6-12],MATCH(ChoixRationBovins&amp;$BB266,Règles_bovins[Ration]&amp;Règles_bovins[Aliment],0)),0),0)*IF(ChoixBovinsPréHiver=OUI,TotalVeauFemelle_6_12_RacesLaitières,TotalBovinsFemelles_6_12mois*NbreJoursNourrirBovins))</f>
        <v>0</v>
      </c>
      <c r="BH266" s="351">
        <f t="array" ref="BH266">IF(Ration_complète_bovins[somme]&gt;0,0,IFERROR(IF(OR(AND(INDEX(Règles_bovins[Specificite],MATCH(ChoixRationBovins&amp;$BB266,Règles_bovins[Ration]&amp;Règles_bovins[Aliment],0))="s1",IF($BB266=Spécificité1Bovins,1)),
AND(INDEX(Règles_bovins[Specificite],MATCH(ChoixRationBovins&amp;$BB266,Règles_bovins[Ration]&amp;Règles_bovins[Aliment],0))="s2",IF($BB266=Spécificité2Bovins,1)),
INDEX(Règles_bovins[Specificite],MATCH(ChoixRationBovins&amp;$BB266,Règles_bovins[Ration]&amp;Règles_bovins[Aliment],0))="c"),
INDEX(Règles_bovins[Valeur 3-6],MATCH(ChoixRationBovins&amp;$BB266,Règles_bovins[Ration]&amp;Règles_bovins[Aliment],0)),0),0)*IF(ChoixBovinsPréHiver=OUI,TotalVeauFemelle_3_6_RacesLaitières,TotalBovinsFemelles_3_6mois*NbreJoursNourrirBovins))</f>
        <v>0</v>
      </c>
      <c r="BI266" s="351">
        <f t="array" ref="BI266">IF(Ration_complète_bovins[somme]&gt;0,0,IFERROR(IF(OR(AND(INDEX(Règles_bovins[Specificite],MATCH(ChoixRationBovins&amp;$BB266,Règles_bovins[Ration]&amp;Règles_bovins[Aliment],0))="s1",IF($BB266=Spécificité1Bovins,1)),
AND(INDEX(Règles_bovins[Specificite],MATCH(ChoixRationBovins&amp;$BB266,Règles_bovins[Ration]&amp;Règles_bovins[Aliment],0))="s2",IF($BB266=Spécificité2Bovins,1)),
INDEX(Règles_bovins[Specificite],MATCH(ChoixRationBovins&amp;$BB266,Règles_bovins[Ration]&amp;Règles_bovins[Aliment],0))="c"),
INDEX(Règles_bovins[Valeur 0-3],MATCH(ChoixRationBovins&amp;$BB266,Règles_bovins[Ration]&amp;Règles_bovins[Aliment],0)),0),0)*IF(ChoixBovinsPréHiver=OUI,TotalVeauFemelle_0_3_RacesLaitières,TotalBovinsFemelles_0_3mois*NbreJoursNourrirBovins))</f>
        <v>0</v>
      </c>
      <c r="BJ266" s="352">
        <f t="shared" si="67"/>
        <v>0</v>
      </c>
      <c r="BX266" s="277"/>
      <c r="BY266" s="277"/>
      <c r="BZ266" s="277"/>
      <c r="CA266" s="277"/>
      <c r="CB266" s="277"/>
      <c r="CC266" s="277"/>
      <c r="CD266" s="298"/>
      <c r="CE266" s="298"/>
      <c r="CF266" s="298"/>
      <c r="CG266" s="298"/>
      <c r="CI266" s="277"/>
      <c r="CK266" s="277"/>
      <c r="CL266" s="277"/>
      <c r="CM266" s="277"/>
      <c r="CN266" s="277"/>
      <c r="CO266" s="277"/>
      <c r="CP266" s="277"/>
      <c r="DN266" s="350" t="str">
        <f t="shared" si="70"/>
        <v>Sorgho ensilé</v>
      </c>
      <c r="DO266" s="351">
        <f t="array" ref="DO266">IF(ChoixRationHivernaleOvinsComplète=OUI,0,IFERROR(IF(OR(AND(INDEX(Règles_ovins[Specificite],MATCH(RationHivernaleOvinsAuPré&amp;$DN266,Règles_ovins[Ration]&amp;Règles_ovins[Aliment],0))="s1",IF($DN266=Spécificité1Ovins,1)),
AND(INDEX(Règles_ovins[Specificite],MATCH(RationHivernaleOvinsAuPré&amp;$DN266,Règles_ovins[Ration]&amp;Règles_ovins[Aliment],0))="s2",IF($DN266=Spécificité2Ovins,1)),
INDEX(Règles_ovins[Specificite],MATCH(RationHivernaleOvinsAuPré&amp;$DN266,Règles_ovins[Ration]&amp;Règles_ovins[Aliment],0))="c"),
INDEX(Règles_ovins[Valeur 12 et plus],MATCH(RationHivernaleOvinsAuPré&amp;$DN266,Règles_ovins[Ration]&amp;Règles_ovins[Aliment],0)),0),0)*IF(SUM(TotalOvinsAdultesAuPré)&gt;0,SUM(TotalOvinsAdultesAuPré)*SUM(AD76:AD100),SUM(TotalOvinsAdultes)*SUM(AD76:AD100)))</f>
        <v>0</v>
      </c>
      <c r="DP266" s="351">
        <f t="array" ref="DP266">IF(ChoixRationHivernaleOvinsComplète=OUI,0,IFERROR(IF(OR(AND(INDEX(Règles_ovins[Specificite],MATCH(RationHivernaleOvinsAuPré&amp;$DN266,Règles_ovins[Ration]&amp;Règles_ovins[Aliment],0))="s1",IF($DN266=Spécificité1Ovins,1)),
AND(INDEX(Règles_ovins[Specificite],MATCH(RationHivernaleOvinsAuPré&amp;$DN266,Règles_ovins[Ration]&amp;Règles_ovins[Aliment],0))="s2",IF($DN266=Spécificité2Ovins,1)),
INDEX(Règles_ovins[Specificite],MATCH(RationHivernaleOvinsAuPré&amp;$DN266,Règles_ovins[Ration]&amp;Règles_ovins[Aliment],0))="c"),
INDEX(Règles_ovins[Valeur 6-12],MATCH(RationHivernaleOvinsAuPré&amp;$DN266,Règles_ovins[Ration]&amp;Règles_ovins[Aliment],0)),0),0)*IF(SUM(TotalOvins_6_12moisAuPré)&gt;0,SUM(TotalOvins_6_12moisAuPré)*SUM(AD76:AD100),SUM(TotalJeunesOvins)*SUM(AD76:AD100)))</f>
        <v>0</v>
      </c>
      <c r="DQ266" s="351">
        <f t="array" ref="DQ266">IF(ChoixRationHivernaleOvinsComplète=OUI,0,IFERROR(IF(OR(AND(INDEX(Règles_ovins[Specificite],MATCH(RationHivernaleOvinsAuPré&amp;$DN266,Règles_ovins[Ration]&amp;Règles_ovins[Aliment],0))="s1",IF($DN266=Spécificité1Ovins,1)),
AND(INDEX(Règles_ovins[Specificite],MATCH(RationHivernaleOvinsAuPré&amp;$DN266,Règles_ovins[Ration]&amp;Règles_ovins[Aliment],0))="s2",IF($DN266=Spécificité2Ovins,1)),
INDEX(Règles_ovins[Specificite],MATCH(RationHivernaleOvinsAuPré&amp;$DN266,Règles_ovins[Ration]&amp;Règles_ovins[Aliment],0))="c"),
INDEX(Règles_ovins[Valeur 3-6],MATCH(RationHivernaleOvinsAuPré&amp;$DN266,Règles_ovins[Ration]&amp;Règles_ovins[Aliment],0)),0),0)*IF(SUM(TotalOvins_3_6moisAuPré)&gt;0,SUM(TotalOvins_3_6moisAuPré)*SUM(AD76:AD100),SUM(TotalOvins_3_6mois)*SUM(AD76:AD100)))</f>
        <v>0</v>
      </c>
      <c r="DR266" s="351">
        <f t="array" ref="DR266">IF(ChoixRationHivernaleOvinsComplète=OUI,0,IFERROR(IF(OR(AND(INDEX(Règles_ovins[Specificite],MATCH(RationHivernaleOvinsAuPré&amp;$DN266,Règles_ovins[Ration]&amp;Règles_ovins[Aliment],0))="s1",IF($DN266=Spécificité1Ovins,1)),
AND(INDEX(Règles_ovins[Specificite],MATCH(RationHivernaleOvinsAuPré&amp;$DN266,Règles_ovins[Ration]&amp;Règles_ovins[Aliment],0))="s2",IF($DN266=Spécificité2Ovins,1)),
INDEX(Règles_ovins[Specificite],MATCH(RationHivernaleOvinsAuPré&amp;$DN266,Règles_ovins[Ration]&amp;Règles_ovins[Aliment],0))="c"),
INDEX(Règles_ovins[Valeur 0-3],MATCH(RationHivernaleOvinsAuPré&amp;$DN266,Règles_ovins[Ration]&amp;Règles_ovins[Aliment],0)),0),0)*IF(SUM(TotalOvins_0_3moisAuPré)&gt;0,SUM(TotalOvins_0_3moisAuPré)*SUM(AD76:AD100),SUM(TotalOvins_3_6mois)*SUM(AD76:AD100)))</f>
        <v>0</v>
      </c>
      <c r="DS266" s="441">
        <f t="shared" si="69"/>
        <v>0</v>
      </c>
      <c r="GG266" s="276" t="s">
        <v>955</v>
      </c>
      <c r="GH266" s="276" t="s">
        <v>955</v>
      </c>
      <c r="GI266" s="276" t="s">
        <v>955</v>
      </c>
      <c r="GJ266" s="276" t="s">
        <v>955</v>
      </c>
      <c r="GK266" s="276" t="s">
        <v>955</v>
      </c>
      <c r="GL266" s="276" t="s">
        <v>955</v>
      </c>
      <c r="GM266" s="276" t="s">
        <v>955</v>
      </c>
      <c r="GN266" s="276" t="s">
        <v>955</v>
      </c>
      <c r="GO266" s="276" t="s">
        <v>955</v>
      </c>
      <c r="GP266" s="276" t="s">
        <v>955</v>
      </c>
      <c r="GQ266" s="276" t="s">
        <v>955</v>
      </c>
      <c r="GR266" s="276" t="s">
        <v>955</v>
      </c>
      <c r="GS266" s="276" t="s">
        <v>955</v>
      </c>
      <c r="GT266" s="276" t="s">
        <v>955</v>
      </c>
      <c r="GU266" s="276" t="s">
        <v>955</v>
      </c>
      <c r="GV266" s="276" t="s">
        <v>955</v>
      </c>
    </row>
    <row r="267" spans="1:204" ht="12.75" customHeight="1" x14ac:dyDescent="0.2">
      <c r="A267" s="276"/>
      <c r="B267" s="276"/>
      <c r="BB267" s="350" t="str">
        <f t="shared" si="68"/>
        <v>Tourteau de tournesol</v>
      </c>
      <c r="BC267" s="351">
        <f t="array" ref="BC267">IF(Ration_complète_bovins[somme]&gt;0,0,IFERROR(IF(OR(AND(INDEX(Règles_bovins[Specificite],MATCH(ChoixRationBovins&amp;$BB267,Règles_bovins[Ration]&amp;Règles_bovins[Aliment],0))="s1",IF($BB267=Spécificité1Bovins,1)),
AND(INDEX(Règles_bovins[Specificite],MATCH(ChoixRationBovins&amp;$BB267,Règles_bovins[Ration]&amp;Règles_bovins[Aliment],0))="s2",IF($BB267=Spécificité2Bovins,1)),
INDEX(Règles_bovins[Specificite],MATCH(ChoixRationBovins&amp;$BB267,Règles_bovins[Ration]&amp;Règles_bovins[Aliment],0))="c"),
INDEX(Règles_bovins[Valeur 36 et plus],MATCH(ChoixRationBovins&amp;$BB267,Règles_bovins[Ration]&amp;Règles_bovins[Aliment],0)),0),0)*IF(ChoixBovinsPréHiver=OUI,TotalVachesRacesLaitières,TotalVaches*NbreJoursNourrirBovins))</f>
        <v>0</v>
      </c>
      <c r="BD267" s="351">
        <f t="array" ref="BD267">IF(Ration_complète_bovins[somme]&gt;0,0,IFERROR(IF(OR(AND(INDEX(Règles_bovins[Specificite],MATCH(ChoixRationBovins&amp;$BB267,Règles_bovins[Ration]&amp;Règles_bovins[Aliment],0))="s1",IF($BB267=Spécificité1Bovins,1)),
AND(INDEX(Règles_bovins[Specificite],MATCH(ChoixRationBovins&amp;$BB267,Règles_bovins[Ration]&amp;Règles_bovins[Aliment],0))="s2",IF($BB267=Spécificité2Bovins,1)),
INDEX(Règles_bovins[Specificite],MATCH(ChoixRationBovins&amp;$BB267,Règles_bovins[Ration]&amp;Règles_bovins[Aliment],0))="c"),
INDEX(Règles_bovins[Valeur 24-36],MATCH(ChoixRationBovins&amp;$BB267,Règles_bovins[Ration]&amp;Règles_bovins[Aliment],0)),0),0)*IF(ChoixBovinsPréHiver=OUI,TotalGénisse_24_36_RacesLaitières,TotalBovinsFemelles_24_36mois*NbreJoursNourrirBovins))</f>
        <v>0</v>
      </c>
      <c r="BE267" s="351">
        <f t="array" ref="BE267">IF(Ration_complète_bovins[somme]&gt;0,0,IFERROR(IF(OR(AND(INDEX(Règles_bovins[Specificite],MATCH(ChoixRationBovins&amp;$BB267,Règles_bovins[Ration]&amp;Règles_bovins[Aliment],0))="s1",IF($BB267=Spécificité1Bovins,1)),
AND(INDEX(Règles_bovins[Specificite],MATCH(ChoixRationBovins&amp;$BB267,Règles_bovins[Ration]&amp;Règles_bovins[Aliment],0))="s2",IF($BB267=Spécificité2Bovins,1)),
INDEX(Règles_bovins[Specificite],MATCH(ChoixRationBovins&amp;$BB267,Règles_bovins[Ration]&amp;Règles_bovins[Aliment],0))="c"),
INDEX(Règles_bovins[Valeur 18-24],MATCH(ChoixRationBovins&amp;$BB267,Règles_bovins[Ration]&amp;Règles_bovins[Aliment],0)),0),0)*IF(ChoixBovinsPréHiver=OUI,TotalGénisse_18_24_RacesLaitières,TotalBovinsFemelles_18_24mois*NbreJoursNourrirBovins))</f>
        <v>0</v>
      </c>
      <c r="BF267" s="351">
        <f t="array" ref="BF267">IF(Ration_complète_bovins[somme]&gt;0,0,IFERROR(IF(OR(AND(INDEX(Règles_bovins[Specificite],MATCH(ChoixRationBovins&amp;$BB267,Règles_bovins[Ration]&amp;Règles_bovins[Aliment],0))="s1",IF($BB267=Spécificité1Bovins,1)),
AND(INDEX(Règles_bovins[Specificite],MATCH(ChoixRationBovins&amp;$BB267,Règles_bovins[Ration]&amp;Règles_bovins[Aliment],0))="s2",IF($BB267=Spécificité2Bovins,1)),
INDEX(Règles_bovins[Specificite],MATCH(ChoixRationBovins&amp;$BB267,Règles_bovins[Ration]&amp;Règles_bovins[Aliment],0))="c"),
INDEX(Règles_bovins[Valeur 12-18],MATCH(ChoixRationBovins&amp;$BB267,Règles_bovins[Ration]&amp;Règles_bovins[Aliment],0)),0),0)*IF(ChoixBovinsPréHiver=OUI,TotalGénisse_12_18_RacesLaitières,TotalBovinsFemelles_12_18mois*NbreJoursNourrirBovins))</f>
        <v>0</v>
      </c>
      <c r="BG267" s="351">
        <f t="array" ref="BG267">IF(Ration_complète_bovins[somme]&gt;0,0,IFERROR(IF(OR(AND(INDEX(Règles_bovins[Specificite],MATCH(ChoixRationBovins&amp;$BB267,Règles_bovins[Ration]&amp;Règles_bovins[Aliment],0))="s1",IF($BB267=Spécificité1Bovins,1)),
AND(INDEX(Règles_bovins[Specificite],MATCH(ChoixRationBovins&amp;$BB267,Règles_bovins[Ration]&amp;Règles_bovins[Aliment],0))="s2",IF($BB267=Spécificité2Bovins,1)),
INDEX(Règles_bovins[Specificite],MATCH(ChoixRationBovins&amp;$BB267,Règles_bovins[Ration]&amp;Règles_bovins[Aliment],0))="c"),
INDEX(Règles_bovins[Valeur 6-12],MATCH(ChoixRationBovins&amp;$BB267,Règles_bovins[Ration]&amp;Règles_bovins[Aliment],0)),0),0)*IF(ChoixBovinsPréHiver=OUI,TotalVeauFemelle_6_12_RacesLaitières,TotalBovinsFemelles_6_12mois*NbreJoursNourrirBovins))</f>
        <v>0</v>
      </c>
      <c r="BH267" s="351">
        <f t="array" ref="BH267">IF(Ration_complète_bovins[somme]&gt;0,0,IFERROR(IF(OR(AND(INDEX(Règles_bovins[Specificite],MATCH(ChoixRationBovins&amp;$BB267,Règles_bovins[Ration]&amp;Règles_bovins[Aliment],0))="s1",IF($BB267=Spécificité1Bovins,1)),
AND(INDEX(Règles_bovins[Specificite],MATCH(ChoixRationBovins&amp;$BB267,Règles_bovins[Ration]&amp;Règles_bovins[Aliment],0))="s2",IF($BB267=Spécificité2Bovins,1)),
INDEX(Règles_bovins[Specificite],MATCH(ChoixRationBovins&amp;$BB267,Règles_bovins[Ration]&amp;Règles_bovins[Aliment],0))="c"),
INDEX(Règles_bovins[Valeur 3-6],MATCH(ChoixRationBovins&amp;$BB267,Règles_bovins[Ration]&amp;Règles_bovins[Aliment],0)),0),0)*IF(ChoixBovinsPréHiver=OUI,TotalVeauFemelle_3_6_RacesLaitières,TotalBovinsFemelles_3_6mois*NbreJoursNourrirBovins))</f>
        <v>0</v>
      </c>
      <c r="BI267" s="351">
        <f t="array" ref="BI267">IF(Ration_complète_bovins[somme]&gt;0,0,IFERROR(IF(OR(AND(INDEX(Règles_bovins[Specificite],MATCH(ChoixRationBovins&amp;$BB267,Règles_bovins[Ration]&amp;Règles_bovins[Aliment],0))="s1",IF($BB267=Spécificité1Bovins,1)),
AND(INDEX(Règles_bovins[Specificite],MATCH(ChoixRationBovins&amp;$BB267,Règles_bovins[Ration]&amp;Règles_bovins[Aliment],0))="s2",IF($BB267=Spécificité2Bovins,1)),
INDEX(Règles_bovins[Specificite],MATCH(ChoixRationBovins&amp;$BB267,Règles_bovins[Ration]&amp;Règles_bovins[Aliment],0))="c"),
INDEX(Règles_bovins[Valeur 0-3],MATCH(ChoixRationBovins&amp;$BB267,Règles_bovins[Ration]&amp;Règles_bovins[Aliment],0)),0),0)*IF(ChoixBovinsPréHiver=OUI,TotalVeauFemelle_0_3_RacesLaitières,TotalBovinsFemelles_0_3mois*NbreJoursNourrirBovins))</f>
        <v>0</v>
      </c>
      <c r="BJ267" s="352">
        <f t="shared" si="67"/>
        <v>0</v>
      </c>
      <c r="CD267" s="298"/>
      <c r="CE267" s="298"/>
      <c r="CF267" s="298"/>
      <c r="CG267" s="298"/>
      <c r="CI267" s="277"/>
      <c r="CK267" s="277"/>
      <c r="CL267" s="277"/>
      <c r="CM267" s="277"/>
      <c r="CN267" s="277"/>
      <c r="CO267" s="277"/>
      <c r="CP267" s="277"/>
      <c r="DN267" s="350" t="str">
        <f t="shared" si="70"/>
        <v>Tournesol</v>
      </c>
      <c r="DO267" s="351">
        <f t="array" ref="DO267">IF(ChoixRationHivernaleOvinsComplète=OUI,0,IFERROR(IF(OR(AND(INDEX(Règles_ovins[Specificite],MATCH(RationHivernaleOvinsAuPré&amp;$DN267,Règles_ovins[Ration]&amp;Règles_ovins[Aliment],0))="s1",IF($DN267=Spécificité1Ovins,1)),
AND(INDEX(Règles_ovins[Specificite],MATCH(RationHivernaleOvinsAuPré&amp;$DN267,Règles_ovins[Ration]&amp;Règles_ovins[Aliment],0))="s2",IF($DN267=Spécificité2Ovins,1)),
INDEX(Règles_ovins[Specificite],MATCH(RationHivernaleOvinsAuPré&amp;$DN267,Règles_ovins[Ration]&amp;Règles_ovins[Aliment],0))="c"),
INDEX(Règles_ovins[Valeur 12 et plus],MATCH(RationHivernaleOvinsAuPré&amp;$DN267,Règles_ovins[Ration]&amp;Règles_ovins[Aliment],0)),0),0)*IF(SUM(TotalOvinsAdultesAuPré)&gt;0,SUM(TotalOvinsAdultesAuPré)*SUM(AD76:AD100),SUM(TotalOvinsAdultes)*SUM(AD76:AD100)))</f>
        <v>0</v>
      </c>
      <c r="DP267" s="351">
        <f t="array" ref="DP267">IF(ChoixRationHivernaleOvinsComplète=OUI,0,IFERROR(IF(OR(AND(INDEX(Règles_ovins[Specificite],MATCH(RationHivernaleOvinsAuPré&amp;$DN267,Règles_ovins[Ration]&amp;Règles_ovins[Aliment],0))="s1",IF($DN267=Spécificité1Ovins,1)),
AND(INDEX(Règles_ovins[Specificite],MATCH(RationHivernaleOvinsAuPré&amp;$DN267,Règles_ovins[Ration]&amp;Règles_ovins[Aliment],0))="s2",IF($DN267=Spécificité2Ovins,1)),
INDEX(Règles_ovins[Specificite],MATCH(RationHivernaleOvinsAuPré&amp;$DN267,Règles_ovins[Ration]&amp;Règles_ovins[Aliment],0))="c"),
INDEX(Règles_ovins[Valeur 6-12],MATCH(RationHivernaleOvinsAuPré&amp;$DN267,Règles_ovins[Ration]&amp;Règles_ovins[Aliment],0)),0),0)*IF(SUM(TotalOvins_6_12moisAuPré)&gt;0,SUM(TotalOvins_6_12moisAuPré)*SUM(AD76:AD100),SUM(TotalJeunesOvins)*SUM(AD76:AD100)))</f>
        <v>0</v>
      </c>
      <c r="DQ267" s="351">
        <f t="array" ref="DQ267">IF(ChoixRationHivernaleOvinsComplète=OUI,0,IFERROR(IF(OR(AND(INDEX(Règles_ovins[Specificite],MATCH(RationHivernaleOvinsAuPré&amp;$DN267,Règles_ovins[Ration]&amp;Règles_ovins[Aliment],0))="s1",IF($DN267=Spécificité1Ovins,1)),
AND(INDEX(Règles_ovins[Specificite],MATCH(RationHivernaleOvinsAuPré&amp;$DN267,Règles_ovins[Ration]&amp;Règles_ovins[Aliment],0))="s2",IF($DN267=Spécificité2Ovins,1)),
INDEX(Règles_ovins[Specificite],MATCH(RationHivernaleOvinsAuPré&amp;$DN267,Règles_ovins[Ration]&amp;Règles_ovins[Aliment],0))="c"),
INDEX(Règles_ovins[Valeur 3-6],MATCH(RationHivernaleOvinsAuPré&amp;$DN267,Règles_ovins[Ration]&amp;Règles_ovins[Aliment],0)),0),0)*IF(SUM(TotalOvins_3_6moisAuPré)&gt;0,SUM(TotalOvins_3_6moisAuPré)*SUM(AD76:AD100),SUM(TotalOvins_3_6mois)*SUM(AD76:AD100)))</f>
        <v>0</v>
      </c>
      <c r="DR267" s="351">
        <f t="array" ref="DR267">IF(ChoixRationHivernaleOvinsComplète=OUI,0,IFERROR(IF(OR(AND(INDEX(Règles_ovins[Specificite],MATCH(RationHivernaleOvinsAuPré&amp;$DN267,Règles_ovins[Ration]&amp;Règles_ovins[Aliment],0))="s1",IF($DN267=Spécificité1Ovins,1)),
AND(INDEX(Règles_ovins[Specificite],MATCH(RationHivernaleOvinsAuPré&amp;$DN267,Règles_ovins[Ration]&amp;Règles_ovins[Aliment],0))="s2",IF($DN267=Spécificité2Ovins,1)),
INDEX(Règles_ovins[Specificite],MATCH(RationHivernaleOvinsAuPré&amp;$DN267,Règles_ovins[Ration]&amp;Règles_ovins[Aliment],0))="c"),
INDEX(Règles_ovins[Valeur 0-3],MATCH(RationHivernaleOvinsAuPré&amp;$DN267,Règles_ovins[Ration]&amp;Règles_ovins[Aliment],0)),0),0)*IF(SUM(TotalOvins_0_3moisAuPré)&gt;0,SUM(TotalOvins_0_3moisAuPré)*SUM(AD76:AD100),SUM(TotalOvins_3_6mois)*SUM(AD76:AD100)))</f>
        <v>0</v>
      </c>
      <c r="DS267" s="441">
        <f t="shared" si="69"/>
        <v>0</v>
      </c>
      <c r="GG267" s="276" t="s">
        <v>955</v>
      </c>
      <c r="GH267" s="276" t="s">
        <v>955</v>
      </c>
      <c r="GI267" s="276" t="s">
        <v>955</v>
      </c>
      <c r="GJ267" s="276" t="s">
        <v>955</v>
      </c>
      <c r="GK267" s="276" t="s">
        <v>955</v>
      </c>
      <c r="GL267" s="276" t="s">
        <v>955</v>
      </c>
      <c r="GM267" s="276" t="s">
        <v>955</v>
      </c>
      <c r="GN267" s="276" t="s">
        <v>955</v>
      </c>
      <c r="GO267" s="276" t="s">
        <v>955</v>
      </c>
      <c r="GP267" s="276" t="s">
        <v>955</v>
      </c>
      <c r="GQ267" s="276" t="s">
        <v>955</v>
      </c>
      <c r="GR267" s="276" t="s">
        <v>955</v>
      </c>
      <c r="GS267" s="276" t="s">
        <v>955</v>
      </c>
      <c r="GT267" s="276" t="s">
        <v>955</v>
      </c>
      <c r="GU267" s="276" t="s">
        <v>955</v>
      </c>
      <c r="GV267" s="276" t="s">
        <v>955</v>
      </c>
    </row>
    <row r="268" spans="1:204" ht="12.75" customHeight="1" x14ac:dyDescent="0.2">
      <c r="A268" s="276"/>
      <c r="B268" s="276"/>
      <c r="BB268" s="350" t="str">
        <f t="shared" si="68"/>
        <v>Triticale</v>
      </c>
      <c r="BC268" s="351">
        <f t="array" ref="BC268">IF(Ration_complète_bovins[somme]&gt;0,0,IFERROR(IF(OR(AND(INDEX(Règles_bovins[Specificite],MATCH(ChoixRationBovins&amp;$BB268,Règles_bovins[Ration]&amp;Règles_bovins[Aliment],0))="s1",IF($BB268=Spécificité1Bovins,1)),
AND(INDEX(Règles_bovins[Specificite],MATCH(ChoixRationBovins&amp;$BB268,Règles_bovins[Ration]&amp;Règles_bovins[Aliment],0))="s2",IF($BB268=Spécificité2Bovins,1)),
INDEX(Règles_bovins[Specificite],MATCH(ChoixRationBovins&amp;$BB268,Règles_bovins[Ration]&amp;Règles_bovins[Aliment],0))="c"),
INDEX(Règles_bovins[Valeur 36 et plus],MATCH(ChoixRationBovins&amp;$BB268,Règles_bovins[Ration]&amp;Règles_bovins[Aliment],0)),0),0)*IF(ChoixBovinsPréHiver=OUI,TotalVachesRacesLaitières,TotalVaches*NbreJoursNourrirBovins))</f>
        <v>0</v>
      </c>
      <c r="BD268" s="351">
        <f t="array" ref="BD268">IF(Ration_complète_bovins[somme]&gt;0,0,IFERROR(IF(OR(AND(INDEX(Règles_bovins[Specificite],MATCH(ChoixRationBovins&amp;$BB268,Règles_bovins[Ration]&amp;Règles_bovins[Aliment],0))="s1",IF($BB268=Spécificité1Bovins,1)),
AND(INDEX(Règles_bovins[Specificite],MATCH(ChoixRationBovins&amp;$BB268,Règles_bovins[Ration]&amp;Règles_bovins[Aliment],0))="s2",IF($BB268=Spécificité2Bovins,1)),
INDEX(Règles_bovins[Specificite],MATCH(ChoixRationBovins&amp;$BB268,Règles_bovins[Ration]&amp;Règles_bovins[Aliment],0))="c"),
INDEX(Règles_bovins[Valeur 24-36],MATCH(ChoixRationBovins&amp;$BB268,Règles_bovins[Ration]&amp;Règles_bovins[Aliment],0)),0),0)*IF(ChoixBovinsPréHiver=OUI,TotalGénisse_24_36_RacesLaitières,TotalBovinsFemelles_24_36mois*NbreJoursNourrirBovins))</f>
        <v>0</v>
      </c>
      <c r="BE268" s="351">
        <f t="array" ref="BE268">IF(Ration_complète_bovins[somme]&gt;0,0,IFERROR(IF(OR(AND(INDEX(Règles_bovins[Specificite],MATCH(ChoixRationBovins&amp;$BB268,Règles_bovins[Ration]&amp;Règles_bovins[Aliment],0))="s1",IF($BB268=Spécificité1Bovins,1)),
AND(INDEX(Règles_bovins[Specificite],MATCH(ChoixRationBovins&amp;$BB268,Règles_bovins[Ration]&amp;Règles_bovins[Aliment],0))="s2",IF($BB268=Spécificité2Bovins,1)),
INDEX(Règles_bovins[Specificite],MATCH(ChoixRationBovins&amp;$BB268,Règles_bovins[Ration]&amp;Règles_bovins[Aliment],0))="c"),
INDEX(Règles_bovins[Valeur 18-24],MATCH(ChoixRationBovins&amp;$BB268,Règles_bovins[Ration]&amp;Règles_bovins[Aliment],0)),0),0)*IF(ChoixBovinsPréHiver=OUI,TotalGénisse_18_24_RacesLaitières,TotalBovinsFemelles_18_24mois*NbreJoursNourrirBovins))</f>
        <v>0</v>
      </c>
      <c r="BF268" s="351">
        <f t="array" ref="BF268">IF(Ration_complète_bovins[somme]&gt;0,0,IFERROR(IF(OR(AND(INDEX(Règles_bovins[Specificite],MATCH(ChoixRationBovins&amp;$BB268,Règles_bovins[Ration]&amp;Règles_bovins[Aliment],0))="s1",IF($BB268=Spécificité1Bovins,1)),
AND(INDEX(Règles_bovins[Specificite],MATCH(ChoixRationBovins&amp;$BB268,Règles_bovins[Ration]&amp;Règles_bovins[Aliment],0))="s2",IF($BB268=Spécificité2Bovins,1)),
INDEX(Règles_bovins[Specificite],MATCH(ChoixRationBovins&amp;$BB268,Règles_bovins[Ration]&amp;Règles_bovins[Aliment],0))="c"),
INDEX(Règles_bovins[Valeur 12-18],MATCH(ChoixRationBovins&amp;$BB268,Règles_bovins[Ration]&amp;Règles_bovins[Aliment],0)),0),0)*IF(ChoixBovinsPréHiver=OUI,TotalGénisse_12_18_RacesLaitières,TotalBovinsFemelles_12_18mois*NbreJoursNourrirBovins))</f>
        <v>0</v>
      </c>
      <c r="BG268" s="351">
        <f t="array" ref="BG268">IF(Ration_complète_bovins[somme]&gt;0,0,IFERROR(IF(OR(AND(INDEX(Règles_bovins[Specificite],MATCH(ChoixRationBovins&amp;$BB268,Règles_bovins[Ration]&amp;Règles_bovins[Aliment],0))="s1",IF($BB268=Spécificité1Bovins,1)),
AND(INDEX(Règles_bovins[Specificite],MATCH(ChoixRationBovins&amp;$BB268,Règles_bovins[Ration]&amp;Règles_bovins[Aliment],0))="s2",IF($BB268=Spécificité2Bovins,1)),
INDEX(Règles_bovins[Specificite],MATCH(ChoixRationBovins&amp;$BB268,Règles_bovins[Ration]&amp;Règles_bovins[Aliment],0))="c"),
INDEX(Règles_bovins[Valeur 6-12],MATCH(ChoixRationBovins&amp;$BB268,Règles_bovins[Ration]&amp;Règles_bovins[Aliment],0)),0),0)*IF(ChoixBovinsPréHiver=OUI,TotalVeauFemelle_6_12_RacesLaitières,TotalBovinsFemelles_6_12mois*NbreJoursNourrirBovins))</f>
        <v>0</v>
      </c>
      <c r="BH268" s="351">
        <f t="array" ref="BH268">IF(Ration_complète_bovins[somme]&gt;0,0,IFERROR(IF(OR(AND(INDEX(Règles_bovins[Specificite],MATCH(ChoixRationBovins&amp;$BB268,Règles_bovins[Ration]&amp;Règles_bovins[Aliment],0))="s1",IF($BB268=Spécificité1Bovins,1)),
AND(INDEX(Règles_bovins[Specificite],MATCH(ChoixRationBovins&amp;$BB268,Règles_bovins[Ration]&amp;Règles_bovins[Aliment],0))="s2",IF($BB268=Spécificité2Bovins,1)),
INDEX(Règles_bovins[Specificite],MATCH(ChoixRationBovins&amp;$BB268,Règles_bovins[Ration]&amp;Règles_bovins[Aliment],0))="c"),
INDEX(Règles_bovins[Valeur 3-6],MATCH(ChoixRationBovins&amp;$BB268,Règles_bovins[Ration]&amp;Règles_bovins[Aliment],0)),0),0)*IF(ChoixBovinsPréHiver=OUI,TotalVeauFemelle_3_6_RacesLaitières,TotalBovinsFemelles_3_6mois*NbreJoursNourrirBovins))</f>
        <v>0</v>
      </c>
      <c r="BI268" s="351">
        <f t="array" ref="BI268">IF(Ration_complète_bovins[somme]&gt;0,0,IFERROR(IF(OR(AND(INDEX(Règles_bovins[Specificite],MATCH(ChoixRationBovins&amp;$BB268,Règles_bovins[Ration]&amp;Règles_bovins[Aliment],0))="s1",IF($BB268=Spécificité1Bovins,1)),
AND(INDEX(Règles_bovins[Specificite],MATCH(ChoixRationBovins&amp;$BB268,Règles_bovins[Ration]&amp;Règles_bovins[Aliment],0))="s2",IF($BB268=Spécificité2Bovins,1)),
INDEX(Règles_bovins[Specificite],MATCH(ChoixRationBovins&amp;$BB268,Règles_bovins[Ration]&amp;Règles_bovins[Aliment],0))="c"),
INDEX(Règles_bovins[Valeur 0-3],MATCH(ChoixRationBovins&amp;$BB268,Règles_bovins[Ration]&amp;Règles_bovins[Aliment],0)),0),0)*IF(ChoixBovinsPréHiver=OUI,TotalVeauFemelle_0_3_RacesLaitières,TotalBovinsFemelles_0_3mois*NbreJoursNourrirBovins))</f>
        <v>0</v>
      </c>
      <c r="BJ268" s="352">
        <f t="shared" si="67"/>
        <v>0</v>
      </c>
      <c r="CD268" s="298"/>
      <c r="CE268" s="298"/>
      <c r="CF268" s="298"/>
      <c r="CG268" s="298"/>
      <c r="CI268" s="277"/>
      <c r="CK268" s="277"/>
      <c r="CL268" s="277"/>
      <c r="CM268" s="277"/>
      <c r="CN268" s="277"/>
      <c r="CO268" s="277"/>
      <c r="CP268" s="277"/>
      <c r="DN268" s="350" t="str">
        <f t="shared" si="70"/>
        <v>Tourteau de colza</v>
      </c>
      <c r="DO268" s="351">
        <f t="array" ref="DO268">IF(ChoixRationHivernaleOvinsComplète=OUI,0,IFERROR(IF(OR(AND(INDEX(Règles_ovins[Specificite],MATCH(RationHivernaleOvinsAuPré&amp;$DN268,Règles_ovins[Ration]&amp;Règles_ovins[Aliment],0))="s1",IF($DN268=Spécificité1Ovins,1)),
AND(INDEX(Règles_ovins[Specificite],MATCH(RationHivernaleOvinsAuPré&amp;$DN268,Règles_ovins[Ration]&amp;Règles_ovins[Aliment],0))="s2",IF($DN268=Spécificité2Ovins,1)),
INDEX(Règles_ovins[Specificite],MATCH(RationHivernaleOvinsAuPré&amp;$DN268,Règles_ovins[Ration]&amp;Règles_ovins[Aliment],0))="c"),
INDEX(Règles_ovins[Valeur 12 et plus],MATCH(RationHivernaleOvinsAuPré&amp;$DN268,Règles_ovins[Ration]&amp;Règles_ovins[Aliment],0)),0),0)*IF(SUM(TotalOvinsAdultesAuPré)&gt;0,SUM(TotalOvinsAdultesAuPré)*SUM(AD76:AD100),SUM(TotalOvinsAdultes)*SUM(AD76:AD100)))</f>
        <v>0</v>
      </c>
      <c r="DP268" s="351">
        <f t="array" ref="DP268">IF(ChoixRationHivernaleOvinsComplète=OUI,0,IFERROR(IF(OR(AND(INDEX(Règles_ovins[Specificite],MATCH(RationHivernaleOvinsAuPré&amp;$DN268,Règles_ovins[Ration]&amp;Règles_ovins[Aliment],0))="s1",IF($DN268=Spécificité1Ovins,1)),
AND(INDEX(Règles_ovins[Specificite],MATCH(RationHivernaleOvinsAuPré&amp;$DN268,Règles_ovins[Ration]&amp;Règles_ovins[Aliment],0))="s2",IF($DN268=Spécificité2Ovins,1)),
INDEX(Règles_ovins[Specificite],MATCH(RationHivernaleOvinsAuPré&amp;$DN268,Règles_ovins[Ration]&amp;Règles_ovins[Aliment],0))="c"),
INDEX(Règles_ovins[Valeur 6-12],MATCH(RationHivernaleOvinsAuPré&amp;$DN268,Règles_ovins[Ration]&amp;Règles_ovins[Aliment],0)),0),0)*IF(SUM(TotalOvins_6_12moisAuPré)&gt;0,SUM(TotalOvins_6_12moisAuPré)*SUM(AD76:AD100),SUM(TotalJeunesOvins)*SUM(AD76:AD100)))</f>
        <v>0</v>
      </c>
      <c r="DQ268" s="351">
        <f t="array" ref="DQ268">IF(ChoixRationHivernaleOvinsComplète=OUI,0,IFERROR(IF(OR(AND(INDEX(Règles_ovins[Specificite],MATCH(RationHivernaleOvinsAuPré&amp;$DN268,Règles_ovins[Ration]&amp;Règles_ovins[Aliment],0))="s1",IF($DN268=Spécificité1Ovins,1)),
AND(INDEX(Règles_ovins[Specificite],MATCH(RationHivernaleOvinsAuPré&amp;$DN268,Règles_ovins[Ration]&amp;Règles_ovins[Aliment],0))="s2",IF($DN268=Spécificité2Ovins,1)),
INDEX(Règles_ovins[Specificite],MATCH(RationHivernaleOvinsAuPré&amp;$DN268,Règles_ovins[Ration]&amp;Règles_ovins[Aliment],0))="c"),
INDEX(Règles_ovins[Valeur 3-6],MATCH(RationHivernaleOvinsAuPré&amp;$DN268,Règles_ovins[Ration]&amp;Règles_ovins[Aliment],0)),0),0)*IF(SUM(TotalOvins_3_6moisAuPré)&gt;0,SUM(TotalOvins_3_6moisAuPré)*SUM(AD76:AD100),SUM(TotalOvins_3_6mois)*SUM(AD76:AD100)))</f>
        <v>0</v>
      </c>
      <c r="DR268" s="351">
        <f t="array" ref="DR268">IF(ChoixRationHivernaleOvinsComplète=OUI,0,IFERROR(IF(OR(AND(INDEX(Règles_ovins[Specificite],MATCH(RationHivernaleOvinsAuPré&amp;$DN268,Règles_ovins[Ration]&amp;Règles_ovins[Aliment],0))="s1",IF($DN268=Spécificité1Ovins,1)),
AND(INDEX(Règles_ovins[Specificite],MATCH(RationHivernaleOvinsAuPré&amp;$DN268,Règles_ovins[Ration]&amp;Règles_ovins[Aliment],0))="s2",IF($DN268=Spécificité2Ovins,1)),
INDEX(Règles_ovins[Specificite],MATCH(RationHivernaleOvinsAuPré&amp;$DN268,Règles_ovins[Ration]&amp;Règles_ovins[Aliment],0))="c"),
INDEX(Règles_ovins[Valeur 0-3],MATCH(RationHivernaleOvinsAuPré&amp;$DN268,Règles_ovins[Ration]&amp;Règles_ovins[Aliment],0)),0),0)*IF(SUM(TotalOvins_0_3moisAuPré)&gt;0,SUM(TotalOvins_0_3moisAuPré)*SUM(AD76:AD100),SUM(TotalOvins_3_6mois)*SUM(AD76:AD100)))</f>
        <v>0</v>
      </c>
      <c r="DS268" s="441">
        <f t="shared" si="69"/>
        <v>0</v>
      </c>
      <c r="GG268" s="276" t="s">
        <v>955</v>
      </c>
      <c r="GH268" s="276" t="s">
        <v>955</v>
      </c>
      <c r="GI268" s="276" t="s">
        <v>955</v>
      </c>
      <c r="GJ268" s="276" t="s">
        <v>955</v>
      </c>
      <c r="GK268" s="276" t="s">
        <v>955</v>
      </c>
      <c r="GL268" s="276" t="s">
        <v>955</v>
      </c>
      <c r="GM268" s="276" t="s">
        <v>955</v>
      </c>
      <c r="GN268" s="276" t="s">
        <v>955</v>
      </c>
      <c r="GO268" s="276" t="s">
        <v>955</v>
      </c>
      <c r="GP268" s="276" t="s">
        <v>955</v>
      </c>
      <c r="GQ268" s="276" t="s">
        <v>955</v>
      </c>
      <c r="GR268" s="276" t="s">
        <v>955</v>
      </c>
      <c r="GS268" s="276" t="s">
        <v>955</v>
      </c>
      <c r="GT268" s="276" t="s">
        <v>955</v>
      </c>
      <c r="GU268" s="276" t="s">
        <v>955</v>
      </c>
      <c r="GV268" s="276" t="s">
        <v>955</v>
      </c>
    </row>
    <row r="269" spans="1:204" ht="12.75" customHeight="1" x14ac:dyDescent="0.2">
      <c r="A269" s="276"/>
      <c r="B269" s="276"/>
      <c r="BB269" s="350">
        <f t="shared" si="68"/>
        <v>0</v>
      </c>
      <c r="BC269" s="351">
        <f t="array" ref="BC269">IF(Ration_complète_bovins[somme]&gt;0,0,IFERROR(IF(OR(AND(INDEX(Règles_bovins[Specificite],MATCH(ChoixRationBovins&amp;$BB269,Règles_bovins[Ration]&amp;Règles_bovins[Aliment],0))="s1",IF($BB269=Spécificité1Bovins,1)),
AND(INDEX(Règles_bovins[Specificite],MATCH(ChoixRationBovins&amp;$BB269,Règles_bovins[Ration]&amp;Règles_bovins[Aliment],0))="s2",IF($BB269=Spécificité2Bovins,1)),
INDEX(Règles_bovins[Specificite],MATCH(ChoixRationBovins&amp;$BB269,Règles_bovins[Ration]&amp;Règles_bovins[Aliment],0))="c"),
INDEX(Règles_bovins[Valeur 36 et plus],MATCH(ChoixRationBovins&amp;$BB269,Règles_bovins[Ration]&amp;Règles_bovins[Aliment],0)),0),0)*IF(ChoixBovinsPréHiver=OUI,TotalVachesRacesLaitières,TotalVaches*NbreJoursNourrirBovins))</f>
        <v>0</v>
      </c>
      <c r="BD269" s="351">
        <f t="array" ref="BD269">IF(Ration_complète_bovins[somme]&gt;0,0,IFERROR(IF(OR(AND(INDEX(Règles_bovins[Specificite],MATCH(ChoixRationBovins&amp;$BB269,Règles_bovins[Ration]&amp;Règles_bovins[Aliment],0))="s1",IF($BB269=Spécificité1Bovins,1)),
AND(INDEX(Règles_bovins[Specificite],MATCH(ChoixRationBovins&amp;$BB269,Règles_bovins[Ration]&amp;Règles_bovins[Aliment],0))="s2",IF($BB269=Spécificité2Bovins,1)),
INDEX(Règles_bovins[Specificite],MATCH(ChoixRationBovins&amp;$BB269,Règles_bovins[Ration]&amp;Règles_bovins[Aliment],0))="c"),
INDEX(Règles_bovins[Valeur 24-36],MATCH(ChoixRationBovins&amp;$BB269,Règles_bovins[Ration]&amp;Règles_bovins[Aliment],0)),0),0)*IF(ChoixBovinsPréHiver=OUI,TotalGénisse_24_36_RacesLaitières,TotalBovinsFemelles_24_36mois*NbreJoursNourrirBovins))</f>
        <v>0</v>
      </c>
      <c r="BE269" s="351">
        <f t="array" ref="BE269">IF(Ration_complète_bovins[somme]&gt;0,0,IFERROR(IF(OR(AND(INDEX(Règles_bovins[Specificite],MATCH(ChoixRationBovins&amp;$BB269,Règles_bovins[Ration]&amp;Règles_bovins[Aliment],0))="s1",IF($BB269=Spécificité1Bovins,1)),
AND(INDEX(Règles_bovins[Specificite],MATCH(ChoixRationBovins&amp;$BB269,Règles_bovins[Ration]&amp;Règles_bovins[Aliment],0))="s2",IF($BB269=Spécificité2Bovins,1)),
INDEX(Règles_bovins[Specificite],MATCH(ChoixRationBovins&amp;$BB269,Règles_bovins[Ration]&amp;Règles_bovins[Aliment],0))="c"),
INDEX(Règles_bovins[Valeur 18-24],MATCH(ChoixRationBovins&amp;$BB269,Règles_bovins[Ration]&amp;Règles_bovins[Aliment],0)),0),0)*IF(ChoixBovinsPréHiver=OUI,TotalGénisse_18_24_RacesLaitières,TotalBovinsFemelles_18_24mois*NbreJoursNourrirBovins))</f>
        <v>0</v>
      </c>
      <c r="BF269" s="351">
        <f t="array" ref="BF269">IF(Ration_complète_bovins[somme]&gt;0,0,IFERROR(IF(OR(AND(INDEX(Règles_bovins[Specificite],MATCH(ChoixRationBovins&amp;$BB269,Règles_bovins[Ration]&amp;Règles_bovins[Aliment],0))="s1",IF($BB269=Spécificité1Bovins,1)),
AND(INDEX(Règles_bovins[Specificite],MATCH(ChoixRationBovins&amp;$BB269,Règles_bovins[Ration]&amp;Règles_bovins[Aliment],0))="s2",IF($BB269=Spécificité2Bovins,1)),
INDEX(Règles_bovins[Specificite],MATCH(ChoixRationBovins&amp;$BB269,Règles_bovins[Ration]&amp;Règles_bovins[Aliment],0))="c"),
INDEX(Règles_bovins[Valeur 12-18],MATCH(ChoixRationBovins&amp;$BB269,Règles_bovins[Ration]&amp;Règles_bovins[Aliment],0)),0),0)*IF(ChoixBovinsPréHiver=OUI,TotalGénisse_12_18_RacesLaitières,TotalBovinsFemelles_12_18mois*NbreJoursNourrirBovins))</f>
        <v>0</v>
      </c>
      <c r="BG269" s="351">
        <f t="array" ref="BG269">IF(Ration_complète_bovins[somme]&gt;0,0,IFERROR(IF(OR(AND(INDEX(Règles_bovins[Specificite],MATCH(ChoixRationBovins&amp;$BB269,Règles_bovins[Ration]&amp;Règles_bovins[Aliment],0))="s1",IF($BB269=Spécificité1Bovins,1)),
AND(INDEX(Règles_bovins[Specificite],MATCH(ChoixRationBovins&amp;$BB269,Règles_bovins[Ration]&amp;Règles_bovins[Aliment],0))="s2",IF($BB269=Spécificité2Bovins,1)),
INDEX(Règles_bovins[Specificite],MATCH(ChoixRationBovins&amp;$BB269,Règles_bovins[Ration]&amp;Règles_bovins[Aliment],0))="c"),
INDEX(Règles_bovins[Valeur 6-12],MATCH(ChoixRationBovins&amp;$BB269,Règles_bovins[Ration]&amp;Règles_bovins[Aliment],0)),0),0)*IF(ChoixBovinsPréHiver=OUI,TotalVeauFemelle_6_12_RacesLaitières,TotalBovinsFemelles_6_12mois*NbreJoursNourrirBovins))</f>
        <v>0</v>
      </c>
      <c r="BH269" s="351">
        <f t="array" ref="BH269">IF(Ration_complète_bovins[somme]&gt;0,0,IFERROR(IF(OR(AND(INDEX(Règles_bovins[Specificite],MATCH(ChoixRationBovins&amp;$BB269,Règles_bovins[Ration]&amp;Règles_bovins[Aliment],0))="s1",IF($BB269=Spécificité1Bovins,1)),
AND(INDEX(Règles_bovins[Specificite],MATCH(ChoixRationBovins&amp;$BB269,Règles_bovins[Ration]&amp;Règles_bovins[Aliment],0))="s2",IF($BB269=Spécificité2Bovins,1)),
INDEX(Règles_bovins[Specificite],MATCH(ChoixRationBovins&amp;$BB269,Règles_bovins[Ration]&amp;Règles_bovins[Aliment],0))="c"),
INDEX(Règles_bovins[Valeur 3-6],MATCH(ChoixRationBovins&amp;$BB269,Règles_bovins[Ration]&amp;Règles_bovins[Aliment],0)),0),0)*IF(ChoixBovinsPréHiver=OUI,TotalVeauFemelle_3_6_RacesLaitières,TotalBovinsFemelles_3_6mois*NbreJoursNourrirBovins))</f>
        <v>0</v>
      </c>
      <c r="BI269" s="351">
        <f t="array" ref="BI269">IF(Ration_complète_bovins[somme]&gt;0,0,IFERROR(IF(OR(AND(INDEX(Règles_bovins[Specificite],MATCH(ChoixRationBovins&amp;$BB269,Règles_bovins[Ration]&amp;Règles_bovins[Aliment],0))="s1",IF($BB269=Spécificité1Bovins,1)),
AND(INDEX(Règles_bovins[Specificite],MATCH(ChoixRationBovins&amp;$BB269,Règles_bovins[Ration]&amp;Règles_bovins[Aliment],0))="s2",IF($BB269=Spécificité2Bovins,1)),
INDEX(Règles_bovins[Specificite],MATCH(ChoixRationBovins&amp;$BB269,Règles_bovins[Ration]&amp;Règles_bovins[Aliment],0))="c"),
INDEX(Règles_bovins[Valeur 0-3],MATCH(ChoixRationBovins&amp;$BB269,Règles_bovins[Ration]&amp;Règles_bovins[Aliment],0)),0),0)*IF(ChoixBovinsPréHiver=OUI,TotalVeauFemelle_0_3_RacesLaitières,TotalBovinsFemelles_0_3mois*NbreJoursNourrirBovins))</f>
        <v>0</v>
      </c>
      <c r="BJ269" s="352">
        <f t="shared" si="67"/>
        <v>0</v>
      </c>
      <c r="CI269" s="277"/>
      <c r="CK269" s="277"/>
      <c r="CL269" s="277"/>
      <c r="CM269" s="277"/>
      <c r="CN269" s="277"/>
      <c r="CO269" s="277"/>
      <c r="CP269" s="277"/>
      <c r="DN269" s="350" t="str">
        <f t="shared" si="70"/>
        <v>Tourteau de tournesol</v>
      </c>
      <c r="DO269" s="351">
        <f t="array" ref="DO269">IF(ChoixRationHivernaleOvinsComplète=OUI,0,IFERROR(IF(OR(AND(INDEX(Règles_ovins[Specificite],MATCH(RationHivernaleOvinsAuPré&amp;$DN269,Règles_ovins[Ration]&amp;Règles_ovins[Aliment],0))="s1",IF($DN269=Spécificité1Ovins,1)),
AND(INDEX(Règles_ovins[Specificite],MATCH(RationHivernaleOvinsAuPré&amp;$DN269,Règles_ovins[Ration]&amp;Règles_ovins[Aliment],0))="s2",IF($DN269=Spécificité2Ovins,1)),
INDEX(Règles_ovins[Specificite],MATCH(RationHivernaleOvinsAuPré&amp;$DN269,Règles_ovins[Ration]&amp;Règles_ovins[Aliment],0))="c"),
INDEX(Règles_ovins[Valeur 12 et plus],MATCH(RationHivernaleOvinsAuPré&amp;$DN269,Règles_ovins[Ration]&amp;Règles_ovins[Aliment],0)),0),0)*IF(SUM(TotalOvinsAdultesAuPré)&gt;0,SUM(TotalOvinsAdultesAuPré)*SUM(AD76:AD100),SUM(TotalOvinsAdultes)*SUM(AD76:AD100)))</f>
        <v>0</v>
      </c>
      <c r="DP269" s="351">
        <f t="array" ref="DP269">IF(ChoixRationHivernaleOvinsComplète=OUI,0,IFERROR(IF(OR(AND(INDEX(Règles_ovins[Specificite],MATCH(RationHivernaleOvinsAuPré&amp;$DN269,Règles_ovins[Ration]&amp;Règles_ovins[Aliment],0))="s1",IF($DN269=Spécificité1Ovins,1)),
AND(INDEX(Règles_ovins[Specificite],MATCH(RationHivernaleOvinsAuPré&amp;$DN269,Règles_ovins[Ration]&amp;Règles_ovins[Aliment],0))="s2",IF($DN269=Spécificité2Ovins,1)),
INDEX(Règles_ovins[Specificite],MATCH(RationHivernaleOvinsAuPré&amp;$DN269,Règles_ovins[Ration]&amp;Règles_ovins[Aliment],0))="c"),
INDEX(Règles_ovins[Valeur 6-12],MATCH(RationHivernaleOvinsAuPré&amp;$DN269,Règles_ovins[Ration]&amp;Règles_ovins[Aliment],0)),0),0)*IF(SUM(TotalOvins_6_12moisAuPré)&gt;0,SUM(TotalOvins_6_12moisAuPré)*SUM(AD76:AD100),SUM(TotalJeunesOvins)*SUM(AD76:AD100)))</f>
        <v>0</v>
      </c>
      <c r="DQ269" s="351">
        <f t="array" ref="DQ269">IF(ChoixRationHivernaleOvinsComplète=OUI,0,IFERROR(IF(OR(AND(INDEX(Règles_ovins[Specificite],MATCH(RationHivernaleOvinsAuPré&amp;$DN269,Règles_ovins[Ration]&amp;Règles_ovins[Aliment],0))="s1",IF($DN269=Spécificité1Ovins,1)),
AND(INDEX(Règles_ovins[Specificite],MATCH(RationHivernaleOvinsAuPré&amp;$DN269,Règles_ovins[Ration]&amp;Règles_ovins[Aliment],0))="s2",IF($DN269=Spécificité2Ovins,1)),
INDEX(Règles_ovins[Specificite],MATCH(RationHivernaleOvinsAuPré&amp;$DN269,Règles_ovins[Ration]&amp;Règles_ovins[Aliment],0))="c"),
INDEX(Règles_ovins[Valeur 3-6],MATCH(RationHivernaleOvinsAuPré&amp;$DN269,Règles_ovins[Ration]&amp;Règles_ovins[Aliment],0)),0),0)*IF(SUM(TotalOvins_3_6moisAuPré)&gt;0,SUM(TotalOvins_3_6moisAuPré)*SUM(AD76:AD100),SUM(TotalOvins_3_6mois)*SUM(AD76:AD100)))</f>
        <v>0</v>
      </c>
      <c r="DR269" s="351">
        <f t="array" ref="DR269">IF(ChoixRationHivernaleOvinsComplète=OUI,0,IFERROR(IF(OR(AND(INDEX(Règles_ovins[Specificite],MATCH(RationHivernaleOvinsAuPré&amp;$DN269,Règles_ovins[Ration]&amp;Règles_ovins[Aliment],0))="s1",IF($DN269=Spécificité1Ovins,1)),
AND(INDEX(Règles_ovins[Specificite],MATCH(RationHivernaleOvinsAuPré&amp;$DN269,Règles_ovins[Ration]&amp;Règles_ovins[Aliment],0))="s2",IF($DN269=Spécificité2Ovins,1)),
INDEX(Règles_ovins[Specificite],MATCH(RationHivernaleOvinsAuPré&amp;$DN269,Règles_ovins[Ration]&amp;Règles_ovins[Aliment],0))="c"),
INDEX(Règles_ovins[Valeur 0-3],MATCH(RationHivernaleOvinsAuPré&amp;$DN269,Règles_ovins[Ration]&amp;Règles_ovins[Aliment],0)),0),0)*IF(SUM(TotalOvins_0_3moisAuPré)&gt;0,SUM(TotalOvins_0_3moisAuPré)*SUM(AD76:AD100),SUM(TotalOvins_3_6mois)*SUM(AD76:AD100)))</f>
        <v>0</v>
      </c>
      <c r="DS269" s="441">
        <f t="shared" si="69"/>
        <v>0</v>
      </c>
      <c r="GG269" s="276" t="s">
        <v>955</v>
      </c>
      <c r="GH269" s="276" t="s">
        <v>955</v>
      </c>
      <c r="GI269" s="276" t="s">
        <v>955</v>
      </c>
      <c r="GJ269" s="276" t="s">
        <v>955</v>
      </c>
      <c r="GK269" s="276" t="s">
        <v>955</v>
      </c>
      <c r="GL269" s="276" t="s">
        <v>955</v>
      </c>
      <c r="GM269" s="276" t="s">
        <v>955</v>
      </c>
      <c r="GN269" s="276" t="s">
        <v>955</v>
      </c>
      <c r="GO269" s="276" t="s">
        <v>955</v>
      </c>
      <c r="GP269" s="276" t="s">
        <v>955</v>
      </c>
      <c r="GQ269" s="276" t="s">
        <v>955</v>
      </c>
      <c r="GR269" s="276" t="s">
        <v>955</v>
      </c>
      <c r="GS269" s="276" t="s">
        <v>955</v>
      </c>
      <c r="GT269" s="276" t="s">
        <v>955</v>
      </c>
      <c r="GU269" s="276" t="s">
        <v>955</v>
      </c>
      <c r="GV269" s="276" t="s">
        <v>955</v>
      </c>
    </row>
    <row r="270" spans="1:204" ht="12.75" customHeight="1" x14ac:dyDescent="0.2">
      <c r="A270" s="276"/>
      <c r="B270" s="276"/>
      <c r="BB270" s="350">
        <f t="shared" si="68"/>
        <v>0</v>
      </c>
      <c r="BC270" s="351">
        <f t="array" ref="BC270">IF(Ration_complète_bovins[somme]&gt;0,0,IFERROR(IF(OR(AND(INDEX(Règles_bovins[Specificite],MATCH(ChoixRationBovins&amp;$BB270,Règles_bovins[Ration]&amp;Règles_bovins[Aliment],0))="s1",IF($BB270=Spécificité1Bovins,1)),
AND(INDEX(Règles_bovins[Specificite],MATCH(ChoixRationBovins&amp;$BB270,Règles_bovins[Ration]&amp;Règles_bovins[Aliment],0))="s2",IF($BB270=Spécificité2Bovins,1)),
INDEX(Règles_bovins[Specificite],MATCH(ChoixRationBovins&amp;$BB270,Règles_bovins[Ration]&amp;Règles_bovins[Aliment],0))="c"),
INDEX(Règles_bovins[Valeur 36 et plus],MATCH(ChoixRationBovins&amp;$BB270,Règles_bovins[Ration]&amp;Règles_bovins[Aliment],0)),0),0)*IF(ChoixBovinsPréHiver=OUI,TotalVachesRacesLaitières,TotalVaches*NbreJoursNourrirBovins))</f>
        <v>0</v>
      </c>
      <c r="BD270" s="351">
        <f t="array" ref="BD270">IF(Ration_complète_bovins[somme]&gt;0,0,IFERROR(IF(OR(AND(INDEX(Règles_bovins[Specificite],MATCH(ChoixRationBovins&amp;$BB270,Règles_bovins[Ration]&amp;Règles_bovins[Aliment],0))="s1",IF($BB270=Spécificité1Bovins,1)),
AND(INDEX(Règles_bovins[Specificite],MATCH(ChoixRationBovins&amp;$BB270,Règles_bovins[Ration]&amp;Règles_bovins[Aliment],0))="s2",IF($BB270=Spécificité2Bovins,1)),
INDEX(Règles_bovins[Specificite],MATCH(ChoixRationBovins&amp;$BB270,Règles_bovins[Ration]&amp;Règles_bovins[Aliment],0))="c"),
INDEX(Règles_bovins[Valeur 24-36],MATCH(ChoixRationBovins&amp;$BB270,Règles_bovins[Ration]&amp;Règles_bovins[Aliment],0)),0),0)*IF(ChoixBovinsPréHiver=OUI,TotalGénisse_24_36_RacesLaitières,TotalBovinsFemelles_24_36mois*NbreJoursNourrirBovins))</f>
        <v>0</v>
      </c>
      <c r="BE270" s="351">
        <f t="array" ref="BE270">IF(Ration_complète_bovins[somme]&gt;0,0,IFERROR(IF(OR(AND(INDEX(Règles_bovins[Specificite],MATCH(ChoixRationBovins&amp;$BB270,Règles_bovins[Ration]&amp;Règles_bovins[Aliment],0))="s1",IF($BB270=Spécificité1Bovins,1)),
AND(INDEX(Règles_bovins[Specificite],MATCH(ChoixRationBovins&amp;$BB270,Règles_bovins[Ration]&amp;Règles_bovins[Aliment],0))="s2",IF($BB270=Spécificité2Bovins,1)),
INDEX(Règles_bovins[Specificite],MATCH(ChoixRationBovins&amp;$BB270,Règles_bovins[Ration]&amp;Règles_bovins[Aliment],0))="c"),
INDEX(Règles_bovins[Valeur 18-24],MATCH(ChoixRationBovins&amp;$BB270,Règles_bovins[Ration]&amp;Règles_bovins[Aliment],0)),0),0)*IF(ChoixBovinsPréHiver=OUI,TotalGénisse_18_24_RacesLaitières,TotalBovinsFemelles_18_24mois*NbreJoursNourrirBovins))</f>
        <v>0</v>
      </c>
      <c r="BF270" s="351">
        <f t="array" ref="BF270">IF(Ration_complète_bovins[somme]&gt;0,0,IFERROR(IF(OR(AND(INDEX(Règles_bovins[Specificite],MATCH(ChoixRationBovins&amp;$BB270,Règles_bovins[Ration]&amp;Règles_bovins[Aliment],0))="s1",IF($BB270=Spécificité1Bovins,1)),
AND(INDEX(Règles_bovins[Specificite],MATCH(ChoixRationBovins&amp;$BB270,Règles_bovins[Ration]&amp;Règles_bovins[Aliment],0))="s2",IF($BB270=Spécificité2Bovins,1)),
INDEX(Règles_bovins[Specificite],MATCH(ChoixRationBovins&amp;$BB270,Règles_bovins[Ration]&amp;Règles_bovins[Aliment],0))="c"),
INDEX(Règles_bovins[Valeur 12-18],MATCH(ChoixRationBovins&amp;$BB270,Règles_bovins[Ration]&amp;Règles_bovins[Aliment],0)),0),0)*IF(ChoixBovinsPréHiver=OUI,TotalGénisse_12_18_RacesLaitières,TotalBovinsFemelles_12_18mois*NbreJoursNourrirBovins))</f>
        <v>0</v>
      </c>
      <c r="BG270" s="351">
        <f t="array" ref="BG270">IF(Ration_complète_bovins[somme]&gt;0,0,IFERROR(IF(OR(AND(INDEX(Règles_bovins[Specificite],MATCH(ChoixRationBovins&amp;$BB270,Règles_bovins[Ration]&amp;Règles_bovins[Aliment],0))="s1",IF($BB270=Spécificité1Bovins,1)),
AND(INDEX(Règles_bovins[Specificite],MATCH(ChoixRationBovins&amp;$BB270,Règles_bovins[Ration]&amp;Règles_bovins[Aliment],0))="s2",IF($BB270=Spécificité2Bovins,1)),
INDEX(Règles_bovins[Specificite],MATCH(ChoixRationBovins&amp;$BB270,Règles_bovins[Ration]&amp;Règles_bovins[Aliment],0))="c"),
INDEX(Règles_bovins[Valeur 6-12],MATCH(ChoixRationBovins&amp;$BB270,Règles_bovins[Ration]&amp;Règles_bovins[Aliment],0)),0),0)*IF(ChoixBovinsPréHiver=OUI,TotalVeauFemelle_6_12_RacesLaitières,TotalBovinsFemelles_6_12mois*NbreJoursNourrirBovins))</f>
        <v>0</v>
      </c>
      <c r="BH270" s="351">
        <f t="array" ref="BH270">IF(Ration_complète_bovins[somme]&gt;0,0,IFERROR(IF(OR(AND(INDEX(Règles_bovins[Specificite],MATCH(ChoixRationBovins&amp;$BB270,Règles_bovins[Ration]&amp;Règles_bovins[Aliment],0))="s1",IF($BB270=Spécificité1Bovins,1)),
AND(INDEX(Règles_bovins[Specificite],MATCH(ChoixRationBovins&amp;$BB270,Règles_bovins[Ration]&amp;Règles_bovins[Aliment],0))="s2",IF($BB270=Spécificité2Bovins,1)),
INDEX(Règles_bovins[Specificite],MATCH(ChoixRationBovins&amp;$BB270,Règles_bovins[Ration]&amp;Règles_bovins[Aliment],0))="c"),
INDEX(Règles_bovins[Valeur 3-6],MATCH(ChoixRationBovins&amp;$BB270,Règles_bovins[Ration]&amp;Règles_bovins[Aliment],0)),0),0)*IF(ChoixBovinsPréHiver=OUI,TotalVeauFemelle_3_6_RacesLaitières,TotalBovinsFemelles_3_6mois*NbreJoursNourrirBovins))</f>
        <v>0</v>
      </c>
      <c r="BI270" s="351">
        <f t="array" ref="BI270">IF(Ration_complète_bovins[somme]&gt;0,0,IFERROR(IF(OR(AND(INDEX(Règles_bovins[Specificite],MATCH(ChoixRationBovins&amp;$BB270,Règles_bovins[Ration]&amp;Règles_bovins[Aliment],0))="s1",IF($BB270=Spécificité1Bovins,1)),
AND(INDEX(Règles_bovins[Specificite],MATCH(ChoixRationBovins&amp;$BB270,Règles_bovins[Ration]&amp;Règles_bovins[Aliment],0))="s2",IF($BB270=Spécificité2Bovins,1)),
INDEX(Règles_bovins[Specificite],MATCH(ChoixRationBovins&amp;$BB270,Règles_bovins[Ration]&amp;Règles_bovins[Aliment],0))="c"),
INDEX(Règles_bovins[Valeur 0-3],MATCH(ChoixRationBovins&amp;$BB270,Règles_bovins[Ration]&amp;Règles_bovins[Aliment],0)),0),0)*IF(ChoixBovinsPréHiver=OUI,TotalVeauFemelle_0_3_RacesLaitières,TotalBovinsFemelles_0_3mois*NbreJoursNourrirBovins))</f>
        <v>0</v>
      </c>
      <c r="BJ270" s="352">
        <f t="shared" si="67"/>
        <v>0</v>
      </c>
      <c r="CI270" s="277"/>
      <c r="CK270" s="277"/>
      <c r="CL270" s="277"/>
      <c r="CM270" s="277"/>
      <c r="CN270" s="277"/>
      <c r="CO270" s="277"/>
      <c r="CP270" s="277"/>
      <c r="DN270" s="350" t="str">
        <f t="shared" si="70"/>
        <v>Triticale</v>
      </c>
      <c r="DO270" s="351">
        <f t="array" ref="DO270">IF(ChoixRationHivernaleOvinsComplète=OUI,0,IFERROR(IF(OR(AND(INDEX(Règles_ovins[Specificite],MATCH(RationHivernaleOvinsAuPré&amp;$DN270,Règles_ovins[Ration]&amp;Règles_ovins[Aliment],0))="s1",IF($DN270=Spécificité1Ovins,1)),
AND(INDEX(Règles_ovins[Specificite],MATCH(RationHivernaleOvinsAuPré&amp;$DN270,Règles_ovins[Ration]&amp;Règles_ovins[Aliment],0))="s2",IF($DN270=Spécificité2Ovins,1)),
INDEX(Règles_ovins[Specificite],MATCH(RationHivernaleOvinsAuPré&amp;$DN270,Règles_ovins[Ration]&amp;Règles_ovins[Aliment],0))="c"),
INDEX(Règles_ovins[Valeur 12 et plus],MATCH(RationHivernaleOvinsAuPré&amp;$DN270,Règles_ovins[Ration]&amp;Règles_ovins[Aliment],0)),0),0)*IF(SUM(TotalOvinsAdultesAuPré)&gt;0,SUM(TotalOvinsAdultesAuPré)*SUM(AD76:AD100),SUM(TotalOvinsAdultes)*SUM(AD76:AD100)))</f>
        <v>0</v>
      </c>
      <c r="DP270" s="351">
        <f t="array" ref="DP270">IF(ChoixRationHivernaleOvinsComplète=OUI,0,IFERROR(IF(OR(AND(INDEX(Règles_ovins[Specificite],MATCH(RationHivernaleOvinsAuPré&amp;$DN270,Règles_ovins[Ration]&amp;Règles_ovins[Aliment],0))="s1",IF($DN270=Spécificité1Ovins,1)),
AND(INDEX(Règles_ovins[Specificite],MATCH(RationHivernaleOvinsAuPré&amp;$DN270,Règles_ovins[Ration]&amp;Règles_ovins[Aliment],0))="s2",IF($DN270=Spécificité2Ovins,1)),
INDEX(Règles_ovins[Specificite],MATCH(RationHivernaleOvinsAuPré&amp;$DN270,Règles_ovins[Ration]&amp;Règles_ovins[Aliment],0))="c"),
INDEX(Règles_ovins[Valeur 6-12],MATCH(RationHivernaleOvinsAuPré&amp;$DN270,Règles_ovins[Ration]&amp;Règles_ovins[Aliment],0)),0),0)*IF(SUM(TotalOvins_6_12moisAuPré)&gt;0,SUM(TotalOvins_6_12moisAuPré)*SUM(AD76:AD100),SUM(TotalJeunesOvins)*SUM(AD76:AD100)))</f>
        <v>0</v>
      </c>
      <c r="DQ270" s="351">
        <f t="array" ref="DQ270">IF(ChoixRationHivernaleOvinsComplète=OUI,0,IFERROR(IF(OR(AND(INDEX(Règles_ovins[Specificite],MATCH(RationHivernaleOvinsAuPré&amp;$DN270,Règles_ovins[Ration]&amp;Règles_ovins[Aliment],0))="s1",IF($DN270=Spécificité1Ovins,1)),
AND(INDEX(Règles_ovins[Specificite],MATCH(RationHivernaleOvinsAuPré&amp;$DN270,Règles_ovins[Ration]&amp;Règles_ovins[Aliment],0))="s2",IF($DN270=Spécificité2Ovins,1)),
INDEX(Règles_ovins[Specificite],MATCH(RationHivernaleOvinsAuPré&amp;$DN270,Règles_ovins[Ration]&amp;Règles_ovins[Aliment],0))="c"),
INDEX(Règles_ovins[Valeur 3-6],MATCH(RationHivernaleOvinsAuPré&amp;$DN270,Règles_ovins[Ration]&amp;Règles_ovins[Aliment],0)),0),0)*IF(SUM(TotalOvins_3_6moisAuPré)&gt;0,SUM(TotalOvins_3_6moisAuPré)*SUM(AD76:AD100),SUM(TotalOvins_3_6mois)*SUM(AD76:AD100)))</f>
        <v>0</v>
      </c>
      <c r="DR270" s="351">
        <f t="array" ref="DR270">IF(ChoixRationHivernaleOvinsComplète=OUI,0,IFERROR(IF(OR(AND(INDEX(Règles_ovins[Specificite],MATCH(RationHivernaleOvinsAuPré&amp;$DN270,Règles_ovins[Ration]&amp;Règles_ovins[Aliment],0))="s1",IF($DN270=Spécificité1Ovins,1)),
AND(INDEX(Règles_ovins[Specificite],MATCH(RationHivernaleOvinsAuPré&amp;$DN270,Règles_ovins[Ration]&amp;Règles_ovins[Aliment],0))="s2",IF($DN270=Spécificité2Ovins,1)),
INDEX(Règles_ovins[Specificite],MATCH(RationHivernaleOvinsAuPré&amp;$DN270,Règles_ovins[Ration]&amp;Règles_ovins[Aliment],0))="c"),
INDEX(Règles_ovins[Valeur 0-3],MATCH(RationHivernaleOvinsAuPré&amp;$DN270,Règles_ovins[Ration]&amp;Règles_ovins[Aliment],0)),0),0)*IF(SUM(TotalOvins_0_3moisAuPré)&gt;0,SUM(TotalOvins_0_3moisAuPré)*SUM(AD76:AD100),SUM(TotalOvins_3_6mois)*SUM(AD76:AD100)))</f>
        <v>0</v>
      </c>
      <c r="DS270" s="441">
        <f t="shared" si="69"/>
        <v>0</v>
      </c>
      <c r="GG270" s="276" t="s">
        <v>955</v>
      </c>
      <c r="GH270" s="276" t="s">
        <v>955</v>
      </c>
      <c r="GI270" s="276" t="s">
        <v>955</v>
      </c>
      <c r="GJ270" s="276" t="s">
        <v>955</v>
      </c>
      <c r="GK270" s="276" t="s">
        <v>955</v>
      </c>
      <c r="GL270" s="276" t="s">
        <v>955</v>
      </c>
      <c r="GM270" s="276" t="s">
        <v>955</v>
      </c>
      <c r="GN270" s="276" t="s">
        <v>955</v>
      </c>
      <c r="GO270" s="276" t="s">
        <v>955</v>
      </c>
      <c r="GP270" s="276" t="s">
        <v>955</v>
      </c>
      <c r="GQ270" s="276" t="s">
        <v>955</v>
      </c>
      <c r="GR270" s="276" t="s">
        <v>955</v>
      </c>
      <c r="GS270" s="276" t="s">
        <v>955</v>
      </c>
      <c r="GT270" s="276" t="s">
        <v>955</v>
      </c>
      <c r="GU270" s="276" t="s">
        <v>955</v>
      </c>
      <c r="GV270" s="276" t="s">
        <v>955</v>
      </c>
    </row>
    <row r="271" spans="1:204" ht="12.75" customHeight="1" x14ac:dyDescent="0.2">
      <c r="A271" s="278"/>
      <c r="BB271" s="350">
        <f t="shared" si="68"/>
        <v>0</v>
      </c>
      <c r="BC271" s="351">
        <f t="array" ref="BC271">IF(Ration_complète_bovins[somme]&gt;0,0,IFERROR(IF(OR(AND(INDEX(Règles_bovins[Specificite],MATCH(ChoixRationBovins&amp;$BB271,Règles_bovins[Ration]&amp;Règles_bovins[Aliment],0))="s1",IF($BB271=Spécificité1Bovins,1)),
AND(INDEX(Règles_bovins[Specificite],MATCH(ChoixRationBovins&amp;$BB271,Règles_bovins[Ration]&amp;Règles_bovins[Aliment],0))="s2",IF($BB271=Spécificité2Bovins,1)),
INDEX(Règles_bovins[Specificite],MATCH(ChoixRationBovins&amp;$BB271,Règles_bovins[Ration]&amp;Règles_bovins[Aliment],0))="c"),
INDEX(Règles_bovins[Valeur 36 et plus],MATCH(ChoixRationBovins&amp;$BB271,Règles_bovins[Ration]&amp;Règles_bovins[Aliment],0)),0),0)*IF(ChoixBovinsPréHiver=OUI,TotalVachesRacesLaitières,TotalVaches*NbreJoursNourrirBovins))</f>
        <v>0</v>
      </c>
      <c r="BD271" s="351">
        <f t="array" ref="BD271">IF(Ration_complète_bovins[somme]&gt;0,0,IFERROR(IF(OR(AND(INDEX(Règles_bovins[Specificite],MATCH(ChoixRationBovins&amp;$BB271,Règles_bovins[Ration]&amp;Règles_bovins[Aliment],0))="s1",IF($BB271=Spécificité1Bovins,1)),
AND(INDEX(Règles_bovins[Specificite],MATCH(ChoixRationBovins&amp;$BB271,Règles_bovins[Ration]&amp;Règles_bovins[Aliment],0))="s2",IF($BB271=Spécificité2Bovins,1)),
INDEX(Règles_bovins[Specificite],MATCH(ChoixRationBovins&amp;$BB271,Règles_bovins[Ration]&amp;Règles_bovins[Aliment],0))="c"),
INDEX(Règles_bovins[Valeur 24-36],MATCH(ChoixRationBovins&amp;$BB271,Règles_bovins[Ration]&amp;Règles_bovins[Aliment],0)),0),0)*IF(ChoixBovinsPréHiver=OUI,TotalGénisse_24_36_RacesLaitières,TotalBovinsFemelles_24_36mois*NbreJoursNourrirBovins))</f>
        <v>0</v>
      </c>
      <c r="BE271" s="351">
        <f t="array" ref="BE271">IF(Ration_complète_bovins[somme]&gt;0,0,IFERROR(IF(OR(AND(INDEX(Règles_bovins[Specificite],MATCH(ChoixRationBovins&amp;$BB271,Règles_bovins[Ration]&amp;Règles_bovins[Aliment],0))="s1",IF($BB271=Spécificité1Bovins,1)),
AND(INDEX(Règles_bovins[Specificite],MATCH(ChoixRationBovins&amp;$BB271,Règles_bovins[Ration]&amp;Règles_bovins[Aliment],0))="s2",IF($BB271=Spécificité2Bovins,1)),
INDEX(Règles_bovins[Specificite],MATCH(ChoixRationBovins&amp;$BB271,Règles_bovins[Ration]&amp;Règles_bovins[Aliment],0))="c"),
INDEX(Règles_bovins[Valeur 18-24],MATCH(ChoixRationBovins&amp;$BB271,Règles_bovins[Ration]&amp;Règles_bovins[Aliment],0)),0),0)*IF(ChoixBovinsPréHiver=OUI,TotalGénisse_18_24_RacesLaitières,TotalBovinsFemelles_18_24mois*NbreJoursNourrirBovins))</f>
        <v>0</v>
      </c>
      <c r="BF271" s="351">
        <f t="array" ref="BF271">IF(Ration_complète_bovins[somme]&gt;0,0,IFERROR(IF(OR(AND(INDEX(Règles_bovins[Specificite],MATCH(ChoixRationBovins&amp;$BB271,Règles_bovins[Ration]&amp;Règles_bovins[Aliment],0))="s1",IF($BB271=Spécificité1Bovins,1)),
AND(INDEX(Règles_bovins[Specificite],MATCH(ChoixRationBovins&amp;$BB271,Règles_bovins[Ration]&amp;Règles_bovins[Aliment],0))="s2",IF($BB271=Spécificité2Bovins,1)),
INDEX(Règles_bovins[Specificite],MATCH(ChoixRationBovins&amp;$BB271,Règles_bovins[Ration]&amp;Règles_bovins[Aliment],0))="c"),
INDEX(Règles_bovins[Valeur 12-18],MATCH(ChoixRationBovins&amp;$BB271,Règles_bovins[Ration]&amp;Règles_bovins[Aliment],0)),0),0)*IF(ChoixBovinsPréHiver=OUI,TotalGénisse_12_18_RacesLaitières,TotalBovinsFemelles_12_18mois*NbreJoursNourrirBovins))</f>
        <v>0</v>
      </c>
      <c r="BG271" s="351">
        <f t="array" ref="BG271">IF(Ration_complète_bovins[somme]&gt;0,0,IFERROR(IF(OR(AND(INDEX(Règles_bovins[Specificite],MATCH(ChoixRationBovins&amp;$BB271,Règles_bovins[Ration]&amp;Règles_bovins[Aliment],0))="s1",IF($BB271=Spécificité1Bovins,1)),
AND(INDEX(Règles_bovins[Specificite],MATCH(ChoixRationBovins&amp;$BB271,Règles_bovins[Ration]&amp;Règles_bovins[Aliment],0))="s2",IF($BB271=Spécificité2Bovins,1)),
INDEX(Règles_bovins[Specificite],MATCH(ChoixRationBovins&amp;$BB271,Règles_bovins[Ration]&amp;Règles_bovins[Aliment],0))="c"),
INDEX(Règles_bovins[Valeur 6-12],MATCH(ChoixRationBovins&amp;$BB271,Règles_bovins[Ration]&amp;Règles_bovins[Aliment],0)),0),0)*IF(ChoixBovinsPréHiver=OUI,TotalVeauFemelle_6_12_RacesLaitières,TotalBovinsFemelles_6_12mois*NbreJoursNourrirBovins))</f>
        <v>0</v>
      </c>
      <c r="BH271" s="351">
        <f t="array" ref="BH271">IF(Ration_complète_bovins[somme]&gt;0,0,IFERROR(IF(OR(AND(INDEX(Règles_bovins[Specificite],MATCH(ChoixRationBovins&amp;$BB271,Règles_bovins[Ration]&amp;Règles_bovins[Aliment],0))="s1",IF($BB271=Spécificité1Bovins,1)),
AND(INDEX(Règles_bovins[Specificite],MATCH(ChoixRationBovins&amp;$BB271,Règles_bovins[Ration]&amp;Règles_bovins[Aliment],0))="s2",IF($BB271=Spécificité2Bovins,1)),
INDEX(Règles_bovins[Specificite],MATCH(ChoixRationBovins&amp;$BB271,Règles_bovins[Ration]&amp;Règles_bovins[Aliment],0))="c"),
INDEX(Règles_bovins[Valeur 3-6],MATCH(ChoixRationBovins&amp;$BB271,Règles_bovins[Ration]&amp;Règles_bovins[Aliment],0)),0),0)*IF(ChoixBovinsPréHiver=OUI,TotalVeauFemelle_3_6_RacesLaitières,TotalBovinsFemelles_3_6mois*NbreJoursNourrirBovins))</f>
        <v>0</v>
      </c>
      <c r="BI271" s="351">
        <f t="array" ref="BI271">IF(Ration_complète_bovins[somme]&gt;0,0,IFERROR(IF(OR(AND(INDEX(Règles_bovins[Specificite],MATCH(ChoixRationBovins&amp;$BB271,Règles_bovins[Ration]&amp;Règles_bovins[Aliment],0))="s1",IF($BB271=Spécificité1Bovins,1)),
AND(INDEX(Règles_bovins[Specificite],MATCH(ChoixRationBovins&amp;$BB271,Règles_bovins[Ration]&amp;Règles_bovins[Aliment],0))="s2",IF($BB271=Spécificité2Bovins,1)),
INDEX(Règles_bovins[Specificite],MATCH(ChoixRationBovins&amp;$BB271,Règles_bovins[Ration]&amp;Règles_bovins[Aliment],0))="c"),
INDEX(Règles_bovins[Valeur 0-3],MATCH(ChoixRationBovins&amp;$BB271,Règles_bovins[Ration]&amp;Règles_bovins[Aliment],0)),0),0)*IF(ChoixBovinsPréHiver=OUI,TotalVeauFemelle_0_3_RacesLaitières,TotalBovinsFemelles_0_3mois*NbreJoursNourrirBovins))</f>
        <v>0</v>
      </c>
      <c r="BJ271" s="352">
        <f t="shared" si="67"/>
        <v>0</v>
      </c>
      <c r="CI271" s="277"/>
      <c r="CK271" s="277"/>
      <c r="CL271" s="277"/>
      <c r="CM271" s="277"/>
      <c r="CN271" s="277"/>
      <c r="CO271" s="277"/>
      <c r="CP271" s="277"/>
      <c r="DN271" s="350">
        <f t="shared" si="70"/>
        <v>0</v>
      </c>
      <c r="DO271" s="351">
        <f t="array" ref="DO271">IF(ChoixRationHivernaleOvinsComplète=OUI,0,IFERROR(IF(OR(AND(INDEX(Règles_ovins[Specificite],MATCH(RationHivernaleOvinsAuPré&amp;$DN271,Règles_ovins[Ration]&amp;Règles_ovins[Aliment],0))="s1",IF($DN271=Spécificité1Ovins,1)),
AND(INDEX(Règles_ovins[Specificite],MATCH(RationHivernaleOvinsAuPré&amp;$DN271,Règles_ovins[Ration]&amp;Règles_ovins[Aliment],0))="s2",IF($DN271=Spécificité2Ovins,1)),
INDEX(Règles_ovins[Specificite],MATCH(RationHivernaleOvinsAuPré&amp;$DN271,Règles_ovins[Ration]&amp;Règles_ovins[Aliment],0))="c"),
INDEX(Règles_ovins[Valeur 12 et plus],MATCH(RationHivernaleOvinsAuPré&amp;$DN271,Règles_ovins[Ration]&amp;Règles_ovins[Aliment],0)),0),0)*IF(SUM(TotalOvinsAdultesAuPré)&gt;0,SUM(TotalOvinsAdultesAuPré)*SUM(AD76:AD100),SUM(TotalOvinsAdultes)*SUM(AD76:AD100)))</f>
        <v>0</v>
      </c>
      <c r="DP271" s="351">
        <f t="array" ref="DP271">IF(ChoixRationHivernaleOvinsComplète=OUI,0,IFERROR(IF(OR(AND(INDEX(Règles_ovins[Specificite],MATCH(RationHivernaleOvinsAuPré&amp;$DN271,Règles_ovins[Ration]&amp;Règles_ovins[Aliment],0))="s1",IF($DN271=Spécificité1Ovins,1)),
AND(INDEX(Règles_ovins[Specificite],MATCH(RationHivernaleOvinsAuPré&amp;$DN271,Règles_ovins[Ration]&amp;Règles_ovins[Aliment],0))="s2",IF($DN271=Spécificité2Ovins,1)),
INDEX(Règles_ovins[Specificite],MATCH(RationHivernaleOvinsAuPré&amp;$DN271,Règles_ovins[Ration]&amp;Règles_ovins[Aliment],0))="c"),
INDEX(Règles_ovins[Valeur 6-12],MATCH(RationHivernaleOvinsAuPré&amp;$DN271,Règles_ovins[Ration]&amp;Règles_ovins[Aliment],0)),0),0)*IF(SUM(TotalOvins_6_12moisAuPré)&gt;0,SUM(TotalOvins_6_12moisAuPré)*SUM(AD76:AD100),SUM(TotalJeunesOvins)*SUM(AD76:AD100)))</f>
        <v>0</v>
      </c>
      <c r="DQ271" s="351">
        <f t="array" ref="DQ271">IF(ChoixRationHivernaleOvinsComplète=OUI,0,IFERROR(IF(OR(AND(INDEX(Règles_ovins[Specificite],MATCH(RationHivernaleOvinsAuPré&amp;$DN271,Règles_ovins[Ration]&amp;Règles_ovins[Aliment],0))="s1",IF($DN271=Spécificité1Ovins,1)),
AND(INDEX(Règles_ovins[Specificite],MATCH(RationHivernaleOvinsAuPré&amp;$DN271,Règles_ovins[Ration]&amp;Règles_ovins[Aliment],0))="s2",IF($DN271=Spécificité2Ovins,1)),
INDEX(Règles_ovins[Specificite],MATCH(RationHivernaleOvinsAuPré&amp;$DN271,Règles_ovins[Ration]&amp;Règles_ovins[Aliment],0))="c"),
INDEX(Règles_ovins[Valeur 3-6],MATCH(RationHivernaleOvinsAuPré&amp;$DN271,Règles_ovins[Ration]&amp;Règles_ovins[Aliment],0)),0),0)*IF(SUM(TotalOvins_3_6moisAuPré)&gt;0,SUM(TotalOvins_3_6moisAuPré)*SUM(AD76:AD100),SUM(TotalOvins_3_6mois)*SUM(AD76:AD100)))</f>
        <v>0</v>
      </c>
      <c r="DR271" s="351">
        <f t="array" ref="DR271">IF(ChoixRationHivernaleOvinsComplète=OUI,0,IFERROR(IF(OR(AND(INDEX(Règles_ovins[Specificite],MATCH(RationHivernaleOvinsAuPré&amp;$DN271,Règles_ovins[Ration]&amp;Règles_ovins[Aliment],0))="s1",IF($DN271=Spécificité1Ovins,1)),
AND(INDEX(Règles_ovins[Specificite],MATCH(RationHivernaleOvinsAuPré&amp;$DN271,Règles_ovins[Ration]&amp;Règles_ovins[Aliment],0))="s2",IF($DN271=Spécificité2Ovins,1)),
INDEX(Règles_ovins[Specificite],MATCH(RationHivernaleOvinsAuPré&amp;$DN271,Règles_ovins[Ration]&amp;Règles_ovins[Aliment],0))="c"),
INDEX(Règles_ovins[Valeur 0-3],MATCH(RationHivernaleOvinsAuPré&amp;$DN271,Règles_ovins[Ration]&amp;Règles_ovins[Aliment],0)),0),0)*IF(SUM(TotalOvins_0_3moisAuPré)&gt;0,SUM(TotalOvins_0_3moisAuPré)*SUM(AD76:AD100),SUM(TotalOvins_3_6mois)*SUM(AD76:AD100)))</f>
        <v>0</v>
      </c>
      <c r="DS271" s="441">
        <f t="shared" si="69"/>
        <v>0</v>
      </c>
      <c r="GG271" s="276" t="s">
        <v>955</v>
      </c>
      <c r="GH271" s="276" t="s">
        <v>955</v>
      </c>
      <c r="GI271" s="276" t="s">
        <v>955</v>
      </c>
      <c r="GJ271" s="276" t="s">
        <v>955</v>
      </c>
      <c r="GK271" s="276" t="s">
        <v>955</v>
      </c>
      <c r="GL271" s="276" t="s">
        <v>955</v>
      </c>
      <c r="GM271" s="276" t="s">
        <v>955</v>
      </c>
      <c r="GN271" s="276" t="s">
        <v>955</v>
      </c>
      <c r="GO271" s="276" t="s">
        <v>955</v>
      </c>
      <c r="GP271" s="276" t="s">
        <v>955</v>
      </c>
      <c r="GQ271" s="276" t="s">
        <v>955</v>
      </c>
      <c r="GR271" s="276" t="s">
        <v>955</v>
      </c>
      <c r="GS271" s="276" t="s">
        <v>955</v>
      </c>
      <c r="GT271" s="276" t="s">
        <v>955</v>
      </c>
      <c r="GU271" s="276" t="s">
        <v>955</v>
      </c>
      <c r="GV271" s="276" t="s">
        <v>955</v>
      </c>
    </row>
    <row r="272" spans="1:204" ht="12.75" customHeight="1" x14ac:dyDescent="0.2">
      <c r="A272" s="278"/>
      <c r="BB272" s="350">
        <f t="shared" si="68"/>
        <v>0</v>
      </c>
      <c r="BC272" s="351">
        <f t="array" ref="BC272">IF(Ration_complète_bovins[somme]&gt;0,0,IFERROR(IF(OR(AND(INDEX(Règles_bovins[Specificite],MATCH(ChoixRationBovins&amp;$BB272,Règles_bovins[Ration]&amp;Règles_bovins[Aliment],0))="s1",IF($BB272=Spécificité1Bovins,1)),
AND(INDEX(Règles_bovins[Specificite],MATCH(ChoixRationBovins&amp;$BB272,Règles_bovins[Ration]&amp;Règles_bovins[Aliment],0))="s2",IF($BB272=Spécificité2Bovins,1)),
INDEX(Règles_bovins[Specificite],MATCH(ChoixRationBovins&amp;$BB272,Règles_bovins[Ration]&amp;Règles_bovins[Aliment],0))="c"),
INDEX(Règles_bovins[Valeur 36 et plus],MATCH(ChoixRationBovins&amp;$BB272,Règles_bovins[Ration]&amp;Règles_bovins[Aliment],0)),0),0)*IF(ChoixBovinsPréHiver=OUI,TotalVachesRacesLaitières,TotalVaches*NbreJoursNourrirBovins))</f>
        <v>0</v>
      </c>
      <c r="BD272" s="351">
        <f t="array" ref="BD272">IF(Ration_complète_bovins[somme]&gt;0,0,IFERROR(IF(OR(AND(INDEX(Règles_bovins[Specificite],MATCH(ChoixRationBovins&amp;$BB272,Règles_bovins[Ration]&amp;Règles_bovins[Aliment],0))="s1",IF($BB272=Spécificité1Bovins,1)),
AND(INDEX(Règles_bovins[Specificite],MATCH(ChoixRationBovins&amp;$BB272,Règles_bovins[Ration]&amp;Règles_bovins[Aliment],0))="s2",IF($BB272=Spécificité2Bovins,1)),
INDEX(Règles_bovins[Specificite],MATCH(ChoixRationBovins&amp;$BB272,Règles_bovins[Ration]&amp;Règles_bovins[Aliment],0))="c"),
INDEX(Règles_bovins[Valeur 24-36],MATCH(ChoixRationBovins&amp;$BB272,Règles_bovins[Ration]&amp;Règles_bovins[Aliment],0)),0),0)*IF(ChoixBovinsPréHiver=OUI,TotalGénisse_24_36_RacesLaitières,TotalBovinsFemelles_24_36mois*NbreJoursNourrirBovins))</f>
        <v>0</v>
      </c>
      <c r="BE272" s="351">
        <f t="array" ref="BE272">IF(Ration_complète_bovins[somme]&gt;0,0,IFERROR(IF(OR(AND(INDEX(Règles_bovins[Specificite],MATCH(ChoixRationBovins&amp;$BB272,Règles_bovins[Ration]&amp;Règles_bovins[Aliment],0))="s1",IF($BB272=Spécificité1Bovins,1)),
AND(INDEX(Règles_bovins[Specificite],MATCH(ChoixRationBovins&amp;$BB272,Règles_bovins[Ration]&amp;Règles_bovins[Aliment],0))="s2",IF($BB272=Spécificité2Bovins,1)),
INDEX(Règles_bovins[Specificite],MATCH(ChoixRationBovins&amp;$BB272,Règles_bovins[Ration]&amp;Règles_bovins[Aliment],0))="c"),
INDEX(Règles_bovins[Valeur 18-24],MATCH(ChoixRationBovins&amp;$BB272,Règles_bovins[Ration]&amp;Règles_bovins[Aliment],0)),0),0)*IF(ChoixBovinsPréHiver=OUI,TotalGénisse_18_24_RacesLaitières,TotalBovinsFemelles_18_24mois*NbreJoursNourrirBovins))</f>
        <v>0</v>
      </c>
      <c r="BF272" s="351">
        <f t="array" ref="BF272">IF(Ration_complète_bovins[somme]&gt;0,0,IFERROR(IF(OR(AND(INDEX(Règles_bovins[Specificite],MATCH(ChoixRationBovins&amp;$BB272,Règles_bovins[Ration]&amp;Règles_bovins[Aliment],0))="s1",IF($BB272=Spécificité1Bovins,1)),
AND(INDEX(Règles_bovins[Specificite],MATCH(ChoixRationBovins&amp;$BB272,Règles_bovins[Ration]&amp;Règles_bovins[Aliment],0))="s2",IF($BB272=Spécificité2Bovins,1)),
INDEX(Règles_bovins[Specificite],MATCH(ChoixRationBovins&amp;$BB272,Règles_bovins[Ration]&amp;Règles_bovins[Aliment],0))="c"),
INDEX(Règles_bovins[Valeur 12-18],MATCH(ChoixRationBovins&amp;$BB272,Règles_bovins[Ration]&amp;Règles_bovins[Aliment],0)),0),0)*IF(ChoixBovinsPréHiver=OUI,TotalGénisse_12_18_RacesLaitières,TotalBovinsFemelles_12_18mois*NbreJoursNourrirBovins))</f>
        <v>0</v>
      </c>
      <c r="BG272" s="351">
        <f t="array" ref="BG272">IF(Ration_complète_bovins[somme]&gt;0,0,IFERROR(IF(OR(AND(INDEX(Règles_bovins[Specificite],MATCH(ChoixRationBovins&amp;$BB272,Règles_bovins[Ration]&amp;Règles_bovins[Aliment],0))="s1",IF($BB272=Spécificité1Bovins,1)),
AND(INDEX(Règles_bovins[Specificite],MATCH(ChoixRationBovins&amp;$BB272,Règles_bovins[Ration]&amp;Règles_bovins[Aliment],0))="s2",IF($BB272=Spécificité2Bovins,1)),
INDEX(Règles_bovins[Specificite],MATCH(ChoixRationBovins&amp;$BB272,Règles_bovins[Ration]&amp;Règles_bovins[Aliment],0))="c"),
INDEX(Règles_bovins[Valeur 6-12],MATCH(ChoixRationBovins&amp;$BB272,Règles_bovins[Ration]&amp;Règles_bovins[Aliment],0)),0),0)*IF(ChoixBovinsPréHiver=OUI,TotalVeauFemelle_6_12_RacesLaitières,TotalBovinsFemelles_6_12mois*NbreJoursNourrirBovins))</f>
        <v>0</v>
      </c>
      <c r="BH272" s="351">
        <f t="array" ref="BH272">IF(Ration_complète_bovins[somme]&gt;0,0,IFERROR(IF(OR(AND(INDEX(Règles_bovins[Specificite],MATCH(ChoixRationBovins&amp;$BB272,Règles_bovins[Ration]&amp;Règles_bovins[Aliment],0))="s1",IF($BB272=Spécificité1Bovins,1)),
AND(INDEX(Règles_bovins[Specificite],MATCH(ChoixRationBovins&amp;$BB272,Règles_bovins[Ration]&amp;Règles_bovins[Aliment],0))="s2",IF($BB272=Spécificité2Bovins,1)),
INDEX(Règles_bovins[Specificite],MATCH(ChoixRationBovins&amp;$BB272,Règles_bovins[Ration]&amp;Règles_bovins[Aliment],0))="c"),
INDEX(Règles_bovins[Valeur 3-6],MATCH(ChoixRationBovins&amp;$BB272,Règles_bovins[Ration]&amp;Règles_bovins[Aliment],0)),0),0)*IF(ChoixBovinsPréHiver=OUI,TotalVeauFemelle_3_6_RacesLaitières,TotalBovinsFemelles_3_6mois*NbreJoursNourrirBovins))</f>
        <v>0</v>
      </c>
      <c r="BI272" s="351">
        <f t="array" ref="BI272">IF(Ration_complète_bovins[somme]&gt;0,0,IFERROR(IF(OR(AND(INDEX(Règles_bovins[Specificite],MATCH(ChoixRationBovins&amp;$BB272,Règles_bovins[Ration]&amp;Règles_bovins[Aliment],0))="s1",IF($BB272=Spécificité1Bovins,1)),
AND(INDEX(Règles_bovins[Specificite],MATCH(ChoixRationBovins&amp;$BB272,Règles_bovins[Ration]&amp;Règles_bovins[Aliment],0))="s2",IF($BB272=Spécificité2Bovins,1)),
INDEX(Règles_bovins[Specificite],MATCH(ChoixRationBovins&amp;$BB272,Règles_bovins[Ration]&amp;Règles_bovins[Aliment],0))="c"),
INDEX(Règles_bovins[Valeur 0-3],MATCH(ChoixRationBovins&amp;$BB272,Règles_bovins[Ration]&amp;Règles_bovins[Aliment],0)),0),0)*IF(ChoixBovinsPréHiver=OUI,TotalVeauFemelle_0_3_RacesLaitières,TotalBovinsFemelles_0_3mois*NbreJoursNourrirBovins))</f>
        <v>0</v>
      </c>
      <c r="BJ272" s="352">
        <f t="shared" si="67"/>
        <v>0</v>
      </c>
      <c r="CI272" s="277"/>
      <c r="CK272" s="277"/>
      <c r="CL272" s="277"/>
      <c r="CM272" s="277"/>
      <c r="CN272" s="277"/>
      <c r="CO272" s="277"/>
      <c r="CP272" s="277"/>
      <c r="DN272" s="350">
        <f t="shared" si="70"/>
        <v>0</v>
      </c>
      <c r="DO272" s="351">
        <f t="array" ref="DO272">IF(ChoixRationHivernaleOvinsComplète=OUI,0,IFERROR(IF(OR(AND(INDEX(Règles_ovins[Specificite],MATCH(RationHivernaleOvinsAuPré&amp;$DN272,Règles_ovins[Ration]&amp;Règles_ovins[Aliment],0))="s1",IF($DN272=Spécificité1Ovins,1)),
AND(INDEX(Règles_ovins[Specificite],MATCH(RationHivernaleOvinsAuPré&amp;$DN272,Règles_ovins[Ration]&amp;Règles_ovins[Aliment],0))="s2",IF($DN272=Spécificité2Ovins,1)),
INDEX(Règles_ovins[Specificite],MATCH(RationHivernaleOvinsAuPré&amp;$DN272,Règles_ovins[Ration]&amp;Règles_ovins[Aliment],0))="c"),
INDEX(Règles_ovins[Valeur 12 et plus],MATCH(RationHivernaleOvinsAuPré&amp;$DN272,Règles_ovins[Ration]&amp;Règles_ovins[Aliment],0)),0),0)*IF(SUM(TotalOvinsAdultesAuPré)&gt;0,SUM(TotalOvinsAdultesAuPré)*SUM(AD76:AD100),SUM(TotalOvinsAdultes)*SUM(AD76:AD100)))</f>
        <v>0</v>
      </c>
      <c r="DP272" s="351">
        <f t="array" ref="DP272">IF(ChoixRationHivernaleOvinsComplète=OUI,0,IFERROR(IF(OR(AND(INDEX(Règles_ovins[Specificite],MATCH(RationHivernaleOvinsAuPré&amp;$DN272,Règles_ovins[Ration]&amp;Règles_ovins[Aliment],0))="s1",IF($DN272=Spécificité1Ovins,1)),
AND(INDEX(Règles_ovins[Specificite],MATCH(RationHivernaleOvinsAuPré&amp;$DN272,Règles_ovins[Ration]&amp;Règles_ovins[Aliment],0))="s2",IF($DN272=Spécificité2Ovins,1)),
INDEX(Règles_ovins[Specificite],MATCH(RationHivernaleOvinsAuPré&amp;$DN272,Règles_ovins[Ration]&amp;Règles_ovins[Aliment],0))="c"),
INDEX(Règles_ovins[Valeur 6-12],MATCH(RationHivernaleOvinsAuPré&amp;$DN272,Règles_ovins[Ration]&amp;Règles_ovins[Aliment],0)),0),0)*IF(SUM(TotalOvins_6_12moisAuPré)&gt;0,SUM(TotalOvins_6_12moisAuPré)*SUM(AD76:AD100),SUM(TotalJeunesOvins)*SUM(AD76:AD100)))</f>
        <v>0</v>
      </c>
      <c r="DQ272" s="351">
        <f t="array" ref="DQ272">IF(ChoixRationHivernaleOvinsComplète=OUI,0,IFERROR(IF(OR(AND(INDEX(Règles_ovins[Specificite],MATCH(RationHivernaleOvinsAuPré&amp;$DN272,Règles_ovins[Ration]&amp;Règles_ovins[Aliment],0))="s1",IF($DN272=Spécificité1Ovins,1)),
AND(INDEX(Règles_ovins[Specificite],MATCH(RationHivernaleOvinsAuPré&amp;$DN272,Règles_ovins[Ration]&amp;Règles_ovins[Aliment],0))="s2",IF($DN272=Spécificité2Ovins,1)),
INDEX(Règles_ovins[Specificite],MATCH(RationHivernaleOvinsAuPré&amp;$DN272,Règles_ovins[Ration]&amp;Règles_ovins[Aliment],0))="c"),
INDEX(Règles_ovins[Valeur 3-6],MATCH(RationHivernaleOvinsAuPré&amp;$DN272,Règles_ovins[Ration]&amp;Règles_ovins[Aliment],0)),0),0)*IF(SUM(TotalOvins_3_6moisAuPré)&gt;0,SUM(TotalOvins_3_6moisAuPré)*SUM(AD76:AD100),SUM(TotalOvins_3_6mois)*SUM(AD76:AD100)))</f>
        <v>0</v>
      </c>
      <c r="DR272" s="351">
        <f t="array" ref="DR272">IF(ChoixRationHivernaleOvinsComplète=OUI,0,IFERROR(IF(OR(AND(INDEX(Règles_ovins[Specificite],MATCH(RationHivernaleOvinsAuPré&amp;$DN272,Règles_ovins[Ration]&amp;Règles_ovins[Aliment],0))="s1",IF($DN272=Spécificité1Ovins,1)),
AND(INDEX(Règles_ovins[Specificite],MATCH(RationHivernaleOvinsAuPré&amp;$DN272,Règles_ovins[Ration]&amp;Règles_ovins[Aliment],0))="s2",IF($DN272=Spécificité2Ovins,1)),
INDEX(Règles_ovins[Specificite],MATCH(RationHivernaleOvinsAuPré&amp;$DN272,Règles_ovins[Ration]&amp;Règles_ovins[Aliment],0))="c"),
INDEX(Règles_ovins[Valeur 0-3],MATCH(RationHivernaleOvinsAuPré&amp;$DN272,Règles_ovins[Ration]&amp;Règles_ovins[Aliment],0)),0),0)*IF(SUM(TotalOvins_0_3moisAuPré)&gt;0,SUM(TotalOvins_0_3moisAuPré)*SUM(AD76:AD100),SUM(TotalOvins_3_6mois)*SUM(AD76:AD100)))</f>
        <v>0</v>
      </c>
      <c r="DS272" s="441">
        <f t="shared" si="69"/>
        <v>0</v>
      </c>
      <c r="GG272" s="276" t="s">
        <v>955</v>
      </c>
      <c r="GH272" s="276" t="s">
        <v>955</v>
      </c>
      <c r="GI272" s="276" t="s">
        <v>955</v>
      </c>
      <c r="GJ272" s="276" t="s">
        <v>955</v>
      </c>
      <c r="GK272" s="276" t="s">
        <v>955</v>
      </c>
      <c r="GL272" s="276" t="s">
        <v>955</v>
      </c>
      <c r="GM272" s="276" t="s">
        <v>955</v>
      </c>
      <c r="GN272" s="276" t="s">
        <v>955</v>
      </c>
      <c r="GO272" s="276" t="s">
        <v>955</v>
      </c>
      <c r="GP272" s="276" t="s">
        <v>955</v>
      </c>
      <c r="GQ272" s="276" t="s">
        <v>955</v>
      </c>
      <c r="GR272" s="276" t="s">
        <v>955</v>
      </c>
      <c r="GS272" s="276" t="s">
        <v>955</v>
      </c>
      <c r="GT272" s="276" t="s">
        <v>955</v>
      </c>
      <c r="GU272" s="276" t="s">
        <v>955</v>
      </c>
      <c r="GV272" s="276" t="s">
        <v>955</v>
      </c>
    </row>
    <row r="273" spans="1:204" ht="12.75" customHeight="1" x14ac:dyDescent="0.2">
      <c r="A273" s="276"/>
      <c r="B273" s="276"/>
      <c r="BB273" s="350">
        <f t="shared" si="68"/>
        <v>0</v>
      </c>
      <c r="BC273" s="351">
        <f t="array" ref="BC273">IF(Ration_complète_bovins[somme]&gt;0,0,IFERROR(IF(OR(AND(INDEX(Règles_bovins[Specificite],MATCH(ChoixRationBovins&amp;$BB273,Règles_bovins[Ration]&amp;Règles_bovins[Aliment],0))="s1",IF($BB273=Spécificité1Bovins,1)),
AND(INDEX(Règles_bovins[Specificite],MATCH(ChoixRationBovins&amp;$BB273,Règles_bovins[Ration]&amp;Règles_bovins[Aliment],0))="s2",IF($BB273=Spécificité2Bovins,1)),
INDEX(Règles_bovins[Specificite],MATCH(ChoixRationBovins&amp;$BB273,Règles_bovins[Ration]&amp;Règles_bovins[Aliment],0))="c"),
INDEX(Règles_bovins[Valeur 36 et plus],MATCH(ChoixRationBovins&amp;$BB273,Règles_bovins[Ration]&amp;Règles_bovins[Aliment],0)),0),0)*IF(ChoixBovinsPréHiver=OUI,TotalVachesRacesLaitières,TotalVaches*NbreJoursNourrirBovins))</f>
        <v>0</v>
      </c>
      <c r="BD273" s="351">
        <f t="array" ref="BD273">IF(Ration_complète_bovins[somme]&gt;0,0,IFERROR(IF(OR(AND(INDEX(Règles_bovins[Specificite],MATCH(ChoixRationBovins&amp;$BB273,Règles_bovins[Ration]&amp;Règles_bovins[Aliment],0))="s1",IF($BB273=Spécificité1Bovins,1)),
AND(INDEX(Règles_bovins[Specificite],MATCH(ChoixRationBovins&amp;$BB273,Règles_bovins[Ration]&amp;Règles_bovins[Aliment],0))="s2",IF($BB273=Spécificité2Bovins,1)),
INDEX(Règles_bovins[Specificite],MATCH(ChoixRationBovins&amp;$BB273,Règles_bovins[Ration]&amp;Règles_bovins[Aliment],0))="c"),
INDEX(Règles_bovins[Valeur 24-36],MATCH(ChoixRationBovins&amp;$BB273,Règles_bovins[Ration]&amp;Règles_bovins[Aliment],0)),0),0)*IF(ChoixBovinsPréHiver=OUI,TotalGénisse_24_36_RacesLaitières,TotalBovinsFemelles_24_36mois*NbreJoursNourrirBovins))</f>
        <v>0</v>
      </c>
      <c r="BE273" s="351">
        <f t="array" ref="BE273">IF(Ration_complète_bovins[somme]&gt;0,0,IFERROR(IF(OR(AND(INDEX(Règles_bovins[Specificite],MATCH(ChoixRationBovins&amp;$BB273,Règles_bovins[Ration]&amp;Règles_bovins[Aliment],0))="s1",IF($BB273=Spécificité1Bovins,1)),
AND(INDEX(Règles_bovins[Specificite],MATCH(ChoixRationBovins&amp;$BB273,Règles_bovins[Ration]&amp;Règles_bovins[Aliment],0))="s2",IF($BB273=Spécificité2Bovins,1)),
INDEX(Règles_bovins[Specificite],MATCH(ChoixRationBovins&amp;$BB273,Règles_bovins[Ration]&amp;Règles_bovins[Aliment],0))="c"),
INDEX(Règles_bovins[Valeur 18-24],MATCH(ChoixRationBovins&amp;$BB273,Règles_bovins[Ration]&amp;Règles_bovins[Aliment],0)),0),0)*IF(ChoixBovinsPréHiver=OUI,TotalGénisse_18_24_RacesLaitières,TotalBovinsFemelles_18_24mois*NbreJoursNourrirBovins))</f>
        <v>0</v>
      </c>
      <c r="BF273" s="351">
        <f t="array" ref="BF273">IF(Ration_complète_bovins[somme]&gt;0,0,IFERROR(IF(OR(AND(INDEX(Règles_bovins[Specificite],MATCH(ChoixRationBovins&amp;$BB273,Règles_bovins[Ration]&amp;Règles_bovins[Aliment],0))="s1",IF($BB273=Spécificité1Bovins,1)),
AND(INDEX(Règles_bovins[Specificite],MATCH(ChoixRationBovins&amp;$BB273,Règles_bovins[Ration]&amp;Règles_bovins[Aliment],0))="s2",IF($BB273=Spécificité2Bovins,1)),
INDEX(Règles_bovins[Specificite],MATCH(ChoixRationBovins&amp;$BB273,Règles_bovins[Ration]&amp;Règles_bovins[Aliment],0))="c"),
INDEX(Règles_bovins[Valeur 12-18],MATCH(ChoixRationBovins&amp;$BB273,Règles_bovins[Ration]&amp;Règles_bovins[Aliment],0)),0),0)*IF(ChoixBovinsPréHiver=OUI,TotalGénisse_12_18_RacesLaitières,TotalBovinsFemelles_12_18mois*NbreJoursNourrirBovins))</f>
        <v>0</v>
      </c>
      <c r="BG273" s="351">
        <f t="array" ref="BG273">IF(Ration_complète_bovins[somme]&gt;0,0,IFERROR(IF(OR(AND(INDEX(Règles_bovins[Specificite],MATCH(ChoixRationBovins&amp;$BB273,Règles_bovins[Ration]&amp;Règles_bovins[Aliment],0))="s1",IF($BB273=Spécificité1Bovins,1)),
AND(INDEX(Règles_bovins[Specificite],MATCH(ChoixRationBovins&amp;$BB273,Règles_bovins[Ration]&amp;Règles_bovins[Aliment],0))="s2",IF($BB273=Spécificité2Bovins,1)),
INDEX(Règles_bovins[Specificite],MATCH(ChoixRationBovins&amp;$BB273,Règles_bovins[Ration]&amp;Règles_bovins[Aliment],0))="c"),
INDEX(Règles_bovins[Valeur 6-12],MATCH(ChoixRationBovins&amp;$BB273,Règles_bovins[Ration]&amp;Règles_bovins[Aliment],0)),0),0)*IF(ChoixBovinsPréHiver=OUI,TotalVeauFemelle_6_12_RacesLaitières,TotalBovinsFemelles_6_12mois*NbreJoursNourrirBovins))</f>
        <v>0</v>
      </c>
      <c r="BH273" s="351">
        <f t="array" ref="BH273">IF(Ration_complète_bovins[somme]&gt;0,0,IFERROR(IF(OR(AND(INDEX(Règles_bovins[Specificite],MATCH(ChoixRationBovins&amp;$BB273,Règles_bovins[Ration]&amp;Règles_bovins[Aliment],0))="s1",IF($BB273=Spécificité1Bovins,1)),
AND(INDEX(Règles_bovins[Specificite],MATCH(ChoixRationBovins&amp;$BB273,Règles_bovins[Ration]&amp;Règles_bovins[Aliment],0))="s2",IF($BB273=Spécificité2Bovins,1)),
INDEX(Règles_bovins[Specificite],MATCH(ChoixRationBovins&amp;$BB273,Règles_bovins[Ration]&amp;Règles_bovins[Aliment],0))="c"),
INDEX(Règles_bovins[Valeur 3-6],MATCH(ChoixRationBovins&amp;$BB273,Règles_bovins[Ration]&amp;Règles_bovins[Aliment],0)),0),0)*IF(ChoixBovinsPréHiver=OUI,TotalVeauFemelle_3_6_RacesLaitières,TotalBovinsFemelles_3_6mois*NbreJoursNourrirBovins))</f>
        <v>0</v>
      </c>
      <c r="BI273" s="351">
        <f t="array" ref="BI273">IF(Ration_complète_bovins[somme]&gt;0,0,IFERROR(IF(OR(AND(INDEX(Règles_bovins[Specificite],MATCH(ChoixRationBovins&amp;$BB273,Règles_bovins[Ration]&amp;Règles_bovins[Aliment],0))="s1",IF($BB273=Spécificité1Bovins,1)),
AND(INDEX(Règles_bovins[Specificite],MATCH(ChoixRationBovins&amp;$BB273,Règles_bovins[Ration]&amp;Règles_bovins[Aliment],0))="s2",IF($BB273=Spécificité2Bovins,1)),
INDEX(Règles_bovins[Specificite],MATCH(ChoixRationBovins&amp;$BB273,Règles_bovins[Ration]&amp;Règles_bovins[Aliment],0))="c"),
INDEX(Règles_bovins[Valeur 0-3],MATCH(ChoixRationBovins&amp;$BB273,Règles_bovins[Ration]&amp;Règles_bovins[Aliment],0)),0),0)*IF(ChoixBovinsPréHiver=OUI,TotalVeauFemelle_0_3_RacesLaitières,TotalBovinsFemelles_0_3mois*NbreJoursNourrirBovins))</f>
        <v>0</v>
      </c>
      <c r="BJ273" s="352">
        <f t="shared" si="67"/>
        <v>0</v>
      </c>
      <c r="CD273" s="298"/>
      <c r="CE273" s="298"/>
      <c r="CF273" s="298"/>
      <c r="CG273" s="298"/>
      <c r="CI273" s="277"/>
      <c r="CK273" s="277"/>
      <c r="CL273" s="277"/>
      <c r="CM273" s="277"/>
      <c r="CN273" s="277"/>
      <c r="CO273" s="277"/>
      <c r="CP273" s="277"/>
      <c r="DN273" s="350">
        <f t="shared" si="70"/>
        <v>0</v>
      </c>
      <c r="DO273" s="351">
        <f t="array" ref="DO273">IF(ChoixRationHivernaleOvinsComplète=OUI,0,IFERROR(IF(OR(AND(INDEX(Règles_ovins[Specificite],MATCH(RationHivernaleOvinsAuPré&amp;$DN273,Règles_ovins[Ration]&amp;Règles_ovins[Aliment],0))="s1",IF($DN273=Spécificité1Ovins,1)),
AND(INDEX(Règles_ovins[Specificite],MATCH(RationHivernaleOvinsAuPré&amp;$DN273,Règles_ovins[Ration]&amp;Règles_ovins[Aliment],0))="s2",IF($DN273=Spécificité2Ovins,1)),
INDEX(Règles_ovins[Specificite],MATCH(RationHivernaleOvinsAuPré&amp;$DN273,Règles_ovins[Ration]&amp;Règles_ovins[Aliment],0))="c"),
INDEX(Règles_ovins[Valeur 12 et plus],MATCH(RationHivernaleOvinsAuPré&amp;$DN273,Règles_ovins[Ration]&amp;Règles_ovins[Aliment],0)),0),0)*IF(SUM(TotalOvinsAdultesAuPré)&gt;0,SUM(TotalOvinsAdultesAuPré)*SUM(AD76:AD100),SUM(TotalOvinsAdultes)*SUM(AD76:AD100)))</f>
        <v>0</v>
      </c>
      <c r="DP273" s="351">
        <f t="array" ref="DP273">IF(ChoixRationHivernaleOvinsComplète=OUI,0,IFERROR(IF(OR(AND(INDEX(Règles_ovins[Specificite],MATCH(RationHivernaleOvinsAuPré&amp;$DN273,Règles_ovins[Ration]&amp;Règles_ovins[Aliment],0))="s1",IF($DN273=Spécificité1Ovins,1)),
AND(INDEX(Règles_ovins[Specificite],MATCH(RationHivernaleOvinsAuPré&amp;$DN273,Règles_ovins[Ration]&amp;Règles_ovins[Aliment],0))="s2",IF($DN273=Spécificité2Ovins,1)),
INDEX(Règles_ovins[Specificite],MATCH(RationHivernaleOvinsAuPré&amp;$DN273,Règles_ovins[Ration]&amp;Règles_ovins[Aliment],0))="c"),
INDEX(Règles_ovins[Valeur 6-12],MATCH(RationHivernaleOvinsAuPré&amp;$DN273,Règles_ovins[Ration]&amp;Règles_ovins[Aliment],0)),0),0)*IF(SUM(TotalOvins_6_12moisAuPré)&gt;0,SUM(TotalOvins_6_12moisAuPré)*SUM(AD76:AD100),SUM(TotalJeunesOvins)*SUM(AD76:AD100)))</f>
        <v>0</v>
      </c>
      <c r="DQ273" s="351">
        <f t="array" ref="DQ273">IF(ChoixRationHivernaleOvinsComplète=OUI,0,IFERROR(IF(OR(AND(INDEX(Règles_ovins[Specificite],MATCH(RationHivernaleOvinsAuPré&amp;$DN273,Règles_ovins[Ration]&amp;Règles_ovins[Aliment],0))="s1",IF($DN273=Spécificité1Ovins,1)),
AND(INDEX(Règles_ovins[Specificite],MATCH(RationHivernaleOvinsAuPré&amp;$DN273,Règles_ovins[Ration]&amp;Règles_ovins[Aliment],0))="s2",IF($DN273=Spécificité2Ovins,1)),
INDEX(Règles_ovins[Specificite],MATCH(RationHivernaleOvinsAuPré&amp;$DN273,Règles_ovins[Ration]&amp;Règles_ovins[Aliment],0))="c"),
INDEX(Règles_ovins[Valeur 3-6],MATCH(RationHivernaleOvinsAuPré&amp;$DN273,Règles_ovins[Ration]&amp;Règles_ovins[Aliment],0)),0),0)*IF(SUM(TotalOvins_3_6moisAuPré)&gt;0,SUM(TotalOvins_3_6moisAuPré)*SUM(AD76:AD100),SUM(TotalOvins_3_6mois)*SUM(AD76:AD100)))</f>
        <v>0</v>
      </c>
      <c r="DR273" s="351">
        <f t="array" ref="DR273">IF(ChoixRationHivernaleOvinsComplète=OUI,0,IFERROR(IF(OR(AND(INDEX(Règles_ovins[Specificite],MATCH(RationHivernaleOvinsAuPré&amp;$DN273,Règles_ovins[Ration]&amp;Règles_ovins[Aliment],0))="s1",IF($DN273=Spécificité1Ovins,1)),
AND(INDEX(Règles_ovins[Specificite],MATCH(RationHivernaleOvinsAuPré&amp;$DN273,Règles_ovins[Ration]&amp;Règles_ovins[Aliment],0))="s2",IF($DN273=Spécificité2Ovins,1)),
INDEX(Règles_ovins[Specificite],MATCH(RationHivernaleOvinsAuPré&amp;$DN273,Règles_ovins[Ration]&amp;Règles_ovins[Aliment],0))="c"),
INDEX(Règles_ovins[Valeur 0-3],MATCH(RationHivernaleOvinsAuPré&amp;$DN273,Règles_ovins[Ration]&amp;Règles_ovins[Aliment],0)),0),0)*IF(SUM(TotalOvins_0_3moisAuPré)&gt;0,SUM(TotalOvins_0_3moisAuPré)*SUM(AD76:AD100),SUM(TotalOvins_3_6mois)*SUM(AD76:AD100)))</f>
        <v>0</v>
      </c>
      <c r="DS273" s="441">
        <f t="shared" si="69"/>
        <v>0</v>
      </c>
      <c r="GG273" s="276" t="s">
        <v>955</v>
      </c>
      <c r="GH273" s="276" t="s">
        <v>955</v>
      </c>
      <c r="GI273" s="276" t="s">
        <v>955</v>
      </c>
      <c r="GJ273" s="276" t="s">
        <v>955</v>
      </c>
      <c r="GK273" s="276" t="s">
        <v>955</v>
      </c>
      <c r="GL273" s="276" t="s">
        <v>955</v>
      </c>
      <c r="GM273" s="276" t="s">
        <v>955</v>
      </c>
      <c r="GN273" s="276" t="s">
        <v>955</v>
      </c>
      <c r="GO273" s="276" t="s">
        <v>955</v>
      </c>
      <c r="GP273" s="276" t="s">
        <v>955</v>
      </c>
      <c r="GQ273" s="276" t="s">
        <v>955</v>
      </c>
      <c r="GR273" s="276" t="s">
        <v>955</v>
      </c>
      <c r="GS273" s="276" t="s">
        <v>955</v>
      </c>
      <c r="GT273" s="276" t="s">
        <v>955</v>
      </c>
      <c r="GU273" s="276" t="s">
        <v>955</v>
      </c>
      <c r="GV273" s="276" t="s">
        <v>955</v>
      </c>
    </row>
    <row r="274" spans="1:204" ht="12.75" customHeight="1" x14ac:dyDescent="0.2">
      <c r="A274" s="276"/>
      <c r="B274" s="276"/>
      <c r="BB274" s="350">
        <f t="shared" si="68"/>
        <v>0</v>
      </c>
      <c r="BC274" s="351">
        <f t="array" ref="BC274">IF(Ration_complète_bovins[somme]&gt;0,0,IFERROR(IF(OR(AND(INDEX(Règles_bovins[Specificite],MATCH(ChoixRationBovins&amp;$BB274,Règles_bovins[Ration]&amp;Règles_bovins[Aliment],0))="s1",IF($BB274=Spécificité1Bovins,1)),
AND(INDEX(Règles_bovins[Specificite],MATCH(ChoixRationBovins&amp;$BB274,Règles_bovins[Ration]&amp;Règles_bovins[Aliment],0))="s2",IF($BB274=Spécificité2Bovins,1)),
INDEX(Règles_bovins[Specificite],MATCH(ChoixRationBovins&amp;$BB274,Règles_bovins[Ration]&amp;Règles_bovins[Aliment],0))="c"),
INDEX(Règles_bovins[Valeur 36 et plus],MATCH(ChoixRationBovins&amp;$BB274,Règles_bovins[Ration]&amp;Règles_bovins[Aliment],0)),0),0)*IF(ChoixBovinsPréHiver=OUI,TotalVachesRacesLaitières,TotalVaches*NbreJoursNourrirBovins))</f>
        <v>0</v>
      </c>
      <c r="BD274" s="351">
        <f t="array" ref="BD274">IF(Ration_complète_bovins[somme]&gt;0,0,IFERROR(IF(OR(AND(INDEX(Règles_bovins[Specificite],MATCH(ChoixRationBovins&amp;$BB274,Règles_bovins[Ration]&amp;Règles_bovins[Aliment],0))="s1",IF($BB274=Spécificité1Bovins,1)),
AND(INDEX(Règles_bovins[Specificite],MATCH(ChoixRationBovins&amp;$BB274,Règles_bovins[Ration]&amp;Règles_bovins[Aliment],0))="s2",IF($BB274=Spécificité2Bovins,1)),
INDEX(Règles_bovins[Specificite],MATCH(ChoixRationBovins&amp;$BB274,Règles_bovins[Ration]&amp;Règles_bovins[Aliment],0))="c"),
INDEX(Règles_bovins[Valeur 24-36],MATCH(ChoixRationBovins&amp;$BB274,Règles_bovins[Ration]&amp;Règles_bovins[Aliment],0)),0),0)*IF(ChoixBovinsPréHiver=OUI,TotalGénisse_24_36_RacesLaitières,TotalBovinsFemelles_24_36mois*NbreJoursNourrirBovins))</f>
        <v>0</v>
      </c>
      <c r="BE274" s="351">
        <f t="array" ref="BE274">IF(Ration_complète_bovins[somme]&gt;0,0,IFERROR(IF(OR(AND(INDEX(Règles_bovins[Specificite],MATCH(ChoixRationBovins&amp;$BB274,Règles_bovins[Ration]&amp;Règles_bovins[Aliment],0))="s1",IF($BB274=Spécificité1Bovins,1)),
AND(INDEX(Règles_bovins[Specificite],MATCH(ChoixRationBovins&amp;$BB274,Règles_bovins[Ration]&amp;Règles_bovins[Aliment],0))="s2",IF($BB274=Spécificité2Bovins,1)),
INDEX(Règles_bovins[Specificite],MATCH(ChoixRationBovins&amp;$BB274,Règles_bovins[Ration]&amp;Règles_bovins[Aliment],0))="c"),
INDEX(Règles_bovins[Valeur 18-24],MATCH(ChoixRationBovins&amp;$BB274,Règles_bovins[Ration]&amp;Règles_bovins[Aliment],0)),0),0)*IF(ChoixBovinsPréHiver=OUI,TotalGénisse_18_24_RacesLaitières,TotalBovinsFemelles_18_24mois*NbreJoursNourrirBovins))</f>
        <v>0</v>
      </c>
      <c r="BF274" s="351">
        <f t="array" ref="BF274">IF(Ration_complète_bovins[somme]&gt;0,0,IFERROR(IF(OR(AND(INDEX(Règles_bovins[Specificite],MATCH(ChoixRationBovins&amp;$BB274,Règles_bovins[Ration]&amp;Règles_bovins[Aliment],0))="s1",IF($BB274=Spécificité1Bovins,1)),
AND(INDEX(Règles_bovins[Specificite],MATCH(ChoixRationBovins&amp;$BB274,Règles_bovins[Ration]&amp;Règles_bovins[Aliment],0))="s2",IF($BB274=Spécificité2Bovins,1)),
INDEX(Règles_bovins[Specificite],MATCH(ChoixRationBovins&amp;$BB274,Règles_bovins[Ration]&amp;Règles_bovins[Aliment],0))="c"),
INDEX(Règles_bovins[Valeur 12-18],MATCH(ChoixRationBovins&amp;$BB274,Règles_bovins[Ration]&amp;Règles_bovins[Aliment],0)),0),0)*IF(ChoixBovinsPréHiver=OUI,TotalGénisse_12_18_RacesLaitières,TotalBovinsFemelles_12_18mois*NbreJoursNourrirBovins))</f>
        <v>0</v>
      </c>
      <c r="BG274" s="351">
        <f t="array" ref="BG274">IF(Ration_complète_bovins[somme]&gt;0,0,IFERROR(IF(OR(AND(INDEX(Règles_bovins[Specificite],MATCH(ChoixRationBovins&amp;$BB274,Règles_bovins[Ration]&amp;Règles_bovins[Aliment],0))="s1",IF($BB274=Spécificité1Bovins,1)),
AND(INDEX(Règles_bovins[Specificite],MATCH(ChoixRationBovins&amp;$BB274,Règles_bovins[Ration]&amp;Règles_bovins[Aliment],0))="s2",IF($BB274=Spécificité2Bovins,1)),
INDEX(Règles_bovins[Specificite],MATCH(ChoixRationBovins&amp;$BB274,Règles_bovins[Ration]&amp;Règles_bovins[Aliment],0))="c"),
INDEX(Règles_bovins[Valeur 6-12],MATCH(ChoixRationBovins&amp;$BB274,Règles_bovins[Ration]&amp;Règles_bovins[Aliment],0)),0),0)*IF(ChoixBovinsPréHiver=OUI,TotalVeauFemelle_6_12_RacesLaitières,TotalBovinsFemelles_6_12mois*NbreJoursNourrirBovins))</f>
        <v>0</v>
      </c>
      <c r="BH274" s="351">
        <f t="array" ref="BH274">IF(Ration_complète_bovins[somme]&gt;0,0,IFERROR(IF(OR(AND(INDEX(Règles_bovins[Specificite],MATCH(ChoixRationBovins&amp;$BB274,Règles_bovins[Ration]&amp;Règles_bovins[Aliment],0))="s1",IF($BB274=Spécificité1Bovins,1)),
AND(INDEX(Règles_bovins[Specificite],MATCH(ChoixRationBovins&amp;$BB274,Règles_bovins[Ration]&amp;Règles_bovins[Aliment],0))="s2",IF($BB274=Spécificité2Bovins,1)),
INDEX(Règles_bovins[Specificite],MATCH(ChoixRationBovins&amp;$BB274,Règles_bovins[Ration]&amp;Règles_bovins[Aliment],0))="c"),
INDEX(Règles_bovins[Valeur 3-6],MATCH(ChoixRationBovins&amp;$BB274,Règles_bovins[Ration]&amp;Règles_bovins[Aliment],0)),0),0)*IF(ChoixBovinsPréHiver=OUI,TotalVeauFemelle_3_6_RacesLaitières,TotalBovinsFemelles_3_6mois*NbreJoursNourrirBovins))</f>
        <v>0</v>
      </c>
      <c r="BI274" s="351">
        <f t="array" ref="BI274">IF(Ration_complète_bovins[somme]&gt;0,0,IFERROR(IF(OR(AND(INDEX(Règles_bovins[Specificite],MATCH(ChoixRationBovins&amp;$BB274,Règles_bovins[Ration]&amp;Règles_bovins[Aliment],0))="s1",IF($BB274=Spécificité1Bovins,1)),
AND(INDEX(Règles_bovins[Specificite],MATCH(ChoixRationBovins&amp;$BB274,Règles_bovins[Ration]&amp;Règles_bovins[Aliment],0))="s2",IF($BB274=Spécificité2Bovins,1)),
INDEX(Règles_bovins[Specificite],MATCH(ChoixRationBovins&amp;$BB274,Règles_bovins[Ration]&amp;Règles_bovins[Aliment],0))="c"),
INDEX(Règles_bovins[Valeur 0-3],MATCH(ChoixRationBovins&amp;$BB274,Règles_bovins[Ration]&amp;Règles_bovins[Aliment],0)),0),0)*IF(ChoixBovinsPréHiver=OUI,TotalVeauFemelle_0_3_RacesLaitières,TotalBovinsFemelles_0_3mois*NbreJoursNourrirBovins))</f>
        <v>0</v>
      </c>
      <c r="BJ274" s="352">
        <f t="shared" si="67"/>
        <v>0</v>
      </c>
      <c r="CD274" s="298"/>
      <c r="CE274" s="298"/>
      <c r="CF274" s="298"/>
      <c r="CG274" s="298"/>
      <c r="CI274" s="277"/>
      <c r="CK274" s="277"/>
      <c r="CL274" s="277"/>
      <c r="CM274" s="277"/>
      <c r="CN274" s="277"/>
      <c r="CO274" s="277"/>
      <c r="CP274" s="277"/>
      <c r="DN274" s="350">
        <f t="shared" si="70"/>
        <v>0</v>
      </c>
      <c r="DO274" s="351">
        <f t="array" ref="DO274">IF(ChoixRationHivernaleOvinsComplète=OUI,0,IFERROR(IF(OR(AND(INDEX(Règles_ovins[Specificite],MATCH(RationHivernaleOvinsAuPré&amp;$DN274,Règles_ovins[Ration]&amp;Règles_ovins[Aliment],0))="s1",IF($DN274=Spécificité1Ovins,1)),
AND(INDEX(Règles_ovins[Specificite],MATCH(RationHivernaleOvinsAuPré&amp;$DN274,Règles_ovins[Ration]&amp;Règles_ovins[Aliment],0))="s2",IF($DN274=Spécificité2Ovins,1)),
INDEX(Règles_ovins[Specificite],MATCH(RationHivernaleOvinsAuPré&amp;$DN274,Règles_ovins[Ration]&amp;Règles_ovins[Aliment],0))="c"),
INDEX(Règles_ovins[Valeur 12 et plus],MATCH(RationHivernaleOvinsAuPré&amp;$DN274,Règles_ovins[Ration]&amp;Règles_ovins[Aliment],0)),0),0)*IF(SUM(TotalOvinsAdultesAuPré)&gt;0,SUM(TotalOvinsAdultesAuPré)*SUM(AD76:AD100),SUM(TotalOvinsAdultes)*SUM(AD76:AD100)))</f>
        <v>0</v>
      </c>
      <c r="DP274" s="351">
        <f t="array" ref="DP274">IF(ChoixRationHivernaleOvinsComplète=OUI,0,IFERROR(IF(OR(AND(INDEX(Règles_ovins[Specificite],MATCH(RationHivernaleOvinsAuPré&amp;$DN274,Règles_ovins[Ration]&amp;Règles_ovins[Aliment],0))="s1",IF($DN274=Spécificité1Ovins,1)),
AND(INDEX(Règles_ovins[Specificite],MATCH(RationHivernaleOvinsAuPré&amp;$DN274,Règles_ovins[Ration]&amp;Règles_ovins[Aliment],0))="s2",IF($DN274=Spécificité2Ovins,1)),
INDEX(Règles_ovins[Specificite],MATCH(RationHivernaleOvinsAuPré&amp;$DN274,Règles_ovins[Ration]&amp;Règles_ovins[Aliment],0))="c"),
INDEX(Règles_ovins[Valeur 6-12],MATCH(RationHivernaleOvinsAuPré&amp;$DN274,Règles_ovins[Ration]&amp;Règles_ovins[Aliment],0)),0),0)*IF(SUM(TotalOvins_6_12moisAuPré)&gt;0,SUM(TotalOvins_6_12moisAuPré)*SUM(AD76:AD100),SUM(TotalJeunesOvins)*SUM(AD76:AD100)))</f>
        <v>0</v>
      </c>
      <c r="DQ274" s="351">
        <f t="array" ref="DQ274">IF(ChoixRationHivernaleOvinsComplète=OUI,0,IFERROR(IF(OR(AND(INDEX(Règles_ovins[Specificite],MATCH(RationHivernaleOvinsAuPré&amp;$DN274,Règles_ovins[Ration]&amp;Règles_ovins[Aliment],0))="s1",IF($DN274=Spécificité1Ovins,1)),
AND(INDEX(Règles_ovins[Specificite],MATCH(RationHivernaleOvinsAuPré&amp;$DN274,Règles_ovins[Ration]&amp;Règles_ovins[Aliment],0))="s2",IF($DN274=Spécificité2Ovins,1)),
INDEX(Règles_ovins[Specificite],MATCH(RationHivernaleOvinsAuPré&amp;$DN274,Règles_ovins[Ration]&amp;Règles_ovins[Aliment],0))="c"),
INDEX(Règles_ovins[Valeur 3-6],MATCH(RationHivernaleOvinsAuPré&amp;$DN274,Règles_ovins[Ration]&amp;Règles_ovins[Aliment],0)),0),0)*IF(SUM(TotalOvins_3_6moisAuPré)&gt;0,SUM(TotalOvins_3_6moisAuPré)*SUM(AD76:AD100),SUM(TotalOvins_3_6mois)*SUM(AD76:AD100)))</f>
        <v>0</v>
      </c>
      <c r="DR274" s="351">
        <f t="array" ref="DR274">IF(ChoixRationHivernaleOvinsComplète=OUI,0,IFERROR(IF(OR(AND(INDEX(Règles_ovins[Specificite],MATCH(RationHivernaleOvinsAuPré&amp;$DN274,Règles_ovins[Ration]&amp;Règles_ovins[Aliment],0))="s1",IF($DN274=Spécificité1Ovins,1)),
AND(INDEX(Règles_ovins[Specificite],MATCH(RationHivernaleOvinsAuPré&amp;$DN274,Règles_ovins[Ration]&amp;Règles_ovins[Aliment],0))="s2",IF($DN274=Spécificité2Ovins,1)),
INDEX(Règles_ovins[Specificite],MATCH(RationHivernaleOvinsAuPré&amp;$DN274,Règles_ovins[Ration]&amp;Règles_ovins[Aliment],0))="c"),
INDEX(Règles_ovins[Valeur 0-3],MATCH(RationHivernaleOvinsAuPré&amp;$DN274,Règles_ovins[Ration]&amp;Règles_ovins[Aliment],0)),0),0)*IF(SUM(TotalOvins_0_3moisAuPré)&gt;0,SUM(TotalOvins_0_3moisAuPré)*SUM(AD76:AD100),SUM(TotalOvins_3_6mois)*SUM(AD76:AD100)))</f>
        <v>0</v>
      </c>
      <c r="DS274" s="441">
        <f t="shared" si="69"/>
        <v>0</v>
      </c>
      <c r="GG274" s="276" t="s">
        <v>955</v>
      </c>
      <c r="GH274" s="276" t="s">
        <v>955</v>
      </c>
      <c r="GI274" s="276" t="s">
        <v>955</v>
      </c>
      <c r="GJ274" s="276" t="s">
        <v>955</v>
      </c>
      <c r="GK274" s="276" t="s">
        <v>955</v>
      </c>
      <c r="GL274" s="276" t="s">
        <v>955</v>
      </c>
      <c r="GM274" s="276" t="s">
        <v>955</v>
      </c>
      <c r="GN274" s="276" t="s">
        <v>955</v>
      </c>
      <c r="GO274" s="276" t="s">
        <v>955</v>
      </c>
      <c r="GP274" s="276" t="s">
        <v>955</v>
      </c>
      <c r="GQ274" s="276" t="s">
        <v>955</v>
      </c>
      <c r="GR274" s="276" t="s">
        <v>955</v>
      </c>
      <c r="GS274" s="276" t="s">
        <v>955</v>
      </c>
      <c r="GT274" s="276" t="s">
        <v>955</v>
      </c>
      <c r="GU274" s="276" t="s">
        <v>955</v>
      </c>
      <c r="GV274" s="276" t="s">
        <v>955</v>
      </c>
    </row>
    <row r="275" spans="1:204" ht="12.75" customHeight="1" x14ac:dyDescent="0.2">
      <c r="A275" s="276"/>
      <c r="B275" s="276"/>
      <c r="BB275" s="326"/>
      <c r="BC275" s="327"/>
      <c r="BD275" s="327"/>
      <c r="BE275" s="327"/>
      <c r="BF275" s="327"/>
      <c r="BG275" s="327"/>
      <c r="BH275" s="327"/>
      <c r="BI275" s="327"/>
      <c r="BJ275" s="328"/>
      <c r="CD275" s="298"/>
      <c r="CE275" s="298"/>
      <c r="CF275" s="298"/>
      <c r="CG275" s="298"/>
      <c r="CI275" s="277"/>
      <c r="CK275" s="277"/>
      <c r="CL275" s="277"/>
      <c r="CM275" s="277"/>
      <c r="CN275" s="277"/>
      <c r="CO275" s="277"/>
      <c r="CP275" s="277"/>
      <c r="DN275" s="350">
        <f t="shared" si="70"/>
        <v>0</v>
      </c>
      <c r="DO275" s="351">
        <f t="array" ref="DO275">IF(ChoixRationHivernaleOvinsComplète=OUI,0,IFERROR(IF(OR(AND(INDEX(Règles_ovins[Specificite],MATCH(RationHivernaleOvinsAuPré&amp;$DN275,Règles_ovins[Ration]&amp;Règles_ovins[Aliment],0))="s1",IF($DN275=Spécificité1Ovins,1)),
AND(INDEX(Règles_ovins[Specificite],MATCH(RationHivernaleOvinsAuPré&amp;$DN275,Règles_ovins[Ration]&amp;Règles_ovins[Aliment],0))="s2",IF($DN275=Spécificité2Ovins,1)),
INDEX(Règles_ovins[Specificite],MATCH(RationHivernaleOvinsAuPré&amp;$DN275,Règles_ovins[Ration]&amp;Règles_ovins[Aliment],0))="c"),
INDEX(Règles_ovins[Valeur 12 et plus],MATCH(RationHivernaleOvinsAuPré&amp;$DN275,Règles_ovins[Ration]&amp;Règles_ovins[Aliment],0)),0),0)*IF(SUM(TotalOvinsAdultesAuPré)&gt;0,SUM(TotalOvinsAdultesAuPré)*SUM(AD76:AD100),SUM(TotalOvinsAdultes)*SUM(AD76:AD100)))</f>
        <v>0</v>
      </c>
      <c r="DP275" s="351">
        <f t="array" ref="DP275">IF(ChoixRationHivernaleOvinsComplète=OUI,0,IFERROR(IF(OR(AND(INDEX(Règles_ovins[Specificite],MATCH(RationHivernaleOvinsAuPré&amp;$DN275,Règles_ovins[Ration]&amp;Règles_ovins[Aliment],0))="s1",IF($DN275=Spécificité1Ovins,1)),
AND(INDEX(Règles_ovins[Specificite],MATCH(RationHivernaleOvinsAuPré&amp;$DN275,Règles_ovins[Ration]&amp;Règles_ovins[Aliment],0))="s2",IF($DN275=Spécificité2Ovins,1)),
INDEX(Règles_ovins[Specificite],MATCH(RationHivernaleOvinsAuPré&amp;$DN275,Règles_ovins[Ration]&amp;Règles_ovins[Aliment],0))="c"),
INDEX(Règles_ovins[Valeur 6-12],MATCH(RationHivernaleOvinsAuPré&amp;$DN275,Règles_ovins[Ration]&amp;Règles_ovins[Aliment],0)),0),0)*IF(SUM(TotalOvins_6_12moisAuPré)&gt;0,SUM(TotalOvins_6_12moisAuPré)*SUM(AD76:AD100),SUM(TotalJeunesOvins)*SUM(AD76:AD100)))</f>
        <v>0</v>
      </c>
      <c r="DQ275" s="351">
        <f t="array" ref="DQ275">IF(ChoixRationHivernaleOvinsComplète=OUI,0,IFERROR(IF(OR(AND(INDEX(Règles_ovins[Specificite],MATCH(RationHivernaleOvinsAuPré&amp;$DN275,Règles_ovins[Ration]&amp;Règles_ovins[Aliment],0))="s1",IF($DN275=Spécificité1Ovins,1)),
AND(INDEX(Règles_ovins[Specificite],MATCH(RationHivernaleOvinsAuPré&amp;$DN275,Règles_ovins[Ration]&amp;Règles_ovins[Aliment],0))="s2",IF($DN275=Spécificité2Ovins,1)),
INDEX(Règles_ovins[Specificite],MATCH(RationHivernaleOvinsAuPré&amp;$DN275,Règles_ovins[Ration]&amp;Règles_ovins[Aliment],0))="c"),
INDEX(Règles_ovins[Valeur 3-6],MATCH(RationHivernaleOvinsAuPré&amp;$DN275,Règles_ovins[Ration]&amp;Règles_ovins[Aliment],0)),0),0)*IF(SUM(TotalOvins_3_6moisAuPré)&gt;0,SUM(TotalOvins_3_6moisAuPré)*SUM(AD76:AD100),SUM(TotalOvins_3_6mois)*SUM(AD76:AD100)))</f>
        <v>0</v>
      </c>
      <c r="DR275" s="351">
        <f t="array" ref="DR275">IF(ChoixRationHivernaleOvinsComplète=OUI,0,IFERROR(IF(OR(AND(INDEX(Règles_ovins[Specificite],MATCH(RationHivernaleOvinsAuPré&amp;$DN275,Règles_ovins[Ration]&amp;Règles_ovins[Aliment],0))="s1",IF($DN275=Spécificité1Ovins,1)),
AND(INDEX(Règles_ovins[Specificite],MATCH(RationHivernaleOvinsAuPré&amp;$DN275,Règles_ovins[Ration]&amp;Règles_ovins[Aliment],0))="s2",IF($DN275=Spécificité2Ovins,1)),
INDEX(Règles_ovins[Specificite],MATCH(RationHivernaleOvinsAuPré&amp;$DN275,Règles_ovins[Ration]&amp;Règles_ovins[Aliment],0))="c"),
INDEX(Règles_ovins[Valeur 0-3],MATCH(RationHivernaleOvinsAuPré&amp;$DN275,Règles_ovins[Ration]&amp;Règles_ovins[Aliment],0)),0),0)*IF(SUM(TotalOvins_0_3moisAuPré)&gt;0,SUM(TotalOvins_0_3moisAuPré)*SUM(AD76:AD100),SUM(TotalOvins_3_6mois)*SUM(AD76:AD100)))</f>
        <v>0</v>
      </c>
      <c r="DS275" s="441">
        <f t="shared" si="69"/>
        <v>0</v>
      </c>
      <c r="GG275" s="276" t="s">
        <v>955</v>
      </c>
      <c r="GH275" s="276" t="s">
        <v>955</v>
      </c>
      <c r="GI275" s="276" t="s">
        <v>955</v>
      </c>
      <c r="GJ275" s="276" t="s">
        <v>955</v>
      </c>
      <c r="GK275" s="276" t="s">
        <v>955</v>
      </c>
      <c r="GL275" s="276" t="s">
        <v>955</v>
      </c>
      <c r="GM275" s="276" t="s">
        <v>955</v>
      </c>
      <c r="GN275" s="276" t="s">
        <v>955</v>
      </c>
      <c r="GO275" s="276" t="s">
        <v>955</v>
      </c>
      <c r="GP275" s="276" t="s">
        <v>955</v>
      </c>
      <c r="GQ275" s="276" t="s">
        <v>955</v>
      </c>
      <c r="GR275" s="276" t="s">
        <v>955</v>
      </c>
      <c r="GS275" s="276" t="s">
        <v>955</v>
      </c>
      <c r="GT275" s="276" t="s">
        <v>955</v>
      </c>
      <c r="GU275" s="276" t="s">
        <v>955</v>
      </c>
      <c r="GV275" s="276" t="s">
        <v>955</v>
      </c>
    </row>
    <row r="276" spans="1:204" ht="12.75" customHeight="1" x14ac:dyDescent="0.2">
      <c r="A276" s="276"/>
      <c r="B276" s="276"/>
      <c r="BB276" s="229" t="s">
        <v>912</v>
      </c>
      <c r="BC276" s="344"/>
      <c r="BD276" s="344"/>
      <c r="BE276" s="344"/>
      <c r="BF276" s="344"/>
      <c r="BG276" s="344"/>
      <c r="BH276" s="344"/>
      <c r="BI276" s="344"/>
      <c r="BJ276" s="346"/>
      <c r="CD276" s="298"/>
      <c r="CE276" s="298"/>
      <c r="CF276" s="298"/>
      <c r="CG276" s="298"/>
      <c r="CI276" s="277"/>
      <c r="CK276" s="277"/>
      <c r="CL276" s="277"/>
      <c r="CM276" s="277"/>
      <c r="CN276" s="277"/>
      <c r="CO276" s="277"/>
      <c r="CP276" s="277"/>
      <c r="DN276" s="350">
        <f t="shared" si="70"/>
        <v>0</v>
      </c>
      <c r="DO276" s="351">
        <f t="array" ref="DO276">IF(ChoixRationHivernaleOvinsComplète=OUI,0,IFERROR(IF(OR(AND(INDEX(Règles_ovins[Specificite],MATCH(RationHivernaleOvinsAuPré&amp;$DN276,Règles_ovins[Ration]&amp;Règles_ovins[Aliment],0))="s1",IF($DN276=Spécificité1Ovins,1)),
AND(INDEX(Règles_ovins[Specificite],MATCH(RationHivernaleOvinsAuPré&amp;$DN276,Règles_ovins[Ration]&amp;Règles_ovins[Aliment],0))="s2",IF($DN276=Spécificité2Ovins,1)),
INDEX(Règles_ovins[Specificite],MATCH(RationHivernaleOvinsAuPré&amp;$DN276,Règles_ovins[Ration]&amp;Règles_ovins[Aliment],0))="c"),
INDEX(Règles_ovins[Valeur 12 et plus],MATCH(RationHivernaleOvinsAuPré&amp;$DN276,Règles_ovins[Ration]&amp;Règles_ovins[Aliment],0)),0),0)*IF(SUM(TotalOvinsAdultesAuPré)&gt;0,SUM(TotalOvinsAdultesAuPré)*SUM(AD76:AD100),SUM(TotalOvinsAdultes)*SUM(AD76:AD100)))</f>
        <v>0</v>
      </c>
      <c r="DP276" s="351">
        <f t="array" ref="DP276">IF(ChoixRationHivernaleOvinsComplète=OUI,0,IFERROR(IF(OR(AND(INDEX(Règles_ovins[Specificite],MATCH(RationHivernaleOvinsAuPré&amp;$DN276,Règles_ovins[Ration]&amp;Règles_ovins[Aliment],0))="s1",IF($DN276=Spécificité1Ovins,1)),
AND(INDEX(Règles_ovins[Specificite],MATCH(RationHivernaleOvinsAuPré&amp;$DN276,Règles_ovins[Ration]&amp;Règles_ovins[Aliment],0))="s2",IF($DN276=Spécificité2Ovins,1)),
INDEX(Règles_ovins[Specificite],MATCH(RationHivernaleOvinsAuPré&amp;$DN276,Règles_ovins[Ration]&amp;Règles_ovins[Aliment],0))="c"),
INDEX(Règles_ovins[Valeur 6-12],MATCH(RationHivernaleOvinsAuPré&amp;$DN276,Règles_ovins[Ration]&amp;Règles_ovins[Aliment],0)),0),0)*IF(SUM(TotalOvins_6_12moisAuPré)&gt;0,SUM(TotalOvins_6_12moisAuPré)*SUM(AD76:AD100),SUM(TotalJeunesOvins)*SUM(AD76:AD100)))</f>
        <v>0</v>
      </c>
      <c r="DQ276" s="351">
        <f t="array" ref="DQ276">IF(ChoixRationHivernaleOvinsComplète=OUI,0,IFERROR(IF(OR(AND(INDEX(Règles_ovins[Specificite],MATCH(RationHivernaleOvinsAuPré&amp;$DN276,Règles_ovins[Ration]&amp;Règles_ovins[Aliment],0))="s1",IF($DN276=Spécificité1Ovins,1)),
AND(INDEX(Règles_ovins[Specificite],MATCH(RationHivernaleOvinsAuPré&amp;$DN276,Règles_ovins[Ration]&amp;Règles_ovins[Aliment],0))="s2",IF($DN276=Spécificité2Ovins,1)),
INDEX(Règles_ovins[Specificite],MATCH(RationHivernaleOvinsAuPré&amp;$DN276,Règles_ovins[Ration]&amp;Règles_ovins[Aliment],0))="c"),
INDEX(Règles_ovins[Valeur 3-6],MATCH(RationHivernaleOvinsAuPré&amp;$DN276,Règles_ovins[Ration]&amp;Règles_ovins[Aliment],0)),0),0)*IF(SUM(TotalOvins_3_6moisAuPré)&gt;0,SUM(TotalOvins_3_6moisAuPré)*SUM(AD76:AD100),SUM(TotalOvins_3_6mois)*SUM(AD76:AD100)))</f>
        <v>0</v>
      </c>
      <c r="DR276" s="351">
        <f t="array" ref="DR276">IF(ChoixRationHivernaleOvinsComplète=OUI,0,IFERROR(IF(OR(AND(INDEX(Règles_ovins[Specificite],MATCH(RationHivernaleOvinsAuPré&amp;$DN276,Règles_ovins[Ration]&amp;Règles_ovins[Aliment],0))="s1",IF($DN276=Spécificité1Ovins,1)),
AND(INDEX(Règles_ovins[Specificite],MATCH(RationHivernaleOvinsAuPré&amp;$DN276,Règles_ovins[Ration]&amp;Règles_ovins[Aliment],0))="s2",IF($DN276=Spécificité2Ovins,1)),
INDEX(Règles_ovins[Specificite],MATCH(RationHivernaleOvinsAuPré&amp;$DN276,Règles_ovins[Ration]&amp;Règles_ovins[Aliment],0))="c"),
INDEX(Règles_ovins[Valeur 0-3],MATCH(RationHivernaleOvinsAuPré&amp;$DN276,Règles_ovins[Ration]&amp;Règles_ovins[Aliment],0)),0),0)*IF(SUM(TotalOvins_0_3moisAuPré)&gt;0,SUM(TotalOvins_0_3moisAuPré)*SUM(AD76:AD100),SUM(TotalOvins_3_6mois)*SUM(AD76:AD100)))</f>
        <v>0</v>
      </c>
      <c r="DS276" s="441">
        <f t="shared" si="69"/>
        <v>0</v>
      </c>
      <c r="GG276" s="276" t="s">
        <v>955</v>
      </c>
      <c r="GH276" s="276" t="s">
        <v>955</v>
      </c>
      <c r="GI276" s="276" t="s">
        <v>955</v>
      </c>
      <c r="GJ276" s="276" t="s">
        <v>955</v>
      </c>
      <c r="GK276" s="276" t="s">
        <v>955</v>
      </c>
      <c r="GL276" s="276" t="s">
        <v>955</v>
      </c>
      <c r="GM276" s="276" t="s">
        <v>955</v>
      </c>
      <c r="GN276" s="276" t="s">
        <v>955</v>
      </c>
      <c r="GO276" s="276" t="s">
        <v>955</v>
      </c>
      <c r="GP276" s="276" t="s">
        <v>955</v>
      </c>
      <c r="GQ276" s="276" t="s">
        <v>955</v>
      </c>
      <c r="GR276" s="276" t="s">
        <v>955</v>
      </c>
      <c r="GS276" s="276" t="s">
        <v>955</v>
      </c>
      <c r="GT276" s="276" t="s">
        <v>955</v>
      </c>
      <c r="GU276" s="276" t="s">
        <v>955</v>
      </c>
      <c r="GV276" s="276" t="s">
        <v>955</v>
      </c>
    </row>
    <row r="277" spans="1:204" ht="12.75" customHeight="1" x14ac:dyDescent="0.2">
      <c r="A277" s="276"/>
      <c r="B277" s="276"/>
      <c r="BB277" s="394" t="s">
        <v>910</v>
      </c>
      <c r="BC277" s="395" t="s">
        <v>902</v>
      </c>
      <c r="BD277" s="395" t="s">
        <v>901</v>
      </c>
      <c r="BE277" s="395" t="s">
        <v>900</v>
      </c>
      <c r="BF277" s="395" t="s">
        <v>899</v>
      </c>
      <c r="BG277" s="395" t="s">
        <v>898</v>
      </c>
      <c r="BH277" s="395" t="s">
        <v>897</v>
      </c>
      <c r="BI277" s="395" t="s">
        <v>896</v>
      </c>
      <c r="BJ277" s="396" t="s">
        <v>903</v>
      </c>
      <c r="CD277" s="298"/>
      <c r="CE277" s="298"/>
      <c r="CF277" s="298"/>
      <c r="CG277" s="298"/>
      <c r="CI277" s="277"/>
      <c r="CK277" s="277"/>
      <c r="CL277" s="277"/>
      <c r="CM277" s="277"/>
      <c r="CN277" s="277"/>
      <c r="CO277" s="277"/>
      <c r="CP277" s="277"/>
      <c r="GG277" s="276" t="s">
        <v>955</v>
      </c>
      <c r="GH277" s="276" t="s">
        <v>955</v>
      </c>
      <c r="GI277" s="276" t="s">
        <v>955</v>
      </c>
      <c r="GJ277" s="276" t="s">
        <v>955</v>
      </c>
      <c r="GK277" s="276" t="s">
        <v>955</v>
      </c>
      <c r="GL277" s="276" t="s">
        <v>955</v>
      </c>
      <c r="GM277" s="276" t="s">
        <v>955</v>
      </c>
      <c r="GN277" s="276" t="s">
        <v>955</v>
      </c>
      <c r="GO277" s="276" t="s">
        <v>955</v>
      </c>
      <c r="GP277" s="276" t="s">
        <v>955</v>
      </c>
      <c r="GQ277" s="276" t="s">
        <v>955</v>
      </c>
      <c r="GR277" s="276" t="s">
        <v>955</v>
      </c>
      <c r="GS277" s="276" t="s">
        <v>955</v>
      </c>
      <c r="GT277" s="276" t="s">
        <v>955</v>
      </c>
      <c r="GU277" s="276" t="s">
        <v>955</v>
      </c>
      <c r="GV277" s="276" t="s">
        <v>955</v>
      </c>
    </row>
    <row r="278" spans="1:204" ht="12.75" customHeight="1" x14ac:dyDescent="0.2">
      <c r="A278" s="276"/>
      <c r="B278" s="276"/>
      <c r="BB278" s="397" t="s">
        <v>508</v>
      </c>
      <c r="BC278" s="398">
        <f t="array" ref="BC278">IF(ChoixRationComplèteBovins=OUI,IFERROR(IF(OR(AND(INDEX(Règles_bovins[Specificite],MATCH(ChoixRationBovins&amp;Ration_complète_bovins[[#This Row],[aliment]],Règles_bovins[Ration]&amp;Règles_bovins[Aliment],0))="s1",IF(Ration_complète_bovins[[#This Row],[aliment]]=Spécificité1Bovins,1)),
AND(INDEX(Règles_bovins[Specificite],MATCH(ChoixRationBovins&amp;Ration_complète_bovins[[#This Row],[aliment]],Règles_bovins[Ration]&amp;Règles_bovins[Aliment],0))="s2",IF(Ration_complète_bovins[[#This Row],[aliment]]=Spécificité2Bovins,1)),
INDEX(Règles_bovins[Specificite],MATCH(ChoixRationBovins&amp;Ration_complète_bovins[[#This Row],[aliment]],Règles_bovins[Ration]&amp;Règles_bovins[Aliment],0))="c",INDEX(Règles_bovins[Specificite],MATCH(ChoixRationBovins&amp;Ration_complète_bovins[[#This Row],[aliment]],Règles_bovins[Ration]&amp;Règles_bovins[Aliment],0))="complet"),
INDEX(Règles_bovins[Valeur 36 et plus],MATCH(ChoixRationBovins&amp;Ration_complète_bovins[[#This Row],[aliment]],Règles_bovins[Ration]&amp;Règles_bovins[Aliment],0)),0),0)*SUM(TotalBovinsAdultes)*SUM(AA76:AA100),0)</f>
        <v>0</v>
      </c>
      <c r="BD278" s="398">
        <f t="array" ref="BD278">IF(ChoixRationComplèteBovins=OUI,IFERROR(IF(OR(AND(INDEX(Règles_bovins[Specificite],MATCH(ChoixRationBovins&amp;Ration_complète_bovins[[#This Row],[aliment]],Règles_bovins[Ration]&amp;Règles_bovins[Aliment],0))="s1",IF(Ration_complète_bovins[[#This Row],[aliment]]=Spécificité1Bovins,1)),
AND(INDEX(Règles_bovins[Specificite],MATCH(ChoixRationBovins&amp;Ration_complète_bovins[[#This Row],[aliment]],Règles_bovins[Ration]&amp;Règles_bovins[Aliment],0))="s2",IF(Ration_complète_bovins[[#This Row],[aliment]]=Spécificité2Bovins,1)),
INDEX(Règles_bovins[Specificite],MATCH(ChoixRationBovins&amp;Ration_complète_bovins[[#This Row],[aliment]],Règles_bovins[Ration]&amp;Règles_bovins[Aliment],0))="c",INDEX(Règles_bovins[Specificite],MATCH(ChoixRationBovins&amp;Ration_complète_bovins[[#This Row],[aliment]],Règles_bovins[Ration]&amp;Règles_bovins[Aliment],0))="complet"),
INDEX(Règles_bovins[Valeur 24-36],MATCH(ChoixRationBovins&amp;Ration_complète_bovins[[#This Row],[aliment]],Règles_bovins[Ration]&amp;Règles_bovins[Aliment],0)),0),0)*SUM(TotalBovins_24_36mois)*SUM(AA76:AA100),0)</f>
        <v>0</v>
      </c>
      <c r="BE278" s="398">
        <f t="array" ref="BE278">IF(ChoixRationComplèteBovins=OUI,IFERROR(IF(OR(AND(INDEX(Règles_bovins[Specificite],MATCH(ChoixRationBovins&amp;Ration_complète_bovins[[#This Row],[aliment]],Règles_bovins[Ration]&amp;Règles_bovins[Aliment],0))="s1",IF(Ration_complète_bovins[[#This Row],[aliment]]=Spécificité1Bovins,1)),
AND(INDEX(Règles_bovins[Specificite],MATCH(ChoixRationBovins&amp;Ration_complète_bovins[[#This Row],[aliment]],Règles_bovins[Ration]&amp;Règles_bovins[Aliment],0))="s2",IF(Ration_complète_bovins[[#This Row],[aliment]]=Spécificité2Bovins,1)),
INDEX(Règles_bovins[Specificite],MATCH(ChoixRationBovins&amp;Ration_complète_bovins[[#This Row],[aliment]],Règles_bovins[Ration]&amp;Règles_bovins[Aliment],0))="c",INDEX(Règles_bovins[Specificite],MATCH(ChoixRationBovins&amp;Ration_complète_bovins[[#This Row],[aliment]],Règles_bovins[Ration]&amp;Règles_bovins[Aliment],0))="complet"),
INDEX(Règles_bovins[Valeur 18-24],MATCH(ChoixRationBovins&amp;Ration_complète_bovins[[#This Row],[aliment]],Règles_bovins[Ration]&amp;Règles_bovins[Aliment],0)),0),0)*SUM(TotalBovins_18_24mois)*SUM(AA76:AA100),0)</f>
        <v>0</v>
      </c>
      <c r="BF278" s="398">
        <f t="array" ref="BF278">IF(ChoixRationComplèteBovins=OUI,IFERROR(IF(OR(AND(INDEX(Règles_bovins[Specificite],MATCH(ChoixRationBovins&amp;Ration_complète_bovins[[#This Row],[aliment]],Règles_bovins[Ration]&amp;Règles_bovins[Aliment],0))="s1",IF(Ration_complète_bovins[[#This Row],[aliment]]=Spécificité1Bovins,1)),
AND(INDEX(Règles_bovins[Specificite],MATCH(ChoixRationBovins&amp;Ration_complète_bovins[[#This Row],[aliment]],Règles_bovins[Ration]&amp;Règles_bovins[Aliment],0))="s2",IF(Ration_complète_bovins[[#This Row],[aliment]]=Spécificité2Bovins,1)),
INDEX(Règles_bovins[Specificite],MATCH(ChoixRationBovins&amp;Ration_complète_bovins[[#This Row],[aliment]],Règles_bovins[Ration]&amp;Règles_bovins[Aliment],0))="c",INDEX(Règles_bovins[Specificite],MATCH(ChoixRationBovins&amp;Ration_complète_bovins[[#This Row],[aliment]],Règles_bovins[Ration]&amp;Règles_bovins[Aliment],0))="complet"),
INDEX(Règles_bovins[Valeur 12-18],MATCH(ChoixRationBovins&amp;Ration_complète_bovins[[#This Row],[aliment]],Règles_bovins[Ration]&amp;Règles_bovins[Aliment],0)),0),0)*SUM(TotalBovins_12_18mois)*SUM(AA76:AA100),0)</f>
        <v>0</v>
      </c>
      <c r="BG278" s="398">
        <f t="array" ref="BG278">IF(ChoixRationComplèteBovins=OUI,IFERROR(IF(OR(AND(INDEX(Règles_bovins[Specificite],MATCH(ChoixRationBovins&amp;Ration_complète_bovins[[#This Row],[aliment]],Règles_bovins[Ration]&amp;Règles_bovins[Aliment],0))="s1",IF(Ration_complète_bovins[[#This Row],[aliment]]=Spécificité1Bovins,1)),
AND(INDEX(Règles_bovins[Specificite],MATCH(ChoixRationBovins&amp;Ration_complète_bovins[[#This Row],[aliment]],Règles_bovins[Ration]&amp;Règles_bovins[Aliment],0))="s2",IF(Ration_complète_bovins[[#This Row],[aliment]]=Spécificité2Bovins,1)),
INDEX(Règles_bovins[Specificite],MATCH(ChoixRationBovins&amp;Ration_complète_bovins[[#This Row],[aliment]],Règles_bovins[Ration]&amp;Règles_bovins[Aliment],0))="c",INDEX(Règles_bovins[Specificite],MATCH(ChoixRationBovins&amp;Ration_complète_bovins[[#This Row],[aliment]],Règles_bovins[Ration]&amp;Règles_bovins[Aliment],0))="complet"),
INDEX(Règles_bovins[Valeur 6-12],MATCH(ChoixRationBovins&amp;Ration_complète_bovins[[#This Row],[aliment]],Règles_bovins[Ration]&amp;Règles_bovins[Aliment],0)),0),0)*SUM(TotalBovins_6_12mois)*SUM(AA76:AA100),0)</f>
        <v>0</v>
      </c>
      <c r="BH278" s="398">
        <f t="array" ref="BH278">IF(ChoixRationComplèteBovins=OUI,IFERROR(IF(OR(AND(INDEX(Règles_bovins[Specificite],MATCH(ChoixRationBovins&amp;Ration_complète_bovins[[#This Row],[aliment]],Règles_bovins[Ration]&amp;Règles_bovins[Aliment],0))="s1",IF(Ration_complète_bovins[[#This Row],[aliment]]=Spécificité1Bovins,1)),
AND(INDEX(Règles_bovins[Specificite],MATCH(ChoixRationBovins&amp;Ration_complète_bovins[[#This Row],[aliment]],Règles_bovins[Ration]&amp;Règles_bovins[Aliment],0))="s2",IF(Ration_complète_bovins[[#This Row],[aliment]]=Spécificité2Bovins,1)),
INDEX(Règles_bovins[Specificite],MATCH(ChoixRationBovins&amp;Ration_complète_bovins[[#This Row],[aliment]],Règles_bovins[Ration]&amp;Règles_bovins[Aliment],0))="c",INDEX(Règles_bovins[Specificite],MATCH(ChoixRationBovins&amp;Ration_complète_bovins[[#This Row],[aliment]],Règles_bovins[Ration]&amp;Règles_bovins[Aliment],0))="complet"),
INDEX(Règles_bovins[Valeur 3-6],MATCH(ChoixRationBovins&amp;Ration_complète_bovins[[#This Row],[aliment]],Règles_bovins[Ration]&amp;Règles_bovins[Aliment],0)),0),0)*SUM(TotalBovins_3_6mois)*SUM(AA76:AA100),0)</f>
        <v>0</v>
      </c>
      <c r="BI278" s="398">
        <f t="array" ref="BI278">IF(ChoixRationComplèteBovins=OUI,IFERROR(IF(OR(AND(INDEX(Règles_bovins[Specificite],MATCH(ChoixRationBovins&amp;Ration_complète_bovins[[#This Row],[aliment]],Règles_bovins[Ration]&amp;Règles_bovins[Aliment],0))="s1",IF(Ration_complète_bovins[[#This Row],[aliment]]=Spécificité1Bovins,1)),
AND(INDEX(Règles_bovins[Specificite],MATCH(ChoixRationBovins&amp;Ration_complète_bovins[[#This Row],[aliment]],Règles_bovins[Ration]&amp;Règles_bovins[Aliment],0))="s2",IF(Ration_complète_bovins[[#This Row],[aliment]]=Spécificité2Bovins,1)),
INDEX(Règles_bovins[Specificite],MATCH(ChoixRationBovins&amp;Ration_complète_bovins[[#This Row],[aliment]],Règles_bovins[Ration]&amp;Règles_bovins[Aliment],0))="c",INDEX(Règles_bovins[Specificite],MATCH(ChoixRationBovins&amp;Ration_complète_bovins[[#This Row],[aliment]],Règles_bovins[Ration]&amp;Règles_bovins[Aliment],0))="complet"),
INDEX(Règles_bovins[Valeur 0-3],MATCH(ChoixRationBovins&amp;Ration_complète_bovins[[#This Row],[aliment]],Règles_bovins[Ration]&amp;Règles_bovins[Aliment],0)),0),0)*SUM(TotalBovins_0_3mois)*SUM(AA76:AA100),0)</f>
        <v>0</v>
      </c>
      <c r="BJ278" s="399">
        <f>SUM(Ration_complète_bovins[[Val 36 et plus]:[Val 0-3]])</f>
        <v>0</v>
      </c>
      <c r="CD278" s="298"/>
      <c r="CE278" s="298"/>
      <c r="CF278" s="298"/>
      <c r="CG278" s="298"/>
      <c r="CI278" s="277"/>
      <c r="CK278" s="277"/>
      <c r="CL278" s="277"/>
      <c r="CM278" s="277"/>
      <c r="CN278" s="277"/>
      <c r="CO278" s="277"/>
      <c r="CP278" s="277"/>
      <c r="DN278" s="229" t="s">
        <v>912</v>
      </c>
      <c r="DO278" s="344"/>
      <c r="DP278" s="344"/>
      <c r="DQ278" s="344"/>
      <c r="DR278" s="229"/>
      <c r="DS278" s="337"/>
      <c r="GG278" s="276" t="s">
        <v>955</v>
      </c>
      <c r="GH278" s="276" t="s">
        <v>955</v>
      </c>
      <c r="GI278" s="276" t="s">
        <v>955</v>
      </c>
      <c r="GJ278" s="276" t="s">
        <v>955</v>
      </c>
      <c r="GK278" s="276" t="s">
        <v>955</v>
      </c>
      <c r="GL278" s="276" t="s">
        <v>955</v>
      </c>
      <c r="GM278" s="276" t="s">
        <v>955</v>
      </c>
      <c r="GN278" s="276" t="s">
        <v>955</v>
      </c>
      <c r="GO278" s="276" t="s">
        <v>955</v>
      </c>
      <c r="GP278" s="276" t="s">
        <v>955</v>
      </c>
      <c r="GQ278" s="276" t="s">
        <v>955</v>
      </c>
      <c r="GR278" s="276" t="s">
        <v>955</v>
      </c>
      <c r="GS278" s="276" t="s">
        <v>955</v>
      </c>
      <c r="GT278" s="276" t="s">
        <v>955</v>
      </c>
      <c r="GU278" s="276" t="s">
        <v>955</v>
      </c>
      <c r="GV278" s="276" t="s">
        <v>955</v>
      </c>
    </row>
    <row r="279" spans="1:204" ht="12.75" customHeight="1" x14ac:dyDescent="0.2">
      <c r="A279" s="276"/>
      <c r="B279" s="276"/>
      <c r="BC279" s="315"/>
      <c r="BD279" s="315"/>
      <c r="BE279" s="315"/>
      <c r="BF279" s="315"/>
      <c r="BG279" s="315"/>
      <c r="BH279" s="315"/>
      <c r="BI279" s="315"/>
      <c r="BJ279" s="324"/>
      <c r="CD279" s="298"/>
      <c r="CE279" s="298"/>
      <c r="CF279" s="298"/>
      <c r="CG279" s="298"/>
      <c r="CI279" s="277"/>
      <c r="CK279" s="277"/>
      <c r="CL279" s="277"/>
      <c r="CM279" s="277"/>
      <c r="CN279" s="277"/>
      <c r="CO279" s="277"/>
      <c r="CP279" s="277"/>
      <c r="DN279" s="394" t="s">
        <v>910</v>
      </c>
      <c r="DO279" s="395" t="s">
        <v>914</v>
      </c>
      <c r="DP279" s="395" t="s">
        <v>891</v>
      </c>
      <c r="DQ279" s="395" t="s">
        <v>890</v>
      </c>
      <c r="DR279" s="442" t="s">
        <v>889</v>
      </c>
      <c r="DS279" s="396" t="s">
        <v>903</v>
      </c>
      <c r="GG279" s="276" t="s">
        <v>955</v>
      </c>
      <c r="GH279" s="276" t="s">
        <v>955</v>
      </c>
      <c r="GI279" s="276" t="s">
        <v>955</v>
      </c>
      <c r="GJ279" s="276" t="s">
        <v>955</v>
      </c>
      <c r="GK279" s="276" t="s">
        <v>955</v>
      </c>
      <c r="GL279" s="276" t="s">
        <v>955</v>
      </c>
      <c r="GM279" s="276" t="s">
        <v>955</v>
      </c>
      <c r="GN279" s="276" t="s">
        <v>955</v>
      </c>
      <c r="GO279" s="276" t="s">
        <v>955</v>
      </c>
      <c r="GP279" s="276" t="s">
        <v>955</v>
      </c>
      <c r="GQ279" s="276" t="s">
        <v>955</v>
      </c>
      <c r="GR279" s="276" t="s">
        <v>955</v>
      </c>
      <c r="GS279" s="276" t="s">
        <v>955</v>
      </c>
      <c r="GT279" s="276" t="s">
        <v>955</v>
      </c>
      <c r="GU279" s="276" t="s">
        <v>955</v>
      </c>
      <c r="GV279" s="276" t="s">
        <v>955</v>
      </c>
    </row>
    <row r="280" spans="1:204" ht="12.75" customHeight="1" x14ac:dyDescent="0.2">
      <c r="A280" s="276"/>
      <c r="B280" s="276"/>
      <c r="BC280" s="315"/>
      <c r="BD280" s="315"/>
      <c r="BE280" s="315"/>
      <c r="BF280" s="315"/>
      <c r="BG280" s="315"/>
      <c r="BH280" s="315"/>
      <c r="BI280" s="315"/>
      <c r="BJ280" s="324"/>
      <c r="CD280" s="298"/>
      <c r="CE280" s="298"/>
      <c r="CF280" s="298"/>
      <c r="CG280" s="298"/>
      <c r="CI280" s="277"/>
      <c r="CK280" s="277"/>
      <c r="CL280" s="277"/>
      <c r="CM280" s="277"/>
      <c r="CN280" s="277"/>
      <c r="CO280" s="277"/>
      <c r="CP280" s="277"/>
      <c r="DN280" s="397" t="s">
        <v>508</v>
      </c>
      <c r="DO280" s="398">
        <f t="array" ref="DO280">IF(ChoixRationHivernaleOvinsComplète=NON,0,IFERROR(IF(OR(AND(INDEX(Règles_ovins[Specificite],MATCH(RationHivernaleOvinsAuPré&amp;Ration_hivernale_complète_ovins[aliment],Règles_ovins[Ration]&amp;Règles_ovins[Aliment],0))="s1",IF(Ration_hivernale_complète_ovins[aliment]=Spécificité1Ovins,1)),
AND(INDEX(Règles_ovins[Specificite],MATCH(RationHivernaleOvinsAuPré&amp;Ration_hivernale_complète_ovins[aliment],Règles_ovins[Ration]&amp;Règles_ovins[Aliment],0))="s2",IF(Ration_hivernale_complète_ovins[aliment]=Spécificité1Ovins,1)),
INDEX(Règles_ovins[Specificite],MATCH(RationHivernaleOvinsAuPré&amp;Ration_hivernale_complète_ovins[aliment],Règles_ovins[Ration]&amp;Règles_ovins[Aliment],0))="c",INDEX(Règles_ovins[Specificite],MATCH(RationHivernaleOvinsAuPré&amp;Ration_hivernale_complète_ovins[aliment],Règles_ovins[Ration]&amp;Règles_ovins[Aliment],0))="complet"),
INDEX(Règles_ovins[Valeur 12 et plus],MATCH(RationHivernaleOvinsAuPré&amp;Ration_hivernale_complète_ovins[aliment],Règles_ovins[Ration]&amp;Règles_ovins[Aliment],0)),0),0)*SUM(TotalOvinsAdultes)*SUM(AD76:AD100))</f>
        <v>0</v>
      </c>
      <c r="DP280" s="398">
        <f t="array" ref="DP280">IF(ChoixRationHivernaleOvinsComplète=NON,0,IFERROR(IF(OR(AND(INDEX(Règles_ovins[Specificite],MATCH(RationHivernaleOvinsAuPré&amp;Ration_hivernale_complète_ovins[aliment],Règles_ovins[Ration]&amp;Règles_ovins[Aliment],0))="s1",IF(Ration_hivernale_complète_ovins[aliment]=Spécificité1Ovins,1)),
AND(INDEX(Règles_ovins[Specificite],MATCH(RationHivernaleOvinsAuPré&amp;Ration_hivernale_complète_ovins[aliment],Règles_ovins[Ration]&amp;Règles_ovins[Aliment],0))="s2",IF(Ration_hivernale_complète_ovins[aliment]=Spécificité1Ovins,1)),
INDEX(Règles_ovins[Specificite],MATCH(RationHivernaleOvinsAuPré&amp;Ration_hivernale_complète_ovins[aliment],Règles_ovins[Ration]&amp;Règles_ovins[Aliment],0))="c",INDEX(Règles_ovins[Specificite],MATCH(RationHivernaleOvinsAuPré&amp;Ration_hivernale_complète_ovins[aliment],Règles_ovins[Ration]&amp;Règles_ovins[Aliment],0))="complet"),
INDEX(Règles_ovins[Valeur 6-12],MATCH(RationHivernaleOvinsAuPré&amp;Ration_hivernale_complète_ovins[aliment],Règles_ovins[Ration]&amp;Règles_ovins[Aliment],0)),0),0)*SUM(TotalJeunesOvins)*SUM(AD76:AD100))</f>
        <v>0</v>
      </c>
      <c r="DQ280" s="398">
        <f t="array" ref="DQ280">IF(ChoixRationHivernaleOvinsComplète=NON,0,IFERROR(IF(OR(AND(INDEX(Règles_ovins[Specificite],MATCH(RationHivernaleOvinsAuPré&amp;Ration_hivernale_complète_ovins[aliment],Règles_ovins[Ration]&amp;Règles_ovins[Aliment],0))="s1",IF(Ration_hivernale_complète_ovins[aliment]=Spécificité1Ovins,1)),
AND(INDEX(Règles_ovins[Specificite],MATCH(RationHivernaleOvinsAuPré&amp;Ration_hivernale_complète_ovins[aliment],Règles_ovins[Ration]&amp;Règles_ovins[Aliment],0))="s2",IF(Ration_hivernale_complète_ovins[aliment]=Spécificité1Ovins,1)),
INDEX(Règles_ovins[Specificite],MATCH(RationHivernaleOvinsAuPré&amp;Ration_hivernale_complète_ovins[aliment],Règles_ovins[Ration]&amp;Règles_ovins[Aliment],0))="c",INDEX(Règles_ovins[Specificite],MATCH(RationHivernaleOvinsAuPré&amp;Ration_hivernale_complète_ovins[aliment],Règles_ovins[Ration]&amp;Règles_ovins[Aliment],0))="complet"),
INDEX(Règles_ovins[Valeur 3-6],MATCH(RationHivernaleOvinsAuPré&amp;Ration_hivernale_complète_ovins[aliment],Règles_ovins[Ration]&amp;Règles_ovins[Aliment],0)),0),0)*SUM(TotalOvins_3_6mois)*SUM(AD76:AD100))</f>
        <v>0</v>
      </c>
      <c r="DR280" s="398">
        <f t="array" ref="DR280">IF(ChoixRationHivernaleOvinsComplète=NON,0,IFERROR(IF(OR(AND(INDEX(Règles_ovins[Specificite],MATCH(RationHivernaleOvinsAuPré&amp;Ration_hivernale_complète_ovins[aliment],Règles_ovins[Ration]&amp;Règles_ovins[Aliment],0))="s1",IF(Ration_hivernale_complète_ovins[aliment]=Spécificité1Ovins,1)),
AND(INDEX(Règles_ovins[Specificite],MATCH(RationHivernaleOvinsAuPré&amp;Ration_hivernale_complète_ovins[aliment],Règles_ovins[Ration]&amp;Règles_ovins[Aliment],0))="s2",IF(Ration_hivernale_complète_ovins[aliment]=Spécificité1Ovins,1)),
INDEX(Règles_ovins[Specificite],MATCH(RationHivernaleOvinsAuPré&amp;Ration_hivernale_complète_ovins[aliment],Règles_ovins[Ration]&amp;Règles_ovins[Aliment],0))="c",INDEX(Règles_ovins[Specificite],MATCH(RationHivernaleOvinsAuPré&amp;Ration_hivernale_complète_ovins[aliment],Règles_ovins[Ration]&amp;Règles_ovins[Aliment],0))="complet"),
INDEX(Règles_ovins[Valeur 0-3],MATCH(RationHivernaleOvinsAuPré&amp;Ration_hivernale_complète_ovins[aliment],Règles_ovins[Ration]&amp;Règles_ovins[Aliment],0)),0),0)*SUM(TotalOvins_3_6mois)*SUM(AD76:AD100))</f>
        <v>0</v>
      </c>
      <c r="DS280" s="436">
        <f>SUM(Ration_hivernale_complète_ovins[[Valeur 12 et plus]:[Valeur 0-3]])</f>
        <v>0</v>
      </c>
      <c r="GG280" s="276" t="s">
        <v>955</v>
      </c>
      <c r="GH280" s="276" t="s">
        <v>955</v>
      </c>
      <c r="GI280" s="276" t="s">
        <v>955</v>
      </c>
      <c r="GJ280" s="276" t="s">
        <v>955</v>
      </c>
      <c r="GK280" s="276" t="s">
        <v>955</v>
      </c>
      <c r="GL280" s="276" t="s">
        <v>955</v>
      </c>
      <c r="GM280" s="276" t="s">
        <v>955</v>
      </c>
      <c r="GN280" s="276" t="s">
        <v>955</v>
      </c>
      <c r="GO280" s="276" t="s">
        <v>955</v>
      </c>
      <c r="GP280" s="276" t="s">
        <v>955</v>
      </c>
      <c r="GQ280" s="276" t="s">
        <v>955</v>
      </c>
      <c r="GR280" s="276" t="s">
        <v>955</v>
      </c>
      <c r="GS280" s="276" t="s">
        <v>955</v>
      </c>
      <c r="GT280" s="276" t="s">
        <v>955</v>
      </c>
      <c r="GU280" s="276" t="s">
        <v>955</v>
      </c>
      <c r="GV280" s="276" t="s">
        <v>955</v>
      </c>
    </row>
    <row r="281" spans="1:204" ht="12.75" customHeight="1" x14ac:dyDescent="0.2">
      <c r="A281" s="276"/>
      <c r="B281" s="276"/>
      <c r="BC281" s="315"/>
      <c r="BD281" s="315"/>
      <c r="BE281" s="315"/>
      <c r="BF281" s="315"/>
      <c r="BG281" s="315"/>
      <c r="BH281" s="315"/>
      <c r="BI281" s="315"/>
      <c r="BJ281" s="324"/>
      <c r="CD281" s="298"/>
      <c r="CE281" s="298"/>
      <c r="CF281" s="298"/>
      <c r="CG281" s="298"/>
      <c r="CI281" s="277"/>
      <c r="CK281" s="277"/>
      <c r="CL281" s="277"/>
      <c r="CM281" s="277"/>
      <c r="CN281" s="277"/>
      <c r="DN281" s="277"/>
      <c r="DO281" s="277"/>
      <c r="DQ281" s="277"/>
      <c r="DR281" s="277"/>
      <c r="GG281" s="276" t="s">
        <v>955</v>
      </c>
      <c r="GH281" s="276" t="s">
        <v>955</v>
      </c>
      <c r="GI281" s="276" t="s">
        <v>955</v>
      </c>
      <c r="GJ281" s="276" t="s">
        <v>955</v>
      </c>
      <c r="GK281" s="276" t="s">
        <v>955</v>
      </c>
      <c r="GL281" s="276" t="s">
        <v>955</v>
      </c>
      <c r="GM281" s="276" t="s">
        <v>955</v>
      </c>
      <c r="GN281" s="276" t="s">
        <v>955</v>
      </c>
      <c r="GO281" s="276" t="s">
        <v>955</v>
      </c>
      <c r="GP281" s="276" t="s">
        <v>955</v>
      </c>
      <c r="GQ281" s="276" t="s">
        <v>955</v>
      </c>
      <c r="GR281" s="276" t="s">
        <v>955</v>
      </c>
      <c r="GS281" s="276" t="s">
        <v>955</v>
      </c>
      <c r="GT281" s="276" t="s">
        <v>955</v>
      </c>
      <c r="GU281" s="276" t="s">
        <v>955</v>
      </c>
      <c r="GV281" s="276" t="s">
        <v>955</v>
      </c>
    </row>
    <row r="282" spans="1:204" ht="12.75" customHeight="1" x14ac:dyDescent="0.2">
      <c r="A282" s="276"/>
      <c r="B282" s="276"/>
      <c r="BB282" s="229" t="s">
        <v>874</v>
      </c>
      <c r="BC282" s="229"/>
      <c r="BD282" s="229"/>
      <c r="BE282" s="229"/>
      <c r="BF282" s="229"/>
      <c r="BG282" s="229"/>
      <c r="BH282" s="229"/>
      <c r="BI282" s="229"/>
      <c r="BJ282" s="229"/>
      <c r="CD282" s="298"/>
      <c r="CE282" s="298"/>
      <c r="CF282" s="298"/>
      <c r="CG282" s="298"/>
      <c r="CI282" s="277"/>
      <c r="CK282" s="277"/>
      <c r="CL282" s="277"/>
      <c r="CM282" s="277"/>
      <c r="CN282" s="277"/>
      <c r="DN282" s="347" t="s">
        <v>1019</v>
      </c>
      <c r="DO282" s="229"/>
      <c r="DP282" s="229"/>
      <c r="DQ282" s="277"/>
      <c r="DR282" s="277"/>
      <c r="GG282" s="276" t="s">
        <v>955</v>
      </c>
      <c r="GH282" s="276" t="s">
        <v>955</v>
      </c>
      <c r="GI282" s="276" t="s">
        <v>955</v>
      </c>
      <c r="GJ282" s="276" t="s">
        <v>955</v>
      </c>
      <c r="GK282" s="276" t="s">
        <v>955</v>
      </c>
      <c r="GL282" s="276" t="s">
        <v>955</v>
      </c>
      <c r="GM282" s="276" t="s">
        <v>955</v>
      </c>
      <c r="GN282" s="276" t="s">
        <v>955</v>
      </c>
      <c r="GO282" s="276" t="s">
        <v>955</v>
      </c>
      <c r="GP282" s="276" t="s">
        <v>955</v>
      </c>
      <c r="GQ282" s="276" t="s">
        <v>955</v>
      </c>
      <c r="GR282" s="276" t="s">
        <v>955</v>
      </c>
      <c r="GS282" s="276" t="s">
        <v>955</v>
      </c>
      <c r="GT282" s="276" t="s">
        <v>955</v>
      </c>
      <c r="GU282" s="276" t="s">
        <v>955</v>
      </c>
      <c r="GV282" s="276" t="s">
        <v>955</v>
      </c>
    </row>
    <row r="283" spans="1:204" ht="12.75" customHeight="1" x14ac:dyDescent="0.2">
      <c r="A283" s="276"/>
      <c r="B283" s="276"/>
      <c r="BB283" s="349" t="s">
        <v>910</v>
      </c>
      <c r="BC283" s="349" t="s">
        <v>902</v>
      </c>
      <c r="BD283" s="349" t="s">
        <v>901</v>
      </c>
      <c r="BE283" s="349" t="s">
        <v>900</v>
      </c>
      <c r="BF283" s="349" t="s">
        <v>899</v>
      </c>
      <c r="BG283" s="349" t="s">
        <v>898</v>
      </c>
      <c r="BH283" s="349" t="s">
        <v>897</v>
      </c>
      <c r="BI283" s="349" t="s">
        <v>896</v>
      </c>
      <c r="BJ283" s="349" t="s">
        <v>903</v>
      </c>
      <c r="CD283" s="298"/>
      <c r="CE283" s="298"/>
      <c r="CF283" s="298"/>
      <c r="CG283" s="298"/>
      <c r="CI283" s="277"/>
      <c r="CK283" s="277"/>
      <c r="CL283" s="277"/>
      <c r="CM283" s="277"/>
      <c r="CN283" s="277"/>
      <c r="DN283" s="394" t="s">
        <v>976</v>
      </c>
      <c r="DO283" s="395" t="s">
        <v>980</v>
      </c>
      <c r="DP283" s="396" t="s">
        <v>981</v>
      </c>
      <c r="DQ283" s="277"/>
      <c r="DR283" s="277"/>
      <c r="GG283" s="276" t="s">
        <v>955</v>
      </c>
      <c r="GH283" s="276" t="s">
        <v>955</v>
      </c>
      <c r="GI283" s="276" t="s">
        <v>955</v>
      </c>
      <c r="GJ283" s="276" t="s">
        <v>955</v>
      </c>
      <c r="GK283" s="276" t="s">
        <v>955</v>
      </c>
      <c r="GL283" s="276" t="s">
        <v>955</v>
      </c>
      <c r="GM283" s="276" t="s">
        <v>955</v>
      </c>
      <c r="GN283" s="276" t="s">
        <v>955</v>
      </c>
      <c r="GO283" s="276" t="s">
        <v>955</v>
      </c>
      <c r="GP283" s="276" t="s">
        <v>955</v>
      </c>
      <c r="GQ283" s="276" t="s">
        <v>955</v>
      </c>
      <c r="GR283" s="276" t="s">
        <v>955</v>
      </c>
      <c r="GS283" s="276" t="s">
        <v>955</v>
      </c>
      <c r="GT283" s="276" t="s">
        <v>955</v>
      </c>
      <c r="GU283" s="276" t="s">
        <v>955</v>
      </c>
      <c r="GV283" s="276" t="s">
        <v>955</v>
      </c>
    </row>
    <row r="284" spans="1:204" ht="12.75" customHeight="1" x14ac:dyDescent="0.2">
      <c r="A284" s="276"/>
      <c r="B284" s="276"/>
      <c r="BB284" s="350" t="str">
        <f>BB194</f>
        <v>Avoine</v>
      </c>
      <c r="BC284" s="350">
        <f t="array" ref="BC284">IFERROR(IF(OR(AND(INDEX(Règles_bovins[Specificite],MATCH(RationHivernaleBovinsAuPré&amp;$BB284,Règles_bovins[Ration]&amp;Règles_bovins[Aliment],0))="s1",IF($BB284=Spécificité1Bovins,1)),
AND(INDEX(Règles_bovins[Specificite],MATCH(RationHivernaleBovinsAuPré&amp;$BB284,Règles_bovins[Ration]&amp;Règles_bovins[Aliment],0))="s2",IF($BB284=Spécificité2Bovins,1)),
INDEX(Règles_bovins[Specificite],MATCH(RationHivernaleBovinsAuPré&amp;$BB284,Règles_bovins[Ration]&amp;Règles_bovins[Aliment],0))="c"),
INDEX(Règles_bovins[Valeur 36 et plus],MATCH(RationHivernaleBovinsAuPré&amp;$BB284,Règles_bovins[Ration]&amp;Règles_bovins[Aliment],0)),0),0)*IF(SUM(TotalBovinsAdultesAuPré)&gt;0,SUM(TotalBovinsAdultesAuPré),SUM(TotalBovinsAdultes))*35</f>
        <v>0</v>
      </c>
      <c r="BD284" s="350">
        <f t="array" ref="BD284">IFERROR(IF(OR(AND(INDEX(Règles_bovins[Specificite],MATCH(RationHivernaleBovinsAuPré&amp;$BB284,Règles_bovins[Ration]&amp;Règles_bovins[Aliment],0))="s1",IF($BB284=Spécificité1Bovins,1)),
AND(INDEX(Règles_bovins[Specificite],MATCH(RationHivernaleBovinsAuPré&amp;$BB284,Règles_bovins[Ration]&amp;Règles_bovins[Aliment],0))="s2",IF($BB284=Spécificité2Bovins,1)),
INDEX(Règles_bovins[Specificite],MATCH(RationHivernaleBovinsAuPré&amp;$BB284,Règles_bovins[Ration]&amp;Règles_bovins[Aliment],0))="c"),
INDEX(Règles_bovins[Valeur 24-36],MATCH(RationHivernaleBovinsAuPré&amp;$BB284,Règles_bovins[Ration]&amp;Règles_bovins[Aliment],0)),0),0)*IF(SUM(TotalBovins_24_36moisAuPré)&gt;0,SUM(TotalBovins_24_36moisAuPré),SUM(TotalBovins_24_36mois))*35</f>
        <v>0</v>
      </c>
      <c r="BE284" s="350">
        <f t="array" ref="BE284">IFERROR(IF(OR(AND(INDEX(Règles_bovins[Specificite],MATCH(RationHivernaleBovinsAuPré&amp;$BB284,Règles_bovins[Ration]&amp;Règles_bovins[Aliment],0))="s1",IF($BB284=Spécificité1Bovins,1)),
AND(INDEX(Règles_bovins[Specificite],MATCH(RationHivernaleBovinsAuPré&amp;$BB284,Règles_bovins[Ration]&amp;Règles_bovins[Aliment],0))="s2",IF($BB284=Spécificité2Bovins,1)),
INDEX(Règles_bovins[Specificite],MATCH(RationHivernaleBovinsAuPré&amp;$BB284,Règles_bovins[Ration]&amp;Règles_bovins[Aliment],0))="c"),
INDEX(Règles_bovins[Valeur 18-24],MATCH(RationHivernaleBovinsAuPré&amp;$BB284,Règles_bovins[Ration]&amp;Règles_bovins[Aliment],0)),0),0)*IF(SUM(TotalBovins_18_24moisAuPré)&gt;0,SUM(TotalBovins_18_24moisAuPré),SUM(TotalBovins_18_24mois))*35</f>
        <v>0</v>
      </c>
      <c r="BF284" s="350">
        <f t="array" ref="BF284">IFERROR(IF(OR(AND(INDEX(Règles_bovins[Specificite],MATCH(RationHivernaleBovinsAuPré&amp;$BB284,Règles_bovins[Ration]&amp;Règles_bovins[Aliment],0))="s1",IF($BB284=Spécificité1Bovins,1)),
AND(INDEX(Règles_bovins[Specificite],MATCH(RationHivernaleBovinsAuPré&amp;$BB284,Règles_bovins[Ration]&amp;Règles_bovins[Aliment],0))="s2",IF($BB284=Spécificité2Bovins,1)),
INDEX(Règles_bovins[Specificite],MATCH(RationHivernaleBovinsAuPré&amp;$BB284,Règles_bovins[Ration]&amp;Règles_bovins[Aliment],0))="c"),
INDEX(Règles_bovins[Valeur 12-18],MATCH(RationHivernaleBovinsAuPré&amp;$BB284,Règles_bovins[Ration]&amp;Règles_bovins[Aliment],0)),0),0)*IF(SUM(TotalBovins_12_18moisAuPré)&gt;0,SUM(TotalBovins_12_18moisAuPré),SUM(TotalBovins_12_18mois))*35</f>
        <v>0</v>
      </c>
      <c r="BG284" s="350">
        <f t="array" ref="BG284">IFERROR(IF(OR(AND(INDEX(Règles_bovins[Specificite],MATCH(RationHivernaleBovinsAuPré&amp;$BB284,Règles_bovins[Ration]&amp;Règles_bovins[Aliment],0))="s1",IF($BB284=Spécificité1Bovins,1)),
AND(INDEX(Règles_bovins[Specificite],MATCH(RationHivernaleBovinsAuPré&amp;$BB284,Règles_bovins[Ration]&amp;Règles_bovins[Aliment],0))="s2",IF($BB284=Spécificité2Bovins,1)),
INDEX(Règles_bovins[Specificite],MATCH(RationHivernaleBovinsAuPré&amp;$BB284,Règles_bovins[Ration]&amp;Règles_bovins[Aliment],0))="c"),
INDEX(Règles_bovins[Valeur 6-12],MATCH(RationHivernaleBovinsAuPré&amp;$BB284,Règles_bovins[Ration]&amp;Règles_bovins[Aliment],0)),0),0)*IF(SUM(TotalBovins_6_12moisAuPré)&gt;0,SUM(TotalBovins_6_12moisAuPré),SUM(TotalBovins_6_12mois))*35</f>
        <v>0</v>
      </c>
      <c r="BH284" s="350">
        <f t="array" ref="BH284">IFERROR(IF(OR(AND(INDEX(Règles_bovins[Specificite],MATCH(RationHivernaleBovinsAuPré&amp;$BB284,Règles_bovins[Ration]&amp;Règles_bovins[Aliment],0))="s1",IF($BB284=Spécificité1Bovins,1)),
AND(INDEX(Règles_bovins[Specificite],MATCH(RationHivernaleBovinsAuPré&amp;$BB284,Règles_bovins[Ration]&amp;Règles_bovins[Aliment],0))="s2",IF($BB284=Spécificité2Bovins,1)),
INDEX(Règles_bovins[Specificite],MATCH(RationHivernaleBovinsAuPré&amp;$BB284,Règles_bovins[Ration]&amp;Règles_bovins[Aliment],0))="c"),
INDEX(Règles_bovins[Valeur 3-6],MATCH(RationHivernaleBovinsAuPré&amp;$BB284,Règles_bovins[Ration]&amp;Règles_bovins[Aliment],0)),0),0)*IF(SUM(TotalBovins_3_6moisAuPré)&gt;0,SUM(TotalBovins_3_6moisAuPré),SUM(TotalBovins_3_6mois))*35</f>
        <v>0</v>
      </c>
      <c r="BI284" s="350">
        <f t="array" ref="BI284">IFERROR(IF(OR(AND(INDEX(Règles_bovins[Specificite],MATCH(RationHivernaleBovinsAuPré&amp;$BB284,Règles_bovins[Ration]&amp;Règles_bovins[Aliment],0))="s1",IF($BB284=Spécificité1Bovins,1)),
AND(INDEX(Règles_bovins[Specificite],MATCH(RationHivernaleBovinsAuPré&amp;$BB284,Règles_bovins[Ration]&amp;Règles_bovins[Aliment],0))="s2",IF($BB284=Spécificité2Bovins,1)),
INDEX(Règles_bovins[Specificite],MATCH(RationHivernaleBovinsAuPré&amp;$BB284,Règles_bovins[Ration]&amp;Règles_bovins[Aliment],0))="c"),
INDEX(Règles_bovins[Valeur 0-3],MATCH(RationHivernaleBovinsAuPré&amp;$BB284,Règles_bovins[Ration]&amp;Règles_bovins[Aliment],0)),0),0)*IF(SUM(TotalBovins_0_3moisAuPré)&gt;0,SUM(TotalBovins_0_3moisAuPré),SUM(TotalBovins_0_3mois))*35</f>
        <v>0</v>
      </c>
      <c r="BJ284" s="352">
        <f t="shared" ref="BJ284:BJ323" si="71">SUM($BC284:$BI284)</f>
        <v>0</v>
      </c>
      <c r="BZ284" s="290"/>
      <c r="CI284" s="277"/>
      <c r="CK284" s="277"/>
      <c r="CL284" s="277"/>
      <c r="CM284" s="277"/>
      <c r="CN284" s="277"/>
      <c r="DN284" s="420" t="s">
        <v>617</v>
      </c>
      <c r="DO284" s="384">
        <f>DR36*TotalBéliers*SUM(AD76:AD100)</f>
        <v>0</v>
      </c>
      <c r="DP284" s="408">
        <f>DR36*TotalBéliersRacesLaitières*SUM(AD76:AD100)</f>
        <v>0</v>
      </c>
      <c r="DQ284" s="277"/>
      <c r="DR284" s="277"/>
      <c r="GG284" s="276" t="s">
        <v>955</v>
      </c>
      <c r="GH284" s="276" t="s">
        <v>955</v>
      </c>
      <c r="GI284" s="276" t="s">
        <v>955</v>
      </c>
      <c r="GJ284" s="276" t="s">
        <v>955</v>
      </c>
      <c r="GK284" s="276" t="s">
        <v>955</v>
      </c>
      <c r="GL284" s="276" t="s">
        <v>955</v>
      </c>
      <c r="GM284" s="276" t="s">
        <v>955</v>
      </c>
      <c r="GN284" s="276" t="s">
        <v>955</v>
      </c>
      <c r="GO284" s="276" t="s">
        <v>955</v>
      </c>
      <c r="GP284" s="276" t="s">
        <v>955</v>
      </c>
      <c r="GQ284" s="276" t="s">
        <v>955</v>
      </c>
      <c r="GR284" s="276" t="s">
        <v>955</v>
      </c>
      <c r="GS284" s="276" t="s">
        <v>955</v>
      </c>
      <c r="GT284" s="276" t="s">
        <v>955</v>
      </c>
      <c r="GU284" s="276" t="s">
        <v>955</v>
      </c>
      <c r="GV284" s="276" t="s">
        <v>955</v>
      </c>
    </row>
    <row r="285" spans="1:204" ht="12.75" customHeight="1" x14ac:dyDescent="0.2">
      <c r="A285" s="276"/>
      <c r="B285" s="276"/>
      <c r="BB285" s="350" t="str">
        <f t="shared" ref="BB285:BB323" si="72">BB195</f>
        <v>Betterave</v>
      </c>
      <c r="BC285" s="350">
        <f t="array" ref="BC285">IFERROR(IF(OR(AND(INDEX(Règles_bovins[Specificite],MATCH(RationHivernaleBovinsAuPré&amp;$BB285,Règles_bovins[Ration]&amp;Règles_bovins[Aliment],0))="s1",IF($BB285=Spécificité1Bovins,1)),
AND(INDEX(Règles_bovins[Specificite],MATCH(RationHivernaleBovinsAuPré&amp;$BB285,Règles_bovins[Ration]&amp;Règles_bovins[Aliment],0))="s2",IF($BB285=Spécificité2Bovins,1)),
INDEX(Règles_bovins[Specificite],MATCH(RationHivernaleBovinsAuPré&amp;$BB285,Règles_bovins[Ration]&amp;Règles_bovins[Aliment],0))="c"),
INDEX(Règles_bovins[Valeur 36 et plus],MATCH(RationHivernaleBovinsAuPré&amp;$BB285,Règles_bovins[Ration]&amp;Règles_bovins[Aliment],0)),0),0)*IF(SUM(TotalBovinsAdultesAuPré)&gt;0,SUM(TotalBovinsAdultesAuPré),SUM(TotalBovinsAdultes))*35</f>
        <v>0</v>
      </c>
      <c r="BD285" s="350">
        <f t="array" ref="BD285">IFERROR(IF(OR(AND(INDEX(Règles_bovins[Specificite],MATCH(RationHivernaleBovinsAuPré&amp;$BB285,Règles_bovins[Ration]&amp;Règles_bovins[Aliment],0))="s1",IF($BB285=Spécificité1Bovins,1)),
AND(INDEX(Règles_bovins[Specificite],MATCH(RationHivernaleBovinsAuPré&amp;$BB285,Règles_bovins[Ration]&amp;Règles_bovins[Aliment],0))="s2",IF($BB285=Spécificité2Bovins,1)),
INDEX(Règles_bovins[Specificite],MATCH(RationHivernaleBovinsAuPré&amp;$BB285,Règles_bovins[Ration]&amp;Règles_bovins[Aliment],0))="c"),
INDEX(Règles_bovins[Valeur 24-36],MATCH(RationHivernaleBovinsAuPré&amp;$BB285,Règles_bovins[Ration]&amp;Règles_bovins[Aliment],0)),0),0)*IF(SUM(TotalBovins_24_36moisAuPré)&gt;0,SUM(TotalBovins_24_36moisAuPré),SUM(TotalBovins_24_36mois))*35</f>
        <v>0</v>
      </c>
      <c r="BE285" s="350">
        <f t="array" ref="BE285">IFERROR(IF(OR(AND(INDEX(Règles_bovins[Specificite],MATCH(RationHivernaleBovinsAuPré&amp;$BB285,Règles_bovins[Ration]&amp;Règles_bovins[Aliment],0))="s1",IF($BB285=Spécificité1Bovins,1)),
AND(INDEX(Règles_bovins[Specificite],MATCH(RationHivernaleBovinsAuPré&amp;$BB285,Règles_bovins[Ration]&amp;Règles_bovins[Aliment],0))="s2",IF($BB285=Spécificité2Bovins,1)),
INDEX(Règles_bovins[Specificite],MATCH(RationHivernaleBovinsAuPré&amp;$BB285,Règles_bovins[Ration]&amp;Règles_bovins[Aliment],0))="c"),
INDEX(Règles_bovins[Valeur 18-24],MATCH(RationHivernaleBovinsAuPré&amp;$BB285,Règles_bovins[Ration]&amp;Règles_bovins[Aliment],0)),0),0)*IF(SUM(TotalBovins_18_24moisAuPré)&gt;0,SUM(TotalBovins_18_24moisAuPré),SUM(TotalBovins_18_24mois))*35</f>
        <v>0</v>
      </c>
      <c r="BF285" s="350">
        <f t="array" ref="BF285">IFERROR(IF(OR(AND(INDEX(Règles_bovins[Specificite],MATCH(RationHivernaleBovinsAuPré&amp;$BB285,Règles_bovins[Ration]&amp;Règles_bovins[Aliment],0))="s1",IF($BB285=Spécificité1Bovins,1)),
AND(INDEX(Règles_bovins[Specificite],MATCH(RationHivernaleBovinsAuPré&amp;$BB285,Règles_bovins[Ration]&amp;Règles_bovins[Aliment],0))="s2",IF($BB285=Spécificité2Bovins,1)),
INDEX(Règles_bovins[Specificite],MATCH(RationHivernaleBovinsAuPré&amp;$BB285,Règles_bovins[Ration]&amp;Règles_bovins[Aliment],0))="c"),
INDEX(Règles_bovins[Valeur 12-18],MATCH(RationHivernaleBovinsAuPré&amp;$BB285,Règles_bovins[Ration]&amp;Règles_bovins[Aliment],0)),0),0)*IF(SUM(TotalBovins_12_18moisAuPré)&gt;0,SUM(TotalBovins_12_18moisAuPré),SUM(TotalBovins_12_18mois))*35</f>
        <v>0</v>
      </c>
      <c r="BG285" s="350">
        <f t="array" ref="BG285">IFERROR(IF(OR(AND(INDEX(Règles_bovins[Specificite],MATCH(RationHivernaleBovinsAuPré&amp;$BB285,Règles_bovins[Ration]&amp;Règles_bovins[Aliment],0))="s1",IF($BB285=Spécificité1Bovins,1)),
AND(INDEX(Règles_bovins[Specificite],MATCH(RationHivernaleBovinsAuPré&amp;$BB285,Règles_bovins[Ration]&amp;Règles_bovins[Aliment],0))="s2",IF($BB285=Spécificité2Bovins,1)),
INDEX(Règles_bovins[Specificite],MATCH(RationHivernaleBovinsAuPré&amp;$BB285,Règles_bovins[Ration]&amp;Règles_bovins[Aliment],0))="c"),
INDEX(Règles_bovins[Valeur 6-12],MATCH(RationHivernaleBovinsAuPré&amp;$BB285,Règles_bovins[Ration]&amp;Règles_bovins[Aliment],0)),0),0)*IF(SUM(TotalBovins_6_12moisAuPré)&gt;0,SUM(TotalBovins_6_12moisAuPré),SUM(TotalBovins_6_12mois))*35</f>
        <v>0</v>
      </c>
      <c r="BH285" s="350">
        <f t="array" ref="BH285">IFERROR(IF(OR(AND(INDEX(Règles_bovins[Specificite],MATCH(RationHivernaleBovinsAuPré&amp;$BB285,Règles_bovins[Ration]&amp;Règles_bovins[Aliment],0))="s1",IF($BB285=Spécificité1Bovins,1)),
AND(INDEX(Règles_bovins[Specificite],MATCH(RationHivernaleBovinsAuPré&amp;$BB285,Règles_bovins[Ration]&amp;Règles_bovins[Aliment],0))="s2",IF($BB285=Spécificité2Bovins,1)),
INDEX(Règles_bovins[Specificite],MATCH(RationHivernaleBovinsAuPré&amp;$BB285,Règles_bovins[Ration]&amp;Règles_bovins[Aliment],0))="c"),
INDEX(Règles_bovins[Valeur 3-6],MATCH(RationHivernaleBovinsAuPré&amp;$BB285,Règles_bovins[Ration]&amp;Règles_bovins[Aliment],0)),0),0)*IF(SUM(TotalBovins_3_6moisAuPré)&gt;0,SUM(TotalBovins_3_6moisAuPré),SUM(TotalBovins_3_6mois))*35</f>
        <v>0</v>
      </c>
      <c r="BI285" s="350">
        <f t="array" ref="BI285">IFERROR(IF(OR(AND(INDEX(Règles_bovins[Specificite],MATCH(RationHivernaleBovinsAuPré&amp;$BB285,Règles_bovins[Ration]&amp;Règles_bovins[Aliment],0))="s1",IF($BB285=Spécificité1Bovins,1)),
AND(INDEX(Règles_bovins[Specificite],MATCH(RationHivernaleBovinsAuPré&amp;$BB285,Règles_bovins[Ration]&amp;Règles_bovins[Aliment],0))="s2",IF($BB285=Spécificité2Bovins,1)),
INDEX(Règles_bovins[Specificite],MATCH(RationHivernaleBovinsAuPré&amp;$BB285,Règles_bovins[Ration]&amp;Règles_bovins[Aliment],0))="c"),
INDEX(Règles_bovins[Valeur 0-3],MATCH(RationHivernaleBovinsAuPré&amp;$BB285,Règles_bovins[Ration]&amp;Règles_bovins[Aliment],0)),0),0)*IF(SUM(TotalBovins_0_3moisAuPré)&gt;0,SUM(TotalBovins_0_3moisAuPré),SUM(TotalBovins_0_3mois))*35</f>
        <v>0</v>
      </c>
      <c r="BJ285" s="352">
        <f t="shared" si="71"/>
        <v>0</v>
      </c>
      <c r="CI285" s="277"/>
      <c r="CK285" s="277"/>
      <c r="CL285" s="277"/>
      <c r="CM285" s="277"/>
      <c r="CN285" s="277"/>
      <c r="DN285" s="420" t="s">
        <v>618</v>
      </c>
      <c r="DO285" s="384">
        <f>DR37*TotalBrebis*SUM(AD76:AD100)</f>
        <v>0</v>
      </c>
      <c r="DP285" s="408">
        <f>DR37*TotalBrebisRacesLaitières*SUM(AD76:AD100)</f>
        <v>0</v>
      </c>
      <c r="DQ285" s="277"/>
      <c r="DR285" s="277"/>
      <c r="GG285" s="276" t="s">
        <v>955</v>
      </c>
      <c r="GH285" s="276" t="s">
        <v>955</v>
      </c>
      <c r="GI285" s="276" t="s">
        <v>955</v>
      </c>
      <c r="GJ285" s="276" t="s">
        <v>955</v>
      </c>
      <c r="GK285" s="276" t="s">
        <v>955</v>
      </c>
      <c r="GL285" s="276" t="s">
        <v>955</v>
      </c>
      <c r="GM285" s="276" t="s">
        <v>955</v>
      </c>
      <c r="GN285" s="276" t="s">
        <v>955</v>
      </c>
      <c r="GO285" s="276" t="s">
        <v>955</v>
      </c>
      <c r="GP285" s="276" t="s">
        <v>955</v>
      </c>
      <c r="GQ285" s="276" t="s">
        <v>955</v>
      </c>
      <c r="GR285" s="276" t="s">
        <v>955</v>
      </c>
      <c r="GS285" s="276" t="s">
        <v>955</v>
      </c>
      <c r="GT285" s="276" t="s">
        <v>955</v>
      </c>
      <c r="GU285" s="276" t="s">
        <v>955</v>
      </c>
      <c r="GV285" s="276" t="s">
        <v>955</v>
      </c>
    </row>
    <row r="286" spans="1:204" ht="12.75" customHeight="1" x14ac:dyDescent="0.2">
      <c r="A286" s="276"/>
      <c r="B286" s="276"/>
      <c r="BB286" s="350" t="str">
        <f t="shared" si="72"/>
        <v>Blé</v>
      </c>
      <c r="BC286" s="350">
        <f t="array" ref="BC286">IFERROR(IF(OR(AND(INDEX(Règles_bovins[Specificite],MATCH(RationHivernaleBovinsAuPré&amp;$BB286,Règles_bovins[Ration]&amp;Règles_bovins[Aliment],0))="s1",IF($BB286=Spécificité1Bovins,1)),
AND(INDEX(Règles_bovins[Specificite],MATCH(RationHivernaleBovinsAuPré&amp;$BB286,Règles_bovins[Ration]&amp;Règles_bovins[Aliment],0))="s2",IF($BB286=Spécificité2Bovins,1)),
INDEX(Règles_bovins[Specificite],MATCH(RationHivernaleBovinsAuPré&amp;$BB286,Règles_bovins[Ration]&amp;Règles_bovins[Aliment],0))="c"),
INDEX(Règles_bovins[Valeur 36 et plus],MATCH(RationHivernaleBovinsAuPré&amp;$BB286,Règles_bovins[Ration]&amp;Règles_bovins[Aliment],0)),0),0)*IF(SUM(TotalBovinsAdultesAuPré)&gt;0,SUM(TotalBovinsAdultesAuPré),SUM(TotalBovinsAdultes))*35</f>
        <v>0</v>
      </c>
      <c r="BD286" s="350">
        <f t="array" ref="BD286">IFERROR(IF(OR(AND(INDEX(Règles_bovins[Specificite],MATCH(RationHivernaleBovinsAuPré&amp;$BB286,Règles_bovins[Ration]&amp;Règles_bovins[Aliment],0))="s1",IF($BB286=Spécificité1Bovins,1)),
AND(INDEX(Règles_bovins[Specificite],MATCH(RationHivernaleBovinsAuPré&amp;$BB286,Règles_bovins[Ration]&amp;Règles_bovins[Aliment],0))="s2",IF($BB286=Spécificité2Bovins,1)),
INDEX(Règles_bovins[Specificite],MATCH(RationHivernaleBovinsAuPré&amp;$BB286,Règles_bovins[Ration]&amp;Règles_bovins[Aliment],0))="c"),
INDEX(Règles_bovins[Valeur 24-36],MATCH(RationHivernaleBovinsAuPré&amp;$BB286,Règles_bovins[Ration]&amp;Règles_bovins[Aliment],0)),0),0)*IF(SUM(TotalBovins_24_36moisAuPré)&gt;0,SUM(TotalBovins_24_36moisAuPré),SUM(TotalBovins_24_36mois))*35</f>
        <v>0</v>
      </c>
      <c r="BE286" s="350">
        <f t="array" ref="BE286">IFERROR(IF(OR(AND(INDEX(Règles_bovins[Specificite],MATCH(RationHivernaleBovinsAuPré&amp;$BB286,Règles_bovins[Ration]&amp;Règles_bovins[Aliment],0))="s1",IF($BB286=Spécificité1Bovins,1)),
AND(INDEX(Règles_bovins[Specificite],MATCH(RationHivernaleBovinsAuPré&amp;$BB286,Règles_bovins[Ration]&amp;Règles_bovins[Aliment],0))="s2",IF($BB286=Spécificité2Bovins,1)),
INDEX(Règles_bovins[Specificite],MATCH(RationHivernaleBovinsAuPré&amp;$BB286,Règles_bovins[Ration]&amp;Règles_bovins[Aliment],0))="c"),
INDEX(Règles_bovins[Valeur 18-24],MATCH(RationHivernaleBovinsAuPré&amp;$BB286,Règles_bovins[Ration]&amp;Règles_bovins[Aliment],0)),0),0)*IF(SUM(TotalBovins_18_24moisAuPré)&gt;0,SUM(TotalBovins_18_24moisAuPré),SUM(TotalBovins_18_24mois))*35</f>
        <v>0</v>
      </c>
      <c r="BF286" s="350">
        <f t="array" ref="BF286">IFERROR(IF(OR(AND(INDEX(Règles_bovins[Specificite],MATCH(RationHivernaleBovinsAuPré&amp;$BB286,Règles_bovins[Ration]&amp;Règles_bovins[Aliment],0))="s1",IF($BB286=Spécificité1Bovins,1)),
AND(INDEX(Règles_bovins[Specificite],MATCH(RationHivernaleBovinsAuPré&amp;$BB286,Règles_bovins[Ration]&amp;Règles_bovins[Aliment],0))="s2",IF($BB286=Spécificité2Bovins,1)),
INDEX(Règles_bovins[Specificite],MATCH(RationHivernaleBovinsAuPré&amp;$BB286,Règles_bovins[Ration]&amp;Règles_bovins[Aliment],0))="c"),
INDEX(Règles_bovins[Valeur 12-18],MATCH(RationHivernaleBovinsAuPré&amp;$BB286,Règles_bovins[Ration]&amp;Règles_bovins[Aliment],0)),0),0)*IF(SUM(TotalBovins_12_18moisAuPré)&gt;0,SUM(TotalBovins_12_18moisAuPré),SUM(TotalBovins_12_18mois))*35</f>
        <v>0</v>
      </c>
      <c r="BG286" s="350">
        <f t="array" ref="BG286">IFERROR(IF(OR(AND(INDEX(Règles_bovins[Specificite],MATCH(RationHivernaleBovinsAuPré&amp;$BB286,Règles_bovins[Ration]&amp;Règles_bovins[Aliment],0))="s1",IF($BB286=Spécificité1Bovins,1)),
AND(INDEX(Règles_bovins[Specificite],MATCH(RationHivernaleBovinsAuPré&amp;$BB286,Règles_bovins[Ration]&amp;Règles_bovins[Aliment],0))="s2",IF($BB286=Spécificité2Bovins,1)),
INDEX(Règles_bovins[Specificite],MATCH(RationHivernaleBovinsAuPré&amp;$BB286,Règles_bovins[Ration]&amp;Règles_bovins[Aliment],0))="c"),
INDEX(Règles_bovins[Valeur 6-12],MATCH(RationHivernaleBovinsAuPré&amp;$BB286,Règles_bovins[Ration]&amp;Règles_bovins[Aliment],0)),0),0)*IF(SUM(TotalBovins_6_12moisAuPré)&gt;0,SUM(TotalBovins_6_12moisAuPré),SUM(TotalBovins_6_12mois))*35</f>
        <v>0</v>
      </c>
      <c r="BH286" s="350">
        <f t="array" ref="BH286">IFERROR(IF(OR(AND(INDEX(Règles_bovins[Specificite],MATCH(RationHivernaleBovinsAuPré&amp;$BB286,Règles_bovins[Ration]&amp;Règles_bovins[Aliment],0))="s1",IF($BB286=Spécificité1Bovins,1)),
AND(INDEX(Règles_bovins[Specificite],MATCH(RationHivernaleBovinsAuPré&amp;$BB286,Règles_bovins[Ration]&amp;Règles_bovins[Aliment],0))="s2",IF($BB286=Spécificité2Bovins,1)),
INDEX(Règles_bovins[Specificite],MATCH(RationHivernaleBovinsAuPré&amp;$BB286,Règles_bovins[Ration]&amp;Règles_bovins[Aliment],0))="c"),
INDEX(Règles_bovins[Valeur 3-6],MATCH(RationHivernaleBovinsAuPré&amp;$BB286,Règles_bovins[Ration]&amp;Règles_bovins[Aliment],0)),0),0)*IF(SUM(TotalBovins_3_6moisAuPré)&gt;0,SUM(TotalBovins_3_6moisAuPré),SUM(TotalBovins_3_6mois))*35</f>
        <v>0</v>
      </c>
      <c r="BI286" s="350">
        <f t="array" ref="BI286">IFERROR(IF(OR(AND(INDEX(Règles_bovins[Specificite],MATCH(RationHivernaleBovinsAuPré&amp;$BB286,Règles_bovins[Ration]&amp;Règles_bovins[Aliment],0))="s1",IF($BB286=Spécificité1Bovins,1)),
AND(INDEX(Règles_bovins[Specificite],MATCH(RationHivernaleBovinsAuPré&amp;$BB286,Règles_bovins[Ration]&amp;Règles_bovins[Aliment],0))="s2",IF($BB286=Spécificité2Bovins,1)),
INDEX(Règles_bovins[Specificite],MATCH(RationHivernaleBovinsAuPré&amp;$BB286,Règles_bovins[Ration]&amp;Règles_bovins[Aliment],0))="c"),
INDEX(Règles_bovins[Valeur 0-3],MATCH(RationHivernaleBovinsAuPré&amp;$BB286,Règles_bovins[Ration]&amp;Règles_bovins[Aliment],0)),0),0)*IF(SUM(TotalBovins_0_3moisAuPré)&gt;0,SUM(TotalBovins_0_3moisAuPré),SUM(TotalBovins_0_3mois))*35</f>
        <v>0</v>
      </c>
      <c r="BJ286" s="352">
        <f t="shared" si="71"/>
        <v>0</v>
      </c>
      <c r="CI286" s="277"/>
      <c r="CK286" s="277"/>
      <c r="CL286" s="277"/>
      <c r="CM286" s="277"/>
      <c r="CN286" s="277"/>
      <c r="DN286" s="420" t="s">
        <v>619</v>
      </c>
      <c r="DO286" s="384">
        <f>DR38*SUM(TotalJeunesOvins)*SUM(AD76:AD100)</f>
        <v>0</v>
      </c>
      <c r="DP286" s="408">
        <f>DR38*SUM(TotalJeunesOvinsRacesLaitières)*SUM(AD76:AD100)</f>
        <v>0</v>
      </c>
      <c r="DQ286" s="277"/>
      <c r="DR286" s="277"/>
      <c r="GG286" s="276" t="s">
        <v>955</v>
      </c>
      <c r="GH286" s="276" t="s">
        <v>955</v>
      </c>
      <c r="GI286" s="276" t="s">
        <v>955</v>
      </c>
      <c r="GJ286" s="276" t="s">
        <v>955</v>
      </c>
      <c r="GK286" s="276" t="s">
        <v>955</v>
      </c>
      <c r="GL286" s="276" t="s">
        <v>955</v>
      </c>
      <c r="GM286" s="276" t="s">
        <v>955</v>
      </c>
      <c r="GN286" s="276" t="s">
        <v>955</v>
      </c>
      <c r="GO286" s="276" t="s">
        <v>955</v>
      </c>
      <c r="GP286" s="276" t="s">
        <v>955</v>
      </c>
      <c r="GQ286" s="276" t="s">
        <v>955</v>
      </c>
      <c r="GR286" s="276" t="s">
        <v>955</v>
      </c>
      <c r="GS286" s="276" t="s">
        <v>955</v>
      </c>
      <c r="GT286" s="276" t="s">
        <v>955</v>
      </c>
      <c r="GU286" s="276" t="s">
        <v>955</v>
      </c>
      <c r="GV286" s="276" t="s">
        <v>955</v>
      </c>
    </row>
    <row r="287" spans="1:204" ht="12.75" customHeight="1" x14ac:dyDescent="0.2">
      <c r="A287" s="276"/>
      <c r="B287" s="276"/>
      <c r="BB287" s="350" t="str">
        <f t="shared" si="72"/>
        <v>Bouchons luzerne</v>
      </c>
      <c r="BC287" s="350">
        <f t="array" ref="BC287">IFERROR(IF(OR(AND(INDEX(Règles_bovins[Specificite],MATCH(RationHivernaleBovinsAuPré&amp;$BB287,Règles_bovins[Ration]&amp;Règles_bovins[Aliment],0))="s1",IF($BB287=Spécificité1Bovins,1)),
AND(INDEX(Règles_bovins[Specificite],MATCH(RationHivernaleBovinsAuPré&amp;$BB287,Règles_bovins[Ration]&amp;Règles_bovins[Aliment],0))="s2",IF($BB287=Spécificité2Bovins,1)),
INDEX(Règles_bovins[Specificite],MATCH(RationHivernaleBovinsAuPré&amp;$BB287,Règles_bovins[Ration]&amp;Règles_bovins[Aliment],0))="c"),
INDEX(Règles_bovins[Valeur 36 et plus],MATCH(RationHivernaleBovinsAuPré&amp;$BB287,Règles_bovins[Ration]&amp;Règles_bovins[Aliment],0)),0),0)*IF(SUM(TotalBovinsAdultesAuPré)&gt;0,SUM(TotalBovinsAdultesAuPré),SUM(TotalBovinsAdultes))*35</f>
        <v>0</v>
      </c>
      <c r="BD287" s="350">
        <f t="array" ref="BD287">IFERROR(IF(OR(AND(INDEX(Règles_bovins[Specificite],MATCH(RationHivernaleBovinsAuPré&amp;$BB287,Règles_bovins[Ration]&amp;Règles_bovins[Aliment],0))="s1",IF($BB287=Spécificité1Bovins,1)),
AND(INDEX(Règles_bovins[Specificite],MATCH(RationHivernaleBovinsAuPré&amp;$BB287,Règles_bovins[Ration]&amp;Règles_bovins[Aliment],0))="s2",IF($BB287=Spécificité2Bovins,1)),
INDEX(Règles_bovins[Specificite],MATCH(RationHivernaleBovinsAuPré&amp;$BB287,Règles_bovins[Ration]&amp;Règles_bovins[Aliment],0))="c"),
INDEX(Règles_bovins[Valeur 24-36],MATCH(RationHivernaleBovinsAuPré&amp;$BB287,Règles_bovins[Ration]&amp;Règles_bovins[Aliment],0)),0),0)*IF(SUM(TotalBovins_24_36moisAuPré)&gt;0,SUM(TotalBovins_24_36moisAuPré),SUM(TotalBovins_24_36mois))*35</f>
        <v>0</v>
      </c>
      <c r="BE287" s="350">
        <f t="array" ref="BE287">IFERROR(IF(OR(AND(INDEX(Règles_bovins[Specificite],MATCH(RationHivernaleBovinsAuPré&amp;$BB287,Règles_bovins[Ration]&amp;Règles_bovins[Aliment],0))="s1",IF($BB287=Spécificité1Bovins,1)),
AND(INDEX(Règles_bovins[Specificite],MATCH(RationHivernaleBovinsAuPré&amp;$BB287,Règles_bovins[Ration]&amp;Règles_bovins[Aliment],0))="s2",IF($BB287=Spécificité2Bovins,1)),
INDEX(Règles_bovins[Specificite],MATCH(RationHivernaleBovinsAuPré&amp;$BB287,Règles_bovins[Ration]&amp;Règles_bovins[Aliment],0))="c"),
INDEX(Règles_bovins[Valeur 18-24],MATCH(RationHivernaleBovinsAuPré&amp;$BB287,Règles_bovins[Ration]&amp;Règles_bovins[Aliment],0)),0),0)*IF(SUM(TotalBovins_18_24moisAuPré)&gt;0,SUM(TotalBovins_18_24moisAuPré),SUM(TotalBovins_18_24mois))*35</f>
        <v>0</v>
      </c>
      <c r="BF287" s="350">
        <f t="array" ref="BF287">IFERROR(IF(OR(AND(INDEX(Règles_bovins[Specificite],MATCH(RationHivernaleBovinsAuPré&amp;$BB287,Règles_bovins[Ration]&amp;Règles_bovins[Aliment],0))="s1",IF($BB287=Spécificité1Bovins,1)),
AND(INDEX(Règles_bovins[Specificite],MATCH(RationHivernaleBovinsAuPré&amp;$BB287,Règles_bovins[Ration]&amp;Règles_bovins[Aliment],0))="s2",IF($BB287=Spécificité2Bovins,1)),
INDEX(Règles_bovins[Specificite],MATCH(RationHivernaleBovinsAuPré&amp;$BB287,Règles_bovins[Ration]&amp;Règles_bovins[Aliment],0))="c"),
INDEX(Règles_bovins[Valeur 12-18],MATCH(RationHivernaleBovinsAuPré&amp;$BB287,Règles_bovins[Ration]&amp;Règles_bovins[Aliment],0)),0),0)*IF(SUM(TotalBovins_12_18moisAuPré)&gt;0,SUM(TotalBovins_12_18moisAuPré),SUM(TotalBovins_12_18mois))*35</f>
        <v>0</v>
      </c>
      <c r="BG287" s="350">
        <f t="array" ref="BG287">IFERROR(IF(OR(AND(INDEX(Règles_bovins[Specificite],MATCH(RationHivernaleBovinsAuPré&amp;$BB287,Règles_bovins[Ration]&amp;Règles_bovins[Aliment],0))="s1",IF($BB287=Spécificité1Bovins,1)),
AND(INDEX(Règles_bovins[Specificite],MATCH(RationHivernaleBovinsAuPré&amp;$BB287,Règles_bovins[Ration]&amp;Règles_bovins[Aliment],0))="s2",IF($BB287=Spécificité2Bovins,1)),
INDEX(Règles_bovins[Specificite],MATCH(RationHivernaleBovinsAuPré&amp;$BB287,Règles_bovins[Ration]&amp;Règles_bovins[Aliment],0))="c"),
INDEX(Règles_bovins[Valeur 6-12],MATCH(RationHivernaleBovinsAuPré&amp;$BB287,Règles_bovins[Ration]&amp;Règles_bovins[Aliment],0)),0),0)*IF(SUM(TotalBovins_6_12moisAuPré)&gt;0,SUM(TotalBovins_6_12moisAuPré),SUM(TotalBovins_6_12mois))*35</f>
        <v>0</v>
      </c>
      <c r="BH287" s="350">
        <f t="array" ref="BH287">IFERROR(IF(OR(AND(INDEX(Règles_bovins[Specificite],MATCH(RationHivernaleBovinsAuPré&amp;$BB287,Règles_bovins[Ration]&amp;Règles_bovins[Aliment],0))="s1",IF($BB287=Spécificité1Bovins,1)),
AND(INDEX(Règles_bovins[Specificite],MATCH(RationHivernaleBovinsAuPré&amp;$BB287,Règles_bovins[Ration]&amp;Règles_bovins[Aliment],0))="s2",IF($BB287=Spécificité2Bovins,1)),
INDEX(Règles_bovins[Specificite],MATCH(RationHivernaleBovinsAuPré&amp;$BB287,Règles_bovins[Ration]&amp;Règles_bovins[Aliment],0))="c"),
INDEX(Règles_bovins[Valeur 3-6],MATCH(RationHivernaleBovinsAuPré&amp;$BB287,Règles_bovins[Ration]&amp;Règles_bovins[Aliment],0)),0),0)*IF(SUM(TotalBovins_3_6moisAuPré)&gt;0,SUM(TotalBovins_3_6moisAuPré),SUM(TotalBovins_3_6mois))*35</f>
        <v>0</v>
      </c>
      <c r="BI287" s="350">
        <f t="array" ref="BI287">IFERROR(IF(OR(AND(INDEX(Règles_bovins[Specificite],MATCH(RationHivernaleBovinsAuPré&amp;$BB287,Règles_bovins[Ration]&amp;Règles_bovins[Aliment],0))="s1",IF($BB287=Spécificité1Bovins,1)),
AND(INDEX(Règles_bovins[Specificite],MATCH(RationHivernaleBovinsAuPré&amp;$BB287,Règles_bovins[Ration]&amp;Règles_bovins[Aliment],0))="s2",IF($BB287=Spécificité2Bovins,1)),
INDEX(Règles_bovins[Specificite],MATCH(RationHivernaleBovinsAuPré&amp;$BB287,Règles_bovins[Ration]&amp;Règles_bovins[Aliment],0))="c"),
INDEX(Règles_bovins[Valeur 0-3],MATCH(RationHivernaleBovinsAuPré&amp;$BB287,Règles_bovins[Ration]&amp;Règles_bovins[Aliment],0)),0),0)*IF(SUM(TotalBovins_0_3moisAuPré)&gt;0,SUM(TotalBovins_0_3moisAuPré),SUM(TotalBovins_0_3mois))*35</f>
        <v>0</v>
      </c>
      <c r="BJ287" s="352">
        <f t="shared" si="71"/>
        <v>0</v>
      </c>
      <c r="CI287" s="277"/>
      <c r="CK287" s="277"/>
      <c r="CM287" s="277"/>
      <c r="CN287" s="277"/>
      <c r="DN287" s="420" t="s">
        <v>620</v>
      </c>
      <c r="DO287" s="384"/>
      <c r="DP287" s="408"/>
      <c r="DQ287" s="277"/>
      <c r="DR287" s="277"/>
      <c r="GG287" s="276" t="s">
        <v>955</v>
      </c>
      <c r="GH287" s="276" t="s">
        <v>955</v>
      </c>
      <c r="GI287" s="276" t="s">
        <v>955</v>
      </c>
      <c r="GJ287" s="276" t="s">
        <v>955</v>
      </c>
      <c r="GK287" s="276" t="s">
        <v>955</v>
      </c>
      <c r="GL287" s="276" t="s">
        <v>955</v>
      </c>
      <c r="GM287" s="276" t="s">
        <v>955</v>
      </c>
      <c r="GN287" s="276" t="s">
        <v>955</v>
      </c>
      <c r="GO287" s="276" t="s">
        <v>955</v>
      </c>
      <c r="GP287" s="276" t="s">
        <v>955</v>
      </c>
      <c r="GQ287" s="276" t="s">
        <v>955</v>
      </c>
      <c r="GR287" s="276" t="s">
        <v>955</v>
      </c>
      <c r="GS287" s="276" t="s">
        <v>955</v>
      </c>
      <c r="GT287" s="276" t="s">
        <v>955</v>
      </c>
      <c r="GU287" s="276" t="s">
        <v>955</v>
      </c>
      <c r="GV287" s="276" t="s">
        <v>955</v>
      </c>
    </row>
    <row r="288" spans="1:204" ht="12.75" customHeight="1" x14ac:dyDescent="0.2">
      <c r="A288" s="276"/>
      <c r="B288" s="276"/>
      <c r="BB288" s="350" t="str">
        <f t="shared" si="72"/>
        <v>Chanvre</v>
      </c>
      <c r="BC288" s="350">
        <f t="array" ref="BC288">IFERROR(IF(OR(AND(INDEX(Règles_bovins[Specificite],MATCH(RationHivernaleBovinsAuPré&amp;$BB288,Règles_bovins[Ration]&amp;Règles_bovins[Aliment],0))="s1",IF($BB288=Spécificité1Bovins,1)),
AND(INDEX(Règles_bovins[Specificite],MATCH(RationHivernaleBovinsAuPré&amp;$BB288,Règles_bovins[Ration]&amp;Règles_bovins[Aliment],0))="s2",IF($BB288=Spécificité2Bovins,1)),
INDEX(Règles_bovins[Specificite],MATCH(RationHivernaleBovinsAuPré&amp;$BB288,Règles_bovins[Ration]&amp;Règles_bovins[Aliment],0))="c"),
INDEX(Règles_bovins[Valeur 36 et plus],MATCH(RationHivernaleBovinsAuPré&amp;$BB288,Règles_bovins[Ration]&amp;Règles_bovins[Aliment],0)),0),0)*IF(SUM(TotalBovinsAdultesAuPré)&gt;0,SUM(TotalBovinsAdultesAuPré),SUM(TotalBovinsAdultes))*35</f>
        <v>0</v>
      </c>
      <c r="BD288" s="350">
        <f t="array" ref="BD288">IFERROR(IF(OR(AND(INDEX(Règles_bovins[Specificite],MATCH(RationHivernaleBovinsAuPré&amp;$BB288,Règles_bovins[Ration]&amp;Règles_bovins[Aliment],0))="s1",IF($BB288=Spécificité1Bovins,1)),
AND(INDEX(Règles_bovins[Specificite],MATCH(RationHivernaleBovinsAuPré&amp;$BB288,Règles_bovins[Ration]&amp;Règles_bovins[Aliment],0))="s2",IF($BB288=Spécificité2Bovins,1)),
INDEX(Règles_bovins[Specificite],MATCH(RationHivernaleBovinsAuPré&amp;$BB288,Règles_bovins[Ration]&amp;Règles_bovins[Aliment],0))="c"),
INDEX(Règles_bovins[Valeur 24-36],MATCH(RationHivernaleBovinsAuPré&amp;$BB288,Règles_bovins[Ration]&amp;Règles_bovins[Aliment],0)),0),0)*IF(SUM(TotalBovins_24_36moisAuPré)&gt;0,SUM(TotalBovins_24_36moisAuPré),SUM(TotalBovins_24_36mois))*35</f>
        <v>0</v>
      </c>
      <c r="BE288" s="350">
        <f t="array" ref="BE288">IFERROR(IF(OR(AND(INDEX(Règles_bovins[Specificite],MATCH(RationHivernaleBovinsAuPré&amp;$BB288,Règles_bovins[Ration]&amp;Règles_bovins[Aliment],0))="s1",IF($BB288=Spécificité1Bovins,1)),
AND(INDEX(Règles_bovins[Specificite],MATCH(RationHivernaleBovinsAuPré&amp;$BB288,Règles_bovins[Ration]&amp;Règles_bovins[Aliment],0))="s2",IF($BB288=Spécificité2Bovins,1)),
INDEX(Règles_bovins[Specificite],MATCH(RationHivernaleBovinsAuPré&amp;$BB288,Règles_bovins[Ration]&amp;Règles_bovins[Aliment],0))="c"),
INDEX(Règles_bovins[Valeur 18-24],MATCH(RationHivernaleBovinsAuPré&amp;$BB288,Règles_bovins[Ration]&amp;Règles_bovins[Aliment],0)),0),0)*IF(SUM(TotalBovins_18_24moisAuPré)&gt;0,SUM(TotalBovins_18_24moisAuPré),SUM(TotalBovins_18_24mois))*35</f>
        <v>0</v>
      </c>
      <c r="BF288" s="350">
        <f t="array" ref="BF288">IFERROR(IF(OR(AND(INDEX(Règles_bovins[Specificite],MATCH(RationHivernaleBovinsAuPré&amp;$BB288,Règles_bovins[Ration]&amp;Règles_bovins[Aliment],0))="s1",IF($BB288=Spécificité1Bovins,1)),
AND(INDEX(Règles_bovins[Specificite],MATCH(RationHivernaleBovinsAuPré&amp;$BB288,Règles_bovins[Ration]&amp;Règles_bovins[Aliment],0))="s2",IF($BB288=Spécificité2Bovins,1)),
INDEX(Règles_bovins[Specificite],MATCH(RationHivernaleBovinsAuPré&amp;$BB288,Règles_bovins[Ration]&amp;Règles_bovins[Aliment],0))="c"),
INDEX(Règles_bovins[Valeur 12-18],MATCH(RationHivernaleBovinsAuPré&amp;$BB288,Règles_bovins[Ration]&amp;Règles_bovins[Aliment],0)),0),0)*IF(SUM(TotalBovins_12_18moisAuPré)&gt;0,SUM(TotalBovins_12_18moisAuPré),SUM(TotalBovins_12_18mois))*35</f>
        <v>0</v>
      </c>
      <c r="BG288" s="350">
        <f t="array" ref="BG288">IFERROR(IF(OR(AND(INDEX(Règles_bovins[Specificite],MATCH(RationHivernaleBovinsAuPré&amp;$BB288,Règles_bovins[Ration]&amp;Règles_bovins[Aliment],0))="s1",IF($BB288=Spécificité1Bovins,1)),
AND(INDEX(Règles_bovins[Specificite],MATCH(RationHivernaleBovinsAuPré&amp;$BB288,Règles_bovins[Ration]&amp;Règles_bovins[Aliment],0))="s2",IF($BB288=Spécificité2Bovins,1)),
INDEX(Règles_bovins[Specificite],MATCH(RationHivernaleBovinsAuPré&amp;$BB288,Règles_bovins[Ration]&amp;Règles_bovins[Aliment],0))="c"),
INDEX(Règles_bovins[Valeur 6-12],MATCH(RationHivernaleBovinsAuPré&amp;$BB288,Règles_bovins[Ration]&amp;Règles_bovins[Aliment],0)),0),0)*IF(SUM(TotalBovins_6_12moisAuPré)&gt;0,SUM(TotalBovins_6_12moisAuPré),SUM(TotalBovins_6_12mois))*35</f>
        <v>0</v>
      </c>
      <c r="BH288" s="350">
        <f t="array" ref="BH288">IFERROR(IF(OR(AND(INDEX(Règles_bovins[Specificite],MATCH(RationHivernaleBovinsAuPré&amp;$BB288,Règles_bovins[Ration]&amp;Règles_bovins[Aliment],0))="s1",IF($BB288=Spécificité1Bovins,1)),
AND(INDEX(Règles_bovins[Specificite],MATCH(RationHivernaleBovinsAuPré&amp;$BB288,Règles_bovins[Ration]&amp;Règles_bovins[Aliment],0))="s2",IF($BB288=Spécificité2Bovins,1)),
INDEX(Règles_bovins[Specificite],MATCH(RationHivernaleBovinsAuPré&amp;$BB288,Règles_bovins[Ration]&amp;Règles_bovins[Aliment],0))="c"),
INDEX(Règles_bovins[Valeur 3-6],MATCH(RationHivernaleBovinsAuPré&amp;$BB288,Règles_bovins[Ration]&amp;Règles_bovins[Aliment],0)),0),0)*IF(SUM(TotalBovins_3_6moisAuPré)&gt;0,SUM(TotalBovins_3_6moisAuPré),SUM(TotalBovins_3_6mois))*35</f>
        <v>0</v>
      </c>
      <c r="BI288" s="350">
        <f t="array" ref="BI288">IFERROR(IF(OR(AND(INDEX(Règles_bovins[Specificite],MATCH(RationHivernaleBovinsAuPré&amp;$BB288,Règles_bovins[Ration]&amp;Règles_bovins[Aliment],0))="s1",IF($BB288=Spécificité1Bovins,1)),
AND(INDEX(Règles_bovins[Specificite],MATCH(RationHivernaleBovinsAuPré&amp;$BB288,Règles_bovins[Ration]&amp;Règles_bovins[Aliment],0))="s2",IF($BB288=Spécificité2Bovins,1)),
INDEX(Règles_bovins[Specificite],MATCH(RationHivernaleBovinsAuPré&amp;$BB288,Règles_bovins[Ration]&amp;Règles_bovins[Aliment],0))="c"),
INDEX(Règles_bovins[Valeur 0-3],MATCH(RationHivernaleBovinsAuPré&amp;$BB288,Règles_bovins[Ration]&amp;Règles_bovins[Aliment],0)),0),0)*IF(SUM(TotalBovins_0_3moisAuPré)&gt;0,SUM(TotalBovins_0_3moisAuPré),SUM(TotalBovins_0_3mois))*35</f>
        <v>0</v>
      </c>
      <c r="BJ288" s="352">
        <f t="shared" si="71"/>
        <v>0</v>
      </c>
      <c r="CI288" s="277"/>
      <c r="DN288" s="443" t="s">
        <v>621</v>
      </c>
      <c r="DO288" s="444">
        <f>DR40*SUM(TotalAgneaux)*SUM(AD76:AD100)</f>
        <v>0</v>
      </c>
      <c r="DP288" s="445">
        <f>DR40*SUM(TotalAgneauxRacesLaitières)*SUM(AD76:AD100)</f>
        <v>0</v>
      </c>
      <c r="DQ288" s="277"/>
      <c r="DR288" s="277"/>
      <c r="GG288" s="276" t="s">
        <v>955</v>
      </c>
      <c r="GH288" s="276" t="s">
        <v>955</v>
      </c>
      <c r="GI288" s="276" t="s">
        <v>955</v>
      </c>
      <c r="GJ288" s="276" t="s">
        <v>955</v>
      </c>
      <c r="GK288" s="276" t="s">
        <v>955</v>
      </c>
      <c r="GL288" s="276" t="s">
        <v>955</v>
      </c>
      <c r="GM288" s="276" t="s">
        <v>955</v>
      </c>
      <c r="GN288" s="276" t="s">
        <v>955</v>
      </c>
      <c r="GO288" s="276" t="s">
        <v>955</v>
      </c>
      <c r="GP288" s="276" t="s">
        <v>955</v>
      </c>
      <c r="GQ288" s="276" t="s">
        <v>955</v>
      </c>
      <c r="GR288" s="276" t="s">
        <v>955</v>
      </c>
      <c r="GS288" s="276" t="s">
        <v>955</v>
      </c>
      <c r="GT288" s="276" t="s">
        <v>955</v>
      </c>
      <c r="GU288" s="276" t="s">
        <v>955</v>
      </c>
      <c r="GV288" s="276" t="s">
        <v>955</v>
      </c>
    </row>
    <row r="289" spans="1:204" ht="12.75" customHeight="1" x14ac:dyDescent="0.2">
      <c r="A289" s="276"/>
      <c r="B289" s="276"/>
      <c r="BB289" s="350" t="str">
        <f t="shared" si="72"/>
        <v>Canola</v>
      </c>
      <c r="BC289" s="350">
        <f t="array" ref="BC289">IFERROR(IF(OR(AND(INDEX(Règles_bovins[Specificite],MATCH(RationHivernaleBovinsAuPré&amp;$BB289,Règles_bovins[Ration]&amp;Règles_bovins[Aliment],0))="s1",IF($BB289=Spécificité1Bovins,1)),
AND(INDEX(Règles_bovins[Specificite],MATCH(RationHivernaleBovinsAuPré&amp;$BB289,Règles_bovins[Ration]&amp;Règles_bovins[Aliment],0))="s2",IF($BB289=Spécificité2Bovins,1)),
INDEX(Règles_bovins[Specificite],MATCH(RationHivernaleBovinsAuPré&amp;$BB289,Règles_bovins[Ration]&amp;Règles_bovins[Aliment],0))="c"),
INDEX(Règles_bovins[Valeur 36 et plus],MATCH(RationHivernaleBovinsAuPré&amp;$BB289,Règles_bovins[Ration]&amp;Règles_bovins[Aliment],0)),0),0)*IF(SUM(TotalBovinsAdultesAuPré)&gt;0,SUM(TotalBovinsAdultesAuPré),SUM(TotalBovinsAdultes))*35</f>
        <v>0</v>
      </c>
      <c r="BD289" s="350">
        <f t="array" ref="BD289">IFERROR(IF(OR(AND(INDEX(Règles_bovins[Specificite],MATCH(RationHivernaleBovinsAuPré&amp;$BB289,Règles_bovins[Ration]&amp;Règles_bovins[Aliment],0))="s1",IF($BB289=Spécificité1Bovins,1)),
AND(INDEX(Règles_bovins[Specificite],MATCH(RationHivernaleBovinsAuPré&amp;$BB289,Règles_bovins[Ration]&amp;Règles_bovins[Aliment],0))="s2",IF($BB289=Spécificité2Bovins,1)),
INDEX(Règles_bovins[Specificite],MATCH(RationHivernaleBovinsAuPré&amp;$BB289,Règles_bovins[Ration]&amp;Règles_bovins[Aliment],0))="c"),
INDEX(Règles_bovins[Valeur 24-36],MATCH(RationHivernaleBovinsAuPré&amp;$BB289,Règles_bovins[Ration]&amp;Règles_bovins[Aliment],0)),0),0)*IF(SUM(TotalBovins_24_36moisAuPré)&gt;0,SUM(TotalBovins_24_36moisAuPré),SUM(TotalBovins_24_36mois))*35</f>
        <v>0</v>
      </c>
      <c r="BE289" s="350">
        <f t="array" ref="BE289">IFERROR(IF(OR(AND(INDEX(Règles_bovins[Specificite],MATCH(RationHivernaleBovinsAuPré&amp;$BB289,Règles_bovins[Ration]&amp;Règles_bovins[Aliment],0))="s1",IF($BB289=Spécificité1Bovins,1)),
AND(INDEX(Règles_bovins[Specificite],MATCH(RationHivernaleBovinsAuPré&amp;$BB289,Règles_bovins[Ration]&amp;Règles_bovins[Aliment],0))="s2",IF($BB289=Spécificité2Bovins,1)),
INDEX(Règles_bovins[Specificite],MATCH(RationHivernaleBovinsAuPré&amp;$BB289,Règles_bovins[Ration]&amp;Règles_bovins[Aliment],0))="c"),
INDEX(Règles_bovins[Valeur 18-24],MATCH(RationHivernaleBovinsAuPré&amp;$BB289,Règles_bovins[Ration]&amp;Règles_bovins[Aliment],0)),0),0)*IF(SUM(TotalBovins_18_24moisAuPré)&gt;0,SUM(TotalBovins_18_24moisAuPré),SUM(TotalBovins_18_24mois))*35</f>
        <v>0</v>
      </c>
      <c r="BF289" s="350">
        <f t="array" ref="BF289">IFERROR(IF(OR(AND(INDEX(Règles_bovins[Specificite],MATCH(RationHivernaleBovinsAuPré&amp;$BB289,Règles_bovins[Ration]&amp;Règles_bovins[Aliment],0))="s1",IF($BB289=Spécificité1Bovins,1)),
AND(INDEX(Règles_bovins[Specificite],MATCH(RationHivernaleBovinsAuPré&amp;$BB289,Règles_bovins[Ration]&amp;Règles_bovins[Aliment],0))="s2",IF($BB289=Spécificité2Bovins,1)),
INDEX(Règles_bovins[Specificite],MATCH(RationHivernaleBovinsAuPré&amp;$BB289,Règles_bovins[Ration]&amp;Règles_bovins[Aliment],0))="c"),
INDEX(Règles_bovins[Valeur 12-18],MATCH(RationHivernaleBovinsAuPré&amp;$BB289,Règles_bovins[Ration]&amp;Règles_bovins[Aliment],0)),0),0)*IF(SUM(TotalBovins_12_18moisAuPré)&gt;0,SUM(TotalBovins_12_18moisAuPré),SUM(TotalBovins_12_18mois))*35</f>
        <v>0</v>
      </c>
      <c r="BG289" s="350">
        <f t="array" ref="BG289">IFERROR(IF(OR(AND(INDEX(Règles_bovins[Specificite],MATCH(RationHivernaleBovinsAuPré&amp;$BB289,Règles_bovins[Ration]&amp;Règles_bovins[Aliment],0))="s1",IF($BB289=Spécificité1Bovins,1)),
AND(INDEX(Règles_bovins[Specificite],MATCH(RationHivernaleBovinsAuPré&amp;$BB289,Règles_bovins[Ration]&amp;Règles_bovins[Aliment],0))="s2",IF($BB289=Spécificité2Bovins,1)),
INDEX(Règles_bovins[Specificite],MATCH(RationHivernaleBovinsAuPré&amp;$BB289,Règles_bovins[Ration]&amp;Règles_bovins[Aliment],0))="c"),
INDEX(Règles_bovins[Valeur 6-12],MATCH(RationHivernaleBovinsAuPré&amp;$BB289,Règles_bovins[Ration]&amp;Règles_bovins[Aliment],0)),0),0)*IF(SUM(TotalBovins_6_12moisAuPré)&gt;0,SUM(TotalBovins_6_12moisAuPré),SUM(TotalBovins_6_12mois))*35</f>
        <v>0</v>
      </c>
      <c r="BH289" s="350">
        <f t="array" ref="BH289">IFERROR(IF(OR(AND(INDEX(Règles_bovins[Specificite],MATCH(RationHivernaleBovinsAuPré&amp;$BB289,Règles_bovins[Ration]&amp;Règles_bovins[Aliment],0))="s1",IF($BB289=Spécificité1Bovins,1)),
AND(INDEX(Règles_bovins[Specificite],MATCH(RationHivernaleBovinsAuPré&amp;$BB289,Règles_bovins[Ration]&amp;Règles_bovins[Aliment],0))="s2",IF($BB289=Spécificité2Bovins,1)),
INDEX(Règles_bovins[Specificite],MATCH(RationHivernaleBovinsAuPré&amp;$BB289,Règles_bovins[Ration]&amp;Règles_bovins[Aliment],0))="c"),
INDEX(Règles_bovins[Valeur 3-6],MATCH(RationHivernaleBovinsAuPré&amp;$BB289,Règles_bovins[Ration]&amp;Règles_bovins[Aliment],0)),0),0)*IF(SUM(TotalBovins_3_6moisAuPré)&gt;0,SUM(TotalBovins_3_6moisAuPré),SUM(TotalBovins_3_6mois))*35</f>
        <v>0</v>
      </c>
      <c r="BI289" s="350">
        <f t="array" ref="BI289">IFERROR(IF(OR(AND(INDEX(Règles_bovins[Specificite],MATCH(RationHivernaleBovinsAuPré&amp;$BB289,Règles_bovins[Ration]&amp;Règles_bovins[Aliment],0))="s1",IF($BB289=Spécificité1Bovins,1)),
AND(INDEX(Règles_bovins[Specificite],MATCH(RationHivernaleBovinsAuPré&amp;$BB289,Règles_bovins[Ration]&amp;Règles_bovins[Aliment],0))="s2",IF($BB289=Spécificité2Bovins,1)),
INDEX(Règles_bovins[Specificite],MATCH(RationHivernaleBovinsAuPré&amp;$BB289,Règles_bovins[Ration]&amp;Règles_bovins[Aliment],0))="c"),
INDEX(Règles_bovins[Valeur 0-3],MATCH(RationHivernaleBovinsAuPré&amp;$BB289,Règles_bovins[Ration]&amp;Règles_bovins[Aliment],0)),0),0)*IF(SUM(TotalBovins_0_3moisAuPré)&gt;0,SUM(TotalBovins_0_3moisAuPré),SUM(TotalBovins_0_3mois))*35</f>
        <v>0</v>
      </c>
      <c r="BJ289" s="352">
        <f t="shared" si="71"/>
        <v>0</v>
      </c>
      <c r="CI289" s="277"/>
      <c r="DN289" s="421" t="s">
        <v>973</v>
      </c>
      <c r="DO289" s="446">
        <f>IF(AND(OR(ChoixOvinsPréHiver=NON,ChoixOvinsPréHiver=""),ChoixPaillageOvins=OUI),SUBTOTAL(109,LitièreOvins[litière tout ovins]),0)</f>
        <v>0</v>
      </c>
      <c r="DP289" s="422">
        <f>IF(AND(ChoixOvinsPréHiver=OUI,ChoixPaillageOvins=OUI),SUBTOTAL(109,LitièreOvins[litière ovins races laitières]),0)</f>
        <v>0</v>
      </c>
      <c r="DS289" s="276"/>
      <c r="GG289" s="276" t="s">
        <v>955</v>
      </c>
      <c r="GH289" s="276" t="s">
        <v>955</v>
      </c>
      <c r="GI289" s="276" t="s">
        <v>955</v>
      </c>
      <c r="GJ289" s="276" t="s">
        <v>955</v>
      </c>
      <c r="GK289" s="276" t="s">
        <v>955</v>
      </c>
      <c r="GL289" s="276" t="s">
        <v>955</v>
      </c>
      <c r="GM289" s="276" t="s">
        <v>955</v>
      </c>
      <c r="GN289" s="276" t="s">
        <v>955</v>
      </c>
      <c r="GO289" s="276" t="s">
        <v>955</v>
      </c>
      <c r="GP289" s="276" t="s">
        <v>955</v>
      </c>
      <c r="GQ289" s="276" t="s">
        <v>955</v>
      </c>
      <c r="GR289" s="276" t="s">
        <v>955</v>
      </c>
      <c r="GS289" s="276" t="s">
        <v>955</v>
      </c>
      <c r="GT289" s="276" t="s">
        <v>955</v>
      </c>
      <c r="GU289" s="276" t="s">
        <v>955</v>
      </c>
      <c r="GV289" s="276" t="s">
        <v>955</v>
      </c>
    </row>
    <row r="290" spans="1:204" ht="12.75" customHeight="1" x14ac:dyDescent="0.2">
      <c r="A290" s="276"/>
      <c r="B290" s="276"/>
      <c r="BB290" s="350" t="str">
        <f t="shared" si="72"/>
        <v>Colza</v>
      </c>
      <c r="BC290" s="350">
        <f t="array" ref="BC290">IFERROR(IF(OR(AND(INDEX(Règles_bovins[Specificite],MATCH(RationHivernaleBovinsAuPré&amp;$BB290,Règles_bovins[Ration]&amp;Règles_bovins[Aliment],0))="s1",IF($BB290=Spécificité1Bovins,1)),
AND(INDEX(Règles_bovins[Specificite],MATCH(RationHivernaleBovinsAuPré&amp;$BB290,Règles_bovins[Ration]&amp;Règles_bovins[Aliment],0))="s2",IF($BB290=Spécificité2Bovins,1)),
INDEX(Règles_bovins[Specificite],MATCH(RationHivernaleBovinsAuPré&amp;$BB290,Règles_bovins[Ration]&amp;Règles_bovins[Aliment],0))="c"),
INDEX(Règles_bovins[Valeur 36 et plus],MATCH(RationHivernaleBovinsAuPré&amp;$BB290,Règles_bovins[Ration]&amp;Règles_bovins[Aliment],0)),0),0)*IF(SUM(TotalBovinsAdultesAuPré)&gt;0,SUM(TotalBovinsAdultesAuPré),SUM(TotalBovinsAdultes))*35</f>
        <v>0</v>
      </c>
      <c r="BD290" s="350">
        <f t="array" ref="BD290">IFERROR(IF(OR(AND(INDEX(Règles_bovins[Specificite],MATCH(RationHivernaleBovinsAuPré&amp;$BB290,Règles_bovins[Ration]&amp;Règles_bovins[Aliment],0))="s1",IF($BB290=Spécificité1Bovins,1)),
AND(INDEX(Règles_bovins[Specificite],MATCH(RationHivernaleBovinsAuPré&amp;$BB290,Règles_bovins[Ration]&amp;Règles_bovins[Aliment],0))="s2",IF($BB290=Spécificité2Bovins,1)),
INDEX(Règles_bovins[Specificite],MATCH(RationHivernaleBovinsAuPré&amp;$BB290,Règles_bovins[Ration]&amp;Règles_bovins[Aliment],0))="c"),
INDEX(Règles_bovins[Valeur 24-36],MATCH(RationHivernaleBovinsAuPré&amp;$BB290,Règles_bovins[Ration]&amp;Règles_bovins[Aliment],0)),0),0)*IF(SUM(TotalBovins_24_36moisAuPré)&gt;0,SUM(TotalBovins_24_36moisAuPré),SUM(TotalBovins_24_36mois))*35</f>
        <v>0</v>
      </c>
      <c r="BE290" s="350">
        <f t="array" ref="BE290">IFERROR(IF(OR(AND(INDEX(Règles_bovins[Specificite],MATCH(RationHivernaleBovinsAuPré&amp;$BB290,Règles_bovins[Ration]&amp;Règles_bovins[Aliment],0))="s1",IF($BB290=Spécificité1Bovins,1)),
AND(INDEX(Règles_bovins[Specificite],MATCH(RationHivernaleBovinsAuPré&amp;$BB290,Règles_bovins[Ration]&amp;Règles_bovins[Aliment],0))="s2",IF($BB290=Spécificité2Bovins,1)),
INDEX(Règles_bovins[Specificite],MATCH(RationHivernaleBovinsAuPré&amp;$BB290,Règles_bovins[Ration]&amp;Règles_bovins[Aliment],0))="c"),
INDEX(Règles_bovins[Valeur 18-24],MATCH(RationHivernaleBovinsAuPré&amp;$BB290,Règles_bovins[Ration]&amp;Règles_bovins[Aliment],0)),0),0)*IF(SUM(TotalBovins_18_24moisAuPré)&gt;0,SUM(TotalBovins_18_24moisAuPré),SUM(TotalBovins_18_24mois))*35</f>
        <v>0</v>
      </c>
      <c r="BF290" s="350">
        <f t="array" ref="BF290">IFERROR(IF(OR(AND(INDEX(Règles_bovins[Specificite],MATCH(RationHivernaleBovinsAuPré&amp;$BB290,Règles_bovins[Ration]&amp;Règles_bovins[Aliment],0))="s1",IF($BB290=Spécificité1Bovins,1)),
AND(INDEX(Règles_bovins[Specificite],MATCH(RationHivernaleBovinsAuPré&amp;$BB290,Règles_bovins[Ration]&amp;Règles_bovins[Aliment],0))="s2",IF($BB290=Spécificité2Bovins,1)),
INDEX(Règles_bovins[Specificite],MATCH(RationHivernaleBovinsAuPré&amp;$BB290,Règles_bovins[Ration]&amp;Règles_bovins[Aliment],0))="c"),
INDEX(Règles_bovins[Valeur 12-18],MATCH(RationHivernaleBovinsAuPré&amp;$BB290,Règles_bovins[Ration]&amp;Règles_bovins[Aliment],0)),0),0)*IF(SUM(TotalBovins_12_18moisAuPré)&gt;0,SUM(TotalBovins_12_18moisAuPré),SUM(TotalBovins_12_18mois))*35</f>
        <v>0</v>
      </c>
      <c r="BG290" s="350">
        <f t="array" ref="BG290">IFERROR(IF(OR(AND(INDEX(Règles_bovins[Specificite],MATCH(RationHivernaleBovinsAuPré&amp;$BB290,Règles_bovins[Ration]&amp;Règles_bovins[Aliment],0))="s1",IF($BB290=Spécificité1Bovins,1)),
AND(INDEX(Règles_bovins[Specificite],MATCH(RationHivernaleBovinsAuPré&amp;$BB290,Règles_bovins[Ration]&amp;Règles_bovins[Aliment],0))="s2",IF($BB290=Spécificité2Bovins,1)),
INDEX(Règles_bovins[Specificite],MATCH(RationHivernaleBovinsAuPré&amp;$BB290,Règles_bovins[Ration]&amp;Règles_bovins[Aliment],0))="c"),
INDEX(Règles_bovins[Valeur 6-12],MATCH(RationHivernaleBovinsAuPré&amp;$BB290,Règles_bovins[Ration]&amp;Règles_bovins[Aliment],0)),0),0)*IF(SUM(TotalBovins_6_12moisAuPré)&gt;0,SUM(TotalBovins_6_12moisAuPré),SUM(TotalBovins_6_12mois))*35</f>
        <v>0</v>
      </c>
      <c r="BH290" s="350">
        <f t="array" ref="BH290">IFERROR(IF(OR(AND(INDEX(Règles_bovins[Specificite],MATCH(RationHivernaleBovinsAuPré&amp;$BB290,Règles_bovins[Ration]&amp;Règles_bovins[Aliment],0))="s1",IF($BB290=Spécificité1Bovins,1)),
AND(INDEX(Règles_bovins[Specificite],MATCH(RationHivernaleBovinsAuPré&amp;$BB290,Règles_bovins[Ration]&amp;Règles_bovins[Aliment],0))="s2",IF($BB290=Spécificité2Bovins,1)),
INDEX(Règles_bovins[Specificite],MATCH(RationHivernaleBovinsAuPré&amp;$BB290,Règles_bovins[Ration]&amp;Règles_bovins[Aliment],0))="c"),
INDEX(Règles_bovins[Valeur 3-6],MATCH(RationHivernaleBovinsAuPré&amp;$BB290,Règles_bovins[Ration]&amp;Règles_bovins[Aliment],0)),0),0)*IF(SUM(TotalBovins_3_6moisAuPré)&gt;0,SUM(TotalBovins_3_6moisAuPré),SUM(TotalBovins_3_6mois))*35</f>
        <v>0</v>
      </c>
      <c r="BI290" s="350">
        <f t="array" ref="BI290">IFERROR(IF(OR(AND(INDEX(Règles_bovins[Specificite],MATCH(RationHivernaleBovinsAuPré&amp;$BB290,Règles_bovins[Ration]&amp;Règles_bovins[Aliment],0))="s1",IF($BB290=Spécificité1Bovins,1)),
AND(INDEX(Règles_bovins[Specificite],MATCH(RationHivernaleBovinsAuPré&amp;$BB290,Règles_bovins[Ration]&amp;Règles_bovins[Aliment],0))="s2",IF($BB290=Spécificité2Bovins,1)),
INDEX(Règles_bovins[Specificite],MATCH(RationHivernaleBovinsAuPré&amp;$BB290,Règles_bovins[Ration]&amp;Règles_bovins[Aliment],0))="c"),
INDEX(Règles_bovins[Valeur 0-3],MATCH(RationHivernaleBovinsAuPré&amp;$BB290,Règles_bovins[Ration]&amp;Règles_bovins[Aliment],0)),0),0)*IF(SUM(TotalBovins_0_3moisAuPré)&gt;0,SUM(TotalBovins_0_3moisAuPré),SUM(TotalBovins_0_3mois))*35</f>
        <v>0</v>
      </c>
      <c r="BJ290" s="352">
        <f t="shared" si="71"/>
        <v>0</v>
      </c>
      <c r="CI290" s="277"/>
      <c r="DS290" s="276"/>
      <c r="GG290" s="276" t="s">
        <v>955</v>
      </c>
      <c r="GH290" s="276" t="s">
        <v>955</v>
      </c>
      <c r="GI290" s="276" t="s">
        <v>955</v>
      </c>
      <c r="GJ290" s="276" t="s">
        <v>955</v>
      </c>
      <c r="GK290" s="276" t="s">
        <v>955</v>
      </c>
      <c r="GL290" s="276" t="s">
        <v>955</v>
      </c>
      <c r="GM290" s="276" t="s">
        <v>955</v>
      </c>
      <c r="GN290" s="276" t="s">
        <v>955</v>
      </c>
      <c r="GO290" s="276" t="s">
        <v>955</v>
      </c>
      <c r="GP290" s="276" t="s">
        <v>955</v>
      </c>
      <c r="GQ290" s="276" t="s">
        <v>955</v>
      </c>
      <c r="GR290" s="276" t="s">
        <v>955</v>
      </c>
      <c r="GS290" s="276" t="s">
        <v>955</v>
      </c>
      <c r="GT290" s="276" t="s">
        <v>955</v>
      </c>
      <c r="GU290" s="276" t="s">
        <v>955</v>
      </c>
      <c r="GV290" s="276" t="s">
        <v>955</v>
      </c>
    </row>
    <row r="291" spans="1:204" ht="12.75" customHeight="1" x14ac:dyDescent="0.2">
      <c r="A291" s="276"/>
      <c r="B291" s="276"/>
      <c r="BB291" s="350" t="str">
        <f t="shared" si="72"/>
        <v>concentré jeunes bovins</v>
      </c>
      <c r="BC291" s="350">
        <f t="array" ref="BC291">IFERROR(IF(OR(AND(INDEX(Règles_bovins[Specificite],MATCH(RationHivernaleBovinsAuPré&amp;$BB291,Règles_bovins[Ration]&amp;Règles_bovins[Aliment],0))="s1",IF($BB291=Spécificité1Bovins,1)),
AND(INDEX(Règles_bovins[Specificite],MATCH(RationHivernaleBovinsAuPré&amp;$BB291,Règles_bovins[Ration]&amp;Règles_bovins[Aliment],0))="s2",IF($BB291=Spécificité2Bovins,1)),
INDEX(Règles_bovins[Specificite],MATCH(RationHivernaleBovinsAuPré&amp;$BB291,Règles_bovins[Ration]&amp;Règles_bovins[Aliment],0))="c"),
INDEX(Règles_bovins[Valeur 36 et plus],MATCH(RationHivernaleBovinsAuPré&amp;$BB291,Règles_bovins[Ration]&amp;Règles_bovins[Aliment],0)),0),0)*IF(SUM(TotalBovinsAdultesAuPré)&gt;0,SUM(TotalBovinsAdultesAuPré),SUM(TotalBovinsAdultes))*35</f>
        <v>0</v>
      </c>
      <c r="BD291" s="350">
        <f t="array" ref="BD291">IFERROR(IF(OR(AND(INDEX(Règles_bovins[Specificite],MATCH(RationHivernaleBovinsAuPré&amp;$BB291,Règles_bovins[Ration]&amp;Règles_bovins[Aliment],0))="s1",IF($BB291=Spécificité1Bovins,1)),
AND(INDEX(Règles_bovins[Specificite],MATCH(RationHivernaleBovinsAuPré&amp;$BB291,Règles_bovins[Ration]&amp;Règles_bovins[Aliment],0))="s2",IF($BB291=Spécificité2Bovins,1)),
INDEX(Règles_bovins[Specificite],MATCH(RationHivernaleBovinsAuPré&amp;$BB291,Règles_bovins[Ration]&amp;Règles_bovins[Aliment],0))="c"),
INDEX(Règles_bovins[Valeur 24-36],MATCH(RationHivernaleBovinsAuPré&amp;$BB291,Règles_bovins[Ration]&amp;Règles_bovins[Aliment],0)),0),0)*IF(SUM(TotalBovins_24_36moisAuPré)&gt;0,SUM(TotalBovins_24_36moisAuPré),SUM(TotalBovins_24_36mois))*35</f>
        <v>0</v>
      </c>
      <c r="BE291" s="350">
        <f t="array" ref="BE291">IFERROR(IF(OR(AND(INDEX(Règles_bovins[Specificite],MATCH(RationHivernaleBovinsAuPré&amp;$BB291,Règles_bovins[Ration]&amp;Règles_bovins[Aliment],0))="s1",IF($BB291=Spécificité1Bovins,1)),
AND(INDEX(Règles_bovins[Specificite],MATCH(RationHivernaleBovinsAuPré&amp;$BB291,Règles_bovins[Ration]&amp;Règles_bovins[Aliment],0))="s2",IF($BB291=Spécificité2Bovins,1)),
INDEX(Règles_bovins[Specificite],MATCH(RationHivernaleBovinsAuPré&amp;$BB291,Règles_bovins[Ration]&amp;Règles_bovins[Aliment],0))="c"),
INDEX(Règles_bovins[Valeur 18-24],MATCH(RationHivernaleBovinsAuPré&amp;$BB291,Règles_bovins[Ration]&amp;Règles_bovins[Aliment],0)),0),0)*IF(SUM(TotalBovins_18_24moisAuPré)&gt;0,SUM(TotalBovins_18_24moisAuPré),SUM(TotalBovins_18_24mois))*35</f>
        <v>0</v>
      </c>
      <c r="BF291" s="350">
        <f t="array" ref="BF291">IFERROR(IF(OR(AND(INDEX(Règles_bovins[Specificite],MATCH(RationHivernaleBovinsAuPré&amp;$BB291,Règles_bovins[Ration]&amp;Règles_bovins[Aliment],0))="s1",IF($BB291=Spécificité1Bovins,1)),
AND(INDEX(Règles_bovins[Specificite],MATCH(RationHivernaleBovinsAuPré&amp;$BB291,Règles_bovins[Ration]&amp;Règles_bovins[Aliment],0))="s2",IF($BB291=Spécificité2Bovins,1)),
INDEX(Règles_bovins[Specificite],MATCH(RationHivernaleBovinsAuPré&amp;$BB291,Règles_bovins[Ration]&amp;Règles_bovins[Aliment],0))="c"),
INDEX(Règles_bovins[Valeur 12-18],MATCH(RationHivernaleBovinsAuPré&amp;$BB291,Règles_bovins[Ration]&amp;Règles_bovins[Aliment],0)),0),0)*IF(SUM(TotalBovins_12_18moisAuPré)&gt;0,SUM(TotalBovins_12_18moisAuPré),SUM(TotalBovins_12_18mois))*35</f>
        <v>0</v>
      </c>
      <c r="BG291" s="350">
        <f t="array" ref="BG291">IFERROR(IF(OR(AND(INDEX(Règles_bovins[Specificite],MATCH(RationHivernaleBovinsAuPré&amp;$BB291,Règles_bovins[Ration]&amp;Règles_bovins[Aliment],0))="s1",IF($BB291=Spécificité1Bovins,1)),
AND(INDEX(Règles_bovins[Specificite],MATCH(RationHivernaleBovinsAuPré&amp;$BB291,Règles_bovins[Ration]&amp;Règles_bovins[Aliment],0))="s2",IF($BB291=Spécificité2Bovins,1)),
INDEX(Règles_bovins[Specificite],MATCH(RationHivernaleBovinsAuPré&amp;$BB291,Règles_bovins[Ration]&amp;Règles_bovins[Aliment],0))="c"),
INDEX(Règles_bovins[Valeur 6-12],MATCH(RationHivernaleBovinsAuPré&amp;$BB291,Règles_bovins[Ration]&amp;Règles_bovins[Aliment],0)),0),0)*IF(SUM(TotalBovins_6_12moisAuPré)&gt;0,SUM(TotalBovins_6_12moisAuPré),SUM(TotalBovins_6_12mois))*35</f>
        <v>0</v>
      </c>
      <c r="BH291" s="350">
        <f t="array" ref="BH291">IFERROR(IF(OR(AND(INDEX(Règles_bovins[Specificite],MATCH(RationHivernaleBovinsAuPré&amp;$BB291,Règles_bovins[Ration]&amp;Règles_bovins[Aliment],0))="s1",IF($BB291=Spécificité1Bovins,1)),
AND(INDEX(Règles_bovins[Specificite],MATCH(RationHivernaleBovinsAuPré&amp;$BB291,Règles_bovins[Ration]&amp;Règles_bovins[Aliment],0))="s2",IF($BB291=Spécificité2Bovins,1)),
INDEX(Règles_bovins[Specificite],MATCH(RationHivernaleBovinsAuPré&amp;$BB291,Règles_bovins[Ration]&amp;Règles_bovins[Aliment],0))="c"),
INDEX(Règles_bovins[Valeur 3-6],MATCH(RationHivernaleBovinsAuPré&amp;$BB291,Règles_bovins[Ration]&amp;Règles_bovins[Aliment],0)),0),0)*IF(SUM(TotalBovins_3_6moisAuPré)&gt;0,SUM(TotalBovins_3_6moisAuPré),SUM(TotalBovins_3_6mois))*35</f>
        <v>0</v>
      </c>
      <c r="BI291" s="350">
        <f t="array" ref="BI291">IFERROR(IF(OR(AND(INDEX(Règles_bovins[Specificite],MATCH(RationHivernaleBovinsAuPré&amp;$BB291,Règles_bovins[Ration]&amp;Règles_bovins[Aliment],0))="s1",IF($BB291=Spécificité1Bovins,1)),
AND(INDEX(Règles_bovins[Specificite],MATCH(RationHivernaleBovinsAuPré&amp;$BB291,Règles_bovins[Ration]&amp;Règles_bovins[Aliment],0))="s2",IF($BB291=Spécificité2Bovins,1)),
INDEX(Règles_bovins[Specificite],MATCH(RationHivernaleBovinsAuPré&amp;$BB291,Règles_bovins[Ration]&amp;Règles_bovins[Aliment],0))="c"),
INDEX(Règles_bovins[Valeur 0-3],MATCH(RationHivernaleBovinsAuPré&amp;$BB291,Règles_bovins[Ration]&amp;Règles_bovins[Aliment],0)),0),0)*IF(SUM(TotalBovins_0_3moisAuPré)&gt;0,SUM(TotalBovins_0_3moisAuPré),SUM(TotalBovins_0_3mois))*35</f>
        <v>0</v>
      </c>
      <c r="BJ291" s="352">
        <f t="shared" si="71"/>
        <v>0</v>
      </c>
      <c r="CI291" s="277"/>
      <c r="DN291" s="229" t="s">
        <v>1195</v>
      </c>
      <c r="DO291" s="229"/>
      <c r="DP291" s="229"/>
      <c r="DQ291" s="229"/>
      <c r="DS291" s="276"/>
      <c r="GG291" s="276" t="s">
        <v>955</v>
      </c>
      <c r="GH291" s="276" t="s">
        <v>955</v>
      </c>
      <c r="GI291" s="276" t="s">
        <v>955</v>
      </c>
      <c r="GJ291" s="276" t="s">
        <v>955</v>
      </c>
      <c r="GK291" s="276" t="s">
        <v>955</v>
      </c>
      <c r="GL291" s="276" t="s">
        <v>955</v>
      </c>
      <c r="GM291" s="276" t="s">
        <v>955</v>
      </c>
      <c r="GN291" s="276" t="s">
        <v>955</v>
      </c>
      <c r="GO291" s="276" t="s">
        <v>955</v>
      </c>
      <c r="GP291" s="276" t="s">
        <v>955</v>
      </c>
      <c r="GQ291" s="276" t="s">
        <v>955</v>
      </c>
      <c r="GR291" s="276" t="s">
        <v>955</v>
      </c>
      <c r="GS291" s="276" t="s">
        <v>955</v>
      </c>
      <c r="GT291" s="276" t="s">
        <v>955</v>
      </c>
      <c r="GU291" s="276" t="s">
        <v>955</v>
      </c>
      <c r="GV291" s="276" t="s">
        <v>955</v>
      </c>
    </row>
    <row r="292" spans="1:204" ht="12.75" customHeight="1" x14ac:dyDescent="0.2">
      <c r="A292" s="276"/>
      <c r="B292" s="276"/>
      <c r="BB292" s="350" t="str">
        <f t="shared" si="72"/>
        <v>concentré jeunes lapins</v>
      </c>
      <c r="BC292" s="350">
        <f t="array" ref="BC292">IFERROR(IF(OR(AND(INDEX(Règles_bovins[Specificite],MATCH(RationHivernaleBovinsAuPré&amp;$BB292,Règles_bovins[Ration]&amp;Règles_bovins[Aliment],0))="s1",IF($BB292=Spécificité1Bovins,1)),
AND(INDEX(Règles_bovins[Specificite],MATCH(RationHivernaleBovinsAuPré&amp;$BB292,Règles_bovins[Ration]&amp;Règles_bovins[Aliment],0))="s2",IF($BB292=Spécificité2Bovins,1)),
INDEX(Règles_bovins[Specificite],MATCH(RationHivernaleBovinsAuPré&amp;$BB292,Règles_bovins[Ration]&amp;Règles_bovins[Aliment],0))="c"),
INDEX(Règles_bovins[Valeur 36 et plus],MATCH(RationHivernaleBovinsAuPré&amp;$BB292,Règles_bovins[Ration]&amp;Règles_bovins[Aliment],0)),0),0)*IF(SUM(TotalBovinsAdultesAuPré)&gt;0,SUM(TotalBovinsAdultesAuPré),SUM(TotalBovinsAdultes))*35</f>
        <v>0</v>
      </c>
      <c r="BD292" s="350">
        <f t="array" ref="BD292">IFERROR(IF(OR(AND(INDEX(Règles_bovins[Specificite],MATCH(RationHivernaleBovinsAuPré&amp;$BB292,Règles_bovins[Ration]&amp;Règles_bovins[Aliment],0))="s1",IF($BB292=Spécificité1Bovins,1)),
AND(INDEX(Règles_bovins[Specificite],MATCH(RationHivernaleBovinsAuPré&amp;$BB292,Règles_bovins[Ration]&amp;Règles_bovins[Aliment],0))="s2",IF($BB292=Spécificité2Bovins,1)),
INDEX(Règles_bovins[Specificite],MATCH(RationHivernaleBovinsAuPré&amp;$BB292,Règles_bovins[Ration]&amp;Règles_bovins[Aliment],0))="c"),
INDEX(Règles_bovins[Valeur 24-36],MATCH(RationHivernaleBovinsAuPré&amp;$BB292,Règles_bovins[Ration]&amp;Règles_bovins[Aliment],0)),0),0)*IF(SUM(TotalBovins_24_36moisAuPré)&gt;0,SUM(TotalBovins_24_36moisAuPré),SUM(TotalBovins_24_36mois))*35</f>
        <v>0</v>
      </c>
      <c r="BE292" s="350">
        <f t="array" ref="BE292">IFERROR(IF(OR(AND(INDEX(Règles_bovins[Specificite],MATCH(RationHivernaleBovinsAuPré&amp;$BB292,Règles_bovins[Ration]&amp;Règles_bovins[Aliment],0))="s1",IF($BB292=Spécificité1Bovins,1)),
AND(INDEX(Règles_bovins[Specificite],MATCH(RationHivernaleBovinsAuPré&amp;$BB292,Règles_bovins[Ration]&amp;Règles_bovins[Aliment],0))="s2",IF($BB292=Spécificité2Bovins,1)),
INDEX(Règles_bovins[Specificite],MATCH(RationHivernaleBovinsAuPré&amp;$BB292,Règles_bovins[Ration]&amp;Règles_bovins[Aliment],0))="c"),
INDEX(Règles_bovins[Valeur 18-24],MATCH(RationHivernaleBovinsAuPré&amp;$BB292,Règles_bovins[Ration]&amp;Règles_bovins[Aliment],0)),0),0)*IF(SUM(TotalBovins_18_24moisAuPré)&gt;0,SUM(TotalBovins_18_24moisAuPré),SUM(TotalBovins_18_24mois))*35</f>
        <v>0</v>
      </c>
      <c r="BF292" s="350">
        <f t="array" ref="BF292">IFERROR(IF(OR(AND(INDEX(Règles_bovins[Specificite],MATCH(RationHivernaleBovinsAuPré&amp;$BB292,Règles_bovins[Ration]&amp;Règles_bovins[Aliment],0))="s1",IF($BB292=Spécificité1Bovins,1)),
AND(INDEX(Règles_bovins[Specificite],MATCH(RationHivernaleBovinsAuPré&amp;$BB292,Règles_bovins[Ration]&amp;Règles_bovins[Aliment],0))="s2",IF($BB292=Spécificité2Bovins,1)),
INDEX(Règles_bovins[Specificite],MATCH(RationHivernaleBovinsAuPré&amp;$BB292,Règles_bovins[Ration]&amp;Règles_bovins[Aliment],0))="c"),
INDEX(Règles_bovins[Valeur 12-18],MATCH(RationHivernaleBovinsAuPré&amp;$BB292,Règles_bovins[Ration]&amp;Règles_bovins[Aliment],0)),0),0)*IF(SUM(TotalBovins_12_18moisAuPré)&gt;0,SUM(TotalBovins_12_18moisAuPré),SUM(TotalBovins_12_18mois))*35</f>
        <v>0</v>
      </c>
      <c r="BG292" s="350">
        <f t="array" ref="BG292">IFERROR(IF(OR(AND(INDEX(Règles_bovins[Specificite],MATCH(RationHivernaleBovinsAuPré&amp;$BB292,Règles_bovins[Ration]&amp;Règles_bovins[Aliment],0))="s1",IF($BB292=Spécificité1Bovins,1)),
AND(INDEX(Règles_bovins[Specificite],MATCH(RationHivernaleBovinsAuPré&amp;$BB292,Règles_bovins[Ration]&amp;Règles_bovins[Aliment],0))="s2",IF($BB292=Spécificité2Bovins,1)),
INDEX(Règles_bovins[Specificite],MATCH(RationHivernaleBovinsAuPré&amp;$BB292,Règles_bovins[Ration]&amp;Règles_bovins[Aliment],0))="c"),
INDEX(Règles_bovins[Valeur 6-12],MATCH(RationHivernaleBovinsAuPré&amp;$BB292,Règles_bovins[Ration]&amp;Règles_bovins[Aliment],0)),0),0)*IF(SUM(TotalBovins_6_12moisAuPré)&gt;0,SUM(TotalBovins_6_12moisAuPré),SUM(TotalBovins_6_12mois))*35</f>
        <v>0</v>
      </c>
      <c r="BH292" s="350">
        <f t="array" ref="BH292">IFERROR(IF(OR(AND(INDEX(Règles_bovins[Specificite],MATCH(RationHivernaleBovinsAuPré&amp;$BB292,Règles_bovins[Ration]&amp;Règles_bovins[Aliment],0))="s1",IF($BB292=Spécificité1Bovins,1)),
AND(INDEX(Règles_bovins[Specificite],MATCH(RationHivernaleBovinsAuPré&amp;$BB292,Règles_bovins[Ration]&amp;Règles_bovins[Aliment],0))="s2",IF($BB292=Spécificité2Bovins,1)),
INDEX(Règles_bovins[Specificite],MATCH(RationHivernaleBovinsAuPré&amp;$BB292,Règles_bovins[Ration]&amp;Règles_bovins[Aliment],0))="c"),
INDEX(Règles_bovins[Valeur 3-6],MATCH(RationHivernaleBovinsAuPré&amp;$BB292,Règles_bovins[Ration]&amp;Règles_bovins[Aliment],0)),0),0)*IF(SUM(TotalBovins_3_6moisAuPré)&gt;0,SUM(TotalBovins_3_6moisAuPré),SUM(TotalBovins_3_6mois))*35</f>
        <v>0</v>
      </c>
      <c r="BI292" s="350">
        <f t="array" ref="BI292">IFERROR(IF(OR(AND(INDEX(Règles_bovins[Specificite],MATCH(RationHivernaleBovinsAuPré&amp;$BB292,Règles_bovins[Ration]&amp;Règles_bovins[Aliment],0))="s1",IF($BB292=Spécificité1Bovins,1)),
AND(INDEX(Règles_bovins[Specificite],MATCH(RationHivernaleBovinsAuPré&amp;$BB292,Règles_bovins[Ration]&amp;Règles_bovins[Aliment],0))="s2",IF($BB292=Spécificité2Bovins,1)),
INDEX(Règles_bovins[Specificite],MATCH(RationHivernaleBovinsAuPré&amp;$BB292,Règles_bovins[Ration]&amp;Règles_bovins[Aliment],0))="c"),
INDEX(Règles_bovins[Valeur 0-3],MATCH(RationHivernaleBovinsAuPré&amp;$BB292,Règles_bovins[Ration]&amp;Règles_bovins[Aliment],0)),0),0)*IF(SUM(TotalBovins_0_3moisAuPré)&gt;0,SUM(TotalBovins_0_3moisAuPré),SUM(TotalBovins_0_3mois))*35</f>
        <v>0</v>
      </c>
      <c r="BJ292" s="352">
        <f t="shared" si="71"/>
        <v>0</v>
      </c>
      <c r="CI292" s="277"/>
      <c r="DN292" s="349" t="s">
        <v>910</v>
      </c>
      <c r="DO292" s="353" t="s">
        <v>1192</v>
      </c>
      <c r="DP292" s="353" t="s">
        <v>1193</v>
      </c>
      <c r="DQ292" s="353" t="s">
        <v>1194</v>
      </c>
      <c r="DS292" s="276"/>
      <c r="GG292" s="276" t="s">
        <v>955</v>
      </c>
      <c r="GH292" s="276" t="s">
        <v>955</v>
      </c>
      <c r="GI292" s="276" t="s">
        <v>955</v>
      </c>
      <c r="GJ292" s="276" t="s">
        <v>955</v>
      </c>
      <c r="GK292" s="276" t="s">
        <v>955</v>
      </c>
      <c r="GL292" s="276" t="s">
        <v>955</v>
      </c>
      <c r="GM292" s="276" t="s">
        <v>955</v>
      </c>
      <c r="GN292" s="276" t="s">
        <v>955</v>
      </c>
      <c r="GO292" s="276" t="s">
        <v>955</v>
      </c>
      <c r="GP292" s="276" t="s">
        <v>955</v>
      </c>
      <c r="GQ292" s="276" t="s">
        <v>955</v>
      </c>
      <c r="GR292" s="276" t="s">
        <v>955</v>
      </c>
      <c r="GS292" s="276" t="s">
        <v>955</v>
      </c>
      <c r="GT292" s="276" t="s">
        <v>955</v>
      </c>
      <c r="GU292" s="276" t="s">
        <v>955</v>
      </c>
      <c r="GV292" s="276" t="s">
        <v>955</v>
      </c>
    </row>
    <row r="293" spans="1:204" ht="12.75" customHeight="1" x14ac:dyDescent="0.2">
      <c r="A293" s="276"/>
      <c r="B293" s="276"/>
      <c r="BB293" s="350" t="str">
        <f t="shared" si="72"/>
        <v>concentré jeunes porcins</v>
      </c>
      <c r="BC293" s="350">
        <f t="array" ref="BC293">IFERROR(IF(OR(AND(INDEX(Règles_bovins[Specificite],MATCH(RationHivernaleBovinsAuPré&amp;$BB293,Règles_bovins[Ration]&amp;Règles_bovins[Aliment],0))="s1",IF($BB293=Spécificité1Bovins,1)),
AND(INDEX(Règles_bovins[Specificite],MATCH(RationHivernaleBovinsAuPré&amp;$BB293,Règles_bovins[Ration]&amp;Règles_bovins[Aliment],0))="s2",IF($BB293=Spécificité2Bovins,1)),
INDEX(Règles_bovins[Specificite],MATCH(RationHivernaleBovinsAuPré&amp;$BB293,Règles_bovins[Ration]&amp;Règles_bovins[Aliment],0))="c"),
INDEX(Règles_bovins[Valeur 36 et plus],MATCH(RationHivernaleBovinsAuPré&amp;$BB293,Règles_bovins[Ration]&amp;Règles_bovins[Aliment],0)),0),0)*IF(SUM(TotalBovinsAdultesAuPré)&gt;0,SUM(TotalBovinsAdultesAuPré),SUM(TotalBovinsAdultes))*35</f>
        <v>0</v>
      </c>
      <c r="BD293" s="350">
        <f t="array" ref="BD293">IFERROR(IF(OR(AND(INDEX(Règles_bovins[Specificite],MATCH(RationHivernaleBovinsAuPré&amp;$BB293,Règles_bovins[Ration]&amp;Règles_bovins[Aliment],0))="s1",IF($BB293=Spécificité1Bovins,1)),
AND(INDEX(Règles_bovins[Specificite],MATCH(RationHivernaleBovinsAuPré&amp;$BB293,Règles_bovins[Ration]&amp;Règles_bovins[Aliment],0))="s2",IF($BB293=Spécificité2Bovins,1)),
INDEX(Règles_bovins[Specificite],MATCH(RationHivernaleBovinsAuPré&amp;$BB293,Règles_bovins[Ration]&amp;Règles_bovins[Aliment],0))="c"),
INDEX(Règles_bovins[Valeur 24-36],MATCH(RationHivernaleBovinsAuPré&amp;$BB293,Règles_bovins[Ration]&amp;Règles_bovins[Aliment],0)),0),0)*IF(SUM(TotalBovins_24_36moisAuPré)&gt;0,SUM(TotalBovins_24_36moisAuPré),SUM(TotalBovins_24_36mois))*35</f>
        <v>0</v>
      </c>
      <c r="BE293" s="350">
        <f t="array" ref="BE293">IFERROR(IF(OR(AND(INDEX(Règles_bovins[Specificite],MATCH(RationHivernaleBovinsAuPré&amp;$BB293,Règles_bovins[Ration]&amp;Règles_bovins[Aliment],0))="s1",IF($BB293=Spécificité1Bovins,1)),
AND(INDEX(Règles_bovins[Specificite],MATCH(RationHivernaleBovinsAuPré&amp;$BB293,Règles_bovins[Ration]&amp;Règles_bovins[Aliment],0))="s2",IF($BB293=Spécificité2Bovins,1)),
INDEX(Règles_bovins[Specificite],MATCH(RationHivernaleBovinsAuPré&amp;$BB293,Règles_bovins[Ration]&amp;Règles_bovins[Aliment],0))="c"),
INDEX(Règles_bovins[Valeur 18-24],MATCH(RationHivernaleBovinsAuPré&amp;$BB293,Règles_bovins[Ration]&amp;Règles_bovins[Aliment],0)),0),0)*IF(SUM(TotalBovins_18_24moisAuPré)&gt;0,SUM(TotalBovins_18_24moisAuPré),SUM(TotalBovins_18_24mois))*35</f>
        <v>0</v>
      </c>
      <c r="BF293" s="350">
        <f t="array" ref="BF293">IFERROR(IF(OR(AND(INDEX(Règles_bovins[Specificite],MATCH(RationHivernaleBovinsAuPré&amp;$BB293,Règles_bovins[Ration]&amp;Règles_bovins[Aliment],0))="s1",IF($BB293=Spécificité1Bovins,1)),
AND(INDEX(Règles_bovins[Specificite],MATCH(RationHivernaleBovinsAuPré&amp;$BB293,Règles_bovins[Ration]&amp;Règles_bovins[Aliment],0))="s2",IF($BB293=Spécificité2Bovins,1)),
INDEX(Règles_bovins[Specificite],MATCH(RationHivernaleBovinsAuPré&amp;$BB293,Règles_bovins[Ration]&amp;Règles_bovins[Aliment],0))="c"),
INDEX(Règles_bovins[Valeur 12-18],MATCH(RationHivernaleBovinsAuPré&amp;$BB293,Règles_bovins[Ration]&amp;Règles_bovins[Aliment],0)),0),0)*IF(SUM(TotalBovins_12_18moisAuPré)&gt;0,SUM(TotalBovins_12_18moisAuPré),SUM(TotalBovins_12_18mois))*35</f>
        <v>0</v>
      </c>
      <c r="BG293" s="350">
        <f t="array" ref="BG293">IFERROR(IF(OR(AND(INDEX(Règles_bovins[Specificite],MATCH(RationHivernaleBovinsAuPré&amp;$BB293,Règles_bovins[Ration]&amp;Règles_bovins[Aliment],0))="s1",IF($BB293=Spécificité1Bovins,1)),
AND(INDEX(Règles_bovins[Specificite],MATCH(RationHivernaleBovinsAuPré&amp;$BB293,Règles_bovins[Ration]&amp;Règles_bovins[Aliment],0))="s2",IF($BB293=Spécificité2Bovins,1)),
INDEX(Règles_bovins[Specificite],MATCH(RationHivernaleBovinsAuPré&amp;$BB293,Règles_bovins[Ration]&amp;Règles_bovins[Aliment],0))="c"),
INDEX(Règles_bovins[Valeur 6-12],MATCH(RationHivernaleBovinsAuPré&amp;$BB293,Règles_bovins[Ration]&amp;Règles_bovins[Aliment],0)),0),0)*IF(SUM(TotalBovins_6_12moisAuPré)&gt;0,SUM(TotalBovins_6_12moisAuPré),SUM(TotalBovins_6_12mois))*35</f>
        <v>0</v>
      </c>
      <c r="BH293" s="350">
        <f t="array" ref="BH293">IFERROR(IF(OR(AND(INDEX(Règles_bovins[Specificite],MATCH(RationHivernaleBovinsAuPré&amp;$BB293,Règles_bovins[Ration]&amp;Règles_bovins[Aliment],0))="s1",IF($BB293=Spécificité1Bovins,1)),
AND(INDEX(Règles_bovins[Specificite],MATCH(RationHivernaleBovinsAuPré&amp;$BB293,Règles_bovins[Ration]&amp;Règles_bovins[Aliment],0))="s2",IF($BB293=Spécificité2Bovins,1)),
INDEX(Règles_bovins[Specificite],MATCH(RationHivernaleBovinsAuPré&amp;$BB293,Règles_bovins[Ration]&amp;Règles_bovins[Aliment],0))="c"),
INDEX(Règles_bovins[Valeur 3-6],MATCH(RationHivernaleBovinsAuPré&amp;$BB293,Règles_bovins[Ration]&amp;Règles_bovins[Aliment],0)),0),0)*IF(SUM(TotalBovins_3_6moisAuPré)&gt;0,SUM(TotalBovins_3_6moisAuPré),SUM(TotalBovins_3_6mois))*35</f>
        <v>0</v>
      </c>
      <c r="BI293" s="350">
        <f t="array" ref="BI293">IFERROR(IF(OR(AND(INDEX(Règles_bovins[Specificite],MATCH(RationHivernaleBovinsAuPré&amp;$BB293,Règles_bovins[Ration]&amp;Règles_bovins[Aliment],0))="s1",IF($BB293=Spécificité1Bovins,1)),
AND(INDEX(Règles_bovins[Specificite],MATCH(RationHivernaleBovinsAuPré&amp;$BB293,Règles_bovins[Ration]&amp;Règles_bovins[Aliment],0))="s2",IF($BB293=Spécificité2Bovins,1)),
INDEX(Règles_bovins[Specificite],MATCH(RationHivernaleBovinsAuPré&amp;$BB293,Règles_bovins[Ration]&amp;Règles_bovins[Aliment],0))="c"),
INDEX(Règles_bovins[Valeur 0-3],MATCH(RationHivernaleBovinsAuPré&amp;$BB293,Règles_bovins[Ration]&amp;Règles_bovins[Aliment],0)),0),0)*IF(SUM(TotalBovins_0_3moisAuPré)&gt;0,SUM(TotalBovins_0_3moisAuPré),SUM(TotalBovins_0_3mois))*35</f>
        <v>0</v>
      </c>
      <c r="BJ293" s="352">
        <f t="shared" si="71"/>
        <v>0</v>
      </c>
      <c r="CI293" s="277"/>
      <c r="DN293" s="350" t="str">
        <f>DN150</f>
        <v>Avoine</v>
      </c>
      <c r="DO293" s="351">
        <f t="array" ref="DO293">SUM((IF(QualitéAlimentsAgneauMâle_0_3_mois=BONNE,VLOOKUP("Avoine",AlimentsRationOvinsMâles,5,FALSE),0)+(IF(QualitéAlimentsAgneauFemelle_0_3_mois=BONNE,VLOOKUP("Avoine",AlimentsRationOvinsFemelles,5,FALSE),0)+(IF(QualitéAlimentsAgneauMâle_3_6_mois=BONNE,VLOOKUP("Avoine",AlimentsRationOvinsMâles,4,FALSE),0)+(IF(QualitéAlimentsAgneauFemelle_3_6_mois=BONNE,VLOOKUP("Avoine",AlimentsRationOvinsFemelles,4,FALSE),0)+(IF(QualitéAlimentsJeuneBélier=BONNE,VLOOKUP("Avoine",AlimentsRationOvinsMâles,3,FALSE),0)+(IF(QualitéAlimentsJeuneBrebis=BONNE,VLOOKUP("Avoine",AlimentsRationOvinsFemelles,3,FALSE),0)+(IF(QualitéAlimentsBélier=BONNE,VLOOKUP("Avoine",AlimentsRationOvinsMâles,2,FALSE),0)+(IF(QualitéAlimentsBrebis=BONNE,VLOOKUP("Avoine",AlimentsRationOvinsFemelles,2,FALSE),0))))))))))</f>
        <v>0</v>
      </c>
      <c r="DP293" s="351">
        <f t="array" ref="DP293">SUM((IF(QualitéAlimentsAgneauMâle_0_3_mois=MOYENNE,VLOOKUP("Avoine",AlimentsRationOvinsMâles,5,FALSE),0)+(IF(QualitéAlimentsAgneauFemelle_0_3_mois=MOYENNE,VLOOKUP("Avoine",AlimentsRationOvinsFemelles,5,FALSE),0)+(IF(QualitéAlimentsAgneauMâle_3_6_mois=MOYENNE,VLOOKUP("Avoine",AlimentsRationOvinsMâles,4,FALSE),0)+(IF(QualitéAlimentsAgneauFemelle_3_6_mois=MOYENNE,VLOOKUP("Avoine",AlimentsRationOvinsFemelles,4,FALSE),0)+(IF(QualitéAlimentsJeuneBélier=MOYENNE,VLOOKUP("Avoine",AlimentsRationOvinsMâles,3,FALSE),0)+(IF(QualitéAlimentsJeuneBrebis=MOYENNE,VLOOKUP("Avoine",AlimentsRationOvinsFemelles,3,FALSE),0)+(IF(QualitéAlimentsBélier=MOYENNE,VLOOKUP("Avoine",AlimentsRationOvinsMâles,2,FALSE),0)+(IF(QualitéAlimentsBrebis=MOYENNE,VLOOKUP("Avoine",AlimentsRationOvinsFemelles,2,FALSE),0))))))))))</f>
        <v>0</v>
      </c>
      <c r="DQ293" s="351">
        <f t="array" ref="DQ293">SUM((IF(QualitéAlimentsAgneauMâle_0_3_mois=MAUVAISE,VLOOKUP("Avoine",AlimentsRationOvinsMâles,5,FALSE),0)+(IF(QualitéAlimentsAgneauFemelle_0_3_mois=MAUVAISE,VLOOKUP("Avoine",AlimentsRationOvinsFemelles,5,FALSE),0)+(IF(QualitéAlimentsAgneauMâle_3_6_mois=MAUVAISE,VLOOKUP("Avoine",AlimentsRationOvinsMâles,4,FALSE),0)+(IF(QualitéAlimentsAgneauFemelle_3_6_mois=MAUVAISE,VLOOKUP("Avoine",AlimentsRationOvinsFemelles,4,FALSE),0)+(IF(QualitéAlimentsJeuneBélier=MAUVAISE,VLOOKUP("Avoine",AlimentsRationOvinsMâles,3,FALSE),0)+(IF(QualitéAlimentsJeuneBrebis=MAUVAISE,VLOOKUP("Avoine",AlimentsRationOvinsFemelles,3,FALSE),0)+(IF(QualitéAlimentsBélier=MAUVAISE,VLOOKUP("Avoine",AlimentsRationOvinsMâles,2,FALSE),0)+(IF(QualitéAlimentsBrebis=MAUVAISE,VLOOKUP("Avoine",AlimentsRationOvinsFemelles,2,FALSE),0))))))))))</f>
        <v>0</v>
      </c>
      <c r="DS293" s="276"/>
      <c r="GG293" s="276" t="s">
        <v>955</v>
      </c>
      <c r="GH293" s="276" t="s">
        <v>955</v>
      </c>
      <c r="GI293" s="276" t="s">
        <v>955</v>
      </c>
      <c r="GJ293" s="276" t="s">
        <v>955</v>
      </c>
      <c r="GK293" s="276" t="s">
        <v>955</v>
      </c>
      <c r="GL293" s="276" t="s">
        <v>955</v>
      </c>
      <c r="GM293" s="276" t="s">
        <v>955</v>
      </c>
      <c r="GN293" s="276" t="s">
        <v>955</v>
      </c>
      <c r="GO293" s="276" t="s">
        <v>955</v>
      </c>
      <c r="GP293" s="276" t="s">
        <v>955</v>
      </c>
      <c r="GQ293" s="276" t="s">
        <v>955</v>
      </c>
      <c r="GR293" s="276" t="s">
        <v>955</v>
      </c>
      <c r="GS293" s="276" t="s">
        <v>955</v>
      </c>
      <c r="GT293" s="276" t="s">
        <v>955</v>
      </c>
      <c r="GU293" s="276" t="s">
        <v>955</v>
      </c>
      <c r="GV293" s="276" t="s">
        <v>955</v>
      </c>
    </row>
    <row r="294" spans="1:204" ht="12.75" customHeight="1" x14ac:dyDescent="0.2">
      <c r="A294" s="276"/>
      <c r="B294" s="276"/>
      <c r="BB294" s="350" t="str">
        <f t="shared" si="72"/>
        <v>Ensilage d'herbe</v>
      </c>
      <c r="BC294" s="350">
        <f t="array" ref="BC294">IFERROR(IF(OR(AND(INDEX(Règles_bovins[Specificite],MATCH(RationHivernaleBovinsAuPré&amp;$BB294,Règles_bovins[Ration]&amp;Règles_bovins[Aliment],0))="s1",IF($BB294=Spécificité1Bovins,1)),
AND(INDEX(Règles_bovins[Specificite],MATCH(RationHivernaleBovinsAuPré&amp;$BB294,Règles_bovins[Ration]&amp;Règles_bovins[Aliment],0))="s2",IF($BB294=Spécificité2Bovins,1)),
INDEX(Règles_bovins[Specificite],MATCH(RationHivernaleBovinsAuPré&amp;$BB294,Règles_bovins[Ration]&amp;Règles_bovins[Aliment],0))="c"),
INDEX(Règles_bovins[Valeur 36 et plus],MATCH(RationHivernaleBovinsAuPré&amp;$BB294,Règles_bovins[Ration]&amp;Règles_bovins[Aliment],0)),0),0)*IF(SUM(TotalBovinsAdultesAuPré)&gt;0,SUM(TotalBovinsAdultesAuPré),SUM(TotalBovinsAdultes))*35</f>
        <v>0</v>
      </c>
      <c r="BD294" s="350">
        <f t="array" ref="BD294">IFERROR(IF(OR(AND(INDEX(Règles_bovins[Specificite],MATCH(RationHivernaleBovinsAuPré&amp;$BB294,Règles_bovins[Ration]&amp;Règles_bovins[Aliment],0))="s1",IF($BB294=Spécificité1Bovins,1)),
AND(INDEX(Règles_bovins[Specificite],MATCH(RationHivernaleBovinsAuPré&amp;$BB294,Règles_bovins[Ration]&amp;Règles_bovins[Aliment],0))="s2",IF($BB294=Spécificité2Bovins,1)),
INDEX(Règles_bovins[Specificite],MATCH(RationHivernaleBovinsAuPré&amp;$BB294,Règles_bovins[Ration]&amp;Règles_bovins[Aliment],0))="c"),
INDEX(Règles_bovins[Valeur 24-36],MATCH(RationHivernaleBovinsAuPré&amp;$BB294,Règles_bovins[Ration]&amp;Règles_bovins[Aliment],0)),0),0)*IF(SUM(TotalBovins_24_36moisAuPré)&gt;0,SUM(TotalBovins_24_36moisAuPré),SUM(TotalBovins_24_36mois))*35</f>
        <v>0</v>
      </c>
      <c r="BE294" s="350">
        <f t="array" ref="BE294">IFERROR(IF(OR(AND(INDEX(Règles_bovins[Specificite],MATCH(RationHivernaleBovinsAuPré&amp;$BB294,Règles_bovins[Ration]&amp;Règles_bovins[Aliment],0))="s1",IF($BB294=Spécificité1Bovins,1)),
AND(INDEX(Règles_bovins[Specificite],MATCH(RationHivernaleBovinsAuPré&amp;$BB294,Règles_bovins[Ration]&amp;Règles_bovins[Aliment],0))="s2",IF($BB294=Spécificité2Bovins,1)),
INDEX(Règles_bovins[Specificite],MATCH(RationHivernaleBovinsAuPré&amp;$BB294,Règles_bovins[Ration]&amp;Règles_bovins[Aliment],0))="c"),
INDEX(Règles_bovins[Valeur 18-24],MATCH(RationHivernaleBovinsAuPré&amp;$BB294,Règles_bovins[Ration]&amp;Règles_bovins[Aliment],0)),0),0)*IF(SUM(TotalBovins_18_24moisAuPré)&gt;0,SUM(TotalBovins_18_24moisAuPré),SUM(TotalBovins_18_24mois))*35</f>
        <v>0</v>
      </c>
      <c r="BF294" s="350">
        <f t="array" ref="BF294">IFERROR(IF(OR(AND(INDEX(Règles_bovins[Specificite],MATCH(RationHivernaleBovinsAuPré&amp;$BB294,Règles_bovins[Ration]&amp;Règles_bovins[Aliment],0))="s1",IF($BB294=Spécificité1Bovins,1)),
AND(INDEX(Règles_bovins[Specificite],MATCH(RationHivernaleBovinsAuPré&amp;$BB294,Règles_bovins[Ration]&amp;Règles_bovins[Aliment],0))="s2",IF($BB294=Spécificité2Bovins,1)),
INDEX(Règles_bovins[Specificite],MATCH(RationHivernaleBovinsAuPré&amp;$BB294,Règles_bovins[Ration]&amp;Règles_bovins[Aliment],0))="c"),
INDEX(Règles_bovins[Valeur 12-18],MATCH(RationHivernaleBovinsAuPré&amp;$BB294,Règles_bovins[Ration]&amp;Règles_bovins[Aliment],0)),0),0)*IF(SUM(TotalBovins_12_18moisAuPré)&gt;0,SUM(TotalBovins_12_18moisAuPré),SUM(TotalBovins_12_18mois))*35</f>
        <v>0</v>
      </c>
      <c r="BG294" s="350">
        <f t="array" ref="BG294">IFERROR(IF(OR(AND(INDEX(Règles_bovins[Specificite],MATCH(RationHivernaleBovinsAuPré&amp;$BB294,Règles_bovins[Ration]&amp;Règles_bovins[Aliment],0))="s1",IF($BB294=Spécificité1Bovins,1)),
AND(INDEX(Règles_bovins[Specificite],MATCH(RationHivernaleBovinsAuPré&amp;$BB294,Règles_bovins[Ration]&amp;Règles_bovins[Aliment],0))="s2",IF($BB294=Spécificité2Bovins,1)),
INDEX(Règles_bovins[Specificite],MATCH(RationHivernaleBovinsAuPré&amp;$BB294,Règles_bovins[Ration]&amp;Règles_bovins[Aliment],0))="c"),
INDEX(Règles_bovins[Valeur 6-12],MATCH(RationHivernaleBovinsAuPré&amp;$BB294,Règles_bovins[Ration]&amp;Règles_bovins[Aliment],0)),0),0)*IF(SUM(TotalBovins_6_12moisAuPré)&gt;0,SUM(TotalBovins_6_12moisAuPré),SUM(TotalBovins_6_12mois))*35</f>
        <v>0</v>
      </c>
      <c r="BH294" s="350">
        <f t="array" ref="BH294">IFERROR(IF(OR(AND(INDEX(Règles_bovins[Specificite],MATCH(RationHivernaleBovinsAuPré&amp;$BB294,Règles_bovins[Ration]&amp;Règles_bovins[Aliment],0))="s1",IF($BB294=Spécificité1Bovins,1)),
AND(INDEX(Règles_bovins[Specificite],MATCH(RationHivernaleBovinsAuPré&amp;$BB294,Règles_bovins[Ration]&amp;Règles_bovins[Aliment],0))="s2",IF($BB294=Spécificité2Bovins,1)),
INDEX(Règles_bovins[Specificite],MATCH(RationHivernaleBovinsAuPré&amp;$BB294,Règles_bovins[Ration]&amp;Règles_bovins[Aliment],0))="c"),
INDEX(Règles_bovins[Valeur 3-6],MATCH(RationHivernaleBovinsAuPré&amp;$BB294,Règles_bovins[Ration]&amp;Règles_bovins[Aliment],0)),0),0)*IF(SUM(TotalBovins_3_6moisAuPré)&gt;0,SUM(TotalBovins_3_6moisAuPré),SUM(TotalBovins_3_6mois))*35</f>
        <v>0</v>
      </c>
      <c r="BI294" s="350">
        <f t="array" ref="BI294">IFERROR(IF(OR(AND(INDEX(Règles_bovins[Specificite],MATCH(RationHivernaleBovinsAuPré&amp;$BB294,Règles_bovins[Ration]&amp;Règles_bovins[Aliment],0))="s1",IF($BB294=Spécificité1Bovins,1)),
AND(INDEX(Règles_bovins[Specificite],MATCH(RationHivernaleBovinsAuPré&amp;$BB294,Règles_bovins[Ration]&amp;Règles_bovins[Aliment],0))="s2",IF($BB294=Spécificité2Bovins,1)),
INDEX(Règles_bovins[Specificite],MATCH(RationHivernaleBovinsAuPré&amp;$BB294,Règles_bovins[Ration]&amp;Règles_bovins[Aliment],0))="c"),
INDEX(Règles_bovins[Valeur 0-3],MATCH(RationHivernaleBovinsAuPré&amp;$BB294,Règles_bovins[Ration]&amp;Règles_bovins[Aliment],0)),0),0)*IF(SUM(TotalBovins_0_3moisAuPré)&gt;0,SUM(TotalBovins_0_3moisAuPré),SUM(TotalBovins_0_3mois))*35</f>
        <v>0</v>
      </c>
      <c r="BJ294" s="352">
        <f t="shared" si="71"/>
        <v>0</v>
      </c>
      <c r="CI294" s="277"/>
      <c r="DN294" s="350" t="str">
        <f t="shared" ref="DN294:DN331" si="73">DN151</f>
        <v>Betterave</v>
      </c>
      <c r="DO294" s="351">
        <f t="array" ref="DO294">SUM((IF(QualitéAlimentsAgneauMâle_0_3_mois=BONNE,VLOOKUP("Betterave",AlimentsRationOvinsMâles,5,FALSE),0)+(IF(QualitéAlimentsAgneauFemelle_0_3_mois=BONNE,VLOOKUP("Betterave",AlimentsRationOvinsFemelles,5,FALSE),0)+(IF(QualitéAlimentsAgneauMâle_3_6_mois=BONNE,VLOOKUP("Betterave",AlimentsRationOvinsMâles,4,FALSE),0)+(IF(QualitéAlimentsAgneauFemelle_3_6_mois=BONNE,VLOOKUP("Betterave",AlimentsRationOvinsFemelles,4,FALSE),0)+(IF(QualitéAlimentsJeuneBélier=BONNE,VLOOKUP("Betterave",AlimentsRationOvinsMâles,3,FALSE),0)+(IF(QualitéAlimentsJeuneBrebis=BONNE,VLOOKUP("Betterave",AlimentsRationOvinsFemelles,3,FALSE),0)+(IF(QualitéAlimentsBélier=BONNE,VLOOKUP("Betterave",AlimentsRationOvinsMâles,2,FALSE),0)+(IF(QualitéAlimentsBrebis=BONNE,VLOOKUP("Betterave",AlimentsRationOvinsFemelles,2,FALSE),0))))))))))</f>
        <v>0</v>
      </c>
      <c r="DP294" s="351">
        <f t="array" ref="DP294">SUM((IF(QualitéAlimentsAgneauMâle_0_3_mois=MOYENNE,VLOOKUP("Betterave",AlimentsRationOvinsMâles,5,FALSE),0)+(IF(QualitéAlimentsAgneauFemelle_0_3_mois=MOYENNE,VLOOKUP("Betterave",AlimentsRationOvinsFemelles,5,FALSE),0)+(IF(QualitéAlimentsAgneauMâle_3_6_mois=MOYENNE,VLOOKUP("Betterave",AlimentsRationOvinsMâles,4,FALSE),0)+(IF(QualitéAlimentsAgneauFemelle_3_6_mois=MOYENNE,VLOOKUP("Betterave",AlimentsRationOvinsFemelles,4,FALSE),0)+(IF(QualitéAlimentsJeuneBélier=MOYENNE,VLOOKUP("Betterave",AlimentsRationOvinsMâles,3,FALSE),0)+(IF(QualitéAlimentsJeuneBrebis=MOYENNE,VLOOKUP("Betterave",AlimentsRationOvinsFemelles,3,FALSE),0)+(IF(QualitéAlimentsBélier=MOYENNE,VLOOKUP("Betterave",AlimentsRationOvinsMâles,2,FALSE),0)+(IF(QualitéAlimentsBrebis=MOYENNE,VLOOKUP("Betterave",AlimentsRationOvinsFemelles,2,FALSE),0))))))))))</f>
        <v>0</v>
      </c>
      <c r="DQ294" s="351">
        <f t="array" ref="DQ294">SUM((IF(QualitéAlimentsAgneauMâle_0_3_mois=MAUVAISE,VLOOKUP("Betterave",AlimentsRationOvinsMâles,5,FALSE),0)+(IF(QualitéAlimentsAgneauFemelle_0_3_mois=MAUVAISE,VLOOKUP("Betterave",AlimentsRationOvinsFemelles,5,FALSE),0)+(IF(QualitéAlimentsAgneauMâle_3_6_mois=MAUVAISE,VLOOKUP("Betterave",AlimentsRationOvinsMâles,4,FALSE),0)+(IF(QualitéAlimentsAgneauFemelle_3_6_mois=MAUVAISE,VLOOKUP("Betterave",AlimentsRationOvinsFemelles,4,FALSE),0)+(IF(QualitéAlimentsJeuneBélier=MAUVAISE,VLOOKUP("Betterave",AlimentsRationOvinsMâles,3,FALSE),0)+(IF(QualitéAlimentsJeuneBrebis=MAUVAISE,VLOOKUP("Betterave",AlimentsRationOvinsFemelles,3,FALSE),0)+(IF(QualitéAlimentsBélier=MAUVAISE,VLOOKUP("Betterave",AlimentsRationOvinsMâles,2,FALSE),0)+(IF(QualitéAlimentsBrebis=MAUVAISE,VLOOKUP("Betterave",AlimentsRationOvinsFemelles,2,FALSE),0))))))))))</f>
        <v>0</v>
      </c>
      <c r="DS294" s="276"/>
      <c r="GG294" s="276" t="s">
        <v>955</v>
      </c>
      <c r="GH294" s="276" t="s">
        <v>955</v>
      </c>
      <c r="GI294" s="276" t="s">
        <v>955</v>
      </c>
      <c r="GJ294" s="276" t="s">
        <v>955</v>
      </c>
      <c r="GK294" s="276" t="s">
        <v>955</v>
      </c>
      <c r="GL294" s="276" t="s">
        <v>955</v>
      </c>
      <c r="GM294" s="276" t="s">
        <v>955</v>
      </c>
      <c r="GN294" s="276" t="s">
        <v>955</v>
      </c>
      <c r="GO294" s="276" t="s">
        <v>955</v>
      </c>
      <c r="GP294" s="276" t="s">
        <v>955</v>
      </c>
      <c r="GQ294" s="276" t="s">
        <v>955</v>
      </c>
      <c r="GR294" s="276" t="s">
        <v>955</v>
      </c>
      <c r="GS294" s="276" t="s">
        <v>955</v>
      </c>
      <c r="GT294" s="276" t="s">
        <v>955</v>
      </c>
      <c r="GU294" s="276" t="s">
        <v>955</v>
      </c>
      <c r="GV294" s="276" t="s">
        <v>955</v>
      </c>
    </row>
    <row r="295" spans="1:204" ht="12.75" customHeight="1" x14ac:dyDescent="0.2">
      <c r="A295" s="276"/>
      <c r="B295" s="276"/>
      <c r="BB295" s="350" t="str">
        <f t="shared" si="72"/>
        <v>Eau</v>
      </c>
      <c r="BC295" s="350">
        <f t="array" ref="BC295">IFERROR(IF(OR(AND(INDEX(Règles_bovins[Specificite],MATCH(RationHivernaleBovinsAuPré&amp;$BB295,Règles_bovins[Ration]&amp;Règles_bovins[Aliment],0))="s1",IF($BB295=Spécificité1Bovins,1)),
AND(INDEX(Règles_bovins[Specificite],MATCH(RationHivernaleBovinsAuPré&amp;$BB295,Règles_bovins[Ration]&amp;Règles_bovins[Aliment],0))="s2",IF($BB295=Spécificité2Bovins,1)),
INDEX(Règles_bovins[Specificite],MATCH(RationHivernaleBovinsAuPré&amp;$BB295,Règles_bovins[Ration]&amp;Règles_bovins[Aliment],0))="c"),
INDEX(Règles_bovins[Valeur 36 et plus],MATCH(RationHivernaleBovinsAuPré&amp;$BB295,Règles_bovins[Ration]&amp;Règles_bovins[Aliment],0)),0),0)*IF(SUM(TotalBovinsAdultesAuPré)&gt;0,SUM(TotalBovinsAdultesAuPré),SUM(TotalBovinsAdultes))*84</f>
        <v>0</v>
      </c>
      <c r="BD295" s="350">
        <f t="array" ref="BD295">IFERROR(IF(OR(AND(INDEX(Règles_bovins[Specificite],MATCH(RationHivernaleBovinsAuPré&amp;$BB295,Règles_bovins[Ration]&amp;Règles_bovins[Aliment],0))="s1",IF($BB295=Spécificité1Bovins,1)),
AND(INDEX(Règles_bovins[Specificite],MATCH(RationHivernaleBovinsAuPré&amp;$BB295,Règles_bovins[Ration]&amp;Règles_bovins[Aliment],0))="s2",IF($BB295=Spécificité2Bovins,1)),
INDEX(Règles_bovins[Specificite],MATCH(RationHivernaleBovinsAuPré&amp;$BB295,Règles_bovins[Ration]&amp;Règles_bovins[Aliment],0))="c"),
INDEX(Règles_bovins[Valeur 24-36],MATCH(RationHivernaleBovinsAuPré&amp;$BB295,Règles_bovins[Ration]&amp;Règles_bovins[Aliment],0)),0),0)*IF(SUM(TotalBovins_24_36moisAuPré)&gt;0,SUM(TotalBovins_24_36moisAuPré),SUM(TotalBovins_24_36mois))*84</f>
        <v>0</v>
      </c>
      <c r="BE295" s="350">
        <f t="array" ref="BE295">IFERROR(IF(OR(AND(INDEX(Règles_bovins[Specificite],MATCH(RationHivernaleBovinsAuPré&amp;$BB295,Règles_bovins[Ration]&amp;Règles_bovins[Aliment],0))="s1",IF($BB295=Spécificité1Bovins,1)),
AND(INDEX(Règles_bovins[Specificite],MATCH(RationHivernaleBovinsAuPré&amp;$BB295,Règles_bovins[Ration]&amp;Règles_bovins[Aliment],0))="s2",IF($BB295=Spécificité2Bovins,1)),
INDEX(Règles_bovins[Specificite],MATCH(RationHivernaleBovinsAuPré&amp;$BB295,Règles_bovins[Ration]&amp;Règles_bovins[Aliment],0))="c"),
INDEX(Règles_bovins[Valeur 18-24],MATCH(RationHivernaleBovinsAuPré&amp;$BB295,Règles_bovins[Ration]&amp;Règles_bovins[Aliment],0)),0),0)*IF(SUM(TotalBovins_18_24moisAuPré)&gt;0,SUM(TotalBovins_18_24moisAuPré),SUM(TotalBovins_18_24mois))*84</f>
        <v>0</v>
      </c>
      <c r="BF295" s="350">
        <f t="array" ref="BF295">IFERROR(IF(OR(AND(INDEX(Règles_bovins[Specificite],MATCH(RationHivernaleBovinsAuPré&amp;$BB295,Règles_bovins[Ration]&amp;Règles_bovins[Aliment],0))="s1",IF($BB295=Spécificité1Bovins,1)),
AND(INDEX(Règles_bovins[Specificite],MATCH(RationHivernaleBovinsAuPré&amp;$BB295,Règles_bovins[Ration]&amp;Règles_bovins[Aliment],0))="s2",IF($BB295=Spécificité2Bovins,1)),
INDEX(Règles_bovins[Specificite],MATCH(RationHivernaleBovinsAuPré&amp;$BB295,Règles_bovins[Ration]&amp;Règles_bovins[Aliment],0))="c"),
INDEX(Règles_bovins[Valeur 12-18],MATCH(RationHivernaleBovinsAuPré&amp;$BB295,Règles_bovins[Ration]&amp;Règles_bovins[Aliment],0)),0),0)*IF(SUM(TotalBovins_12_18moisAuPré)&gt;0,SUM(TotalBovins_12_18moisAuPré),SUM(TotalBovins_12_18mois))*84</f>
        <v>0</v>
      </c>
      <c r="BG295" s="350">
        <f t="array" ref="BG295">IFERROR(IF(OR(AND(INDEX(Règles_bovins[Specificite],MATCH(RationHivernaleBovinsAuPré&amp;$BB295,Règles_bovins[Ration]&amp;Règles_bovins[Aliment],0))="s1",IF($BB295=Spécificité1Bovins,1)),
AND(INDEX(Règles_bovins[Specificite],MATCH(RationHivernaleBovinsAuPré&amp;$BB295,Règles_bovins[Ration]&amp;Règles_bovins[Aliment],0))="s2",IF($BB295=Spécificité2Bovins,1)),
INDEX(Règles_bovins[Specificite],MATCH(RationHivernaleBovinsAuPré&amp;$BB295,Règles_bovins[Ration]&amp;Règles_bovins[Aliment],0))="c"),
INDEX(Règles_bovins[Valeur 6-12],MATCH(RationHivernaleBovinsAuPré&amp;$BB295,Règles_bovins[Ration]&amp;Règles_bovins[Aliment],0)),0),0)*IF(SUM(TotalBovins_6_12moisAuPré)&gt;0,SUM(TotalBovins_6_12moisAuPré),SUM(TotalBovins_6_12mois))*84</f>
        <v>0</v>
      </c>
      <c r="BH295" s="350">
        <f t="array" ref="BH295">IFERROR(IF(OR(AND(INDEX(Règles_bovins[Specificite],MATCH(RationHivernaleBovinsAuPré&amp;$BB295,Règles_bovins[Ration]&amp;Règles_bovins[Aliment],0))="s1",IF($BB295=Spécificité1Bovins,1)),
AND(INDEX(Règles_bovins[Specificite],MATCH(RationHivernaleBovinsAuPré&amp;$BB295,Règles_bovins[Ration]&amp;Règles_bovins[Aliment],0))="s2",IF($BB295=Spécificité2Bovins,1)),
INDEX(Règles_bovins[Specificite],MATCH(RationHivernaleBovinsAuPré&amp;$BB295,Règles_bovins[Ration]&amp;Règles_bovins[Aliment],0))="c"),
INDEX(Règles_bovins[Valeur 3-6],MATCH(RationHivernaleBovinsAuPré&amp;$BB295,Règles_bovins[Ration]&amp;Règles_bovins[Aliment],0)),0),0)*IF(SUM(TotalBovins_3_6moisAuPré)&gt;0,SUM(TotalBovins_3_6moisAuPré),SUM(TotalBovins_3_6mois))*84</f>
        <v>0</v>
      </c>
      <c r="BI295" s="350">
        <f t="array" ref="BI295">IFERROR(IF(OR(AND(INDEX(Règles_bovins[Specificite],MATCH(RationHivernaleBovinsAuPré&amp;$BB295,Règles_bovins[Ration]&amp;Règles_bovins[Aliment],0))="s1",IF($BB295=Spécificité1Bovins,1)),
AND(INDEX(Règles_bovins[Specificite],MATCH(RationHivernaleBovinsAuPré&amp;$BB295,Règles_bovins[Ration]&amp;Règles_bovins[Aliment],0))="s2",IF($BB295=Spécificité2Bovins,1)),
INDEX(Règles_bovins[Specificite],MATCH(RationHivernaleBovinsAuPré&amp;$BB295,Règles_bovins[Ration]&amp;Règles_bovins[Aliment],0))="c"),
INDEX(Règles_bovins[Valeur 0-3],MATCH(RationHivernaleBovinsAuPré&amp;$BB295,Règles_bovins[Ration]&amp;Règles_bovins[Aliment],0)),0),0)*IF(SUM(TotalBovins_0_3moisAuPré)&gt;0,SUM(TotalBovins_0_3moisAuPré),SUM(TotalBovins_0_3mois))*84</f>
        <v>0</v>
      </c>
      <c r="BJ295" s="352">
        <f t="shared" si="71"/>
        <v>0</v>
      </c>
      <c r="CI295" s="277"/>
      <c r="DN295" s="350" t="str">
        <f t="shared" si="73"/>
        <v>Blé</v>
      </c>
      <c r="DO295" s="351">
        <f t="array" ref="DO295">SUM((IF(QualitéAlimentsAgneauMâle_0_3_mois=BONNE,VLOOKUP("Blé",AlimentsRationOvinsMâles,5,FALSE),0)+(IF(QualitéAlimentsAgneauFemelle_0_3_mois=BONNE,VLOOKUP("Blé",AlimentsRationOvinsFemelles,5,FALSE),0)+(IF(QualitéAlimentsAgneauMâle_3_6_mois=BONNE,VLOOKUP("Blé",AlimentsRationOvinsMâles,4,FALSE),0)+(IF(QualitéAlimentsAgneauFemelle_3_6_mois=BONNE,VLOOKUP("Blé",AlimentsRationOvinsFemelles,4,FALSE),0)+(IF(QualitéAlimentsJeuneBélier=BONNE,VLOOKUP("Blé",AlimentsRationOvinsMâles,3,FALSE),0)+(IF(QualitéAlimentsJeuneBrebis=BONNE,VLOOKUP("Blé",AlimentsRationOvinsFemelles,3,FALSE),0)+(IF(QualitéAlimentsBélier=BONNE,VLOOKUP("Blé",AlimentsRationOvinsMâles,2,FALSE),0)+(IF(QualitéAlimentsBrebis=BONNE,VLOOKUP("Blé",AlimentsRationOvinsFemelles,2,FALSE),0))))))))))</f>
        <v>0</v>
      </c>
      <c r="DP295" s="351">
        <f t="array" ref="DP295">SUM((IF(QualitéAlimentsAgneauMâle_0_3_mois=MOYENNE,VLOOKUP("Blé",AlimentsRationOvinsMâles,5,FALSE),0)+(IF(QualitéAlimentsAgneauFemelle_0_3_mois=MOYENNE,VLOOKUP("Blé",AlimentsRationOvinsFemelles,5,FALSE),0)+(IF(QualitéAlimentsAgneauMâle_3_6_mois=MOYENNE,VLOOKUP("Blé",AlimentsRationOvinsMâles,4,FALSE),0)+(IF(QualitéAlimentsAgneauFemelle_3_6_mois=MOYENNE,VLOOKUP("Blé",AlimentsRationOvinsFemelles,4,FALSE),0)+(IF(QualitéAlimentsJeuneBélier=MOYENNE,VLOOKUP("Blé",AlimentsRationOvinsMâles,3,FALSE),0)+(IF(QualitéAlimentsJeuneBrebis=MOYENNE,VLOOKUP("Blé",AlimentsRationOvinsFemelles,3,FALSE),0)+(IF(QualitéAlimentsBélier=MOYENNE,VLOOKUP("Blé",AlimentsRationOvinsMâles,2,FALSE),0)+(IF(QualitéAlimentsBrebis=MOYENNE,VLOOKUP("Blé",AlimentsRationOvinsFemelles,2,FALSE),0))))))))))</f>
        <v>0</v>
      </c>
      <c r="DQ295" s="351">
        <f t="array" ref="DQ295">SUM((IF(QualitéAlimentsAgneauMâle_0_3_mois=MAUVAISE,VLOOKUP("Blé",AlimentsRationOvinsMâles,5,FALSE),0)+(IF(QualitéAlimentsAgneauFemelle_0_3_mois=MAUVAISE,VLOOKUP("Blé",AlimentsRationOvinsFemelles,5,FALSE),0)+(IF(QualitéAlimentsAgneauMâle_3_6_mois=MAUVAISE,VLOOKUP("Blé",AlimentsRationOvinsMâles,4,FALSE),0)+(IF(QualitéAlimentsAgneauFemelle_3_6_mois=MAUVAISE,VLOOKUP("Blé",AlimentsRationOvinsFemelles,4,FALSE),0)+(IF(QualitéAlimentsJeuneBélier=MAUVAISE,VLOOKUP("Blé",AlimentsRationOvinsMâles,3,FALSE),0)+(IF(QualitéAlimentsJeuneBrebis=MAUVAISE,VLOOKUP("Blé",AlimentsRationOvinsFemelles,3,FALSE),0)+(IF(QualitéAlimentsBélier=MAUVAISE,VLOOKUP("Blé",AlimentsRationOvinsMâles,2,FALSE),0)+(IF(QualitéAlimentsBrebis=MAUVAISE,VLOOKUP("Blé",AlimentsRationOvinsFemelles,2,FALSE),0))))))))))</f>
        <v>0</v>
      </c>
      <c r="DS295" s="276"/>
      <c r="GG295" s="276" t="s">
        <v>955</v>
      </c>
      <c r="GH295" s="276" t="s">
        <v>955</v>
      </c>
      <c r="GI295" s="276" t="s">
        <v>955</v>
      </c>
      <c r="GJ295" s="276" t="s">
        <v>955</v>
      </c>
      <c r="GK295" s="276" t="s">
        <v>955</v>
      </c>
      <c r="GL295" s="276" t="s">
        <v>955</v>
      </c>
      <c r="GM295" s="276" t="s">
        <v>955</v>
      </c>
      <c r="GN295" s="276" t="s">
        <v>955</v>
      </c>
      <c r="GO295" s="276" t="s">
        <v>955</v>
      </c>
      <c r="GP295" s="276" t="s">
        <v>955</v>
      </c>
      <c r="GQ295" s="276" t="s">
        <v>955</v>
      </c>
      <c r="GR295" s="276" t="s">
        <v>955</v>
      </c>
      <c r="GS295" s="276" t="s">
        <v>955</v>
      </c>
      <c r="GT295" s="276" t="s">
        <v>955</v>
      </c>
      <c r="GU295" s="276" t="s">
        <v>955</v>
      </c>
      <c r="GV295" s="276" t="s">
        <v>955</v>
      </c>
    </row>
    <row r="296" spans="1:204" ht="12.75" customHeight="1" x14ac:dyDescent="0.2">
      <c r="A296" s="276"/>
      <c r="B296" s="276"/>
      <c r="BB296" s="350" t="str">
        <f t="shared" si="72"/>
        <v>Epinard</v>
      </c>
      <c r="BC296" s="350">
        <f t="array" ref="BC296">IFERROR(IF(OR(AND(INDEX(Règles_bovins[Specificite],MATCH(RationHivernaleBovinsAuPré&amp;$BB296,Règles_bovins[Ration]&amp;Règles_bovins[Aliment],0))="s1",IF($BB296=Spécificité1Bovins,1)),
AND(INDEX(Règles_bovins[Specificite],MATCH(RationHivernaleBovinsAuPré&amp;$BB296,Règles_bovins[Ration]&amp;Règles_bovins[Aliment],0))="s2",IF($BB296=Spécificité2Bovins,1)),
INDEX(Règles_bovins[Specificite],MATCH(RationHivernaleBovinsAuPré&amp;$BB296,Règles_bovins[Ration]&amp;Règles_bovins[Aliment],0))="c"),
INDEX(Règles_bovins[Valeur 36 et plus],MATCH(RationHivernaleBovinsAuPré&amp;$BB296,Règles_bovins[Ration]&amp;Règles_bovins[Aliment],0)),0),0)*IF(SUM(TotalBovinsAdultesAuPré)&gt;0,SUM(TotalBovinsAdultesAuPré),SUM(TotalBovinsAdultes))*35</f>
        <v>0</v>
      </c>
      <c r="BD296" s="350">
        <f t="array" ref="BD296">IFERROR(IF(OR(AND(INDEX(Règles_bovins[Specificite],MATCH(RationHivernaleBovinsAuPré&amp;$BB296,Règles_bovins[Ration]&amp;Règles_bovins[Aliment],0))="s1",IF($BB296=Spécificité1Bovins,1)),
AND(INDEX(Règles_bovins[Specificite],MATCH(RationHivernaleBovinsAuPré&amp;$BB296,Règles_bovins[Ration]&amp;Règles_bovins[Aliment],0))="s2",IF($BB296=Spécificité2Bovins,1)),
INDEX(Règles_bovins[Specificite],MATCH(RationHivernaleBovinsAuPré&amp;$BB296,Règles_bovins[Ration]&amp;Règles_bovins[Aliment],0))="c"),
INDEX(Règles_bovins[Valeur 24-36],MATCH(RationHivernaleBovinsAuPré&amp;$BB296,Règles_bovins[Ration]&amp;Règles_bovins[Aliment],0)),0),0)*IF(SUM(TotalBovins_24_36moisAuPré)&gt;0,SUM(TotalBovins_24_36moisAuPré),SUM(TotalBovins_24_36mois))*35</f>
        <v>0</v>
      </c>
      <c r="BE296" s="350">
        <f t="array" ref="BE296">IFERROR(IF(OR(AND(INDEX(Règles_bovins[Specificite],MATCH(RationHivernaleBovinsAuPré&amp;$BB296,Règles_bovins[Ration]&amp;Règles_bovins[Aliment],0))="s1",IF($BB296=Spécificité1Bovins,1)),
AND(INDEX(Règles_bovins[Specificite],MATCH(RationHivernaleBovinsAuPré&amp;$BB296,Règles_bovins[Ration]&amp;Règles_bovins[Aliment],0))="s2",IF($BB296=Spécificité2Bovins,1)),
INDEX(Règles_bovins[Specificite],MATCH(RationHivernaleBovinsAuPré&amp;$BB296,Règles_bovins[Ration]&amp;Règles_bovins[Aliment],0))="c"),
INDEX(Règles_bovins[Valeur 18-24],MATCH(RationHivernaleBovinsAuPré&amp;$BB296,Règles_bovins[Ration]&amp;Règles_bovins[Aliment],0)),0),0)*IF(SUM(TotalBovins_18_24moisAuPré)&gt;0,SUM(TotalBovins_18_24moisAuPré),SUM(TotalBovins_18_24mois))*35</f>
        <v>0</v>
      </c>
      <c r="BF296" s="350">
        <f t="array" ref="BF296">IFERROR(IF(OR(AND(INDEX(Règles_bovins[Specificite],MATCH(RationHivernaleBovinsAuPré&amp;$BB296,Règles_bovins[Ration]&amp;Règles_bovins[Aliment],0))="s1",IF($BB296=Spécificité1Bovins,1)),
AND(INDEX(Règles_bovins[Specificite],MATCH(RationHivernaleBovinsAuPré&amp;$BB296,Règles_bovins[Ration]&amp;Règles_bovins[Aliment],0))="s2",IF($BB296=Spécificité2Bovins,1)),
INDEX(Règles_bovins[Specificite],MATCH(RationHivernaleBovinsAuPré&amp;$BB296,Règles_bovins[Ration]&amp;Règles_bovins[Aliment],0))="c"),
INDEX(Règles_bovins[Valeur 12-18],MATCH(RationHivernaleBovinsAuPré&amp;$BB296,Règles_bovins[Ration]&amp;Règles_bovins[Aliment],0)),0),0)*IF(SUM(TotalBovins_12_18moisAuPré)&gt;0,SUM(TotalBovins_12_18moisAuPré),SUM(TotalBovins_12_18mois))*35</f>
        <v>0</v>
      </c>
      <c r="BG296" s="350">
        <f t="array" ref="BG296">IFERROR(IF(OR(AND(INDEX(Règles_bovins[Specificite],MATCH(RationHivernaleBovinsAuPré&amp;$BB296,Règles_bovins[Ration]&amp;Règles_bovins[Aliment],0))="s1",IF($BB296=Spécificité1Bovins,1)),
AND(INDEX(Règles_bovins[Specificite],MATCH(RationHivernaleBovinsAuPré&amp;$BB296,Règles_bovins[Ration]&amp;Règles_bovins[Aliment],0))="s2",IF($BB296=Spécificité2Bovins,1)),
INDEX(Règles_bovins[Specificite],MATCH(RationHivernaleBovinsAuPré&amp;$BB296,Règles_bovins[Ration]&amp;Règles_bovins[Aliment],0))="c"),
INDEX(Règles_bovins[Valeur 6-12],MATCH(RationHivernaleBovinsAuPré&amp;$BB296,Règles_bovins[Ration]&amp;Règles_bovins[Aliment],0)),0),0)*IF(SUM(TotalBovins_6_12moisAuPré)&gt;0,SUM(TotalBovins_6_12moisAuPré),SUM(TotalBovins_6_12mois))*35</f>
        <v>0</v>
      </c>
      <c r="BH296" s="350">
        <f t="array" ref="BH296">IFERROR(IF(OR(AND(INDEX(Règles_bovins[Specificite],MATCH(RationHivernaleBovinsAuPré&amp;$BB296,Règles_bovins[Ration]&amp;Règles_bovins[Aliment],0))="s1",IF($BB296=Spécificité1Bovins,1)),
AND(INDEX(Règles_bovins[Specificite],MATCH(RationHivernaleBovinsAuPré&amp;$BB296,Règles_bovins[Ration]&amp;Règles_bovins[Aliment],0))="s2",IF($BB296=Spécificité2Bovins,1)),
INDEX(Règles_bovins[Specificite],MATCH(RationHivernaleBovinsAuPré&amp;$BB296,Règles_bovins[Ration]&amp;Règles_bovins[Aliment],0))="c"),
INDEX(Règles_bovins[Valeur 3-6],MATCH(RationHivernaleBovinsAuPré&amp;$BB296,Règles_bovins[Ration]&amp;Règles_bovins[Aliment],0)),0),0)*IF(SUM(TotalBovins_3_6moisAuPré)&gt;0,SUM(TotalBovins_3_6moisAuPré),SUM(TotalBovins_3_6mois))*35</f>
        <v>0</v>
      </c>
      <c r="BI296" s="350">
        <f t="array" ref="BI296">IFERROR(IF(OR(AND(INDEX(Règles_bovins[Specificite],MATCH(RationHivernaleBovinsAuPré&amp;$BB296,Règles_bovins[Ration]&amp;Règles_bovins[Aliment],0))="s1",IF($BB296=Spécificité1Bovins,1)),
AND(INDEX(Règles_bovins[Specificite],MATCH(RationHivernaleBovinsAuPré&amp;$BB296,Règles_bovins[Ration]&amp;Règles_bovins[Aliment],0))="s2",IF($BB296=Spécificité2Bovins,1)),
INDEX(Règles_bovins[Specificite],MATCH(RationHivernaleBovinsAuPré&amp;$BB296,Règles_bovins[Ration]&amp;Règles_bovins[Aliment],0))="c"),
INDEX(Règles_bovins[Valeur 0-3],MATCH(RationHivernaleBovinsAuPré&amp;$BB296,Règles_bovins[Ration]&amp;Règles_bovins[Aliment],0)),0),0)*IF(SUM(TotalBovins_0_3moisAuPré)&gt;0,SUM(TotalBovins_0_3moisAuPré),SUM(TotalBovins_0_3mois))*35</f>
        <v>0</v>
      </c>
      <c r="BJ296" s="352">
        <f t="shared" si="71"/>
        <v>0</v>
      </c>
      <c r="CI296" s="277"/>
      <c r="DN296" s="350" t="str">
        <f t="shared" si="73"/>
        <v>Bouchons luzerne</v>
      </c>
      <c r="DO296" s="351">
        <f t="array" ref="DO296">SUM((IF(QualitéAlimentsAgneauMâle_0_3_mois=BONNE,VLOOKUP("Bélierhons luzerne",AlimentsRationOvinsMâles,5,FALSE),0)+(IF(QualitéAlimentsAgneauFemelle_0_3_mois=BONNE,VLOOKUP("Bélierhons luzerne",AlimentsRationOvinsFemelles,5,FALSE),0)+(IF(QualitéAlimentsAgneauMâle_3_6_mois=BONNE,VLOOKUP("Bélierhons luzerne",AlimentsRationOvinsMâles,4,FALSE),0)+(IF(QualitéAlimentsAgneauFemelle_3_6_mois=BONNE,VLOOKUP("Bélierhons luzerne",AlimentsRationOvinsFemelles,4,FALSE),0)+(IF(QualitéAlimentsJeuneBélier=BONNE,VLOOKUP("Bélierhons luzerne",AlimentsRationOvinsMâles,3,FALSE),0)+(IF(QualitéAlimentsJeuneBrebis=BONNE,VLOOKUP("Bélierhons luzerne",AlimentsRationOvinsFemelles,3,FALSE),0)+(IF(QualitéAlimentsBélier=BONNE,VLOOKUP("Bélierhons luzerne",AlimentsRationOvinsMâles,2,FALSE),0)+(IF(QualitéAlimentsBrebis=BONNE,VLOOKUP("Bélierhons luzerne",AlimentsRationOvinsFemelles,2,FALSE),0))))))))))</f>
        <v>0</v>
      </c>
      <c r="DP296" s="351">
        <f t="array" ref="DP296">SUM((IF(QualitéAlimentsAgneauMâle_0_3_mois=MOYENNE,VLOOKUP("Bélierhons luzerne",AlimentsRationOvinsMâles,5,FALSE),0)+(IF(QualitéAlimentsAgneauFemelle_0_3_mois=MOYENNE,VLOOKUP("Bélierhons luzerne",AlimentsRationOvinsFemelles,5,FALSE),0)+(IF(QualitéAlimentsAgneauMâle_3_6_mois=MOYENNE,VLOOKUP("Bélierhons luzerne",AlimentsRationOvinsMâles,4,FALSE),0)+(IF(QualitéAlimentsAgneauFemelle_3_6_mois=MOYENNE,VLOOKUP("Bélierhons luzerne",AlimentsRationOvinsFemelles,4,FALSE),0)+(IF(QualitéAlimentsJeuneBélier=MOYENNE,VLOOKUP("Bélierhons luzerne",AlimentsRationOvinsMâles,3,FALSE),0)+(IF(QualitéAlimentsJeuneBrebis=MOYENNE,VLOOKUP("Bélierhons luzerne",AlimentsRationOvinsFemelles,3,FALSE),0)+(IF(QualitéAlimentsBélier=MOYENNE,VLOOKUP("Bélierhons luzerne",AlimentsRationOvinsMâles,2,FALSE),0)+(IF(QualitéAlimentsBrebis=MOYENNE,VLOOKUP("Bélierhons luzerne",AlimentsRationOvinsFemelles,2,FALSE),0))))))))))</f>
        <v>0</v>
      </c>
      <c r="DQ296" s="351">
        <f t="array" ref="DQ296">SUM((IF(QualitéAlimentsAgneauMâle_0_3_mois=MAUVAISE,VLOOKUP("Bélierhons luzerne",AlimentsRationOvinsMâles,5,FALSE),0)+(IF(QualitéAlimentsAgneauFemelle_0_3_mois=MAUVAISE,VLOOKUP("Bélierhons luzerne",AlimentsRationOvinsFemelles,5,FALSE),0)+(IF(QualitéAlimentsAgneauMâle_3_6_mois=MAUVAISE,VLOOKUP("Bélierhons luzerne",AlimentsRationOvinsMâles,4,FALSE),0)+(IF(QualitéAlimentsAgneauFemelle_3_6_mois=MAUVAISE,VLOOKUP("Bélierhons luzerne",AlimentsRationOvinsFemelles,4,FALSE),0)+(IF(QualitéAlimentsJeuneBélier=MAUVAISE,VLOOKUP("Bélierhons luzerne",AlimentsRationOvinsMâles,3,FALSE),0)+(IF(QualitéAlimentsJeuneBrebis=MAUVAISE,VLOOKUP("Bélierhons luzerne",AlimentsRationOvinsFemelles,3,FALSE),0)+(IF(QualitéAlimentsBélier=MAUVAISE,VLOOKUP("Bélierhons luzerne",AlimentsRationOvinsMâles,2,FALSE),0)+(IF(QualitéAlimentsBrebis=MAUVAISE,VLOOKUP("Bélierhons luzerne",AlimentsRationOvinsFemelles,2,FALSE),0))))))))))</f>
        <v>0</v>
      </c>
      <c r="DS296" s="276"/>
      <c r="GG296" s="276" t="s">
        <v>955</v>
      </c>
      <c r="GH296" s="276" t="s">
        <v>955</v>
      </c>
      <c r="GI296" s="276" t="s">
        <v>955</v>
      </c>
      <c r="GJ296" s="276" t="s">
        <v>955</v>
      </c>
      <c r="GK296" s="276" t="s">
        <v>955</v>
      </c>
      <c r="GL296" s="276" t="s">
        <v>955</v>
      </c>
      <c r="GM296" s="276" t="s">
        <v>955</v>
      </c>
      <c r="GN296" s="276" t="s">
        <v>955</v>
      </c>
      <c r="GO296" s="276" t="s">
        <v>955</v>
      </c>
      <c r="GP296" s="276" t="s">
        <v>955</v>
      </c>
      <c r="GQ296" s="276" t="s">
        <v>955</v>
      </c>
      <c r="GR296" s="276" t="s">
        <v>955</v>
      </c>
      <c r="GS296" s="276" t="s">
        <v>955</v>
      </c>
      <c r="GT296" s="276" t="s">
        <v>955</v>
      </c>
      <c r="GU296" s="276" t="s">
        <v>955</v>
      </c>
      <c r="GV296" s="276" t="s">
        <v>955</v>
      </c>
    </row>
    <row r="297" spans="1:204" ht="12.75" customHeight="1" x14ac:dyDescent="0.2">
      <c r="A297" s="276"/>
      <c r="B297" s="276"/>
      <c r="BB297" s="350" t="str">
        <f t="shared" si="72"/>
        <v>Féverole</v>
      </c>
      <c r="BC297" s="350">
        <f t="array" ref="BC297">IFERROR(IF(OR(AND(INDEX(Règles_bovins[Specificite],MATCH(RationHivernaleBovinsAuPré&amp;$BB297,Règles_bovins[Ration]&amp;Règles_bovins[Aliment],0))="s1",IF($BB297=Spécificité1Bovins,1)),
AND(INDEX(Règles_bovins[Specificite],MATCH(RationHivernaleBovinsAuPré&amp;$BB297,Règles_bovins[Ration]&amp;Règles_bovins[Aliment],0))="s2",IF($BB297=Spécificité2Bovins,1)),
INDEX(Règles_bovins[Specificite],MATCH(RationHivernaleBovinsAuPré&amp;$BB297,Règles_bovins[Ration]&amp;Règles_bovins[Aliment],0))="c"),
INDEX(Règles_bovins[Valeur 36 et plus],MATCH(RationHivernaleBovinsAuPré&amp;$BB297,Règles_bovins[Ration]&amp;Règles_bovins[Aliment],0)),0),0)*IF(SUM(TotalBovinsAdultesAuPré)&gt;0,SUM(TotalBovinsAdultesAuPré),SUM(TotalBovinsAdultes))*35</f>
        <v>0</v>
      </c>
      <c r="BD297" s="350">
        <f t="array" ref="BD297">IFERROR(IF(OR(AND(INDEX(Règles_bovins[Specificite],MATCH(RationHivernaleBovinsAuPré&amp;$BB297,Règles_bovins[Ration]&amp;Règles_bovins[Aliment],0))="s1",IF($BB297=Spécificité1Bovins,1)),
AND(INDEX(Règles_bovins[Specificite],MATCH(RationHivernaleBovinsAuPré&amp;$BB297,Règles_bovins[Ration]&amp;Règles_bovins[Aliment],0))="s2",IF($BB297=Spécificité2Bovins,1)),
INDEX(Règles_bovins[Specificite],MATCH(RationHivernaleBovinsAuPré&amp;$BB297,Règles_bovins[Ration]&amp;Règles_bovins[Aliment],0))="c"),
INDEX(Règles_bovins[Valeur 24-36],MATCH(RationHivernaleBovinsAuPré&amp;$BB297,Règles_bovins[Ration]&amp;Règles_bovins[Aliment],0)),0),0)*IF(SUM(TotalBovins_24_36moisAuPré)&gt;0,SUM(TotalBovins_24_36moisAuPré),SUM(TotalBovins_24_36mois))*35</f>
        <v>0</v>
      </c>
      <c r="BE297" s="350">
        <f t="array" ref="BE297">IFERROR(IF(OR(AND(INDEX(Règles_bovins[Specificite],MATCH(RationHivernaleBovinsAuPré&amp;$BB297,Règles_bovins[Ration]&amp;Règles_bovins[Aliment],0))="s1",IF($BB297=Spécificité1Bovins,1)),
AND(INDEX(Règles_bovins[Specificite],MATCH(RationHivernaleBovinsAuPré&amp;$BB297,Règles_bovins[Ration]&amp;Règles_bovins[Aliment],0))="s2",IF($BB297=Spécificité2Bovins,1)),
INDEX(Règles_bovins[Specificite],MATCH(RationHivernaleBovinsAuPré&amp;$BB297,Règles_bovins[Ration]&amp;Règles_bovins[Aliment],0))="c"),
INDEX(Règles_bovins[Valeur 18-24],MATCH(RationHivernaleBovinsAuPré&amp;$BB297,Règles_bovins[Ration]&amp;Règles_bovins[Aliment],0)),0),0)*IF(SUM(TotalBovins_18_24moisAuPré)&gt;0,SUM(TotalBovins_18_24moisAuPré),SUM(TotalBovins_18_24mois))*35</f>
        <v>0</v>
      </c>
      <c r="BF297" s="350">
        <f t="array" ref="BF297">IFERROR(IF(OR(AND(INDEX(Règles_bovins[Specificite],MATCH(RationHivernaleBovinsAuPré&amp;$BB297,Règles_bovins[Ration]&amp;Règles_bovins[Aliment],0))="s1",IF($BB297=Spécificité1Bovins,1)),
AND(INDEX(Règles_bovins[Specificite],MATCH(RationHivernaleBovinsAuPré&amp;$BB297,Règles_bovins[Ration]&amp;Règles_bovins[Aliment],0))="s2",IF($BB297=Spécificité2Bovins,1)),
INDEX(Règles_bovins[Specificite],MATCH(RationHivernaleBovinsAuPré&amp;$BB297,Règles_bovins[Ration]&amp;Règles_bovins[Aliment],0))="c"),
INDEX(Règles_bovins[Valeur 12-18],MATCH(RationHivernaleBovinsAuPré&amp;$BB297,Règles_bovins[Ration]&amp;Règles_bovins[Aliment],0)),0),0)*IF(SUM(TotalBovins_12_18moisAuPré)&gt;0,SUM(TotalBovins_12_18moisAuPré),SUM(TotalBovins_12_18mois))*35</f>
        <v>0</v>
      </c>
      <c r="BG297" s="350">
        <f t="array" ref="BG297">IFERROR(IF(OR(AND(INDEX(Règles_bovins[Specificite],MATCH(RationHivernaleBovinsAuPré&amp;$BB297,Règles_bovins[Ration]&amp;Règles_bovins[Aliment],0))="s1",IF($BB297=Spécificité1Bovins,1)),
AND(INDEX(Règles_bovins[Specificite],MATCH(RationHivernaleBovinsAuPré&amp;$BB297,Règles_bovins[Ration]&amp;Règles_bovins[Aliment],0))="s2",IF($BB297=Spécificité2Bovins,1)),
INDEX(Règles_bovins[Specificite],MATCH(RationHivernaleBovinsAuPré&amp;$BB297,Règles_bovins[Ration]&amp;Règles_bovins[Aliment],0))="c"),
INDEX(Règles_bovins[Valeur 6-12],MATCH(RationHivernaleBovinsAuPré&amp;$BB297,Règles_bovins[Ration]&amp;Règles_bovins[Aliment],0)),0),0)*IF(SUM(TotalBovins_6_12moisAuPré)&gt;0,SUM(TotalBovins_6_12moisAuPré),SUM(TotalBovins_6_12mois))*35</f>
        <v>0</v>
      </c>
      <c r="BH297" s="350">
        <f t="array" ref="BH297">IFERROR(IF(OR(AND(INDEX(Règles_bovins[Specificite],MATCH(RationHivernaleBovinsAuPré&amp;$BB297,Règles_bovins[Ration]&amp;Règles_bovins[Aliment],0))="s1",IF($BB297=Spécificité1Bovins,1)),
AND(INDEX(Règles_bovins[Specificite],MATCH(RationHivernaleBovinsAuPré&amp;$BB297,Règles_bovins[Ration]&amp;Règles_bovins[Aliment],0))="s2",IF($BB297=Spécificité2Bovins,1)),
INDEX(Règles_bovins[Specificite],MATCH(RationHivernaleBovinsAuPré&amp;$BB297,Règles_bovins[Ration]&amp;Règles_bovins[Aliment],0))="c"),
INDEX(Règles_bovins[Valeur 3-6],MATCH(RationHivernaleBovinsAuPré&amp;$BB297,Règles_bovins[Ration]&amp;Règles_bovins[Aliment],0)),0),0)*IF(SUM(TotalBovins_3_6moisAuPré)&gt;0,SUM(TotalBovins_3_6moisAuPré),SUM(TotalBovins_3_6mois))*35</f>
        <v>0</v>
      </c>
      <c r="BI297" s="350">
        <f t="array" ref="BI297">IFERROR(IF(OR(AND(INDEX(Règles_bovins[Specificite],MATCH(RationHivernaleBovinsAuPré&amp;$BB297,Règles_bovins[Ration]&amp;Règles_bovins[Aliment],0))="s1",IF($BB297=Spécificité1Bovins,1)),
AND(INDEX(Règles_bovins[Specificite],MATCH(RationHivernaleBovinsAuPré&amp;$BB297,Règles_bovins[Ration]&amp;Règles_bovins[Aliment],0))="s2",IF($BB297=Spécificité2Bovins,1)),
INDEX(Règles_bovins[Specificite],MATCH(RationHivernaleBovinsAuPré&amp;$BB297,Règles_bovins[Ration]&amp;Règles_bovins[Aliment],0))="c"),
INDEX(Règles_bovins[Valeur 0-3],MATCH(RationHivernaleBovinsAuPré&amp;$BB297,Règles_bovins[Ration]&amp;Règles_bovins[Aliment],0)),0),0)*IF(SUM(TotalBovins_0_3moisAuPré)&gt;0,SUM(TotalBovins_0_3moisAuPré),SUM(TotalBovins_0_3mois))*35</f>
        <v>0</v>
      </c>
      <c r="BJ297" s="352">
        <f t="shared" si="71"/>
        <v>0</v>
      </c>
      <c r="CI297" s="277"/>
      <c r="DN297" s="350" t="str">
        <f t="shared" si="73"/>
        <v>Chanvre</v>
      </c>
      <c r="DO297" s="351">
        <f t="array" ref="DO297">SUM((IF(QualitéAlimentsAgneauMâle_0_3_mois=BONNE,VLOOKUP("Chanvre",AlimentsRationOvinsMâles,5,FALSE),0)+(IF(QualitéAlimentsAgneauFemelle_0_3_mois=BONNE,VLOOKUP("Chanvre",AlimentsRationOvinsFemelles,5,FALSE),0)+(IF(QualitéAlimentsAgneauMâle_3_6_mois=BONNE,VLOOKUP("Chanvre",AlimentsRationOvinsMâles,4,FALSE),0)+(IF(QualitéAlimentsAgneauFemelle_3_6_mois=BONNE,VLOOKUP("Chanvre",AlimentsRationOvinsFemelles,4,FALSE),0)+(IF(QualitéAlimentsJeuneBélier=BONNE,VLOOKUP("Chanvre",AlimentsRationOvinsMâles,3,FALSE),0)+(IF(QualitéAlimentsJeuneBrebis=BONNE,VLOOKUP("Chanvre",AlimentsRationOvinsFemelles,3,FALSE),0)+(IF(QualitéAlimentsBélier=BONNE,VLOOKUP("Chanvre",AlimentsRationOvinsMâles,2,FALSE),0)+(IF(QualitéAlimentsBrebis=BONNE,VLOOKUP("Chanvre",AlimentsRationOvinsFemelles,2,FALSE),0))))))))))</f>
        <v>0</v>
      </c>
      <c r="DP297" s="351">
        <f t="array" ref="DP297">SUM((IF(QualitéAlimentsAgneauMâle_0_3_mois=MOYENNE,VLOOKUP("Chanvre",AlimentsRationOvinsMâles,5,FALSE),0)+(IF(QualitéAlimentsAgneauFemelle_0_3_mois=MOYENNE,VLOOKUP("Chanvre",AlimentsRationOvinsFemelles,5,FALSE),0)+(IF(QualitéAlimentsAgneauMâle_3_6_mois=MOYENNE,VLOOKUP("Chanvre",AlimentsRationOvinsMâles,4,FALSE),0)+(IF(QualitéAlimentsAgneauFemelle_3_6_mois=MOYENNE,VLOOKUP("Chanvre",AlimentsRationOvinsFemelles,4,FALSE),0)+(IF(QualitéAlimentsJeuneBélier=MOYENNE,VLOOKUP("Chanvre",AlimentsRationOvinsMâles,3,FALSE),0)+(IF(QualitéAlimentsJeuneBrebis=MOYENNE,VLOOKUP("Chanvre",AlimentsRationOvinsFemelles,3,FALSE),0)+(IF(QualitéAlimentsBélier=MOYENNE,VLOOKUP("Chanvre",AlimentsRationOvinsMâles,2,FALSE),0)+(IF(QualitéAlimentsBrebis=MOYENNE,VLOOKUP("Chanvre",AlimentsRationOvinsFemelles,2,FALSE),0))))))))))</f>
        <v>0</v>
      </c>
      <c r="DQ297" s="351">
        <f t="array" ref="DQ297">SUM((IF(QualitéAlimentsAgneauMâle_0_3_mois=MAUVAISE,VLOOKUP("Chanvre",AlimentsRationOvinsMâles,5,FALSE),0)+(IF(QualitéAlimentsAgneauFemelle_0_3_mois=MAUVAISE,VLOOKUP("Chanvre",AlimentsRationOvinsFemelles,5,FALSE),0)+(IF(QualitéAlimentsAgneauMâle_3_6_mois=MAUVAISE,VLOOKUP("Chanvre",AlimentsRationOvinsMâles,4,FALSE),0)+(IF(QualitéAlimentsAgneauFemelle_3_6_mois=MAUVAISE,VLOOKUP("Chanvre",AlimentsRationOvinsFemelles,4,FALSE),0)+(IF(QualitéAlimentsJeuneBélier=MAUVAISE,VLOOKUP("Chanvre",AlimentsRationOvinsMâles,3,FALSE),0)+(IF(QualitéAlimentsJeuneBrebis=MAUVAISE,VLOOKUP("Chanvre",AlimentsRationOvinsFemelles,3,FALSE),0)+(IF(QualitéAlimentsBélier=MAUVAISE,VLOOKUP("Chanvre",AlimentsRationOvinsMâles,2,FALSE),0)+(IF(QualitéAlimentsBrebis=MAUVAISE,VLOOKUP("Chanvre",AlimentsRationOvinsFemelles,2,FALSE),0))))))))))</f>
        <v>0</v>
      </c>
      <c r="DS297" s="276"/>
      <c r="GG297" s="276" t="s">
        <v>955</v>
      </c>
      <c r="GH297" s="276" t="s">
        <v>955</v>
      </c>
      <c r="GI297" s="276" t="s">
        <v>955</v>
      </c>
      <c r="GJ297" s="276" t="s">
        <v>955</v>
      </c>
      <c r="GK297" s="276" t="s">
        <v>955</v>
      </c>
      <c r="GL297" s="276" t="s">
        <v>955</v>
      </c>
      <c r="GM297" s="276" t="s">
        <v>955</v>
      </c>
      <c r="GN297" s="276" t="s">
        <v>955</v>
      </c>
      <c r="GO297" s="276" t="s">
        <v>955</v>
      </c>
      <c r="GP297" s="276" t="s">
        <v>955</v>
      </c>
      <c r="GQ297" s="276" t="s">
        <v>955</v>
      </c>
      <c r="GR297" s="276" t="s">
        <v>955</v>
      </c>
      <c r="GS297" s="276" t="s">
        <v>955</v>
      </c>
      <c r="GT297" s="276" t="s">
        <v>955</v>
      </c>
      <c r="GU297" s="276" t="s">
        <v>955</v>
      </c>
      <c r="GV297" s="276" t="s">
        <v>955</v>
      </c>
    </row>
    <row r="298" spans="1:204" ht="12.75" customHeight="1" x14ac:dyDescent="0.2">
      <c r="A298" s="276"/>
      <c r="B298" s="276"/>
      <c r="BB298" s="350" t="str">
        <f t="shared" si="72"/>
        <v>Foin</v>
      </c>
      <c r="BC298" s="350">
        <f t="array" ref="BC298">IFERROR(IF(OR(AND(INDEX(Règles_bovins[Specificite],MATCH(RationHivernaleBovinsAuPré&amp;$BB298,Règles_bovins[Ration]&amp;Règles_bovins[Aliment],0))="s1",IF($BB298=Spécificité1Bovins,1)),
AND(INDEX(Règles_bovins[Specificite],MATCH(RationHivernaleBovinsAuPré&amp;$BB298,Règles_bovins[Ration]&amp;Règles_bovins[Aliment],0))="s2",IF($BB298=Spécificité2Bovins,1)),
INDEX(Règles_bovins[Specificite],MATCH(RationHivernaleBovinsAuPré&amp;$BB298,Règles_bovins[Ration]&amp;Règles_bovins[Aliment],0))="c"),
INDEX(Règles_bovins[Valeur 36 et plus],MATCH(RationHivernaleBovinsAuPré&amp;$BB298,Règles_bovins[Ration]&amp;Règles_bovins[Aliment],0)),0),0)*IF(SUM(TotalBovinsAdultesAuPré)&gt;0,SUM(TotalBovinsAdultesAuPré),SUM(TotalBovinsAdultes))*35</f>
        <v>0</v>
      </c>
      <c r="BD298" s="350">
        <f t="array" ref="BD298">IFERROR(IF(OR(AND(INDEX(Règles_bovins[Specificite],MATCH(RationHivernaleBovinsAuPré&amp;$BB298,Règles_bovins[Ration]&amp;Règles_bovins[Aliment],0))="s1",IF($BB298=Spécificité1Bovins,1)),
AND(INDEX(Règles_bovins[Specificite],MATCH(RationHivernaleBovinsAuPré&amp;$BB298,Règles_bovins[Ration]&amp;Règles_bovins[Aliment],0))="s2",IF($BB298=Spécificité2Bovins,1)),
INDEX(Règles_bovins[Specificite],MATCH(RationHivernaleBovinsAuPré&amp;$BB298,Règles_bovins[Ration]&amp;Règles_bovins[Aliment],0))="c"),
INDEX(Règles_bovins[Valeur 24-36],MATCH(RationHivernaleBovinsAuPré&amp;$BB298,Règles_bovins[Ration]&amp;Règles_bovins[Aliment],0)),0),0)*IF(SUM(TotalBovins_24_36moisAuPré)&gt;0,SUM(TotalBovins_24_36moisAuPré),SUM(TotalBovins_24_36mois))*35</f>
        <v>0</v>
      </c>
      <c r="BE298" s="350">
        <f t="array" ref="BE298">IFERROR(IF(OR(AND(INDEX(Règles_bovins[Specificite],MATCH(RationHivernaleBovinsAuPré&amp;$BB298,Règles_bovins[Ration]&amp;Règles_bovins[Aliment],0))="s1",IF($BB298=Spécificité1Bovins,1)),
AND(INDEX(Règles_bovins[Specificite],MATCH(RationHivernaleBovinsAuPré&amp;$BB298,Règles_bovins[Ration]&amp;Règles_bovins[Aliment],0))="s2",IF($BB298=Spécificité2Bovins,1)),
INDEX(Règles_bovins[Specificite],MATCH(RationHivernaleBovinsAuPré&amp;$BB298,Règles_bovins[Ration]&amp;Règles_bovins[Aliment],0))="c"),
INDEX(Règles_bovins[Valeur 18-24],MATCH(RationHivernaleBovinsAuPré&amp;$BB298,Règles_bovins[Ration]&amp;Règles_bovins[Aliment],0)),0),0)*IF(SUM(TotalBovins_18_24moisAuPré)&gt;0,SUM(TotalBovins_18_24moisAuPré),SUM(TotalBovins_18_24mois))*35</f>
        <v>0</v>
      </c>
      <c r="BF298" s="350">
        <f t="array" ref="BF298">IFERROR(IF(OR(AND(INDEX(Règles_bovins[Specificite],MATCH(RationHivernaleBovinsAuPré&amp;$BB298,Règles_bovins[Ration]&amp;Règles_bovins[Aliment],0))="s1",IF($BB298=Spécificité1Bovins,1)),
AND(INDEX(Règles_bovins[Specificite],MATCH(RationHivernaleBovinsAuPré&amp;$BB298,Règles_bovins[Ration]&amp;Règles_bovins[Aliment],0))="s2",IF($BB298=Spécificité2Bovins,1)),
INDEX(Règles_bovins[Specificite],MATCH(RationHivernaleBovinsAuPré&amp;$BB298,Règles_bovins[Ration]&amp;Règles_bovins[Aliment],0))="c"),
INDEX(Règles_bovins[Valeur 12-18],MATCH(RationHivernaleBovinsAuPré&amp;$BB298,Règles_bovins[Ration]&amp;Règles_bovins[Aliment],0)),0),0)*IF(SUM(TotalBovins_12_18moisAuPré)&gt;0,SUM(TotalBovins_12_18moisAuPré),SUM(TotalBovins_12_18mois))*35</f>
        <v>0</v>
      </c>
      <c r="BG298" s="350">
        <f t="array" ref="BG298">IFERROR(IF(OR(AND(INDEX(Règles_bovins[Specificite],MATCH(RationHivernaleBovinsAuPré&amp;$BB298,Règles_bovins[Ration]&amp;Règles_bovins[Aliment],0))="s1",IF($BB298=Spécificité1Bovins,1)),
AND(INDEX(Règles_bovins[Specificite],MATCH(RationHivernaleBovinsAuPré&amp;$BB298,Règles_bovins[Ration]&amp;Règles_bovins[Aliment],0))="s2",IF($BB298=Spécificité2Bovins,1)),
INDEX(Règles_bovins[Specificite],MATCH(RationHivernaleBovinsAuPré&amp;$BB298,Règles_bovins[Ration]&amp;Règles_bovins[Aliment],0))="c"),
INDEX(Règles_bovins[Valeur 6-12],MATCH(RationHivernaleBovinsAuPré&amp;$BB298,Règles_bovins[Ration]&amp;Règles_bovins[Aliment],0)),0),0)*IF(SUM(TotalBovins_6_12moisAuPré)&gt;0,SUM(TotalBovins_6_12moisAuPré),SUM(TotalBovins_6_12mois))*35</f>
        <v>0</v>
      </c>
      <c r="BH298" s="350">
        <f t="array" ref="BH298">IFERROR(IF(OR(AND(INDEX(Règles_bovins[Specificite],MATCH(RationHivernaleBovinsAuPré&amp;$BB298,Règles_bovins[Ration]&amp;Règles_bovins[Aliment],0))="s1",IF($BB298=Spécificité1Bovins,1)),
AND(INDEX(Règles_bovins[Specificite],MATCH(RationHivernaleBovinsAuPré&amp;$BB298,Règles_bovins[Ration]&amp;Règles_bovins[Aliment],0))="s2",IF($BB298=Spécificité2Bovins,1)),
INDEX(Règles_bovins[Specificite],MATCH(RationHivernaleBovinsAuPré&amp;$BB298,Règles_bovins[Ration]&amp;Règles_bovins[Aliment],0))="c"),
INDEX(Règles_bovins[Valeur 3-6],MATCH(RationHivernaleBovinsAuPré&amp;$BB298,Règles_bovins[Ration]&amp;Règles_bovins[Aliment],0)),0),0)*IF(SUM(TotalBovins_3_6moisAuPré)&gt;0,SUM(TotalBovins_3_6moisAuPré),SUM(TotalBovins_3_6mois))*35</f>
        <v>0</v>
      </c>
      <c r="BI298" s="350">
        <f t="array" ref="BI298">IFERROR(IF(OR(AND(INDEX(Règles_bovins[Specificite],MATCH(RationHivernaleBovinsAuPré&amp;$BB298,Règles_bovins[Ration]&amp;Règles_bovins[Aliment],0))="s1",IF($BB298=Spécificité1Bovins,1)),
AND(INDEX(Règles_bovins[Specificite],MATCH(RationHivernaleBovinsAuPré&amp;$BB298,Règles_bovins[Ration]&amp;Règles_bovins[Aliment],0))="s2",IF($BB298=Spécificité2Bovins,1)),
INDEX(Règles_bovins[Specificite],MATCH(RationHivernaleBovinsAuPré&amp;$BB298,Règles_bovins[Ration]&amp;Règles_bovins[Aliment],0))="c"),
INDEX(Règles_bovins[Valeur 0-3],MATCH(RationHivernaleBovinsAuPré&amp;$BB298,Règles_bovins[Ration]&amp;Règles_bovins[Aliment],0)),0),0)*IF(SUM(TotalBovins_0_3moisAuPré)&gt;0,SUM(TotalBovins_0_3moisAuPré),SUM(TotalBovins_0_3mois))*35</f>
        <v>0</v>
      </c>
      <c r="BJ298" s="352">
        <f t="shared" si="71"/>
        <v>0</v>
      </c>
      <c r="CI298" s="277"/>
      <c r="DN298" s="350" t="str">
        <f t="shared" si="73"/>
        <v>Canola</v>
      </c>
      <c r="DO298" s="351">
        <f t="array" ref="DO298">SUM((IF(QualitéAlimentsAgneauMâle_0_3_mois=BONNE,VLOOKUP("Canola",AlimentsRationOvinsMâles,5,FALSE),0)+(IF(QualitéAlimentsAgneauFemelle_0_3_mois=BONNE,VLOOKUP("Canola",AlimentsRationOvinsFemelles,5,FALSE),0)+(IF(QualitéAlimentsAgneauMâle_3_6_mois=BONNE,VLOOKUP("Canola",AlimentsRationOvinsMâles,4,FALSE),0)+(IF(QualitéAlimentsAgneauFemelle_3_6_mois=BONNE,VLOOKUP("Canola",AlimentsRationOvinsFemelles,4,FALSE),0)+(IF(QualitéAlimentsJeuneBélier=BONNE,VLOOKUP("Canola",AlimentsRationOvinsMâles,3,FALSE),0)+(IF(QualitéAlimentsJeuneBrebis=BONNE,VLOOKUP("Canola",AlimentsRationOvinsFemelles,3,FALSE),0)+(IF(QualitéAlimentsBélier=BONNE,VLOOKUP("Canola",AlimentsRationOvinsMâles,2,FALSE),0)+(IF(QualitéAlimentsBrebis=BONNE,VLOOKUP("Canola",AlimentsRationOvinsFemelles,2,FALSE),0))))))))))</f>
        <v>0</v>
      </c>
      <c r="DP298" s="351">
        <f t="array" ref="DP298">SUM((IF(QualitéAlimentsAgneauMâle_0_3_mois=MOYENNE,VLOOKUP("Canola",AlimentsRationOvinsMâles,5,FALSE),0)+(IF(QualitéAlimentsAgneauFemelle_0_3_mois=MOYENNE,VLOOKUP("Canola",AlimentsRationOvinsFemelles,5,FALSE),0)+(IF(QualitéAlimentsAgneauMâle_3_6_mois=MOYENNE,VLOOKUP("Canola",AlimentsRationOvinsMâles,4,FALSE),0)+(IF(QualitéAlimentsAgneauFemelle_3_6_mois=MOYENNE,VLOOKUP("Canola",AlimentsRationOvinsFemelles,4,FALSE),0)+(IF(QualitéAlimentsJeuneBélier=MOYENNE,VLOOKUP("Canola",AlimentsRationOvinsMâles,3,FALSE),0)+(IF(QualitéAlimentsJeuneBrebis=MOYENNE,VLOOKUP("Canola",AlimentsRationOvinsFemelles,3,FALSE),0)+(IF(QualitéAlimentsBélier=MOYENNE,VLOOKUP("Canola",AlimentsRationOvinsMâles,2,FALSE),0)+(IF(QualitéAlimentsBrebis=MOYENNE,VLOOKUP("Canola",AlimentsRationOvinsFemelles,2,FALSE),0))))))))))</f>
        <v>0</v>
      </c>
      <c r="DQ298" s="351">
        <f t="array" ref="DQ298">SUM((IF(QualitéAlimentsAgneauMâle_0_3_mois=MAUVAISE,VLOOKUP("Canola",AlimentsRationOvinsMâles,5,FALSE),0)+(IF(QualitéAlimentsAgneauFemelle_0_3_mois=MAUVAISE,VLOOKUP("Canola",AlimentsRationOvinsFemelles,5,FALSE),0)+(IF(QualitéAlimentsAgneauMâle_3_6_mois=MAUVAISE,VLOOKUP("Canola",AlimentsRationOvinsMâles,4,FALSE),0)+(IF(QualitéAlimentsAgneauFemelle_3_6_mois=MAUVAISE,VLOOKUP("Canola",AlimentsRationOvinsFemelles,4,FALSE),0)+(IF(QualitéAlimentsJeuneBélier=MAUVAISE,VLOOKUP("Canola",AlimentsRationOvinsMâles,3,FALSE),0)+(IF(QualitéAlimentsJeuneBrebis=MAUVAISE,VLOOKUP("Canola",AlimentsRationOvinsFemelles,3,FALSE),0)+(IF(QualitéAlimentsBélier=MAUVAISE,VLOOKUP("Canola",AlimentsRationOvinsMâles,2,FALSE),0)+(IF(QualitéAlimentsBrebis=MAUVAISE,VLOOKUP("Canola",AlimentsRationOvinsFemelles,2,FALSE),0))))))))))</f>
        <v>0</v>
      </c>
      <c r="DS298" s="276"/>
      <c r="GG298" s="276" t="s">
        <v>955</v>
      </c>
      <c r="GH298" s="276" t="s">
        <v>955</v>
      </c>
      <c r="GI298" s="276" t="s">
        <v>955</v>
      </c>
      <c r="GJ298" s="276" t="s">
        <v>955</v>
      </c>
      <c r="GK298" s="276" t="s">
        <v>955</v>
      </c>
      <c r="GL298" s="276" t="s">
        <v>955</v>
      </c>
      <c r="GM298" s="276" t="s">
        <v>955</v>
      </c>
      <c r="GN298" s="276" t="s">
        <v>955</v>
      </c>
      <c r="GO298" s="276" t="s">
        <v>955</v>
      </c>
      <c r="GP298" s="276" t="s">
        <v>955</v>
      </c>
      <c r="GQ298" s="276" t="s">
        <v>955</v>
      </c>
      <c r="GR298" s="276" t="s">
        <v>955</v>
      </c>
      <c r="GS298" s="276" t="s">
        <v>955</v>
      </c>
      <c r="GT298" s="276" t="s">
        <v>955</v>
      </c>
      <c r="GU298" s="276" t="s">
        <v>955</v>
      </c>
      <c r="GV298" s="276" t="s">
        <v>955</v>
      </c>
    </row>
    <row r="299" spans="1:204" ht="12.75" customHeight="1" x14ac:dyDescent="0.2">
      <c r="A299" s="276"/>
      <c r="B299" s="276"/>
      <c r="BB299" s="350" t="str">
        <f t="shared" si="72"/>
        <v>Haricot vert</v>
      </c>
      <c r="BC299" s="350">
        <f t="array" ref="BC299">IFERROR(IF(OR(AND(INDEX(Règles_bovins[Specificite],MATCH(RationHivernaleBovinsAuPré&amp;$BB299,Règles_bovins[Ration]&amp;Règles_bovins[Aliment],0))="s1",IF($BB299=Spécificité1Bovins,1)),
AND(INDEX(Règles_bovins[Specificite],MATCH(RationHivernaleBovinsAuPré&amp;$BB299,Règles_bovins[Ration]&amp;Règles_bovins[Aliment],0))="s2",IF($BB299=Spécificité2Bovins,1)),
INDEX(Règles_bovins[Specificite],MATCH(RationHivernaleBovinsAuPré&amp;$BB299,Règles_bovins[Ration]&amp;Règles_bovins[Aliment],0))="c"),
INDEX(Règles_bovins[Valeur 36 et plus],MATCH(RationHivernaleBovinsAuPré&amp;$BB299,Règles_bovins[Ration]&amp;Règles_bovins[Aliment],0)),0),0)*IF(SUM(TotalBovinsAdultesAuPré)&gt;0,SUM(TotalBovinsAdultesAuPré),SUM(TotalBovinsAdultes))*35</f>
        <v>0</v>
      </c>
      <c r="BD299" s="350">
        <f t="array" ref="BD299">IFERROR(IF(OR(AND(INDEX(Règles_bovins[Specificite],MATCH(RationHivernaleBovinsAuPré&amp;$BB299,Règles_bovins[Ration]&amp;Règles_bovins[Aliment],0))="s1",IF($BB299=Spécificité1Bovins,1)),
AND(INDEX(Règles_bovins[Specificite],MATCH(RationHivernaleBovinsAuPré&amp;$BB299,Règles_bovins[Ration]&amp;Règles_bovins[Aliment],0))="s2",IF($BB299=Spécificité2Bovins,1)),
INDEX(Règles_bovins[Specificite],MATCH(RationHivernaleBovinsAuPré&amp;$BB299,Règles_bovins[Ration]&amp;Règles_bovins[Aliment],0))="c"),
INDEX(Règles_bovins[Valeur 24-36],MATCH(RationHivernaleBovinsAuPré&amp;$BB299,Règles_bovins[Ration]&amp;Règles_bovins[Aliment],0)),0),0)*IF(SUM(TotalBovins_24_36moisAuPré)&gt;0,SUM(TotalBovins_24_36moisAuPré),SUM(TotalBovins_24_36mois))*35</f>
        <v>0</v>
      </c>
      <c r="BE299" s="350">
        <f t="array" ref="BE299">IFERROR(IF(OR(AND(INDEX(Règles_bovins[Specificite],MATCH(RationHivernaleBovinsAuPré&amp;$BB299,Règles_bovins[Ration]&amp;Règles_bovins[Aliment],0))="s1",IF($BB299=Spécificité1Bovins,1)),
AND(INDEX(Règles_bovins[Specificite],MATCH(RationHivernaleBovinsAuPré&amp;$BB299,Règles_bovins[Ration]&amp;Règles_bovins[Aliment],0))="s2",IF($BB299=Spécificité2Bovins,1)),
INDEX(Règles_bovins[Specificite],MATCH(RationHivernaleBovinsAuPré&amp;$BB299,Règles_bovins[Ration]&amp;Règles_bovins[Aliment],0))="c"),
INDEX(Règles_bovins[Valeur 18-24],MATCH(RationHivernaleBovinsAuPré&amp;$BB299,Règles_bovins[Ration]&amp;Règles_bovins[Aliment],0)),0),0)*IF(SUM(TotalBovins_18_24moisAuPré)&gt;0,SUM(TotalBovins_18_24moisAuPré),SUM(TotalBovins_18_24mois))*35</f>
        <v>0</v>
      </c>
      <c r="BF299" s="350">
        <f t="array" ref="BF299">IFERROR(IF(OR(AND(INDEX(Règles_bovins[Specificite],MATCH(RationHivernaleBovinsAuPré&amp;$BB299,Règles_bovins[Ration]&amp;Règles_bovins[Aliment],0))="s1",IF($BB299=Spécificité1Bovins,1)),
AND(INDEX(Règles_bovins[Specificite],MATCH(RationHivernaleBovinsAuPré&amp;$BB299,Règles_bovins[Ration]&amp;Règles_bovins[Aliment],0))="s2",IF($BB299=Spécificité2Bovins,1)),
INDEX(Règles_bovins[Specificite],MATCH(RationHivernaleBovinsAuPré&amp;$BB299,Règles_bovins[Ration]&amp;Règles_bovins[Aliment],0))="c"),
INDEX(Règles_bovins[Valeur 12-18],MATCH(RationHivernaleBovinsAuPré&amp;$BB299,Règles_bovins[Ration]&amp;Règles_bovins[Aliment],0)),0),0)*IF(SUM(TotalBovins_12_18moisAuPré)&gt;0,SUM(TotalBovins_12_18moisAuPré),SUM(TotalBovins_12_18mois))*35</f>
        <v>0</v>
      </c>
      <c r="BG299" s="350">
        <f t="array" ref="BG299">IFERROR(IF(OR(AND(INDEX(Règles_bovins[Specificite],MATCH(RationHivernaleBovinsAuPré&amp;$BB299,Règles_bovins[Ration]&amp;Règles_bovins[Aliment],0))="s1",IF($BB299=Spécificité1Bovins,1)),
AND(INDEX(Règles_bovins[Specificite],MATCH(RationHivernaleBovinsAuPré&amp;$BB299,Règles_bovins[Ration]&amp;Règles_bovins[Aliment],0))="s2",IF($BB299=Spécificité2Bovins,1)),
INDEX(Règles_bovins[Specificite],MATCH(RationHivernaleBovinsAuPré&amp;$BB299,Règles_bovins[Ration]&amp;Règles_bovins[Aliment],0))="c"),
INDEX(Règles_bovins[Valeur 6-12],MATCH(RationHivernaleBovinsAuPré&amp;$BB299,Règles_bovins[Ration]&amp;Règles_bovins[Aliment],0)),0),0)*IF(SUM(TotalBovins_6_12moisAuPré)&gt;0,SUM(TotalBovins_6_12moisAuPré),SUM(TotalBovins_6_12mois))*35</f>
        <v>0</v>
      </c>
      <c r="BH299" s="350">
        <f t="array" ref="BH299">IFERROR(IF(OR(AND(INDEX(Règles_bovins[Specificite],MATCH(RationHivernaleBovinsAuPré&amp;$BB299,Règles_bovins[Ration]&amp;Règles_bovins[Aliment],0))="s1",IF($BB299=Spécificité1Bovins,1)),
AND(INDEX(Règles_bovins[Specificite],MATCH(RationHivernaleBovinsAuPré&amp;$BB299,Règles_bovins[Ration]&amp;Règles_bovins[Aliment],0))="s2",IF($BB299=Spécificité2Bovins,1)),
INDEX(Règles_bovins[Specificite],MATCH(RationHivernaleBovinsAuPré&amp;$BB299,Règles_bovins[Ration]&amp;Règles_bovins[Aliment],0))="c"),
INDEX(Règles_bovins[Valeur 3-6],MATCH(RationHivernaleBovinsAuPré&amp;$BB299,Règles_bovins[Ration]&amp;Règles_bovins[Aliment],0)),0),0)*IF(SUM(TotalBovins_3_6moisAuPré)&gt;0,SUM(TotalBovins_3_6moisAuPré),SUM(TotalBovins_3_6mois))*35</f>
        <v>0</v>
      </c>
      <c r="BI299" s="350">
        <f t="array" ref="BI299">IFERROR(IF(OR(AND(INDEX(Règles_bovins[Specificite],MATCH(RationHivernaleBovinsAuPré&amp;$BB299,Règles_bovins[Ration]&amp;Règles_bovins[Aliment],0))="s1",IF($BB299=Spécificité1Bovins,1)),
AND(INDEX(Règles_bovins[Specificite],MATCH(RationHivernaleBovinsAuPré&amp;$BB299,Règles_bovins[Ration]&amp;Règles_bovins[Aliment],0))="s2",IF($BB299=Spécificité2Bovins,1)),
INDEX(Règles_bovins[Specificite],MATCH(RationHivernaleBovinsAuPré&amp;$BB299,Règles_bovins[Ration]&amp;Règles_bovins[Aliment],0))="c"),
INDEX(Règles_bovins[Valeur 0-3],MATCH(RationHivernaleBovinsAuPré&amp;$BB299,Règles_bovins[Ration]&amp;Règles_bovins[Aliment],0)),0),0)*IF(SUM(TotalBovins_0_3moisAuPré)&gt;0,SUM(TotalBovins_0_3moisAuPré),SUM(TotalBovins_0_3mois))*35</f>
        <v>0</v>
      </c>
      <c r="BJ299" s="352">
        <f t="shared" si="71"/>
        <v>0</v>
      </c>
      <c r="CI299" s="277"/>
      <c r="DN299" s="350" t="str">
        <f t="shared" si="73"/>
        <v>Colza</v>
      </c>
      <c r="DO299" s="351">
        <f t="array" ref="DO299">SUM((IF(QualitéAlimentsAgneauMâle_0_3_mois=BONNE,VLOOKUP("Colza",AlimentsRationOvinsMâles,5,FALSE),0)+(IF(QualitéAlimentsAgneauFemelle_0_3_mois=BONNE,VLOOKUP("Colza",AlimentsRationOvinsFemelles,5,FALSE),0)+(IF(QualitéAlimentsAgneauMâle_3_6_mois=BONNE,VLOOKUP("Colza",AlimentsRationOvinsMâles,4,FALSE),0)+(IF(QualitéAlimentsAgneauFemelle_3_6_mois=BONNE,VLOOKUP("Colza",AlimentsRationOvinsFemelles,4,FALSE),0)+(IF(QualitéAlimentsJeuneBélier=BONNE,VLOOKUP("Colza",AlimentsRationOvinsMâles,3,FALSE),0)+(IF(QualitéAlimentsJeuneBrebis=BONNE,VLOOKUP("Colza",AlimentsRationOvinsFemelles,3,FALSE),0)+(IF(QualitéAlimentsBélier=BONNE,VLOOKUP("Colza",AlimentsRationOvinsMâles,2,FALSE),0)+(IF(QualitéAlimentsBrebis=BONNE,VLOOKUP("Colza",AlimentsRationOvinsFemelles,2,FALSE),0))))))))))</f>
        <v>0</v>
      </c>
      <c r="DP299" s="351">
        <f t="array" ref="DP299">SUM((IF(QualitéAlimentsAgneauMâle_0_3_mois=MOYENNE,VLOOKUP("Colza",AlimentsRationOvinsMâles,5,FALSE),0)+(IF(QualitéAlimentsAgneauFemelle_0_3_mois=MOYENNE,VLOOKUP("Colza",AlimentsRationOvinsFemelles,5,FALSE),0)+(IF(QualitéAlimentsAgneauMâle_3_6_mois=MOYENNE,VLOOKUP("Colza",AlimentsRationOvinsMâles,4,FALSE),0)+(IF(QualitéAlimentsAgneauFemelle_3_6_mois=MOYENNE,VLOOKUP("Colza",AlimentsRationOvinsFemelles,4,FALSE),0)+(IF(QualitéAlimentsJeuneBélier=MOYENNE,VLOOKUP("Colza",AlimentsRationOvinsMâles,3,FALSE),0)+(IF(QualitéAlimentsJeuneBrebis=MOYENNE,VLOOKUP("Colza",AlimentsRationOvinsFemelles,3,FALSE),0)+(IF(QualitéAlimentsBélier=MOYENNE,VLOOKUP("Colza",AlimentsRationOvinsMâles,2,FALSE),0)+(IF(QualitéAlimentsBrebis=MOYENNE,VLOOKUP("Colza",AlimentsRationOvinsFemelles,2,FALSE),0))))))))))</f>
        <v>0</v>
      </c>
      <c r="DQ299" s="351">
        <f t="array" ref="DQ299">SUM((IF(QualitéAlimentsAgneauMâle_0_3_mois=MAUVAISE,VLOOKUP("Colza",AlimentsRationOvinsMâles,5,FALSE),0)+(IF(QualitéAlimentsAgneauFemelle_0_3_mois=MAUVAISE,VLOOKUP("Colza",AlimentsRationOvinsFemelles,5,FALSE),0)+(IF(QualitéAlimentsAgneauMâle_3_6_mois=MAUVAISE,VLOOKUP("Colza",AlimentsRationOvinsMâles,4,FALSE),0)+(IF(QualitéAlimentsAgneauFemelle_3_6_mois=MAUVAISE,VLOOKUP("Colza",AlimentsRationOvinsFemelles,4,FALSE),0)+(IF(QualitéAlimentsJeuneBélier=MAUVAISE,VLOOKUP("Colza",AlimentsRationOvinsMâles,3,FALSE),0)+(IF(QualitéAlimentsJeuneBrebis=MAUVAISE,VLOOKUP("Colza",AlimentsRationOvinsFemelles,3,FALSE),0)+(IF(QualitéAlimentsBélier=MAUVAISE,VLOOKUP("Colza",AlimentsRationOvinsMâles,2,FALSE),0)+(IF(QualitéAlimentsBrebis=MAUVAISE,VLOOKUP("Colza",AlimentsRationOvinsFemelles,2,FALSE),0))))))))))</f>
        <v>0</v>
      </c>
      <c r="DS299" s="276"/>
      <c r="GG299" s="276" t="s">
        <v>955</v>
      </c>
      <c r="GH299" s="276" t="s">
        <v>955</v>
      </c>
      <c r="GI299" s="276" t="s">
        <v>955</v>
      </c>
      <c r="GJ299" s="276" t="s">
        <v>955</v>
      </c>
      <c r="GK299" s="276" t="s">
        <v>955</v>
      </c>
      <c r="GL299" s="276" t="s">
        <v>955</v>
      </c>
      <c r="GM299" s="276" t="s">
        <v>955</v>
      </c>
      <c r="GN299" s="276" t="s">
        <v>955</v>
      </c>
      <c r="GO299" s="276" t="s">
        <v>955</v>
      </c>
      <c r="GP299" s="276" t="s">
        <v>955</v>
      </c>
      <c r="GQ299" s="276" t="s">
        <v>955</v>
      </c>
      <c r="GR299" s="276" t="s">
        <v>955</v>
      </c>
      <c r="GS299" s="276" t="s">
        <v>955</v>
      </c>
      <c r="GT299" s="276" t="s">
        <v>955</v>
      </c>
      <c r="GU299" s="276" t="s">
        <v>955</v>
      </c>
      <c r="GV299" s="276" t="s">
        <v>955</v>
      </c>
    </row>
    <row r="300" spans="1:204" ht="12.75" customHeight="1" x14ac:dyDescent="0.2">
      <c r="A300" s="276"/>
      <c r="B300" s="276"/>
      <c r="BB300" s="350" t="str">
        <f t="shared" si="72"/>
        <v>Lentille</v>
      </c>
      <c r="BC300" s="350">
        <f t="array" ref="BC300">IFERROR(IF(OR(AND(INDEX(Règles_bovins[Specificite],MATCH(RationHivernaleBovinsAuPré&amp;$BB300,Règles_bovins[Ration]&amp;Règles_bovins[Aliment],0))="s1",IF($BB300=Spécificité1Bovins,1)),
AND(INDEX(Règles_bovins[Specificite],MATCH(RationHivernaleBovinsAuPré&amp;$BB300,Règles_bovins[Ration]&amp;Règles_bovins[Aliment],0))="s2",IF($BB300=Spécificité2Bovins,1)),
INDEX(Règles_bovins[Specificite],MATCH(RationHivernaleBovinsAuPré&amp;$BB300,Règles_bovins[Ration]&amp;Règles_bovins[Aliment],0))="c"),
INDEX(Règles_bovins[Valeur 36 et plus],MATCH(RationHivernaleBovinsAuPré&amp;$BB300,Règles_bovins[Ration]&amp;Règles_bovins[Aliment],0)),0),0)*IF(SUM(TotalBovinsAdultesAuPré)&gt;0,SUM(TotalBovinsAdultesAuPré),SUM(TotalBovinsAdultes))*35</f>
        <v>0</v>
      </c>
      <c r="BD300" s="350">
        <f t="array" ref="BD300">IFERROR(IF(OR(AND(INDEX(Règles_bovins[Specificite],MATCH(RationHivernaleBovinsAuPré&amp;$BB300,Règles_bovins[Ration]&amp;Règles_bovins[Aliment],0))="s1",IF($BB300=Spécificité1Bovins,1)),
AND(INDEX(Règles_bovins[Specificite],MATCH(RationHivernaleBovinsAuPré&amp;$BB300,Règles_bovins[Ration]&amp;Règles_bovins[Aliment],0))="s2",IF($BB300=Spécificité2Bovins,1)),
INDEX(Règles_bovins[Specificite],MATCH(RationHivernaleBovinsAuPré&amp;$BB300,Règles_bovins[Ration]&amp;Règles_bovins[Aliment],0))="c"),
INDEX(Règles_bovins[Valeur 24-36],MATCH(RationHivernaleBovinsAuPré&amp;$BB300,Règles_bovins[Ration]&amp;Règles_bovins[Aliment],0)),0),0)*IF(SUM(TotalBovins_24_36moisAuPré)&gt;0,SUM(TotalBovins_24_36moisAuPré),SUM(TotalBovins_24_36mois))*35</f>
        <v>0</v>
      </c>
      <c r="BE300" s="350">
        <f t="array" ref="BE300">IFERROR(IF(OR(AND(INDEX(Règles_bovins[Specificite],MATCH(RationHivernaleBovinsAuPré&amp;$BB300,Règles_bovins[Ration]&amp;Règles_bovins[Aliment],0))="s1",IF($BB300=Spécificité1Bovins,1)),
AND(INDEX(Règles_bovins[Specificite],MATCH(RationHivernaleBovinsAuPré&amp;$BB300,Règles_bovins[Ration]&amp;Règles_bovins[Aliment],0))="s2",IF($BB300=Spécificité2Bovins,1)),
INDEX(Règles_bovins[Specificite],MATCH(RationHivernaleBovinsAuPré&amp;$BB300,Règles_bovins[Ration]&amp;Règles_bovins[Aliment],0))="c"),
INDEX(Règles_bovins[Valeur 18-24],MATCH(RationHivernaleBovinsAuPré&amp;$BB300,Règles_bovins[Ration]&amp;Règles_bovins[Aliment],0)),0),0)*IF(SUM(TotalBovins_18_24moisAuPré)&gt;0,SUM(TotalBovins_18_24moisAuPré),SUM(TotalBovins_18_24mois))*35</f>
        <v>0</v>
      </c>
      <c r="BF300" s="350">
        <f t="array" ref="BF300">IFERROR(IF(OR(AND(INDEX(Règles_bovins[Specificite],MATCH(RationHivernaleBovinsAuPré&amp;$BB300,Règles_bovins[Ration]&amp;Règles_bovins[Aliment],0))="s1",IF($BB300=Spécificité1Bovins,1)),
AND(INDEX(Règles_bovins[Specificite],MATCH(RationHivernaleBovinsAuPré&amp;$BB300,Règles_bovins[Ration]&amp;Règles_bovins[Aliment],0))="s2",IF($BB300=Spécificité2Bovins,1)),
INDEX(Règles_bovins[Specificite],MATCH(RationHivernaleBovinsAuPré&amp;$BB300,Règles_bovins[Ration]&amp;Règles_bovins[Aliment],0))="c"),
INDEX(Règles_bovins[Valeur 12-18],MATCH(RationHivernaleBovinsAuPré&amp;$BB300,Règles_bovins[Ration]&amp;Règles_bovins[Aliment],0)),0),0)*IF(SUM(TotalBovins_12_18moisAuPré)&gt;0,SUM(TotalBovins_12_18moisAuPré),SUM(TotalBovins_12_18mois))*35</f>
        <v>0</v>
      </c>
      <c r="BG300" s="350">
        <f t="array" ref="BG300">IFERROR(IF(OR(AND(INDEX(Règles_bovins[Specificite],MATCH(RationHivernaleBovinsAuPré&amp;$BB300,Règles_bovins[Ration]&amp;Règles_bovins[Aliment],0))="s1",IF($BB300=Spécificité1Bovins,1)),
AND(INDEX(Règles_bovins[Specificite],MATCH(RationHivernaleBovinsAuPré&amp;$BB300,Règles_bovins[Ration]&amp;Règles_bovins[Aliment],0))="s2",IF($BB300=Spécificité2Bovins,1)),
INDEX(Règles_bovins[Specificite],MATCH(RationHivernaleBovinsAuPré&amp;$BB300,Règles_bovins[Ration]&amp;Règles_bovins[Aliment],0))="c"),
INDEX(Règles_bovins[Valeur 6-12],MATCH(RationHivernaleBovinsAuPré&amp;$BB300,Règles_bovins[Ration]&amp;Règles_bovins[Aliment],0)),0),0)*IF(SUM(TotalBovins_6_12moisAuPré)&gt;0,SUM(TotalBovins_6_12moisAuPré),SUM(TotalBovins_6_12mois))*35</f>
        <v>0</v>
      </c>
      <c r="BH300" s="350">
        <f t="array" ref="BH300">IFERROR(IF(OR(AND(INDEX(Règles_bovins[Specificite],MATCH(RationHivernaleBovinsAuPré&amp;$BB300,Règles_bovins[Ration]&amp;Règles_bovins[Aliment],0))="s1",IF($BB300=Spécificité1Bovins,1)),
AND(INDEX(Règles_bovins[Specificite],MATCH(RationHivernaleBovinsAuPré&amp;$BB300,Règles_bovins[Ration]&amp;Règles_bovins[Aliment],0))="s2",IF($BB300=Spécificité2Bovins,1)),
INDEX(Règles_bovins[Specificite],MATCH(RationHivernaleBovinsAuPré&amp;$BB300,Règles_bovins[Ration]&amp;Règles_bovins[Aliment],0))="c"),
INDEX(Règles_bovins[Valeur 3-6],MATCH(RationHivernaleBovinsAuPré&amp;$BB300,Règles_bovins[Ration]&amp;Règles_bovins[Aliment],0)),0),0)*IF(SUM(TotalBovins_3_6moisAuPré)&gt;0,SUM(TotalBovins_3_6moisAuPré),SUM(TotalBovins_3_6mois))*35</f>
        <v>0</v>
      </c>
      <c r="BI300" s="350">
        <f t="array" ref="BI300">IFERROR(IF(OR(AND(INDEX(Règles_bovins[Specificite],MATCH(RationHivernaleBovinsAuPré&amp;$BB300,Règles_bovins[Ration]&amp;Règles_bovins[Aliment],0))="s1",IF($BB300=Spécificité1Bovins,1)),
AND(INDEX(Règles_bovins[Specificite],MATCH(RationHivernaleBovinsAuPré&amp;$BB300,Règles_bovins[Ration]&amp;Règles_bovins[Aliment],0))="s2",IF($BB300=Spécificité2Bovins,1)),
INDEX(Règles_bovins[Specificite],MATCH(RationHivernaleBovinsAuPré&amp;$BB300,Règles_bovins[Ration]&amp;Règles_bovins[Aliment],0))="c"),
INDEX(Règles_bovins[Valeur 0-3],MATCH(RationHivernaleBovinsAuPré&amp;$BB300,Règles_bovins[Ration]&amp;Règles_bovins[Aliment],0)),0),0)*IF(SUM(TotalBovins_0_3moisAuPré)&gt;0,SUM(TotalBovins_0_3moisAuPré),SUM(TotalBovins_0_3mois))*35</f>
        <v>0</v>
      </c>
      <c r="BJ300" s="352">
        <f t="shared" si="71"/>
        <v>0</v>
      </c>
      <c r="CI300" s="277"/>
      <c r="DN300" s="350" t="str">
        <f t="shared" si="73"/>
        <v>concentré jeunes bovins</v>
      </c>
      <c r="DO300" s="351">
        <f t="array" ref="DO300">SUM((IF(QualitéAlimentsAgneauMâle_0_3_mois=BONNE,VLOOKUP("Concentré jeunes bovins",AlimentsRationOvinsMâles,5,FALSE),0)+(IF(QualitéAlimentsAgneauFemelle_0_3_mois=BONNE,VLOOKUP("Concentré jeunes bovins",AlimentsRationOvinsFemelles,5,FALSE),0)+(IF(QualitéAlimentsAgneauMâle_3_6_mois=BONNE,VLOOKUP("Concentré jeunes bovins",AlimentsRationOvinsMâles,4,FALSE),0)+(IF(QualitéAlimentsAgneauFemelle_3_6_mois=BONNE,VLOOKUP("Concentré jeunes bovins",AlimentsRationOvinsFemelles,4,FALSE),0)+(IF(QualitéAlimentsJeuneBélier=BONNE,VLOOKUP("Concentré jeunes bovins",AlimentsRationOvinsMâles,3,FALSE),0)+(IF(QualitéAlimentsJeuneBrebis=BONNE,VLOOKUP("Concentré jeunes bovins",AlimentsRationOvinsFemelles,3,FALSE),0)+(IF(QualitéAlimentsBélier=BONNE,VLOOKUP("Concentré jeunes bovins",AlimentsRationOvinsMâles,2,FALSE),0)+(IF(QualitéAlimentsBrebis=BONNE,VLOOKUP("Concentré jeunes bovins",AlimentsRationOvinsFemelles,2,FALSE),0))))))))))</f>
        <v>0</v>
      </c>
      <c r="DP300" s="351">
        <f t="array" ref="DP300">SUM((IF(QualitéAlimentsAgneauMâle_0_3_mois=MOYENNE,VLOOKUP("Concentré jeunes bovins",AlimentsRationOvinsMâles,5,FALSE),0)+(IF(QualitéAlimentsAgneauFemelle_0_3_mois=MOYENNE,VLOOKUP("Concentré jeunes bovins",AlimentsRationOvinsFemelles,5,FALSE),0)+(IF(QualitéAlimentsAgneauMâle_3_6_mois=MOYENNE,VLOOKUP("Concentré jeunes bovins",AlimentsRationOvinsMâles,4,FALSE),0)+(IF(QualitéAlimentsAgneauFemelle_3_6_mois=MOYENNE,VLOOKUP("Concentré jeunes bovins",AlimentsRationOvinsFemelles,4,FALSE),0)+(IF(QualitéAlimentsJeuneBélier=MOYENNE,VLOOKUP("Concentré jeunes bovins",AlimentsRationOvinsMâles,3,FALSE),0)+(IF(QualitéAlimentsJeuneBrebis=MOYENNE,VLOOKUP("Concentré jeunes bovins",AlimentsRationOvinsFemelles,3,FALSE),0)+(IF(QualitéAlimentsBélier=MOYENNE,VLOOKUP("Concentré jeunes bovins",AlimentsRationOvinsMâles,2,FALSE),0)+(IF(QualitéAlimentsBrebis=MOYENNE,VLOOKUP("Concentré jeunes bovins",AlimentsRationOvinsFemelles,2,FALSE),0))))))))))</f>
        <v>0</v>
      </c>
      <c r="DQ300" s="351">
        <f t="array" ref="DQ300">SUM((IF(QualitéAlimentsAgneauMâle_0_3_mois=MAUVAISE,VLOOKUP("Concentré jeunes bovins",AlimentsRationOvinsMâles,5,FALSE),0)+(IF(QualitéAlimentsAgneauFemelle_0_3_mois=MAUVAISE,VLOOKUP("Concentré jeunes bovins",AlimentsRationOvinsFemelles,5,FALSE),0)+(IF(QualitéAlimentsAgneauMâle_3_6_mois=MAUVAISE,VLOOKUP("Concentré jeunes bovins",AlimentsRationOvinsMâles,4,FALSE),0)+(IF(QualitéAlimentsAgneauFemelle_3_6_mois=MAUVAISE,VLOOKUP("Concentré jeunes bovins",AlimentsRationOvinsFemelles,4,FALSE),0)+(IF(QualitéAlimentsJeuneBélier=MAUVAISE,VLOOKUP("Concentré jeunes bovins",AlimentsRationOvinsMâles,3,FALSE),0)+(IF(QualitéAlimentsJeuneBrebis=MAUVAISE,VLOOKUP("Concentré jeunes bovins",AlimentsRationOvinsFemelles,3,FALSE),0)+(IF(QualitéAlimentsBélier=MAUVAISE,VLOOKUP("Concentré jeunes bovins",AlimentsRationOvinsMâles,2,FALSE),0)+(IF(QualitéAlimentsBrebis=MAUVAISE,VLOOKUP("Concentré jeunes bovins",AlimentsRationOvinsFemelles,2,FALSE),0))))))))))</f>
        <v>0</v>
      </c>
      <c r="DS300" s="276"/>
      <c r="GG300" s="276" t="s">
        <v>955</v>
      </c>
      <c r="GH300" s="276" t="s">
        <v>955</v>
      </c>
      <c r="GI300" s="276" t="s">
        <v>955</v>
      </c>
      <c r="GJ300" s="276" t="s">
        <v>955</v>
      </c>
      <c r="GK300" s="276" t="s">
        <v>955</v>
      </c>
      <c r="GL300" s="276" t="s">
        <v>955</v>
      </c>
      <c r="GM300" s="276" t="s">
        <v>955</v>
      </c>
      <c r="GN300" s="276" t="s">
        <v>955</v>
      </c>
      <c r="GO300" s="276" t="s">
        <v>955</v>
      </c>
      <c r="GP300" s="276" t="s">
        <v>955</v>
      </c>
      <c r="GQ300" s="276" t="s">
        <v>955</v>
      </c>
      <c r="GR300" s="276" t="s">
        <v>955</v>
      </c>
      <c r="GS300" s="276" t="s">
        <v>955</v>
      </c>
      <c r="GT300" s="276" t="s">
        <v>955</v>
      </c>
      <c r="GU300" s="276" t="s">
        <v>955</v>
      </c>
      <c r="GV300" s="276" t="s">
        <v>955</v>
      </c>
    </row>
    <row r="301" spans="1:204" ht="12.75" customHeight="1" x14ac:dyDescent="0.2">
      <c r="A301" s="276"/>
      <c r="B301" s="276"/>
      <c r="BB301" s="350" t="str">
        <f t="shared" si="72"/>
        <v>Maïs ensilé</v>
      </c>
      <c r="BC301" s="350">
        <f t="array" ref="BC301">IFERROR(IF(OR(AND(INDEX(Règles_bovins[Specificite],MATCH(RationHivernaleBovinsAuPré&amp;$BB301,Règles_bovins[Ration]&amp;Règles_bovins[Aliment],0))="s1",IF($BB301=Spécificité1Bovins,1)),
AND(INDEX(Règles_bovins[Specificite],MATCH(RationHivernaleBovinsAuPré&amp;$BB301,Règles_bovins[Ration]&amp;Règles_bovins[Aliment],0))="s2",IF($BB301=Spécificité2Bovins,1)),
INDEX(Règles_bovins[Specificite],MATCH(RationHivernaleBovinsAuPré&amp;$BB301,Règles_bovins[Ration]&amp;Règles_bovins[Aliment],0))="c"),
INDEX(Règles_bovins[Valeur 36 et plus],MATCH(RationHivernaleBovinsAuPré&amp;$BB301,Règles_bovins[Ration]&amp;Règles_bovins[Aliment],0)),0),0)*IF(SUM(TotalBovinsAdultesAuPré)&gt;0,SUM(TotalBovinsAdultesAuPré),SUM(TotalBovinsAdultes))*35</f>
        <v>0</v>
      </c>
      <c r="BD301" s="350">
        <f t="array" ref="BD301">IFERROR(IF(OR(AND(INDEX(Règles_bovins[Specificite],MATCH(RationHivernaleBovinsAuPré&amp;$BB301,Règles_bovins[Ration]&amp;Règles_bovins[Aliment],0))="s1",IF($BB301=Spécificité1Bovins,1)),
AND(INDEX(Règles_bovins[Specificite],MATCH(RationHivernaleBovinsAuPré&amp;$BB301,Règles_bovins[Ration]&amp;Règles_bovins[Aliment],0))="s2",IF($BB301=Spécificité2Bovins,1)),
INDEX(Règles_bovins[Specificite],MATCH(RationHivernaleBovinsAuPré&amp;$BB301,Règles_bovins[Ration]&amp;Règles_bovins[Aliment],0))="c"),
INDEX(Règles_bovins[Valeur 24-36],MATCH(RationHivernaleBovinsAuPré&amp;$BB301,Règles_bovins[Ration]&amp;Règles_bovins[Aliment],0)),0),0)*IF(SUM(TotalBovins_24_36moisAuPré)&gt;0,SUM(TotalBovins_24_36moisAuPré),SUM(TotalBovins_24_36mois))*35</f>
        <v>0</v>
      </c>
      <c r="BE301" s="350">
        <f t="array" ref="BE301">IFERROR(IF(OR(AND(INDEX(Règles_bovins[Specificite],MATCH(RationHivernaleBovinsAuPré&amp;$BB301,Règles_bovins[Ration]&amp;Règles_bovins[Aliment],0))="s1",IF($BB301=Spécificité1Bovins,1)),
AND(INDEX(Règles_bovins[Specificite],MATCH(RationHivernaleBovinsAuPré&amp;$BB301,Règles_bovins[Ration]&amp;Règles_bovins[Aliment],0))="s2",IF($BB301=Spécificité2Bovins,1)),
INDEX(Règles_bovins[Specificite],MATCH(RationHivernaleBovinsAuPré&amp;$BB301,Règles_bovins[Ration]&amp;Règles_bovins[Aliment],0))="c"),
INDEX(Règles_bovins[Valeur 18-24],MATCH(RationHivernaleBovinsAuPré&amp;$BB301,Règles_bovins[Ration]&amp;Règles_bovins[Aliment],0)),0),0)*IF(SUM(TotalBovins_18_24moisAuPré)&gt;0,SUM(TotalBovins_18_24moisAuPré),SUM(TotalBovins_18_24mois))*35</f>
        <v>0</v>
      </c>
      <c r="BF301" s="350">
        <f t="array" ref="BF301">IFERROR(IF(OR(AND(INDEX(Règles_bovins[Specificite],MATCH(RationHivernaleBovinsAuPré&amp;$BB301,Règles_bovins[Ration]&amp;Règles_bovins[Aliment],0))="s1",IF($BB301=Spécificité1Bovins,1)),
AND(INDEX(Règles_bovins[Specificite],MATCH(RationHivernaleBovinsAuPré&amp;$BB301,Règles_bovins[Ration]&amp;Règles_bovins[Aliment],0))="s2",IF($BB301=Spécificité2Bovins,1)),
INDEX(Règles_bovins[Specificite],MATCH(RationHivernaleBovinsAuPré&amp;$BB301,Règles_bovins[Ration]&amp;Règles_bovins[Aliment],0))="c"),
INDEX(Règles_bovins[Valeur 12-18],MATCH(RationHivernaleBovinsAuPré&amp;$BB301,Règles_bovins[Ration]&amp;Règles_bovins[Aliment],0)),0),0)*IF(SUM(TotalBovins_12_18moisAuPré)&gt;0,SUM(TotalBovins_12_18moisAuPré),SUM(TotalBovins_12_18mois))*35</f>
        <v>0</v>
      </c>
      <c r="BG301" s="350">
        <f t="array" ref="BG301">IFERROR(IF(OR(AND(INDEX(Règles_bovins[Specificite],MATCH(RationHivernaleBovinsAuPré&amp;$BB301,Règles_bovins[Ration]&amp;Règles_bovins[Aliment],0))="s1",IF($BB301=Spécificité1Bovins,1)),
AND(INDEX(Règles_bovins[Specificite],MATCH(RationHivernaleBovinsAuPré&amp;$BB301,Règles_bovins[Ration]&amp;Règles_bovins[Aliment],0))="s2",IF($BB301=Spécificité2Bovins,1)),
INDEX(Règles_bovins[Specificite],MATCH(RationHivernaleBovinsAuPré&amp;$BB301,Règles_bovins[Ration]&amp;Règles_bovins[Aliment],0))="c"),
INDEX(Règles_bovins[Valeur 6-12],MATCH(RationHivernaleBovinsAuPré&amp;$BB301,Règles_bovins[Ration]&amp;Règles_bovins[Aliment],0)),0),0)*IF(SUM(TotalBovins_6_12moisAuPré)&gt;0,SUM(TotalBovins_6_12moisAuPré),SUM(TotalBovins_6_12mois))*35</f>
        <v>0</v>
      </c>
      <c r="BH301" s="350">
        <f t="array" ref="BH301">IFERROR(IF(OR(AND(INDEX(Règles_bovins[Specificite],MATCH(RationHivernaleBovinsAuPré&amp;$BB301,Règles_bovins[Ration]&amp;Règles_bovins[Aliment],0))="s1",IF($BB301=Spécificité1Bovins,1)),
AND(INDEX(Règles_bovins[Specificite],MATCH(RationHivernaleBovinsAuPré&amp;$BB301,Règles_bovins[Ration]&amp;Règles_bovins[Aliment],0))="s2",IF($BB301=Spécificité2Bovins,1)),
INDEX(Règles_bovins[Specificite],MATCH(RationHivernaleBovinsAuPré&amp;$BB301,Règles_bovins[Ration]&amp;Règles_bovins[Aliment],0))="c"),
INDEX(Règles_bovins[Valeur 3-6],MATCH(RationHivernaleBovinsAuPré&amp;$BB301,Règles_bovins[Ration]&amp;Règles_bovins[Aliment],0)),0),0)*IF(SUM(TotalBovins_3_6moisAuPré)&gt;0,SUM(TotalBovins_3_6moisAuPré),SUM(TotalBovins_3_6mois))*35</f>
        <v>0</v>
      </c>
      <c r="BI301" s="350">
        <f t="array" ref="BI301">IFERROR(IF(OR(AND(INDEX(Règles_bovins[Specificite],MATCH(RationHivernaleBovinsAuPré&amp;$BB301,Règles_bovins[Ration]&amp;Règles_bovins[Aliment],0))="s1",IF($BB301=Spécificité1Bovins,1)),
AND(INDEX(Règles_bovins[Specificite],MATCH(RationHivernaleBovinsAuPré&amp;$BB301,Règles_bovins[Ration]&amp;Règles_bovins[Aliment],0))="s2",IF($BB301=Spécificité2Bovins,1)),
INDEX(Règles_bovins[Specificite],MATCH(RationHivernaleBovinsAuPré&amp;$BB301,Règles_bovins[Ration]&amp;Règles_bovins[Aliment],0))="c"),
INDEX(Règles_bovins[Valeur 0-3],MATCH(RationHivernaleBovinsAuPré&amp;$BB301,Règles_bovins[Ration]&amp;Règles_bovins[Aliment],0)),0),0)*IF(SUM(TotalBovins_0_3moisAuPré)&gt;0,SUM(TotalBovins_0_3moisAuPré),SUM(TotalBovins_0_3mois))*35</f>
        <v>0</v>
      </c>
      <c r="BJ301" s="352">
        <f t="shared" si="71"/>
        <v>0</v>
      </c>
      <c r="CI301" s="277"/>
      <c r="DN301" s="350" t="str">
        <f t="shared" si="73"/>
        <v>concentré jeunes lapins</v>
      </c>
      <c r="DO301" s="351">
        <f t="array" ref="DO301">SUM((IF(QualitéAlimentsAgneauMâle_0_3_mois=BONNE,VLOOKUP("Concentré jeunes lapins",AlimentsRationOvinsMâles,5,FALSE),0)+(IF(QualitéAlimentsAgneauFemelle_0_3_mois=BONNE,VLOOKUP("Concentré jeunes lapins",AlimentsRationOvinsFemelles,5,FALSE),0)+(IF(QualitéAlimentsAgneauMâle_3_6_mois=BONNE,VLOOKUP("Concentré jeunes lapins",AlimentsRationOvinsMâles,4,FALSE),0)+(IF(QualitéAlimentsAgneauFemelle_3_6_mois=BONNE,VLOOKUP("Concentré jeunes lapins",AlimentsRationOvinsFemelles,4,FALSE),0)+(IF(QualitéAlimentsJeuneBélier=BONNE,VLOOKUP("Concentré jeunes lapins",AlimentsRationOvinsMâles,3,FALSE),0)+(IF(QualitéAlimentsJeuneBrebis=BONNE,VLOOKUP("Concentré jeunes lapins",AlimentsRationOvinsFemelles,3,FALSE),0)+(IF(QualitéAlimentsBélier=BONNE,VLOOKUP("Concentré jeunes lapins",AlimentsRationOvinsMâles,2,FALSE),0)+(IF(QualitéAlimentsBrebis=BONNE,VLOOKUP("Concentré jeunes lapins",AlimentsRationOvinsFemelles,2,FALSE),0))))))))))</f>
        <v>0</v>
      </c>
      <c r="DP301" s="351">
        <f t="array" ref="DP301">SUM((IF(QualitéAlimentsAgneauMâle_0_3_mois=MOYENNE,VLOOKUP("Concentré jeunes lapins",AlimentsRationOvinsMâles,5,FALSE),0)+(IF(QualitéAlimentsAgneauFemelle_0_3_mois=MOYENNE,VLOOKUP("Concentré jeunes lapins",AlimentsRationOvinsFemelles,5,FALSE),0)+(IF(QualitéAlimentsAgneauMâle_3_6_mois=MOYENNE,VLOOKUP("Concentré jeunes lapins",AlimentsRationOvinsMâles,4,FALSE),0)+(IF(QualitéAlimentsAgneauFemelle_3_6_mois=MOYENNE,VLOOKUP("Concentré jeunes lapins",AlimentsRationOvinsFemelles,4,FALSE),0)+(IF(QualitéAlimentsJeuneBélier=MOYENNE,VLOOKUP("Concentré jeunes lapins",AlimentsRationOvinsMâles,3,FALSE),0)+(IF(QualitéAlimentsJeuneBrebis=MOYENNE,VLOOKUP("Concentré jeunes lapins",AlimentsRationOvinsFemelles,3,FALSE),0)+(IF(QualitéAlimentsBélier=MOYENNE,VLOOKUP("Concentré jeunes lapins",AlimentsRationOvinsMâles,2,FALSE),0)+(IF(QualitéAlimentsBrebis=MOYENNE,VLOOKUP("Concentré jeunes lapins",AlimentsRationOvinsFemelles,2,FALSE),0))))))))))</f>
        <v>0</v>
      </c>
      <c r="DQ301" s="351">
        <f t="array" ref="DQ301">SUM((IF(QualitéAlimentsAgneauMâle_0_3_mois=MAUVAISE,VLOOKUP("Concentré jeunes lapins",AlimentsRationOvinsMâles,5,FALSE),0)+(IF(QualitéAlimentsAgneauFemelle_0_3_mois=MAUVAISE,VLOOKUP("Concentré jeunes lapins",AlimentsRationOvinsFemelles,5,FALSE),0)+(IF(QualitéAlimentsAgneauMâle_3_6_mois=MAUVAISE,VLOOKUP("Concentré jeunes lapins",AlimentsRationOvinsMâles,4,FALSE),0)+(IF(QualitéAlimentsAgneauFemelle_3_6_mois=MAUVAISE,VLOOKUP("Concentré jeunes lapins",AlimentsRationOvinsFemelles,4,FALSE),0)+(IF(QualitéAlimentsJeuneBélier=MAUVAISE,VLOOKUP("Concentré jeunes lapins",AlimentsRationOvinsMâles,3,FALSE),0)+(IF(QualitéAlimentsJeuneBrebis=MAUVAISE,VLOOKUP("Concentré jeunes lapins",AlimentsRationOvinsFemelles,3,FALSE),0)+(IF(QualitéAlimentsBélier=MAUVAISE,VLOOKUP("Concentré jeunes lapins",AlimentsRationOvinsMâles,2,FALSE),0)+(IF(QualitéAlimentsBrebis=MAUVAISE,VLOOKUP("Concentré jeunes lapins",AlimentsRationOvinsFemelles,2,FALSE),0))))))))))</f>
        <v>0</v>
      </c>
      <c r="DS301" s="276"/>
      <c r="GG301" s="276" t="s">
        <v>955</v>
      </c>
      <c r="GH301" s="276" t="s">
        <v>955</v>
      </c>
      <c r="GI301" s="276" t="s">
        <v>955</v>
      </c>
      <c r="GJ301" s="276" t="s">
        <v>955</v>
      </c>
      <c r="GK301" s="276" t="s">
        <v>955</v>
      </c>
      <c r="GL301" s="276" t="s">
        <v>955</v>
      </c>
      <c r="GM301" s="276" t="s">
        <v>955</v>
      </c>
      <c r="GN301" s="276" t="s">
        <v>955</v>
      </c>
      <c r="GO301" s="276" t="s">
        <v>955</v>
      </c>
      <c r="GP301" s="276" t="s">
        <v>955</v>
      </c>
      <c r="GQ301" s="276" t="s">
        <v>955</v>
      </c>
      <c r="GR301" s="276" t="s">
        <v>955</v>
      </c>
      <c r="GS301" s="276" t="s">
        <v>955</v>
      </c>
      <c r="GT301" s="276" t="s">
        <v>955</v>
      </c>
      <c r="GU301" s="276" t="s">
        <v>955</v>
      </c>
      <c r="GV301" s="276" t="s">
        <v>955</v>
      </c>
    </row>
    <row r="302" spans="1:204" ht="12.75" customHeight="1" x14ac:dyDescent="0.2">
      <c r="A302" s="276"/>
      <c r="B302" s="276"/>
      <c r="BB302" s="350" t="str">
        <f t="shared" si="72"/>
        <v>Maïs grain</v>
      </c>
      <c r="BC302" s="350">
        <f t="array" ref="BC302">IFERROR(IF(OR(AND(INDEX(Règles_bovins[Specificite],MATCH(RationHivernaleBovinsAuPré&amp;$BB302,Règles_bovins[Ration]&amp;Règles_bovins[Aliment],0))="s1",IF($BB302=Spécificité1Bovins,1)),
AND(INDEX(Règles_bovins[Specificite],MATCH(RationHivernaleBovinsAuPré&amp;$BB302,Règles_bovins[Ration]&amp;Règles_bovins[Aliment],0))="s2",IF($BB302=Spécificité2Bovins,1)),
INDEX(Règles_bovins[Specificite],MATCH(RationHivernaleBovinsAuPré&amp;$BB302,Règles_bovins[Ration]&amp;Règles_bovins[Aliment],0))="c"),
INDEX(Règles_bovins[Valeur 36 et plus],MATCH(RationHivernaleBovinsAuPré&amp;$BB302,Règles_bovins[Ration]&amp;Règles_bovins[Aliment],0)),0),0)*IF(SUM(TotalBovinsAdultesAuPré)&gt;0,SUM(TotalBovinsAdultesAuPré),SUM(TotalBovinsAdultes))*35</f>
        <v>0</v>
      </c>
      <c r="BD302" s="350">
        <f t="array" ref="BD302">IFERROR(IF(OR(AND(INDEX(Règles_bovins[Specificite],MATCH(RationHivernaleBovinsAuPré&amp;$BB302,Règles_bovins[Ration]&amp;Règles_bovins[Aliment],0))="s1",IF($BB302=Spécificité1Bovins,1)),
AND(INDEX(Règles_bovins[Specificite],MATCH(RationHivernaleBovinsAuPré&amp;$BB302,Règles_bovins[Ration]&amp;Règles_bovins[Aliment],0))="s2",IF($BB302=Spécificité2Bovins,1)),
INDEX(Règles_bovins[Specificite],MATCH(RationHivernaleBovinsAuPré&amp;$BB302,Règles_bovins[Ration]&amp;Règles_bovins[Aliment],0))="c"),
INDEX(Règles_bovins[Valeur 24-36],MATCH(RationHivernaleBovinsAuPré&amp;$BB302,Règles_bovins[Ration]&amp;Règles_bovins[Aliment],0)),0),0)*IF(SUM(TotalBovins_24_36moisAuPré)&gt;0,SUM(TotalBovins_24_36moisAuPré),SUM(TotalBovins_24_36mois))*35</f>
        <v>0</v>
      </c>
      <c r="BE302" s="350">
        <f t="array" ref="BE302">IFERROR(IF(OR(AND(INDEX(Règles_bovins[Specificite],MATCH(RationHivernaleBovinsAuPré&amp;$BB302,Règles_bovins[Ration]&amp;Règles_bovins[Aliment],0))="s1",IF($BB302=Spécificité1Bovins,1)),
AND(INDEX(Règles_bovins[Specificite],MATCH(RationHivernaleBovinsAuPré&amp;$BB302,Règles_bovins[Ration]&amp;Règles_bovins[Aliment],0))="s2",IF($BB302=Spécificité2Bovins,1)),
INDEX(Règles_bovins[Specificite],MATCH(RationHivernaleBovinsAuPré&amp;$BB302,Règles_bovins[Ration]&amp;Règles_bovins[Aliment],0))="c"),
INDEX(Règles_bovins[Valeur 18-24],MATCH(RationHivernaleBovinsAuPré&amp;$BB302,Règles_bovins[Ration]&amp;Règles_bovins[Aliment],0)),0),0)*IF(SUM(TotalBovins_18_24moisAuPré)&gt;0,SUM(TotalBovins_18_24moisAuPré),SUM(TotalBovins_18_24mois))*35</f>
        <v>0</v>
      </c>
      <c r="BF302" s="350">
        <f t="array" ref="BF302">IFERROR(IF(OR(AND(INDEX(Règles_bovins[Specificite],MATCH(RationHivernaleBovinsAuPré&amp;$BB302,Règles_bovins[Ration]&amp;Règles_bovins[Aliment],0))="s1",IF($BB302=Spécificité1Bovins,1)),
AND(INDEX(Règles_bovins[Specificite],MATCH(RationHivernaleBovinsAuPré&amp;$BB302,Règles_bovins[Ration]&amp;Règles_bovins[Aliment],0))="s2",IF($BB302=Spécificité2Bovins,1)),
INDEX(Règles_bovins[Specificite],MATCH(RationHivernaleBovinsAuPré&amp;$BB302,Règles_bovins[Ration]&amp;Règles_bovins[Aliment],0))="c"),
INDEX(Règles_bovins[Valeur 12-18],MATCH(RationHivernaleBovinsAuPré&amp;$BB302,Règles_bovins[Ration]&amp;Règles_bovins[Aliment],0)),0),0)*IF(SUM(TotalBovins_12_18moisAuPré)&gt;0,SUM(TotalBovins_12_18moisAuPré),SUM(TotalBovins_12_18mois))*35</f>
        <v>0</v>
      </c>
      <c r="BG302" s="350">
        <f t="array" ref="BG302">IFERROR(IF(OR(AND(INDEX(Règles_bovins[Specificite],MATCH(RationHivernaleBovinsAuPré&amp;$BB302,Règles_bovins[Ration]&amp;Règles_bovins[Aliment],0))="s1",IF($BB302=Spécificité1Bovins,1)),
AND(INDEX(Règles_bovins[Specificite],MATCH(RationHivernaleBovinsAuPré&amp;$BB302,Règles_bovins[Ration]&amp;Règles_bovins[Aliment],0))="s2",IF($BB302=Spécificité2Bovins,1)),
INDEX(Règles_bovins[Specificite],MATCH(RationHivernaleBovinsAuPré&amp;$BB302,Règles_bovins[Ration]&amp;Règles_bovins[Aliment],0))="c"),
INDEX(Règles_bovins[Valeur 6-12],MATCH(RationHivernaleBovinsAuPré&amp;$BB302,Règles_bovins[Ration]&amp;Règles_bovins[Aliment],0)),0),0)*IF(SUM(TotalBovins_6_12moisAuPré)&gt;0,SUM(TotalBovins_6_12moisAuPré),SUM(TotalBovins_6_12mois))*35</f>
        <v>0</v>
      </c>
      <c r="BH302" s="350">
        <f t="array" ref="BH302">IFERROR(IF(OR(AND(INDEX(Règles_bovins[Specificite],MATCH(RationHivernaleBovinsAuPré&amp;$BB302,Règles_bovins[Ration]&amp;Règles_bovins[Aliment],0))="s1",IF($BB302=Spécificité1Bovins,1)),
AND(INDEX(Règles_bovins[Specificite],MATCH(RationHivernaleBovinsAuPré&amp;$BB302,Règles_bovins[Ration]&amp;Règles_bovins[Aliment],0))="s2",IF($BB302=Spécificité2Bovins,1)),
INDEX(Règles_bovins[Specificite],MATCH(RationHivernaleBovinsAuPré&amp;$BB302,Règles_bovins[Ration]&amp;Règles_bovins[Aliment],0))="c"),
INDEX(Règles_bovins[Valeur 3-6],MATCH(RationHivernaleBovinsAuPré&amp;$BB302,Règles_bovins[Ration]&amp;Règles_bovins[Aliment],0)),0),0)*IF(SUM(TotalBovins_3_6moisAuPré)&gt;0,SUM(TotalBovins_3_6moisAuPré),SUM(TotalBovins_3_6mois))*35</f>
        <v>0</v>
      </c>
      <c r="BI302" s="350">
        <f t="array" ref="BI302">IFERROR(IF(OR(AND(INDEX(Règles_bovins[Specificite],MATCH(RationHivernaleBovinsAuPré&amp;$BB302,Règles_bovins[Ration]&amp;Règles_bovins[Aliment],0))="s1",IF($BB302=Spécificité1Bovins,1)),
AND(INDEX(Règles_bovins[Specificite],MATCH(RationHivernaleBovinsAuPré&amp;$BB302,Règles_bovins[Ration]&amp;Règles_bovins[Aliment],0))="s2",IF($BB302=Spécificité2Bovins,1)),
INDEX(Règles_bovins[Specificite],MATCH(RationHivernaleBovinsAuPré&amp;$BB302,Règles_bovins[Ration]&amp;Règles_bovins[Aliment],0))="c"),
INDEX(Règles_bovins[Valeur 0-3],MATCH(RationHivernaleBovinsAuPré&amp;$BB302,Règles_bovins[Ration]&amp;Règles_bovins[Aliment],0)),0),0)*IF(SUM(TotalBovins_0_3moisAuPré)&gt;0,SUM(TotalBovins_0_3moisAuPré),SUM(TotalBovins_0_3mois))*35</f>
        <v>0</v>
      </c>
      <c r="BJ302" s="352">
        <f t="shared" si="71"/>
        <v>0</v>
      </c>
      <c r="CI302" s="277"/>
      <c r="DN302" s="350" t="str">
        <f t="shared" si="73"/>
        <v>concentré jeunes porcins</v>
      </c>
      <c r="DO302" s="351">
        <f t="array" ref="DO302">SUM((IF(QualitéAlimentsAgneauMâle_0_3_mois=BONNE,VLOOKUP("Concentré jeunes porcins",AlimentsRationOvinsMâles,5,FALSE),0)+(IF(QualitéAlimentsAgneauFemelle_0_3_mois=BONNE,VLOOKUP("Concentré jeunes porcins",AlimentsRationOvinsFemelles,5,FALSE),0)+(IF(QualitéAlimentsAgneauMâle_3_6_mois=BONNE,VLOOKUP("Concentré jeunes porcins",AlimentsRationOvinsMâles,4,FALSE),0)+(IF(QualitéAlimentsAgneauFemelle_3_6_mois=BONNE,VLOOKUP("Concentré jeunes porcins",AlimentsRationOvinsFemelles,4,FALSE),0)+(IF(QualitéAlimentsJeuneBélier=BONNE,VLOOKUP("Concentré jeunes porcins",AlimentsRationOvinsMâles,3,FALSE),0)+(IF(QualitéAlimentsJeuneBrebis=BONNE,VLOOKUP("Concentré jeunes porcins",AlimentsRationOvinsFemelles,3,FALSE),0)+(IF(QualitéAlimentsBélier=BONNE,VLOOKUP("Concentré jeunes porcins",AlimentsRationOvinsMâles,2,FALSE),0)+(IF(QualitéAlimentsBrebis=BONNE,VLOOKUP("Concentré jeunes porcins",AlimentsRationOvinsFemelles,2,FALSE),0))))))))))</f>
        <v>0</v>
      </c>
      <c r="DP302" s="351">
        <f t="array" ref="DP302">SUM((IF(QualitéAlimentsAgneauMâle_0_3_mois=MOYENNE,VLOOKUP("Concentré jeunes porcins",AlimentsRationOvinsMâles,5,FALSE),0)+(IF(QualitéAlimentsAgneauFemelle_0_3_mois=MOYENNE,VLOOKUP("Concentré jeunes porcins",AlimentsRationOvinsFemelles,5,FALSE),0)+(IF(QualitéAlimentsAgneauMâle_3_6_mois=MOYENNE,VLOOKUP("Concentré jeunes porcins",AlimentsRationOvinsMâles,4,FALSE),0)+(IF(QualitéAlimentsAgneauFemelle_3_6_mois=MOYENNE,VLOOKUP("Concentré jeunes porcins",AlimentsRationOvinsFemelles,4,FALSE),0)+(IF(QualitéAlimentsJeuneBélier=MOYENNE,VLOOKUP("Concentré jeunes porcins",AlimentsRationOvinsMâles,3,FALSE),0)+(IF(QualitéAlimentsJeuneBrebis=MOYENNE,VLOOKUP("Concentré jeunes porcins",AlimentsRationOvinsFemelles,3,FALSE),0)+(IF(QualitéAlimentsBélier=MOYENNE,VLOOKUP("Concentré jeunes porcins",AlimentsRationOvinsMâles,2,FALSE),0)+(IF(QualitéAlimentsBrebis=MOYENNE,VLOOKUP("Concentré jeunes porcins",AlimentsRationOvinsFemelles,2,FALSE),0))))))))))</f>
        <v>0</v>
      </c>
      <c r="DQ302" s="351">
        <f t="array" ref="DQ302">SUM((IF(QualitéAlimentsAgneauMâle_0_3_mois=MAUVAISE,VLOOKUP("Concentré jeunes porcins",AlimentsRationOvinsMâles,5,FALSE),0)+(IF(QualitéAlimentsAgneauFemelle_0_3_mois=MAUVAISE,VLOOKUP("Concentré jeunes porcins",AlimentsRationOvinsFemelles,5,FALSE),0)+(IF(QualitéAlimentsAgneauMâle_3_6_mois=MAUVAISE,VLOOKUP("Concentré jeunes porcins",AlimentsRationOvinsMâles,4,FALSE),0)+(IF(QualitéAlimentsAgneauFemelle_3_6_mois=MAUVAISE,VLOOKUP("Concentré jeunes porcins",AlimentsRationOvinsFemelles,4,FALSE),0)+(IF(QualitéAlimentsJeuneBélier=MAUVAISE,VLOOKUP("Concentré jeunes porcins",AlimentsRationOvinsMâles,3,FALSE),0)+(IF(QualitéAlimentsJeuneBrebis=MAUVAISE,VLOOKUP("Concentré jeunes porcins",AlimentsRationOvinsFemelles,3,FALSE),0)+(IF(QualitéAlimentsBélier=MAUVAISE,VLOOKUP("Concentré jeunes porcins",AlimentsRationOvinsMâles,2,FALSE),0)+(IF(QualitéAlimentsBrebis=MAUVAISE,VLOOKUP("Concentré jeunes porcins",AlimentsRationOvinsFemelles,2,FALSE),0))))))))))</f>
        <v>0</v>
      </c>
      <c r="DS302" s="276"/>
      <c r="GG302" s="276" t="s">
        <v>955</v>
      </c>
      <c r="GH302" s="276" t="s">
        <v>955</v>
      </c>
      <c r="GI302" s="276" t="s">
        <v>955</v>
      </c>
      <c r="GJ302" s="276" t="s">
        <v>955</v>
      </c>
      <c r="GK302" s="276" t="s">
        <v>955</v>
      </c>
      <c r="GL302" s="276" t="s">
        <v>955</v>
      </c>
      <c r="GM302" s="276" t="s">
        <v>955</v>
      </c>
      <c r="GN302" s="276" t="s">
        <v>955</v>
      </c>
      <c r="GO302" s="276" t="s">
        <v>955</v>
      </c>
      <c r="GP302" s="276" t="s">
        <v>955</v>
      </c>
      <c r="GQ302" s="276" t="s">
        <v>955</v>
      </c>
      <c r="GR302" s="276" t="s">
        <v>955</v>
      </c>
      <c r="GS302" s="276" t="s">
        <v>955</v>
      </c>
      <c r="GT302" s="276" t="s">
        <v>955</v>
      </c>
      <c r="GU302" s="276" t="s">
        <v>955</v>
      </c>
      <c r="GV302" s="276" t="s">
        <v>955</v>
      </c>
    </row>
    <row r="303" spans="1:204" ht="12.75" customHeight="1" x14ac:dyDescent="0.2">
      <c r="A303" s="276"/>
      <c r="B303" s="276"/>
      <c r="BB303" s="350" t="str">
        <f t="shared" si="72"/>
        <v>Minéraux + vitamines</v>
      </c>
      <c r="BC303" s="350">
        <f t="array" ref="BC303">IFERROR(IF(OR(AND(INDEX(Règles_bovins[Specificite],MATCH(RationHivernaleBovinsAuPré&amp;$BB303,Règles_bovins[Ration]&amp;Règles_bovins[Aliment],0))="s1",IF($BB303=Spécificité1Bovins,1)),
AND(INDEX(Règles_bovins[Specificite],MATCH(RationHivernaleBovinsAuPré&amp;$BB303,Règles_bovins[Ration]&amp;Règles_bovins[Aliment],0))="s2",IF($BB303=Spécificité2Bovins,1)),
INDEX(Règles_bovins[Specificite],MATCH(RationHivernaleBovinsAuPré&amp;$BB303,Règles_bovins[Ration]&amp;Règles_bovins[Aliment],0))="c"),
INDEX(Règles_bovins[Valeur 36 et plus],MATCH(RationHivernaleBovinsAuPré&amp;$BB303,Règles_bovins[Ration]&amp;Règles_bovins[Aliment],0)),0),0)*IF(SUM(TotalBovinsAdultesAuPré)&gt;0,SUM(TotalBovinsAdultesAuPré),SUM(TotalBovinsAdultes))*35</f>
        <v>0</v>
      </c>
      <c r="BD303" s="350">
        <f t="array" ref="BD303">IFERROR(IF(OR(AND(INDEX(Règles_bovins[Specificite],MATCH(RationHivernaleBovinsAuPré&amp;$BB303,Règles_bovins[Ration]&amp;Règles_bovins[Aliment],0))="s1",IF($BB303=Spécificité1Bovins,1)),
AND(INDEX(Règles_bovins[Specificite],MATCH(RationHivernaleBovinsAuPré&amp;$BB303,Règles_bovins[Ration]&amp;Règles_bovins[Aliment],0))="s2",IF($BB303=Spécificité2Bovins,1)),
INDEX(Règles_bovins[Specificite],MATCH(RationHivernaleBovinsAuPré&amp;$BB303,Règles_bovins[Ration]&amp;Règles_bovins[Aliment],0))="c"),
INDEX(Règles_bovins[Valeur 24-36],MATCH(RationHivernaleBovinsAuPré&amp;$BB303,Règles_bovins[Ration]&amp;Règles_bovins[Aliment],0)),0),0)*IF(SUM(TotalBovins_24_36moisAuPré)&gt;0,SUM(TotalBovins_24_36moisAuPré),SUM(TotalBovins_24_36mois))*35</f>
        <v>0</v>
      </c>
      <c r="BE303" s="350">
        <f t="array" ref="BE303">IFERROR(IF(OR(AND(INDEX(Règles_bovins[Specificite],MATCH(RationHivernaleBovinsAuPré&amp;$BB303,Règles_bovins[Ration]&amp;Règles_bovins[Aliment],0))="s1",IF($BB303=Spécificité1Bovins,1)),
AND(INDEX(Règles_bovins[Specificite],MATCH(RationHivernaleBovinsAuPré&amp;$BB303,Règles_bovins[Ration]&amp;Règles_bovins[Aliment],0))="s2",IF($BB303=Spécificité2Bovins,1)),
INDEX(Règles_bovins[Specificite],MATCH(RationHivernaleBovinsAuPré&amp;$BB303,Règles_bovins[Ration]&amp;Règles_bovins[Aliment],0))="c"),
INDEX(Règles_bovins[Valeur 18-24],MATCH(RationHivernaleBovinsAuPré&amp;$BB303,Règles_bovins[Ration]&amp;Règles_bovins[Aliment],0)),0),0)*IF(SUM(TotalBovins_18_24moisAuPré)&gt;0,SUM(TotalBovins_18_24moisAuPré),SUM(TotalBovins_18_24mois))*35</f>
        <v>0</v>
      </c>
      <c r="BF303" s="350">
        <f t="array" ref="BF303">IFERROR(IF(OR(AND(INDEX(Règles_bovins[Specificite],MATCH(RationHivernaleBovinsAuPré&amp;$BB303,Règles_bovins[Ration]&amp;Règles_bovins[Aliment],0))="s1",IF($BB303=Spécificité1Bovins,1)),
AND(INDEX(Règles_bovins[Specificite],MATCH(RationHivernaleBovinsAuPré&amp;$BB303,Règles_bovins[Ration]&amp;Règles_bovins[Aliment],0))="s2",IF($BB303=Spécificité2Bovins,1)),
INDEX(Règles_bovins[Specificite],MATCH(RationHivernaleBovinsAuPré&amp;$BB303,Règles_bovins[Ration]&amp;Règles_bovins[Aliment],0))="c"),
INDEX(Règles_bovins[Valeur 12-18],MATCH(RationHivernaleBovinsAuPré&amp;$BB303,Règles_bovins[Ration]&amp;Règles_bovins[Aliment],0)),0),0)*IF(SUM(TotalBovins_12_18moisAuPré)&gt;0,SUM(TotalBovins_12_18moisAuPré),SUM(TotalBovins_12_18mois))*35</f>
        <v>0</v>
      </c>
      <c r="BG303" s="350">
        <f t="array" ref="BG303">IFERROR(IF(OR(AND(INDEX(Règles_bovins[Specificite],MATCH(RationHivernaleBovinsAuPré&amp;$BB303,Règles_bovins[Ration]&amp;Règles_bovins[Aliment],0))="s1",IF($BB303=Spécificité1Bovins,1)),
AND(INDEX(Règles_bovins[Specificite],MATCH(RationHivernaleBovinsAuPré&amp;$BB303,Règles_bovins[Ration]&amp;Règles_bovins[Aliment],0))="s2",IF($BB303=Spécificité2Bovins,1)),
INDEX(Règles_bovins[Specificite],MATCH(RationHivernaleBovinsAuPré&amp;$BB303,Règles_bovins[Ration]&amp;Règles_bovins[Aliment],0))="c"),
INDEX(Règles_bovins[Valeur 6-12],MATCH(RationHivernaleBovinsAuPré&amp;$BB303,Règles_bovins[Ration]&amp;Règles_bovins[Aliment],0)),0),0)*IF(SUM(TotalBovins_6_12moisAuPré)&gt;0,SUM(TotalBovins_6_12moisAuPré),SUM(TotalBovins_6_12mois))*35</f>
        <v>0</v>
      </c>
      <c r="BH303" s="350">
        <f t="array" ref="BH303">IFERROR(IF(OR(AND(INDEX(Règles_bovins[Specificite],MATCH(RationHivernaleBovinsAuPré&amp;$BB303,Règles_bovins[Ration]&amp;Règles_bovins[Aliment],0))="s1",IF($BB303=Spécificité1Bovins,1)),
AND(INDEX(Règles_bovins[Specificite],MATCH(RationHivernaleBovinsAuPré&amp;$BB303,Règles_bovins[Ration]&amp;Règles_bovins[Aliment],0))="s2",IF($BB303=Spécificité2Bovins,1)),
INDEX(Règles_bovins[Specificite],MATCH(RationHivernaleBovinsAuPré&amp;$BB303,Règles_bovins[Ration]&amp;Règles_bovins[Aliment],0))="c"),
INDEX(Règles_bovins[Valeur 3-6],MATCH(RationHivernaleBovinsAuPré&amp;$BB303,Règles_bovins[Ration]&amp;Règles_bovins[Aliment],0)),0),0)*IF(SUM(TotalBovins_3_6moisAuPré)&gt;0,SUM(TotalBovins_3_6moisAuPré),SUM(TotalBovins_3_6mois))*35</f>
        <v>0</v>
      </c>
      <c r="BI303" s="350">
        <f t="array" ref="BI303">IFERROR(IF(OR(AND(INDEX(Règles_bovins[Specificite],MATCH(RationHivernaleBovinsAuPré&amp;$BB303,Règles_bovins[Ration]&amp;Règles_bovins[Aliment],0))="s1",IF($BB303=Spécificité1Bovins,1)),
AND(INDEX(Règles_bovins[Specificite],MATCH(RationHivernaleBovinsAuPré&amp;$BB303,Règles_bovins[Ration]&amp;Règles_bovins[Aliment],0))="s2",IF($BB303=Spécificité2Bovins,1)),
INDEX(Règles_bovins[Specificite],MATCH(RationHivernaleBovinsAuPré&amp;$BB303,Règles_bovins[Ration]&amp;Règles_bovins[Aliment],0))="c"),
INDEX(Règles_bovins[Valeur 0-3],MATCH(RationHivernaleBovinsAuPré&amp;$BB303,Règles_bovins[Ration]&amp;Règles_bovins[Aliment],0)),0),0)*IF(SUM(TotalBovins_0_3moisAuPré)&gt;0,SUM(TotalBovins_0_3moisAuPré),SUM(TotalBovins_0_3mois))*35</f>
        <v>0</v>
      </c>
      <c r="BJ303" s="352">
        <f t="shared" si="71"/>
        <v>0</v>
      </c>
      <c r="CI303" s="277"/>
      <c r="DN303" s="350" t="str">
        <f t="shared" si="73"/>
        <v>Ensilage d'herbe</v>
      </c>
      <c r="DO303" s="351">
        <f t="array" ref="DO303">SUM((IF(QualitéAlimentsAgneauMâle_0_3_mois=BONNE,VLOOKUP("Ensilage d'herbe",AlimentsRationOvinsMâles,5,FALSE),0)+(IF(QualitéAlimentsAgneauFemelle_0_3_mois=BONNE,VLOOKUP("Ensilage d'herbe",AlimentsRationOvinsFemelles,5,FALSE),0)+(IF(QualitéAlimentsAgneauMâle_3_6_mois=BONNE,VLOOKUP("Ensilage d'herbe",AlimentsRationOvinsMâles,4,FALSE),0)+(IF(QualitéAlimentsAgneauFemelle_3_6_mois=BONNE,VLOOKUP("Ensilage d'herbe",AlimentsRationOvinsFemelles,4,FALSE),0)+(IF(QualitéAlimentsJeuneBélier=BONNE,VLOOKUP("Ensilage d'herbe",AlimentsRationOvinsMâles,3,FALSE),0)+(IF(QualitéAlimentsJeuneBrebis=BONNE,VLOOKUP("Ensilage d'herbe",AlimentsRationOvinsFemelles,3,FALSE),0)+(IF(QualitéAlimentsBélier=BONNE,VLOOKUP("Ensilage d'herbe",AlimentsRationOvinsMâles,2,FALSE),0)+(IF(QualitéAlimentsBrebis=BONNE,VLOOKUP("Ensilage d'herbe",AlimentsRationOvinsFemelles,2,FALSE),0))))))))))</f>
        <v>0</v>
      </c>
      <c r="DP303" s="351">
        <f t="array" ref="DP303">SUM((IF(QualitéAlimentsAgneauMâle_0_3_mois=MOYENNE,VLOOKUP("Ensilage d'herbe",AlimentsRationOvinsMâles,5,FALSE),0)+(IF(QualitéAlimentsAgneauFemelle_0_3_mois=MOYENNE,VLOOKUP("Ensilage d'herbe",AlimentsRationOvinsFemelles,5,FALSE),0)+(IF(QualitéAlimentsAgneauMâle_3_6_mois=MOYENNE,VLOOKUP("Ensilage d'herbe",AlimentsRationOvinsMâles,4,FALSE),0)+(IF(QualitéAlimentsAgneauFemelle_3_6_mois=MOYENNE,VLOOKUP("Ensilage d'herbe",AlimentsRationOvinsFemelles,4,FALSE),0)+(IF(QualitéAlimentsJeuneBélier=MOYENNE,VLOOKUP("Ensilage d'herbe",AlimentsRationOvinsMâles,3,FALSE),0)+(IF(QualitéAlimentsJeuneBrebis=MOYENNE,VLOOKUP("Ensilage d'herbe",AlimentsRationOvinsFemelles,3,FALSE),0)+(IF(QualitéAlimentsBélier=MOYENNE,VLOOKUP("Ensilage d'herbe",AlimentsRationOvinsMâles,2,FALSE),0)+(IF(QualitéAlimentsBrebis=MOYENNE,VLOOKUP("Ensilage d'herbe",AlimentsRationOvinsFemelles,2,FALSE),0))))))))))</f>
        <v>0</v>
      </c>
      <c r="DQ303" s="351">
        <f t="array" ref="DQ303">SUM((IF(QualitéAlimentsAgneauMâle_0_3_mois=MAUVAISE,VLOOKUP("Ensilage d'herbe",AlimentsRationOvinsMâles,5,FALSE),0)+(IF(QualitéAlimentsAgneauFemelle_0_3_mois=MAUVAISE,VLOOKUP("Ensilage d'herbe",AlimentsRationOvinsFemelles,5,FALSE),0)+(IF(QualitéAlimentsAgneauMâle_3_6_mois=MAUVAISE,VLOOKUP("Ensilage d'herbe",AlimentsRationOvinsMâles,4,FALSE),0)+(IF(QualitéAlimentsAgneauFemelle_3_6_mois=MAUVAISE,VLOOKUP("Ensilage d'herbe",AlimentsRationOvinsFemelles,4,FALSE),0)+(IF(QualitéAlimentsJeuneBélier=MAUVAISE,VLOOKUP("Ensilage d'herbe",AlimentsRationOvinsMâles,3,FALSE),0)+(IF(QualitéAlimentsJeuneBrebis=MAUVAISE,VLOOKUP("Ensilage d'herbe",AlimentsRationOvinsFemelles,3,FALSE),0)+(IF(QualitéAlimentsBélier=MAUVAISE,VLOOKUP("Ensilage d'herbe",AlimentsRationOvinsMâles,2,FALSE),0)+(IF(QualitéAlimentsBrebis=MAUVAISE,VLOOKUP("Ensilage d'herbe",AlimentsRationOvinsFemelles,2,FALSE),0))))))))))</f>
        <v>0</v>
      </c>
      <c r="DS303" s="276"/>
      <c r="GG303" s="276" t="s">
        <v>955</v>
      </c>
      <c r="GH303" s="276" t="s">
        <v>955</v>
      </c>
      <c r="GI303" s="276" t="s">
        <v>955</v>
      </c>
      <c r="GJ303" s="276" t="s">
        <v>955</v>
      </c>
      <c r="GK303" s="276" t="s">
        <v>955</v>
      </c>
      <c r="GL303" s="276" t="s">
        <v>955</v>
      </c>
      <c r="GM303" s="276" t="s">
        <v>955</v>
      </c>
      <c r="GN303" s="276" t="s">
        <v>955</v>
      </c>
      <c r="GO303" s="276" t="s">
        <v>955</v>
      </c>
      <c r="GP303" s="276" t="s">
        <v>955</v>
      </c>
      <c r="GQ303" s="276" t="s">
        <v>955</v>
      </c>
      <c r="GR303" s="276" t="s">
        <v>955</v>
      </c>
      <c r="GS303" s="276" t="s">
        <v>955</v>
      </c>
      <c r="GT303" s="276" t="s">
        <v>955</v>
      </c>
      <c r="GU303" s="276" t="s">
        <v>955</v>
      </c>
      <c r="GV303" s="276" t="s">
        <v>955</v>
      </c>
    </row>
    <row r="304" spans="1:204" ht="12.75" customHeight="1" x14ac:dyDescent="0.2">
      <c r="A304" s="276"/>
      <c r="B304" s="276"/>
      <c r="BB304" s="350" t="str">
        <f t="shared" si="72"/>
        <v>Orge</v>
      </c>
      <c r="BC304" s="350">
        <f t="array" ref="BC304">IFERROR(IF(OR(AND(INDEX(Règles_bovins[Specificite],MATCH(RationHivernaleBovinsAuPré&amp;$BB304,Règles_bovins[Ration]&amp;Règles_bovins[Aliment],0))="s1",IF($BB304=Spécificité1Bovins,1)),
AND(INDEX(Règles_bovins[Specificite],MATCH(RationHivernaleBovinsAuPré&amp;$BB304,Règles_bovins[Ration]&amp;Règles_bovins[Aliment],0))="s2",IF($BB304=Spécificité2Bovins,1)),
INDEX(Règles_bovins[Specificite],MATCH(RationHivernaleBovinsAuPré&amp;$BB304,Règles_bovins[Ration]&amp;Règles_bovins[Aliment],0))="c"),
INDEX(Règles_bovins[Valeur 36 et plus],MATCH(RationHivernaleBovinsAuPré&amp;$BB304,Règles_bovins[Ration]&amp;Règles_bovins[Aliment],0)),0),0)*IF(SUM(TotalBovinsAdultesAuPré)&gt;0,SUM(TotalBovinsAdultesAuPré),SUM(TotalBovinsAdultes))*35</f>
        <v>0</v>
      </c>
      <c r="BD304" s="350">
        <f t="array" ref="BD304">IFERROR(IF(OR(AND(INDEX(Règles_bovins[Specificite],MATCH(RationHivernaleBovinsAuPré&amp;$BB304,Règles_bovins[Ration]&amp;Règles_bovins[Aliment],0))="s1",IF($BB304=Spécificité1Bovins,1)),
AND(INDEX(Règles_bovins[Specificite],MATCH(RationHivernaleBovinsAuPré&amp;$BB304,Règles_bovins[Ration]&amp;Règles_bovins[Aliment],0))="s2",IF($BB304=Spécificité2Bovins,1)),
INDEX(Règles_bovins[Specificite],MATCH(RationHivernaleBovinsAuPré&amp;$BB304,Règles_bovins[Ration]&amp;Règles_bovins[Aliment],0))="c"),
INDEX(Règles_bovins[Valeur 24-36],MATCH(RationHivernaleBovinsAuPré&amp;$BB304,Règles_bovins[Ration]&amp;Règles_bovins[Aliment],0)),0),0)*IF(SUM(TotalBovins_24_36moisAuPré)&gt;0,SUM(TotalBovins_24_36moisAuPré),SUM(TotalBovins_24_36mois))*35</f>
        <v>0</v>
      </c>
      <c r="BE304" s="350">
        <f t="array" ref="BE304">IFERROR(IF(OR(AND(INDEX(Règles_bovins[Specificite],MATCH(RationHivernaleBovinsAuPré&amp;$BB304,Règles_bovins[Ration]&amp;Règles_bovins[Aliment],0))="s1",IF($BB304=Spécificité1Bovins,1)),
AND(INDEX(Règles_bovins[Specificite],MATCH(RationHivernaleBovinsAuPré&amp;$BB304,Règles_bovins[Ration]&amp;Règles_bovins[Aliment],0))="s2",IF($BB304=Spécificité2Bovins,1)),
INDEX(Règles_bovins[Specificite],MATCH(RationHivernaleBovinsAuPré&amp;$BB304,Règles_bovins[Ration]&amp;Règles_bovins[Aliment],0))="c"),
INDEX(Règles_bovins[Valeur 18-24],MATCH(RationHivernaleBovinsAuPré&amp;$BB304,Règles_bovins[Ration]&amp;Règles_bovins[Aliment],0)),0),0)*IF(SUM(TotalBovins_18_24moisAuPré)&gt;0,SUM(TotalBovins_18_24moisAuPré),SUM(TotalBovins_18_24mois))*35</f>
        <v>0</v>
      </c>
      <c r="BF304" s="350">
        <f t="array" ref="BF304">IFERROR(IF(OR(AND(INDEX(Règles_bovins[Specificite],MATCH(RationHivernaleBovinsAuPré&amp;$BB304,Règles_bovins[Ration]&amp;Règles_bovins[Aliment],0))="s1",IF($BB304=Spécificité1Bovins,1)),
AND(INDEX(Règles_bovins[Specificite],MATCH(RationHivernaleBovinsAuPré&amp;$BB304,Règles_bovins[Ration]&amp;Règles_bovins[Aliment],0))="s2",IF($BB304=Spécificité2Bovins,1)),
INDEX(Règles_bovins[Specificite],MATCH(RationHivernaleBovinsAuPré&amp;$BB304,Règles_bovins[Ration]&amp;Règles_bovins[Aliment],0))="c"),
INDEX(Règles_bovins[Valeur 12-18],MATCH(RationHivernaleBovinsAuPré&amp;$BB304,Règles_bovins[Ration]&amp;Règles_bovins[Aliment],0)),0),0)*IF(SUM(TotalBovins_12_18moisAuPré)&gt;0,SUM(TotalBovins_12_18moisAuPré),SUM(TotalBovins_12_18mois))*35</f>
        <v>0</v>
      </c>
      <c r="BG304" s="350">
        <f t="array" ref="BG304">IFERROR(IF(OR(AND(INDEX(Règles_bovins[Specificite],MATCH(RationHivernaleBovinsAuPré&amp;$BB304,Règles_bovins[Ration]&amp;Règles_bovins[Aliment],0))="s1",IF($BB304=Spécificité1Bovins,1)),
AND(INDEX(Règles_bovins[Specificite],MATCH(RationHivernaleBovinsAuPré&amp;$BB304,Règles_bovins[Ration]&amp;Règles_bovins[Aliment],0))="s2",IF($BB304=Spécificité2Bovins,1)),
INDEX(Règles_bovins[Specificite],MATCH(RationHivernaleBovinsAuPré&amp;$BB304,Règles_bovins[Ration]&amp;Règles_bovins[Aliment],0))="c"),
INDEX(Règles_bovins[Valeur 6-12],MATCH(RationHivernaleBovinsAuPré&amp;$BB304,Règles_bovins[Ration]&amp;Règles_bovins[Aliment],0)),0),0)*IF(SUM(TotalBovins_6_12moisAuPré)&gt;0,SUM(TotalBovins_6_12moisAuPré),SUM(TotalBovins_6_12mois))*35</f>
        <v>0</v>
      </c>
      <c r="BH304" s="350">
        <f t="array" ref="BH304">IFERROR(IF(OR(AND(INDEX(Règles_bovins[Specificite],MATCH(RationHivernaleBovinsAuPré&amp;$BB304,Règles_bovins[Ration]&amp;Règles_bovins[Aliment],0))="s1",IF($BB304=Spécificité1Bovins,1)),
AND(INDEX(Règles_bovins[Specificite],MATCH(RationHivernaleBovinsAuPré&amp;$BB304,Règles_bovins[Ration]&amp;Règles_bovins[Aliment],0))="s2",IF($BB304=Spécificité2Bovins,1)),
INDEX(Règles_bovins[Specificite],MATCH(RationHivernaleBovinsAuPré&amp;$BB304,Règles_bovins[Ration]&amp;Règles_bovins[Aliment],0))="c"),
INDEX(Règles_bovins[Valeur 3-6],MATCH(RationHivernaleBovinsAuPré&amp;$BB304,Règles_bovins[Ration]&amp;Règles_bovins[Aliment],0)),0),0)*IF(SUM(TotalBovins_3_6moisAuPré)&gt;0,SUM(TotalBovins_3_6moisAuPré),SUM(TotalBovins_3_6mois))*35</f>
        <v>0</v>
      </c>
      <c r="BI304" s="350">
        <f t="array" ref="BI304">IFERROR(IF(OR(AND(INDEX(Règles_bovins[Specificite],MATCH(RationHivernaleBovinsAuPré&amp;$BB304,Règles_bovins[Ration]&amp;Règles_bovins[Aliment],0))="s1",IF($BB304=Spécificité1Bovins,1)),
AND(INDEX(Règles_bovins[Specificite],MATCH(RationHivernaleBovinsAuPré&amp;$BB304,Règles_bovins[Ration]&amp;Règles_bovins[Aliment],0))="s2",IF($BB304=Spécificité2Bovins,1)),
INDEX(Règles_bovins[Specificite],MATCH(RationHivernaleBovinsAuPré&amp;$BB304,Règles_bovins[Ration]&amp;Règles_bovins[Aliment],0))="c"),
INDEX(Règles_bovins[Valeur 0-3],MATCH(RationHivernaleBovinsAuPré&amp;$BB304,Règles_bovins[Ration]&amp;Règles_bovins[Aliment],0)),0),0)*IF(SUM(TotalBovins_0_3moisAuPré)&gt;0,SUM(TotalBovins_0_3moisAuPré),SUM(TotalBovins_0_3mois))*35</f>
        <v>0</v>
      </c>
      <c r="BJ304" s="352">
        <f t="shared" si="71"/>
        <v>0</v>
      </c>
      <c r="CI304" s="277"/>
      <c r="DN304" s="350" t="str">
        <f t="shared" si="73"/>
        <v>Eau</v>
      </c>
      <c r="DO304" s="351">
        <f t="array" ref="DO304">SUM((IF(QualitéAlimentsAgneauMâle_0_3_mois=BONNE,VLOOKUP("Eau",AlimentsRationOvinsMâles,5,FALSE),0)+(IF(QualitéAlimentsAgneauFemelle_0_3_mois=BONNE,VLOOKUP("Eau",AlimentsRationOvinsFemelles,5,FALSE),0)+(IF(QualitéAlimentsAgneauMâle_3_6_mois=BONNE,VLOOKUP("Eau",AlimentsRationOvinsMâles,4,FALSE),0)+(IF(QualitéAlimentsAgneauFemelle_3_6_mois=BONNE,VLOOKUP("Eau",AlimentsRationOvinsFemelles,4,FALSE),0)+(IF(QualitéAlimentsJeuneBélier=BONNE,VLOOKUP("Eau",AlimentsRationOvinsMâles,3,FALSE),0)+(IF(QualitéAlimentsJeuneBrebis=BONNE,VLOOKUP("Eau",AlimentsRationOvinsFemelles,3,FALSE),0)+(IF(QualitéAlimentsBélier=BONNE,VLOOKUP("Eau",AlimentsRationOvinsMâles,2,FALSE),0)+(IF(QualitéAlimentsBrebis=BONNE,VLOOKUP("Eau",AlimentsRationOvinsFemelles,2,FALSE),0))))))))))</f>
        <v>0</v>
      </c>
      <c r="DP304" s="351">
        <f t="array" ref="DP304">SUM((IF(QualitéAlimentsAgneauMâle_0_3_mois=MOYENNE,VLOOKUP("Eau",AlimentsRationOvinsMâles,5,FALSE),0)+(IF(QualitéAlimentsAgneauFemelle_0_3_mois=MOYENNE,VLOOKUP("Eau",AlimentsRationOvinsFemelles,5,FALSE),0)+(IF(QualitéAlimentsAgneauMâle_3_6_mois=MOYENNE,VLOOKUP("Eau",AlimentsRationOvinsMâles,4,FALSE),0)+(IF(QualitéAlimentsAgneauFemelle_3_6_mois=MOYENNE,VLOOKUP("Eau",AlimentsRationOvinsFemelles,4,FALSE),0)+(IF(QualitéAlimentsJeuneBélier=MOYENNE,VLOOKUP("Eau",AlimentsRationOvinsMâles,3,FALSE),0)+(IF(QualitéAlimentsJeuneBrebis=MOYENNE,VLOOKUP("Eau",AlimentsRationOvinsFemelles,3,FALSE),0)+(IF(QualitéAlimentsBélier=MOYENNE,VLOOKUP("Eau",AlimentsRationOvinsMâles,2,FALSE),0)+(IF(QualitéAlimentsBrebis=MOYENNE,VLOOKUP("Eau",AlimentsRationOvinsFemelles,2,FALSE),0))))))))))</f>
        <v>0</v>
      </c>
      <c r="DQ304" s="351">
        <f t="array" ref="DQ304">SUM((IF(QualitéAlimentsAgneauMâle_0_3_mois=MAUVAISE,VLOOKUP("Eau",AlimentsRationOvinsMâles,5,FALSE),0)+(IF(QualitéAlimentsAgneauFemelle_0_3_mois=MAUVAISE,VLOOKUP("Eau",AlimentsRationOvinsFemelles,5,FALSE),0)+(IF(QualitéAlimentsAgneauMâle_3_6_mois=MAUVAISE,VLOOKUP("Eau",AlimentsRationOvinsMâles,4,FALSE),0)+(IF(QualitéAlimentsAgneauFemelle_3_6_mois=MAUVAISE,VLOOKUP("Eau",AlimentsRationOvinsFemelles,4,FALSE),0)+(IF(QualitéAlimentsJeuneBélier=MAUVAISE,VLOOKUP("Eau",AlimentsRationOvinsMâles,3,FALSE),0)+(IF(QualitéAlimentsJeuneBrebis=MAUVAISE,VLOOKUP("Eau",AlimentsRationOvinsFemelles,3,FALSE),0)+(IF(QualitéAlimentsBélier=MAUVAISE,VLOOKUP("Eau",AlimentsRationOvinsMâles,2,FALSE),0)+(IF(QualitéAlimentsBrebis=MAUVAISE,VLOOKUP("Eau",AlimentsRationOvinsFemelles,2,FALSE),0))))))))))</f>
        <v>0</v>
      </c>
      <c r="DS304" s="276"/>
      <c r="GG304" s="276" t="s">
        <v>955</v>
      </c>
      <c r="GH304" s="276" t="s">
        <v>955</v>
      </c>
      <c r="GI304" s="276" t="s">
        <v>955</v>
      </c>
      <c r="GJ304" s="276" t="s">
        <v>955</v>
      </c>
      <c r="GK304" s="276" t="s">
        <v>955</v>
      </c>
      <c r="GL304" s="276" t="s">
        <v>955</v>
      </c>
      <c r="GM304" s="276" t="s">
        <v>955</v>
      </c>
      <c r="GN304" s="276" t="s">
        <v>955</v>
      </c>
      <c r="GO304" s="276" t="s">
        <v>955</v>
      </c>
      <c r="GP304" s="276" t="s">
        <v>955</v>
      </c>
      <c r="GQ304" s="276" t="s">
        <v>955</v>
      </c>
      <c r="GR304" s="276" t="s">
        <v>955</v>
      </c>
      <c r="GS304" s="276" t="s">
        <v>955</v>
      </c>
      <c r="GT304" s="276" t="s">
        <v>955</v>
      </c>
      <c r="GU304" s="276" t="s">
        <v>955</v>
      </c>
      <c r="GV304" s="276" t="s">
        <v>955</v>
      </c>
    </row>
    <row r="305" spans="1:204" ht="12.75" customHeight="1" x14ac:dyDescent="0.2">
      <c r="A305" s="276"/>
      <c r="B305" s="276"/>
      <c r="BB305" s="350" t="str">
        <f t="shared" si="72"/>
        <v>Paille</v>
      </c>
      <c r="BC305" s="350">
        <f t="array" ref="BC305">IFERROR(IF(OR(AND(INDEX(Règles_bovins[Specificite],MATCH(RationHivernaleBovinsAuPré&amp;$BB305,Règles_bovins[Ration]&amp;Règles_bovins[Aliment],0))="s1",IF($BB305=Spécificité1Bovins,1)),
AND(INDEX(Règles_bovins[Specificite],MATCH(RationHivernaleBovinsAuPré&amp;$BB305,Règles_bovins[Ration]&amp;Règles_bovins[Aliment],0))="s2",IF($BB305=Spécificité2Bovins,1)),
INDEX(Règles_bovins[Specificite],MATCH(RationHivernaleBovinsAuPré&amp;$BB305,Règles_bovins[Ration]&amp;Règles_bovins[Aliment],0))="c"),
INDEX(Règles_bovins[Valeur 36 et plus],MATCH(RationHivernaleBovinsAuPré&amp;$BB305,Règles_bovins[Ration]&amp;Règles_bovins[Aliment],0)),0),0)*IF(SUM(TotalBovinsAdultesAuPré)&gt;0,SUM(TotalBovinsAdultesAuPré),SUM(TotalBovinsAdultes))*35</f>
        <v>0</v>
      </c>
      <c r="BD305" s="350">
        <f t="array" ref="BD305">IFERROR(IF(OR(AND(INDEX(Règles_bovins[Specificite],MATCH(RationHivernaleBovinsAuPré&amp;$BB305,Règles_bovins[Ration]&amp;Règles_bovins[Aliment],0))="s1",IF($BB305=Spécificité1Bovins,1)),
AND(INDEX(Règles_bovins[Specificite],MATCH(RationHivernaleBovinsAuPré&amp;$BB305,Règles_bovins[Ration]&amp;Règles_bovins[Aliment],0))="s2",IF($BB305=Spécificité2Bovins,1)),
INDEX(Règles_bovins[Specificite],MATCH(RationHivernaleBovinsAuPré&amp;$BB305,Règles_bovins[Ration]&amp;Règles_bovins[Aliment],0))="c"),
INDEX(Règles_bovins[Valeur 24-36],MATCH(RationHivernaleBovinsAuPré&amp;$BB305,Règles_bovins[Ration]&amp;Règles_bovins[Aliment],0)),0),0)*IF(SUM(TotalBovins_24_36moisAuPré)&gt;0,SUM(TotalBovins_24_36moisAuPré),SUM(TotalBovins_24_36mois))*35</f>
        <v>0</v>
      </c>
      <c r="BE305" s="350">
        <f t="array" ref="BE305">IFERROR(IF(OR(AND(INDEX(Règles_bovins[Specificite],MATCH(RationHivernaleBovinsAuPré&amp;$BB305,Règles_bovins[Ration]&amp;Règles_bovins[Aliment],0))="s1",IF($BB305=Spécificité1Bovins,1)),
AND(INDEX(Règles_bovins[Specificite],MATCH(RationHivernaleBovinsAuPré&amp;$BB305,Règles_bovins[Ration]&amp;Règles_bovins[Aliment],0))="s2",IF($BB305=Spécificité2Bovins,1)),
INDEX(Règles_bovins[Specificite],MATCH(RationHivernaleBovinsAuPré&amp;$BB305,Règles_bovins[Ration]&amp;Règles_bovins[Aliment],0))="c"),
INDEX(Règles_bovins[Valeur 18-24],MATCH(RationHivernaleBovinsAuPré&amp;$BB305,Règles_bovins[Ration]&amp;Règles_bovins[Aliment],0)),0),0)*IF(SUM(TotalBovins_18_24moisAuPré)&gt;0,SUM(TotalBovins_18_24moisAuPré),SUM(TotalBovins_18_24mois))*35</f>
        <v>0</v>
      </c>
      <c r="BF305" s="350">
        <f t="array" ref="BF305">IFERROR(IF(OR(AND(INDEX(Règles_bovins[Specificite],MATCH(RationHivernaleBovinsAuPré&amp;$BB305,Règles_bovins[Ration]&amp;Règles_bovins[Aliment],0))="s1",IF($BB305=Spécificité1Bovins,1)),
AND(INDEX(Règles_bovins[Specificite],MATCH(RationHivernaleBovinsAuPré&amp;$BB305,Règles_bovins[Ration]&amp;Règles_bovins[Aliment],0))="s2",IF($BB305=Spécificité2Bovins,1)),
INDEX(Règles_bovins[Specificite],MATCH(RationHivernaleBovinsAuPré&amp;$BB305,Règles_bovins[Ration]&amp;Règles_bovins[Aliment],0))="c"),
INDEX(Règles_bovins[Valeur 12-18],MATCH(RationHivernaleBovinsAuPré&amp;$BB305,Règles_bovins[Ration]&amp;Règles_bovins[Aliment],0)),0),0)*IF(SUM(TotalBovins_12_18moisAuPré)&gt;0,SUM(TotalBovins_12_18moisAuPré),SUM(TotalBovins_12_18mois))*35</f>
        <v>0</v>
      </c>
      <c r="BG305" s="350">
        <f t="array" ref="BG305">IFERROR(IF(OR(AND(INDEX(Règles_bovins[Specificite],MATCH(RationHivernaleBovinsAuPré&amp;$BB305,Règles_bovins[Ration]&amp;Règles_bovins[Aliment],0))="s1",IF($BB305=Spécificité1Bovins,1)),
AND(INDEX(Règles_bovins[Specificite],MATCH(RationHivernaleBovinsAuPré&amp;$BB305,Règles_bovins[Ration]&amp;Règles_bovins[Aliment],0))="s2",IF($BB305=Spécificité2Bovins,1)),
INDEX(Règles_bovins[Specificite],MATCH(RationHivernaleBovinsAuPré&amp;$BB305,Règles_bovins[Ration]&amp;Règles_bovins[Aliment],0))="c"),
INDEX(Règles_bovins[Valeur 6-12],MATCH(RationHivernaleBovinsAuPré&amp;$BB305,Règles_bovins[Ration]&amp;Règles_bovins[Aliment],0)),0),0)*IF(SUM(TotalBovins_6_12moisAuPré)&gt;0,SUM(TotalBovins_6_12moisAuPré),SUM(TotalBovins_6_12mois))*35</f>
        <v>0</v>
      </c>
      <c r="BH305" s="350">
        <f t="array" ref="BH305">IFERROR(IF(OR(AND(INDEX(Règles_bovins[Specificite],MATCH(RationHivernaleBovinsAuPré&amp;$BB305,Règles_bovins[Ration]&amp;Règles_bovins[Aliment],0))="s1",IF($BB305=Spécificité1Bovins,1)),
AND(INDEX(Règles_bovins[Specificite],MATCH(RationHivernaleBovinsAuPré&amp;$BB305,Règles_bovins[Ration]&amp;Règles_bovins[Aliment],0))="s2",IF($BB305=Spécificité2Bovins,1)),
INDEX(Règles_bovins[Specificite],MATCH(RationHivernaleBovinsAuPré&amp;$BB305,Règles_bovins[Ration]&amp;Règles_bovins[Aliment],0))="c"),
INDEX(Règles_bovins[Valeur 3-6],MATCH(RationHivernaleBovinsAuPré&amp;$BB305,Règles_bovins[Ration]&amp;Règles_bovins[Aliment],0)),0),0)*IF(SUM(TotalBovins_3_6moisAuPré)&gt;0,SUM(TotalBovins_3_6moisAuPré),SUM(TotalBovins_3_6mois))*35</f>
        <v>0</v>
      </c>
      <c r="BI305" s="350">
        <f t="array" ref="BI305">IFERROR(IF(OR(AND(INDEX(Règles_bovins[Specificite],MATCH(RationHivernaleBovinsAuPré&amp;$BB305,Règles_bovins[Ration]&amp;Règles_bovins[Aliment],0))="s1",IF($BB305=Spécificité1Bovins,1)),
AND(INDEX(Règles_bovins[Specificite],MATCH(RationHivernaleBovinsAuPré&amp;$BB305,Règles_bovins[Ration]&amp;Règles_bovins[Aliment],0))="s2",IF($BB305=Spécificité2Bovins,1)),
INDEX(Règles_bovins[Specificite],MATCH(RationHivernaleBovinsAuPré&amp;$BB305,Règles_bovins[Ration]&amp;Règles_bovins[Aliment],0))="c"),
INDEX(Règles_bovins[Valeur 0-3],MATCH(RationHivernaleBovinsAuPré&amp;$BB305,Règles_bovins[Ration]&amp;Règles_bovins[Aliment],0)),0),0)*IF(SUM(TotalBovins_0_3moisAuPré)&gt;0,SUM(TotalBovins_0_3moisAuPré),SUM(TotalBovins_0_3mois))*35</f>
        <v>0</v>
      </c>
      <c r="BJ305" s="352">
        <f t="shared" si="71"/>
        <v>0</v>
      </c>
      <c r="DN305" s="350" t="str">
        <f t="shared" si="73"/>
        <v>Epinard</v>
      </c>
      <c r="DO305" s="351">
        <f t="array" ref="DO305">SUM((IF(QualitéAlimentsAgneauMâle_0_3_mois=BONNE,VLOOKUP("Epinard",AlimentsRationOvinsMâles,5,FALSE),0)+(IF(QualitéAlimentsAgneauFemelle_0_3_mois=BONNE,VLOOKUP("Epinard",AlimentsRationOvinsFemelles,5,FALSE),0)+(IF(QualitéAlimentsAgneauMâle_3_6_mois=BONNE,VLOOKUP("Epinard",AlimentsRationOvinsMâles,4,FALSE),0)+(IF(QualitéAlimentsAgneauFemelle_3_6_mois=BONNE,VLOOKUP("Epinard",AlimentsRationOvinsFemelles,4,FALSE),0)+(IF(QualitéAlimentsJeuneBélier=BONNE,VLOOKUP("Epinard",AlimentsRationOvinsMâles,3,FALSE),0)+(IF(QualitéAlimentsJeuneBrebis=BONNE,VLOOKUP("Epinard",AlimentsRationOvinsFemelles,3,FALSE),0)+(IF(QualitéAlimentsBélier=BONNE,VLOOKUP("Epinard",AlimentsRationOvinsMâles,2,FALSE),0)+(IF(QualitéAlimentsBrebis=BONNE,VLOOKUP("Epinard",AlimentsRationOvinsFemelles,2,FALSE),0))))))))))</f>
        <v>0</v>
      </c>
      <c r="DP305" s="351">
        <f t="array" ref="DP305">SUM((IF(QualitéAlimentsAgneauMâle_0_3_mois=MOYENNE,VLOOKUP("Epinard",AlimentsRationOvinsMâles,5,FALSE),0)+(IF(QualitéAlimentsAgneauFemelle_0_3_mois=MOYENNE,VLOOKUP("Epinard",AlimentsRationOvinsFemelles,5,FALSE),0)+(IF(QualitéAlimentsAgneauMâle_3_6_mois=MOYENNE,VLOOKUP("Epinard",AlimentsRationOvinsMâles,4,FALSE),0)+(IF(QualitéAlimentsAgneauFemelle_3_6_mois=MOYENNE,VLOOKUP("Epinard",AlimentsRationOvinsFemelles,4,FALSE),0)+(IF(QualitéAlimentsJeuneBélier=MOYENNE,VLOOKUP("Epinard",AlimentsRationOvinsMâles,3,FALSE),0)+(IF(QualitéAlimentsJeuneBrebis=MOYENNE,VLOOKUP("Epinard",AlimentsRationOvinsFemelles,3,FALSE),0)+(IF(QualitéAlimentsBélier=MOYENNE,VLOOKUP("Epinard",AlimentsRationOvinsMâles,2,FALSE),0)+(IF(QualitéAlimentsBrebis=MOYENNE,VLOOKUP("Epinard",AlimentsRationOvinsFemelles,2,FALSE),0))))))))))</f>
        <v>0</v>
      </c>
      <c r="DQ305" s="351">
        <f t="array" ref="DQ305">SUM((IF(QualitéAlimentsAgneauMâle_0_3_mois=MAUVAISE,VLOOKUP("Epinard",AlimentsRationOvinsMâles,5,FALSE),0)+(IF(QualitéAlimentsAgneauFemelle_0_3_mois=MAUVAISE,VLOOKUP("Epinard",AlimentsRationOvinsFemelles,5,FALSE),0)+(IF(QualitéAlimentsAgneauMâle_3_6_mois=MAUVAISE,VLOOKUP("Epinard",AlimentsRationOvinsMâles,4,FALSE),0)+(IF(QualitéAlimentsAgneauFemelle_3_6_mois=MAUVAISE,VLOOKUP("Epinard",AlimentsRationOvinsFemelles,4,FALSE),0)+(IF(QualitéAlimentsJeuneBélier=MAUVAISE,VLOOKUP("Epinard",AlimentsRationOvinsMâles,3,FALSE),0)+(IF(QualitéAlimentsJeuneBrebis=MAUVAISE,VLOOKUP("Epinard",AlimentsRationOvinsFemelles,3,FALSE),0)+(IF(QualitéAlimentsBélier=MAUVAISE,VLOOKUP("Epinard",AlimentsRationOvinsMâles,2,FALSE),0)+(IF(QualitéAlimentsBrebis=MAUVAISE,VLOOKUP("Epinard",AlimentsRationOvinsFemelles,2,FALSE),0))))))))))</f>
        <v>0</v>
      </c>
      <c r="DS305" s="276"/>
      <c r="GG305" s="276" t="s">
        <v>955</v>
      </c>
      <c r="GH305" s="276" t="s">
        <v>955</v>
      </c>
      <c r="GI305" s="276" t="s">
        <v>955</v>
      </c>
      <c r="GJ305" s="276" t="s">
        <v>955</v>
      </c>
      <c r="GK305" s="276" t="s">
        <v>955</v>
      </c>
      <c r="GL305" s="276" t="s">
        <v>955</v>
      </c>
      <c r="GM305" s="276" t="s">
        <v>955</v>
      </c>
      <c r="GN305" s="276" t="s">
        <v>955</v>
      </c>
      <c r="GO305" s="276" t="s">
        <v>955</v>
      </c>
      <c r="GP305" s="276" t="s">
        <v>955</v>
      </c>
      <c r="GQ305" s="276" t="s">
        <v>955</v>
      </c>
      <c r="GR305" s="276" t="s">
        <v>955</v>
      </c>
      <c r="GS305" s="276" t="s">
        <v>955</v>
      </c>
      <c r="GT305" s="276" t="s">
        <v>955</v>
      </c>
      <c r="GU305" s="276" t="s">
        <v>955</v>
      </c>
      <c r="GV305" s="276" t="s">
        <v>955</v>
      </c>
    </row>
    <row r="306" spans="1:204" ht="12.75" customHeight="1" x14ac:dyDescent="0.2">
      <c r="A306" s="276"/>
      <c r="B306" s="276"/>
      <c r="BB306" s="350" t="str">
        <f t="shared" si="72"/>
        <v>Pois</v>
      </c>
      <c r="BC306" s="350">
        <f t="array" ref="BC306">IFERROR(IF(OR(AND(INDEX(Règles_bovins[Specificite],MATCH(RationHivernaleBovinsAuPré&amp;$BB306,Règles_bovins[Ration]&amp;Règles_bovins[Aliment],0))="s1",IF($BB306=Spécificité1Bovins,1)),
AND(INDEX(Règles_bovins[Specificite],MATCH(RationHivernaleBovinsAuPré&amp;$BB306,Règles_bovins[Ration]&amp;Règles_bovins[Aliment],0))="s2",IF($BB306=Spécificité2Bovins,1)),
INDEX(Règles_bovins[Specificite],MATCH(RationHivernaleBovinsAuPré&amp;$BB306,Règles_bovins[Ration]&amp;Règles_bovins[Aliment],0))="c"),
INDEX(Règles_bovins[Valeur 36 et plus],MATCH(RationHivernaleBovinsAuPré&amp;$BB306,Règles_bovins[Ration]&amp;Règles_bovins[Aliment],0)),0),0)*IF(SUM(TotalBovinsAdultesAuPré)&gt;0,SUM(TotalBovinsAdultesAuPré),SUM(TotalBovinsAdultes))*35</f>
        <v>0</v>
      </c>
      <c r="BD306" s="350">
        <f t="array" ref="BD306">IFERROR(IF(OR(AND(INDEX(Règles_bovins[Specificite],MATCH(RationHivernaleBovinsAuPré&amp;$BB306,Règles_bovins[Ration]&amp;Règles_bovins[Aliment],0))="s1",IF($BB306=Spécificité1Bovins,1)),
AND(INDEX(Règles_bovins[Specificite],MATCH(RationHivernaleBovinsAuPré&amp;$BB306,Règles_bovins[Ration]&amp;Règles_bovins[Aliment],0))="s2",IF($BB306=Spécificité2Bovins,1)),
INDEX(Règles_bovins[Specificite],MATCH(RationHivernaleBovinsAuPré&amp;$BB306,Règles_bovins[Ration]&amp;Règles_bovins[Aliment],0))="c"),
INDEX(Règles_bovins[Valeur 24-36],MATCH(RationHivernaleBovinsAuPré&amp;$BB306,Règles_bovins[Ration]&amp;Règles_bovins[Aliment],0)),0),0)*IF(SUM(TotalBovins_24_36moisAuPré)&gt;0,SUM(TotalBovins_24_36moisAuPré),SUM(TotalBovins_24_36mois))*35</f>
        <v>0</v>
      </c>
      <c r="BE306" s="350">
        <f t="array" ref="BE306">IFERROR(IF(OR(AND(INDEX(Règles_bovins[Specificite],MATCH(RationHivernaleBovinsAuPré&amp;$BB306,Règles_bovins[Ration]&amp;Règles_bovins[Aliment],0))="s1",IF($BB306=Spécificité1Bovins,1)),
AND(INDEX(Règles_bovins[Specificite],MATCH(RationHivernaleBovinsAuPré&amp;$BB306,Règles_bovins[Ration]&amp;Règles_bovins[Aliment],0))="s2",IF($BB306=Spécificité2Bovins,1)),
INDEX(Règles_bovins[Specificite],MATCH(RationHivernaleBovinsAuPré&amp;$BB306,Règles_bovins[Ration]&amp;Règles_bovins[Aliment],0))="c"),
INDEX(Règles_bovins[Valeur 18-24],MATCH(RationHivernaleBovinsAuPré&amp;$BB306,Règles_bovins[Ration]&amp;Règles_bovins[Aliment],0)),0),0)*IF(SUM(TotalBovins_18_24moisAuPré)&gt;0,SUM(TotalBovins_18_24moisAuPré),SUM(TotalBovins_18_24mois))*35</f>
        <v>0</v>
      </c>
      <c r="BF306" s="350">
        <f t="array" ref="BF306">IFERROR(IF(OR(AND(INDEX(Règles_bovins[Specificite],MATCH(RationHivernaleBovinsAuPré&amp;$BB306,Règles_bovins[Ration]&amp;Règles_bovins[Aliment],0))="s1",IF($BB306=Spécificité1Bovins,1)),
AND(INDEX(Règles_bovins[Specificite],MATCH(RationHivernaleBovinsAuPré&amp;$BB306,Règles_bovins[Ration]&amp;Règles_bovins[Aliment],0))="s2",IF($BB306=Spécificité2Bovins,1)),
INDEX(Règles_bovins[Specificite],MATCH(RationHivernaleBovinsAuPré&amp;$BB306,Règles_bovins[Ration]&amp;Règles_bovins[Aliment],0))="c"),
INDEX(Règles_bovins[Valeur 12-18],MATCH(RationHivernaleBovinsAuPré&amp;$BB306,Règles_bovins[Ration]&amp;Règles_bovins[Aliment],0)),0),0)*IF(SUM(TotalBovins_12_18moisAuPré)&gt;0,SUM(TotalBovins_12_18moisAuPré),SUM(TotalBovins_12_18mois))*35</f>
        <v>0</v>
      </c>
      <c r="BG306" s="350">
        <f t="array" ref="BG306">IFERROR(IF(OR(AND(INDEX(Règles_bovins[Specificite],MATCH(RationHivernaleBovinsAuPré&amp;$BB306,Règles_bovins[Ration]&amp;Règles_bovins[Aliment],0))="s1",IF($BB306=Spécificité1Bovins,1)),
AND(INDEX(Règles_bovins[Specificite],MATCH(RationHivernaleBovinsAuPré&amp;$BB306,Règles_bovins[Ration]&amp;Règles_bovins[Aliment],0))="s2",IF($BB306=Spécificité2Bovins,1)),
INDEX(Règles_bovins[Specificite],MATCH(RationHivernaleBovinsAuPré&amp;$BB306,Règles_bovins[Ration]&amp;Règles_bovins[Aliment],0))="c"),
INDEX(Règles_bovins[Valeur 6-12],MATCH(RationHivernaleBovinsAuPré&amp;$BB306,Règles_bovins[Ration]&amp;Règles_bovins[Aliment],0)),0),0)*IF(SUM(TotalBovins_6_12moisAuPré)&gt;0,SUM(TotalBovins_6_12moisAuPré),SUM(TotalBovins_6_12mois))*35</f>
        <v>0</v>
      </c>
      <c r="BH306" s="350">
        <f t="array" ref="BH306">IFERROR(IF(OR(AND(INDEX(Règles_bovins[Specificite],MATCH(RationHivernaleBovinsAuPré&amp;$BB306,Règles_bovins[Ration]&amp;Règles_bovins[Aliment],0))="s1",IF($BB306=Spécificité1Bovins,1)),
AND(INDEX(Règles_bovins[Specificite],MATCH(RationHivernaleBovinsAuPré&amp;$BB306,Règles_bovins[Ration]&amp;Règles_bovins[Aliment],0))="s2",IF($BB306=Spécificité2Bovins,1)),
INDEX(Règles_bovins[Specificite],MATCH(RationHivernaleBovinsAuPré&amp;$BB306,Règles_bovins[Ration]&amp;Règles_bovins[Aliment],0))="c"),
INDEX(Règles_bovins[Valeur 3-6],MATCH(RationHivernaleBovinsAuPré&amp;$BB306,Règles_bovins[Ration]&amp;Règles_bovins[Aliment],0)),0),0)*IF(SUM(TotalBovins_3_6moisAuPré)&gt;0,SUM(TotalBovins_3_6moisAuPré),SUM(TotalBovins_3_6mois))*35</f>
        <v>0</v>
      </c>
      <c r="BI306" s="350">
        <f t="array" ref="BI306">IFERROR(IF(OR(AND(INDEX(Règles_bovins[Specificite],MATCH(RationHivernaleBovinsAuPré&amp;$BB306,Règles_bovins[Ration]&amp;Règles_bovins[Aliment],0))="s1",IF($BB306=Spécificité1Bovins,1)),
AND(INDEX(Règles_bovins[Specificite],MATCH(RationHivernaleBovinsAuPré&amp;$BB306,Règles_bovins[Ration]&amp;Règles_bovins[Aliment],0))="s2",IF($BB306=Spécificité2Bovins,1)),
INDEX(Règles_bovins[Specificite],MATCH(RationHivernaleBovinsAuPré&amp;$BB306,Règles_bovins[Ration]&amp;Règles_bovins[Aliment],0))="c"),
INDEX(Règles_bovins[Valeur 0-3],MATCH(RationHivernaleBovinsAuPré&amp;$BB306,Règles_bovins[Ration]&amp;Règles_bovins[Aliment],0)),0),0)*IF(SUM(TotalBovins_0_3moisAuPré)&gt;0,SUM(TotalBovins_0_3moisAuPré),SUM(TotalBovins_0_3mois))*35</f>
        <v>0</v>
      </c>
      <c r="BJ306" s="352">
        <f t="shared" si="71"/>
        <v>0</v>
      </c>
      <c r="DN306" s="350" t="str">
        <f t="shared" si="73"/>
        <v>Féverole</v>
      </c>
      <c r="DO306" s="351">
        <f t="array" ref="DO306">SUM((IF(QualitéAlimentsAgneauMâle_0_3_mois=BONNE,VLOOKUP("Féverole",AlimentsRationOvinsMâles,5,FALSE),0)+(IF(QualitéAlimentsAgneauFemelle_0_3_mois=BONNE,VLOOKUP("Féverole",AlimentsRationOvinsFemelles,5,FALSE),0)+(IF(QualitéAlimentsAgneauMâle_3_6_mois=BONNE,VLOOKUP("Féverole",AlimentsRationOvinsMâles,4,FALSE),0)+(IF(QualitéAlimentsAgneauFemelle_3_6_mois=BONNE,VLOOKUP("Féverole",AlimentsRationOvinsFemelles,4,FALSE),0)+(IF(QualitéAlimentsJeuneBélier=BONNE,VLOOKUP("Féverole",AlimentsRationOvinsMâles,3,FALSE),0)+(IF(QualitéAlimentsJeuneBrebis=BONNE,VLOOKUP("Féverole",AlimentsRationOvinsFemelles,3,FALSE),0)+(IF(QualitéAlimentsBélier=BONNE,VLOOKUP("Féverole",AlimentsRationOvinsMâles,2,FALSE),0)+(IF(QualitéAlimentsBrebis=BONNE,VLOOKUP("Féverole",AlimentsRationOvinsFemelles,2,FALSE),0))))))))))</f>
        <v>0</v>
      </c>
      <c r="DP306" s="351">
        <f t="array" ref="DP306">SUM((IF(QualitéAlimentsAgneauMâle_0_3_mois=MOYENNE,VLOOKUP("Féverole",AlimentsRationOvinsMâles,5,FALSE),0)+(IF(QualitéAlimentsAgneauFemelle_0_3_mois=MOYENNE,VLOOKUP("Féverole",AlimentsRationOvinsFemelles,5,FALSE),0)+(IF(QualitéAlimentsAgneauMâle_3_6_mois=MOYENNE,VLOOKUP("Féverole",AlimentsRationOvinsMâles,4,FALSE),0)+(IF(QualitéAlimentsAgneauFemelle_3_6_mois=MOYENNE,VLOOKUP("Féverole",AlimentsRationOvinsFemelles,4,FALSE),0)+(IF(QualitéAlimentsJeuneBélier=MOYENNE,VLOOKUP("Féverole",AlimentsRationOvinsMâles,3,FALSE),0)+(IF(QualitéAlimentsJeuneBrebis=MOYENNE,VLOOKUP("Féverole",AlimentsRationOvinsFemelles,3,FALSE),0)+(IF(QualitéAlimentsBélier=MOYENNE,VLOOKUP("Féverole",AlimentsRationOvinsMâles,2,FALSE),0)+(IF(QualitéAlimentsBrebis=MOYENNE,VLOOKUP("Féverole",AlimentsRationOvinsFemelles,2,FALSE),0))))))))))</f>
        <v>0</v>
      </c>
      <c r="DQ306" s="351">
        <f t="array" ref="DQ306">SUM((IF(QualitéAlimentsAgneauMâle_0_3_mois=MAUVAISE,VLOOKUP("Féverole",AlimentsRationOvinsMâles,5,FALSE),0)+(IF(QualitéAlimentsAgneauFemelle_0_3_mois=MAUVAISE,VLOOKUP("Féverole",AlimentsRationOvinsFemelles,5,FALSE),0)+(IF(QualitéAlimentsAgneauMâle_3_6_mois=MAUVAISE,VLOOKUP("Féverole",AlimentsRationOvinsMâles,4,FALSE),0)+(IF(QualitéAlimentsAgneauFemelle_3_6_mois=MAUVAISE,VLOOKUP("Féverole",AlimentsRationOvinsFemelles,4,FALSE),0)+(IF(QualitéAlimentsJeuneBélier=MAUVAISE,VLOOKUP("Féverole",AlimentsRationOvinsMâles,3,FALSE),0)+(IF(QualitéAlimentsJeuneBrebis=MAUVAISE,VLOOKUP("Féverole",AlimentsRationOvinsFemelles,3,FALSE),0)+(IF(QualitéAlimentsBélier=MAUVAISE,VLOOKUP("Féverole",AlimentsRationOvinsMâles,2,FALSE),0)+(IF(QualitéAlimentsBrebis=MAUVAISE,VLOOKUP("Féverole",AlimentsRationOvinsFemelles,2,FALSE),0))))))))))</f>
        <v>0</v>
      </c>
      <c r="DS306" s="276"/>
      <c r="GG306" s="276" t="s">
        <v>955</v>
      </c>
      <c r="GH306" s="276" t="s">
        <v>955</v>
      </c>
      <c r="GI306" s="276" t="s">
        <v>955</v>
      </c>
      <c r="GJ306" s="276" t="s">
        <v>955</v>
      </c>
      <c r="GK306" s="276" t="s">
        <v>955</v>
      </c>
      <c r="GL306" s="276" t="s">
        <v>955</v>
      </c>
      <c r="GM306" s="276" t="s">
        <v>955</v>
      </c>
      <c r="GN306" s="276" t="s">
        <v>955</v>
      </c>
      <c r="GO306" s="276" t="s">
        <v>955</v>
      </c>
      <c r="GP306" s="276" t="s">
        <v>955</v>
      </c>
      <c r="GQ306" s="276" t="s">
        <v>955</v>
      </c>
      <c r="GR306" s="276" t="s">
        <v>955</v>
      </c>
      <c r="GS306" s="276" t="s">
        <v>955</v>
      </c>
      <c r="GT306" s="276" t="s">
        <v>955</v>
      </c>
      <c r="GU306" s="276" t="s">
        <v>955</v>
      </c>
      <c r="GV306" s="276" t="s">
        <v>955</v>
      </c>
    </row>
    <row r="307" spans="1:204" ht="12.75" customHeight="1" x14ac:dyDescent="0.2">
      <c r="A307" s="276"/>
      <c r="B307" s="276"/>
      <c r="BB307" s="350" t="str">
        <f t="shared" si="72"/>
        <v>Pomme de terre</v>
      </c>
      <c r="BC307" s="350">
        <f t="array" ref="BC307">IFERROR(IF(OR(AND(INDEX(Règles_bovins[Specificite],MATCH(RationHivernaleBovinsAuPré&amp;$BB307,Règles_bovins[Ration]&amp;Règles_bovins[Aliment],0))="s1",IF($BB307=Spécificité1Bovins,1)),
AND(INDEX(Règles_bovins[Specificite],MATCH(RationHivernaleBovinsAuPré&amp;$BB307,Règles_bovins[Ration]&amp;Règles_bovins[Aliment],0))="s2",IF($BB307=Spécificité2Bovins,1)),
INDEX(Règles_bovins[Specificite],MATCH(RationHivernaleBovinsAuPré&amp;$BB307,Règles_bovins[Ration]&amp;Règles_bovins[Aliment],0))="c"),
INDEX(Règles_bovins[Valeur 36 et plus],MATCH(RationHivernaleBovinsAuPré&amp;$BB307,Règles_bovins[Ration]&amp;Règles_bovins[Aliment],0)),0),0)*IF(SUM(TotalBovinsAdultesAuPré)&gt;0,SUM(TotalBovinsAdultesAuPré),SUM(TotalBovinsAdultes))*35</f>
        <v>0</v>
      </c>
      <c r="BD307" s="350">
        <f t="array" ref="BD307">IFERROR(IF(OR(AND(INDEX(Règles_bovins[Specificite],MATCH(RationHivernaleBovinsAuPré&amp;$BB307,Règles_bovins[Ration]&amp;Règles_bovins[Aliment],0))="s1",IF($BB307=Spécificité1Bovins,1)),
AND(INDEX(Règles_bovins[Specificite],MATCH(RationHivernaleBovinsAuPré&amp;$BB307,Règles_bovins[Ration]&amp;Règles_bovins[Aliment],0))="s2",IF($BB307=Spécificité2Bovins,1)),
INDEX(Règles_bovins[Specificite],MATCH(RationHivernaleBovinsAuPré&amp;$BB307,Règles_bovins[Ration]&amp;Règles_bovins[Aliment],0))="c"),
INDEX(Règles_bovins[Valeur 24-36],MATCH(RationHivernaleBovinsAuPré&amp;$BB307,Règles_bovins[Ration]&amp;Règles_bovins[Aliment],0)),0),0)*IF(SUM(TotalBovins_24_36moisAuPré)&gt;0,SUM(TotalBovins_24_36moisAuPré),SUM(TotalBovins_24_36mois))*35</f>
        <v>0</v>
      </c>
      <c r="BE307" s="350">
        <f t="array" ref="BE307">IFERROR(IF(OR(AND(INDEX(Règles_bovins[Specificite],MATCH(RationHivernaleBovinsAuPré&amp;$BB307,Règles_bovins[Ration]&amp;Règles_bovins[Aliment],0))="s1",IF($BB307=Spécificité1Bovins,1)),
AND(INDEX(Règles_bovins[Specificite],MATCH(RationHivernaleBovinsAuPré&amp;$BB307,Règles_bovins[Ration]&amp;Règles_bovins[Aliment],0))="s2",IF($BB307=Spécificité2Bovins,1)),
INDEX(Règles_bovins[Specificite],MATCH(RationHivernaleBovinsAuPré&amp;$BB307,Règles_bovins[Ration]&amp;Règles_bovins[Aliment],0))="c"),
INDEX(Règles_bovins[Valeur 18-24],MATCH(RationHivernaleBovinsAuPré&amp;$BB307,Règles_bovins[Ration]&amp;Règles_bovins[Aliment],0)),0),0)*IF(SUM(TotalBovins_18_24moisAuPré)&gt;0,SUM(TotalBovins_18_24moisAuPré),SUM(TotalBovins_18_24mois))*35</f>
        <v>0</v>
      </c>
      <c r="BF307" s="350">
        <f t="array" ref="BF307">IFERROR(IF(OR(AND(INDEX(Règles_bovins[Specificite],MATCH(RationHivernaleBovinsAuPré&amp;$BB307,Règles_bovins[Ration]&amp;Règles_bovins[Aliment],0))="s1",IF($BB307=Spécificité1Bovins,1)),
AND(INDEX(Règles_bovins[Specificite],MATCH(RationHivernaleBovinsAuPré&amp;$BB307,Règles_bovins[Ration]&amp;Règles_bovins[Aliment],0))="s2",IF($BB307=Spécificité2Bovins,1)),
INDEX(Règles_bovins[Specificite],MATCH(RationHivernaleBovinsAuPré&amp;$BB307,Règles_bovins[Ration]&amp;Règles_bovins[Aliment],0))="c"),
INDEX(Règles_bovins[Valeur 12-18],MATCH(RationHivernaleBovinsAuPré&amp;$BB307,Règles_bovins[Ration]&amp;Règles_bovins[Aliment],0)),0),0)*IF(SUM(TotalBovins_12_18moisAuPré)&gt;0,SUM(TotalBovins_12_18moisAuPré),SUM(TotalBovins_12_18mois))*35</f>
        <v>0</v>
      </c>
      <c r="BG307" s="350">
        <f t="array" ref="BG307">IFERROR(IF(OR(AND(INDEX(Règles_bovins[Specificite],MATCH(RationHivernaleBovinsAuPré&amp;$BB307,Règles_bovins[Ration]&amp;Règles_bovins[Aliment],0))="s1",IF($BB307=Spécificité1Bovins,1)),
AND(INDEX(Règles_bovins[Specificite],MATCH(RationHivernaleBovinsAuPré&amp;$BB307,Règles_bovins[Ration]&amp;Règles_bovins[Aliment],0))="s2",IF($BB307=Spécificité2Bovins,1)),
INDEX(Règles_bovins[Specificite],MATCH(RationHivernaleBovinsAuPré&amp;$BB307,Règles_bovins[Ration]&amp;Règles_bovins[Aliment],0))="c"),
INDEX(Règles_bovins[Valeur 6-12],MATCH(RationHivernaleBovinsAuPré&amp;$BB307,Règles_bovins[Ration]&amp;Règles_bovins[Aliment],0)),0),0)*IF(SUM(TotalBovins_6_12moisAuPré)&gt;0,SUM(TotalBovins_6_12moisAuPré),SUM(TotalBovins_6_12mois))*35</f>
        <v>0</v>
      </c>
      <c r="BH307" s="350">
        <f t="array" ref="BH307">IFERROR(IF(OR(AND(INDEX(Règles_bovins[Specificite],MATCH(RationHivernaleBovinsAuPré&amp;$BB307,Règles_bovins[Ration]&amp;Règles_bovins[Aliment],0))="s1",IF($BB307=Spécificité1Bovins,1)),
AND(INDEX(Règles_bovins[Specificite],MATCH(RationHivernaleBovinsAuPré&amp;$BB307,Règles_bovins[Ration]&amp;Règles_bovins[Aliment],0))="s2",IF($BB307=Spécificité2Bovins,1)),
INDEX(Règles_bovins[Specificite],MATCH(RationHivernaleBovinsAuPré&amp;$BB307,Règles_bovins[Ration]&amp;Règles_bovins[Aliment],0))="c"),
INDEX(Règles_bovins[Valeur 3-6],MATCH(RationHivernaleBovinsAuPré&amp;$BB307,Règles_bovins[Ration]&amp;Règles_bovins[Aliment],0)),0),0)*IF(SUM(TotalBovins_3_6moisAuPré)&gt;0,SUM(TotalBovins_3_6moisAuPré),SUM(TotalBovins_3_6mois))*35</f>
        <v>0</v>
      </c>
      <c r="BI307" s="350">
        <f t="array" ref="BI307">IFERROR(IF(OR(AND(INDEX(Règles_bovins[Specificite],MATCH(RationHivernaleBovinsAuPré&amp;$BB307,Règles_bovins[Ration]&amp;Règles_bovins[Aliment],0))="s1",IF($BB307=Spécificité1Bovins,1)),
AND(INDEX(Règles_bovins[Specificite],MATCH(RationHivernaleBovinsAuPré&amp;$BB307,Règles_bovins[Ration]&amp;Règles_bovins[Aliment],0))="s2",IF($BB307=Spécificité2Bovins,1)),
INDEX(Règles_bovins[Specificite],MATCH(RationHivernaleBovinsAuPré&amp;$BB307,Règles_bovins[Ration]&amp;Règles_bovins[Aliment],0))="c"),
INDEX(Règles_bovins[Valeur 0-3],MATCH(RationHivernaleBovinsAuPré&amp;$BB307,Règles_bovins[Ration]&amp;Règles_bovins[Aliment],0)),0),0)*IF(SUM(TotalBovins_0_3moisAuPré)&gt;0,SUM(TotalBovins_0_3moisAuPré),SUM(TotalBovins_0_3mois))*35</f>
        <v>0</v>
      </c>
      <c r="BJ307" s="352">
        <f t="shared" si="71"/>
        <v>0</v>
      </c>
      <c r="DN307" s="350" t="str">
        <f t="shared" si="73"/>
        <v>Foin</v>
      </c>
      <c r="DO307" s="351">
        <f t="array" ref="DO307">SUM((IF(QualitéAlimentsAgneauMâle_0_3_mois=BONNE,VLOOKUP("Foin",AlimentsRationOvinsMâles,5,FALSE),0)+(IF(QualitéAlimentsAgneauFemelle_0_3_mois=BONNE,VLOOKUP("Foin",AlimentsRationOvinsFemelles,5,FALSE),0)+(IF(QualitéAlimentsAgneauMâle_3_6_mois=BONNE,VLOOKUP("Foin",AlimentsRationOvinsMâles,4,FALSE),0)+(IF(QualitéAlimentsAgneauFemelle_3_6_mois=BONNE,VLOOKUP("Foin",AlimentsRationOvinsFemelles,4,FALSE),0)+(IF(QualitéAlimentsJeuneBélier=BONNE,VLOOKUP("Foin",AlimentsRationOvinsMâles,3,FALSE),0)+(IF(QualitéAlimentsJeuneBrebis=BONNE,VLOOKUP("Foin",AlimentsRationOvinsFemelles,3,FALSE),0)+(IF(QualitéAlimentsBélier=BONNE,VLOOKUP("Foin",AlimentsRationOvinsMâles,2,FALSE),0)+(IF(QualitéAlimentsBrebis=BONNE,VLOOKUP("Foin",AlimentsRationOvinsFemelles,2,FALSE),0))))))))))</f>
        <v>0</v>
      </c>
      <c r="DP307" s="351">
        <f t="array" ref="DP307">SUM((IF(QualitéAlimentsAgneauMâle_0_3_mois=MOYENNE,VLOOKUP("Foin",AlimentsRationOvinsMâles,5,FALSE),0)+(IF(QualitéAlimentsAgneauFemelle_0_3_mois=MOYENNE,VLOOKUP("Foin",AlimentsRationOvinsFemelles,5,FALSE),0)+(IF(QualitéAlimentsAgneauMâle_3_6_mois=MOYENNE,VLOOKUP("Foin",AlimentsRationOvinsMâles,4,FALSE),0)+(IF(QualitéAlimentsAgneauFemelle_3_6_mois=MOYENNE,VLOOKUP("Foin",AlimentsRationOvinsFemelles,4,FALSE),0)+(IF(QualitéAlimentsJeuneBélier=MOYENNE,VLOOKUP("Foin",AlimentsRationOvinsMâles,3,FALSE),0)+(IF(QualitéAlimentsJeuneBrebis=MOYENNE,VLOOKUP("Foin",AlimentsRationOvinsFemelles,3,FALSE),0)+(IF(QualitéAlimentsBélier=MOYENNE,VLOOKUP("Foin",AlimentsRationOvinsMâles,2,FALSE),0)+(IF(QualitéAlimentsBrebis=MOYENNE,VLOOKUP("Foin",AlimentsRationOvinsFemelles,2,FALSE),0))))))))))</f>
        <v>0</v>
      </c>
      <c r="DQ307" s="351">
        <f t="array" ref="DQ307">SUM((IF(QualitéAlimentsAgneauMâle_0_3_mois=MAUVAISE,VLOOKUP("Foin",AlimentsRationOvinsMâles,5,FALSE),0)+(IF(QualitéAlimentsAgneauFemelle_0_3_mois=MAUVAISE,VLOOKUP("Foin",AlimentsRationOvinsFemelles,5,FALSE),0)+(IF(QualitéAlimentsAgneauMâle_3_6_mois=MAUVAISE,VLOOKUP("Foin",AlimentsRationOvinsMâles,4,FALSE),0)+(IF(QualitéAlimentsAgneauFemelle_3_6_mois=MAUVAISE,VLOOKUP("Foin",AlimentsRationOvinsFemelles,4,FALSE),0)+(IF(QualitéAlimentsJeuneBélier=MAUVAISE,VLOOKUP("Foin",AlimentsRationOvinsMâles,3,FALSE),0)+(IF(QualitéAlimentsJeuneBrebis=MAUVAISE,VLOOKUP("Foin",AlimentsRationOvinsFemelles,3,FALSE),0)+(IF(QualitéAlimentsBélier=MAUVAISE,VLOOKUP("Foin",AlimentsRationOvinsMâles,2,FALSE),0)+(IF(QualitéAlimentsBrebis=MAUVAISE,VLOOKUP("Foin",AlimentsRationOvinsFemelles,2,FALSE),0))))))))))</f>
        <v>0</v>
      </c>
      <c r="DS307" s="276"/>
      <c r="GG307" s="276" t="s">
        <v>955</v>
      </c>
      <c r="GH307" s="276" t="s">
        <v>955</v>
      </c>
      <c r="GI307" s="276" t="s">
        <v>955</v>
      </c>
      <c r="GJ307" s="276" t="s">
        <v>955</v>
      </c>
      <c r="GK307" s="276" t="s">
        <v>955</v>
      </c>
      <c r="GL307" s="276" t="s">
        <v>955</v>
      </c>
      <c r="GM307" s="276" t="s">
        <v>955</v>
      </c>
      <c r="GN307" s="276" t="s">
        <v>955</v>
      </c>
      <c r="GO307" s="276" t="s">
        <v>955</v>
      </c>
      <c r="GP307" s="276" t="s">
        <v>955</v>
      </c>
      <c r="GQ307" s="276" t="s">
        <v>955</v>
      </c>
      <c r="GR307" s="276" t="s">
        <v>955</v>
      </c>
      <c r="GS307" s="276" t="s">
        <v>955</v>
      </c>
      <c r="GT307" s="276" t="s">
        <v>955</v>
      </c>
      <c r="GU307" s="276" t="s">
        <v>955</v>
      </c>
      <c r="GV307" s="276" t="s">
        <v>955</v>
      </c>
    </row>
    <row r="308" spans="1:204" ht="12.75" customHeight="1" x14ac:dyDescent="0.2">
      <c r="A308" s="276"/>
      <c r="B308" s="276"/>
      <c r="BB308" s="350" t="str">
        <f t="shared" si="72"/>
        <v>Pulpe déshydratée de betterave</v>
      </c>
      <c r="BC308" s="350">
        <f t="array" ref="BC308">IFERROR(IF(OR(AND(INDEX(Règles_bovins[Specificite],MATCH(RationHivernaleBovinsAuPré&amp;$BB308,Règles_bovins[Ration]&amp;Règles_bovins[Aliment],0))="s1",IF($BB308=Spécificité1Bovins,1)),
AND(INDEX(Règles_bovins[Specificite],MATCH(RationHivernaleBovinsAuPré&amp;$BB308,Règles_bovins[Ration]&amp;Règles_bovins[Aliment],0))="s2",IF($BB308=Spécificité2Bovins,1)),
INDEX(Règles_bovins[Specificite],MATCH(RationHivernaleBovinsAuPré&amp;$BB308,Règles_bovins[Ration]&amp;Règles_bovins[Aliment],0))="c"),
INDEX(Règles_bovins[Valeur 36 et plus],MATCH(RationHivernaleBovinsAuPré&amp;$BB308,Règles_bovins[Ration]&amp;Règles_bovins[Aliment],0)),0),0)*IF(SUM(TotalBovinsAdultesAuPré)&gt;0,SUM(TotalBovinsAdultesAuPré),SUM(TotalBovinsAdultes))*35</f>
        <v>0</v>
      </c>
      <c r="BD308" s="350">
        <f t="array" ref="BD308">IFERROR(IF(OR(AND(INDEX(Règles_bovins[Specificite],MATCH(RationHivernaleBovinsAuPré&amp;$BB308,Règles_bovins[Ration]&amp;Règles_bovins[Aliment],0))="s1",IF($BB308=Spécificité1Bovins,1)),
AND(INDEX(Règles_bovins[Specificite],MATCH(RationHivernaleBovinsAuPré&amp;$BB308,Règles_bovins[Ration]&amp;Règles_bovins[Aliment],0))="s2",IF($BB308=Spécificité2Bovins,1)),
INDEX(Règles_bovins[Specificite],MATCH(RationHivernaleBovinsAuPré&amp;$BB308,Règles_bovins[Ration]&amp;Règles_bovins[Aliment],0))="c"),
INDEX(Règles_bovins[Valeur 24-36],MATCH(RationHivernaleBovinsAuPré&amp;$BB308,Règles_bovins[Ration]&amp;Règles_bovins[Aliment],0)),0),0)*IF(SUM(TotalBovins_24_36moisAuPré)&gt;0,SUM(TotalBovins_24_36moisAuPré),SUM(TotalBovins_24_36mois))*35</f>
        <v>0</v>
      </c>
      <c r="BE308" s="350">
        <f t="array" ref="BE308">IFERROR(IF(OR(AND(INDEX(Règles_bovins[Specificite],MATCH(RationHivernaleBovinsAuPré&amp;$BB308,Règles_bovins[Ration]&amp;Règles_bovins[Aliment],0))="s1",IF($BB308=Spécificité1Bovins,1)),
AND(INDEX(Règles_bovins[Specificite],MATCH(RationHivernaleBovinsAuPré&amp;$BB308,Règles_bovins[Ration]&amp;Règles_bovins[Aliment],0))="s2",IF($BB308=Spécificité2Bovins,1)),
INDEX(Règles_bovins[Specificite],MATCH(RationHivernaleBovinsAuPré&amp;$BB308,Règles_bovins[Ration]&amp;Règles_bovins[Aliment],0))="c"),
INDEX(Règles_bovins[Valeur 18-24],MATCH(RationHivernaleBovinsAuPré&amp;$BB308,Règles_bovins[Ration]&amp;Règles_bovins[Aliment],0)),0),0)*IF(SUM(TotalBovins_18_24moisAuPré)&gt;0,SUM(TotalBovins_18_24moisAuPré),SUM(TotalBovins_18_24mois))*35</f>
        <v>0</v>
      </c>
      <c r="BF308" s="350">
        <f t="array" ref="BF308">IFERROR(IF(OR(AND(INDEX(Règles_bovins[Specificite],MATCH(RationHivernaleBovinsAuPré&amp;$BB308,Règles_bovins[Ration]&amp;Règles_bovins[Aliment],0))="s1",IF($BB308=Spécificité1Bovins,1)),
AND(INDEX(Règles_bovins[Specificite],MATCH(RationHivernaleBovinsAuPré&amp;$BB308,Règles_bovins[Ration]&amp;Règles_bovins[Aliment],0))="s2",IF($BB308=Spécificité2Bovins,1)),
INDEX(Règles_bovins[Specificite],MATCH(RationHivernaleBovinsAuPré&amp;$BB308,Règles_bovins[Ration]&amp;Règles_bovins[Aliment],0))="c"),
INDEX(Règles_bovins[Valeur 12-18],MATCH(RationHivernaleBovinsAuPré&amp;$BB308,Règles_bovins[Ration]&amp;Règles_bovins[Aliment],0)),0),0)*IF(SUM(TotalBovins_12_18moisAuPré)&gt;0,SUM(TotalBovins_12_18moisAuPré),SUM(TotalBovins_12_18mois))*35</f>
        <v>0</v>
      </c>
      <c r="BG308" s="350">
        <f t="array" ref="BG308">IFERROR(IF(OR(AND(INDEX(Règles_bovins[Specificite],MATCH(RationHivernaleBovinsAuPré&amp;$BB308,Règles_bovins[Ration]&amp;Règles_bovins[Aliment],0))="s1",IF($BB308=Spécificité1Bovins,1)),
AND(INDEX(Règles_bovins[Specificite],MATCH(RationHivernaleBovinsAuPré&amp;$BB308,Règles_bovins[Ration]&amp;Règles_bovins[Aliment],0))="s2",IF($BB308=Spécificité2Bovins,1)),
INDEX(Règles_bovins[Specificite],MATCH(RationHivernaleBovinsAuPré&amp;$BB308,Règles_bovins[Ration]&amp;Règles_bovins[Aliment],0))="c"),
INDEX(Règles_bovins[Valeur 6-12],MATCH(RationHivernaleBovinsAuPré&amp;$BB308,Règles_bovins[Ration]&amp;Règles_bovins[Aliment],0)),0),0)*IF(SUM(TotalBovins_6_12moisAuPré)&gt;0,SUM(TotalBovins_6_12moisAuPré),SUM(TotalBovins_6_12mois))*35</f>
        <v>0</v>
      </c>
      <c r="BH308" s="350">
        <f t="array" ref="BH308">IFERROR(IF(OR(AND(INDEX(Règles_bovins[Specificite],MATCH(RationHivernaleBovinsAuPré&amp;$BB308,Règles_bovins[Ration]&amp;Règles_bovins[Aliment],0))="s1",IF($BB308=Spécificité1Bovins,1)),
AND(INDEX(Règles_bovins[Specificite],MATCH(RationHivernaleBovinsAuPré&amp;$BB308,Règles_bovins[Ration]&amp;Règles_bovins[Aliment],0))="s2",IF($BB308=Spécificité2Bovins,1)),
INDEX(Règles_bovins[Specificite],MATCH(RationHivernaleBovinsAuPré&amp;$BB308,Règles_bovins[Ration]&amp;Règles_bovins[Aliment],0))="c"),
INDEX(Règles_bovins[Valeur 3-6],MATCH(RationHivernaleBovinsAuPré&amp;$BB308,Règles_bovins[Ration]&amp;Règles_bovins[Aliment],0)),0),0)*IF(SUM(TotalBovins_3_6moisAuPré)&gt;0,SUM(TotalBovins_3_6moisAuPré),SUM(TotalBovins_3_6mois))*35</f>
        <v>0</v>
      </c>
      <c r="BI308" s="350">
        <f t="array" ref="BI308">IFERROR(IF(OR(AND(INDEX(Règles_bovins[Specificite],MATCH(RationHivernaleBovinsAuPré&amp;$BB308,Règles_bovins[Ration]&amp;Règles_bovins[Aliment],0))="s1",IF($BB308=Spécificité1Bovins,1)),
AND(INDEX(Règles_bovins[Specificite],MATCH(RationHivernaleBovinsAuPré&amp;$BB308,Règles_bovins[Ration]&amp;Règles_bovins[Aliment],0))="s2",IF($BB308=Spécificité2Bovins,1)),
INDEX(Règles_bovins[Specificite],MATCH(RationHivernaleBovinsAuPré&amp;$BB308,Règles_bovins[Ration]&amp;Règles_bovins[Aliment],0))="c"),
INDEX(Règles_bovins[Valeur 0-3],MATCH(RationHivernaleBovinsAuPré&amp;$BB308,Règles_bovins[Ration]&amp;Règles_bovins[Aliment],0)),0),0)*IF(SUM(TotalBovins_0_3moisAuPré)&gt;0,SUM(TotalBovins_0_3moisAuPré),SUM(TotalBovins_0_3mois))*35</f>
        <v>0</v>
      </c>
      <c r="BJ308" s="352">
        <f t="shared" si="71"/>
        <v>0</v>
      </c>
      <c r="DN308" s="350" t="str">
        <f t="shared" si="73"/>
        <v>Haricot vert</v>
      </c>
      <c r="DO308" s="351">
        <f t="array" ref="DO308">SUM((IF(QualitéAlimentsAgneauMâle_0_3_mois=BONNE,VLOOKUP("Haricot vert",AlimentsRationOvinsMâles,5,FALSE),0)+(IF(QualitéAlimentsAgneauFemelle_0_3_mois=BONNE,VLOOKUP("Haricot vert",AlimentsRationOvinsFemelles,5,FALSE),0)+(IF(QualitéAlimentsAgneauMâle_3_6_mois=BONNE,VLOOKUP("Haricot vert",AlimentsRationOvinsMâles,4,FALSE),0)+(IF(QualitéAlimentsAgneauFemelle_3_6_mois=BONNE,VLOOKUP("Haricot vert",AlimentsRationOvinsFemelles,4,FALSE),0)+(IF(QualitéAlimentsJeuneBélier=BONNE,VLOOKUP("Haricot vert",AlimentsRationOvinsMâles,3,FALSE),0)+(IF(QualitéAlimentsJeuneBrebis=BONNE,VLOOKUP("Haricot vert",AlimentsRationOvinsFemelles,3,FALSE),0)+(IF(QualitéAlimentsBélier=BONNE,VLOOKUP("Haricot vert",AlimentsRationOvinsMâles,2,FALSE),0)+(IF(QualitéAlimentsBrebis=BONNE,VLOOKUP("Haricot vert",AlimentsRationOvinsFemelles,2,FALSE),0))))))))))</f>
        <v>0</v>
      </c>
      <c r="DP308" s="351">
        <f t="array" ref="DP308">SUM((IF(QualitéAlimentsAgneauMâle_0_3_mois=MOYENNE,VLOOKUP("Haricot vert",AlimentsRationOvinsMâles,5,FALSE),0)+(IF(QualitéAlimentsAgneauFemelle_0_3_mois=MOYENNE,VLOOKUP("Haricot vert",AlimentsRationOvinsFemelles,5,FALSE),0)+(IF(QualitéAlimentsAgneauMâle_3_6_mois=MOYENNE,VLOOKUP("Haricot vert",AlimentsRationOvinsMâles,4,FALSE),0)+(IF(QualitéAlimentsAgneauFemelle_3_6_mois=MOYENNE,VLOOKUP("Haricot vert",AlimentsRationOvinsFemelles,4,FALSE),0)+(IF(QualitéAlimentsJeuneBélier=MOYENNE,VLOOKUP("Haricot vert",AlimentsRationOvinsMâles,3,FALSE),0)+(IF(QualitéAlimentsJeuneBrebis=MOYENNE,VLOOKUP("Haricot vert",AlimentsRationOvinsFemelles,3,FALSE),0)+(IF(QualitéAlimentsBélier=MOYENNE,VLOOKUP("Haricot vert",AlimentsRationOvinsMâles,2,FALSE),0)+(IF(QualitéAlimentsBrebis=MOYENNE,VLOOKUP("Haricot vert",AlimentsRationOvinsFemelles,2,FALSE),0))))))))))</f>
        <v>0</v>
      </c>
      <c r="DQ308" s="351">
        <f t="array" ref="DQ308">SUM((IF(QualitéAlimentsAgneauMâle_0_3_mois=MAUVAISE,VLOOKUP("Haricot vert",AlimentsRationOvinsMâles,5,FALSE),0)+(IF(QualitéAlimentsAgneauFemelle_0_3_mois=MAUVAISE,VLOOKUP("Haricot vert",AlimentsRationOvinsFemelles,5,FALSE),0)+(IF(QualitéAlimentsAgneauMâle_3_6_mois=MAUVAISE,VLOOKUP("Haricot vert",AlimentsRationOvinsMâles,4,FALSE),0)+(IF(QualitéAlimentsAgneauFemelle_3_6_mois=MAUVAISE,VLOOKUP("Haricot vert",AlimentsRationOvinsFemelles,4,FALSE),0)+(IF(QualitéAlimentsJeuneBélier=MAUVAISE,VLOOKUP("Haricot vert",AlimentsRationOvinsMâles,3,FALSE),0)+(IF(QualitéAlimentsJeuneBrebis=MAUVAISE,VLOOKUP("Haricot vert",AlimentsRationOvinsFemelles,3,FALSE),0)+(IF(QualitéAlimentsBélier=MAUVAISE,VLOOKUP("Haricot vert",AlimentsRationOvinsMâles,2,FALSE),0)+(IF(QualitéAlimentsBrebis=MAUVAISE,VLOOKUP("Haricot vert",AlimentsRationOvinsFemelles,2,FALSE),0))))))))))</f>
        <v>0</v>
      </c>
      <c r="DS308" s="276"/>
      <c r="GG308" s="276" t="s">
        <v>955</v>
      </c>
      <c r="GH308" s="276" t="s">
        <v>955</v>
      </c>
      <c r="GI308" s="276" t="s">
        <v>955</v>
      </c>
      <c r="GJ308" s="276" t="s">
        <v>955</v>
      </c>
      <c r="GK308" s="276" t="s">
        <v>955</v>
      </c>
      <c r="GL308" s="276" t="s">
        <v>955</v>
      </c>
      <c r="GM308" s="276" t="s">
        <v>955</v>
      </c>
      <c r="GN308" s="276" t="s">
        <v>955</v>
      </c>
      <c r="GO308" s="276" t="s">
        <v>955</v>
      </c>
      <c r="GP308" s="276" t="s">
        <v>955</v>
      </c>
      <c r="GQ308" s="276" t="s">
        <v>955</v>
      </c>
      <c r="GR308" s="276" t="s">
        <v>955</v>
      </c>
      <c r="GS308" s="276" t="s">
        <v>955</v>
      </c>
      <c r="GT308" s="276" t="s">
        <v>955</v>
      </c>
      <c r="GU308" s="276" t="s">
        <v>955</v>
      </c>
      <c r="GV308" s="276" t="s">
        <v>955</v>
      </c>
    </row>
    <row r="309" spans="1:204" ht="12.75" customHeight="1" x14ac:dyDescent="0.2">
      <c r="A309" s="276"/>
      <c r="B309" s="276"/>
      <c r="BB309" s="350" t="str">
        <f t="shared" si="72"/>
        <v>Ration complète</v>
      </c>
      <c r="BC309" s="350">
        <f t="array" ref="BC309">IFERROR(IF(OR(AND(INDEX(Règles_bovins[Specificite],MATCH(RationHivernaleBovinsAuPré&amp;$BB309,Règles_bovins[Ration]&amp;Règles_bovins[Aliment],0))="s1",IF($BB309=Spécificité1Bovins,1)),
AND(INDEX(Règles_bovins[Specificite],MATCH(RationHivernaleBovinsAuPré&amp;$BB309,Règles_bovins[Ration]&amp;Règles_bovins[Aliment],0))="s2",IF($BB309=Spécificité2Bovins,1)),
INDEX(Règles_bovins[Specificite],MATCH(RationHivernaleBovinsAuPré&amp;$BB309,Règles_bovins[Ration]&amp;Règles_bovins[Aliment],0))="c"),
INDEX(Règles_bovins[Valeur 36 et plus],MATCH(RationHivernaleBovinsAuPré&amp;$BB309,Règles_bovins[Ration]&amp;Règles_bovins[Aliment],0)),0),0)*IF(SUM(TotalBovinsAdultesAuPré)&gt;0,SUM(TotalBovinsAdultesAuPré),SUM(TotalBovinsAdultes))*35</f>
        <v>0</v>
      </c>
      <c r="BD309" s="350">
        <f t="array" ref="BD309">IFERROR(IF(OR(AND(INDEX(Règles_bovins[Specificite],MATCH(RationHivernaleBovinsAuPré&amp;$BB309,Règles_bovins[Ration]&amp;Règles_bovins[Aliment],0))="s1",IF($BB309=Spécificité1Bovins,1)),
AND(INDEX(Règles_bovins[Specificite],MATCH(RationHivernaleBovinsAuPré&amp;$BB309,Règles_bovins[Ration]&amp;Règles_bovins[Aliment],0))="s2",IF($BB309=Spécificité2Bovins,1)),
INDEX(Règles_bovins[Specificite],MATCH(RationHivernaleBovinsAuPré&amp;$BB309,Règles_bovins[Ration]&amp;Règles_bovins[Aliment],0))="c"),
INDEX(Règles_bovins[Valeur 24-36],MATCH(RationHivernaleBovinsAuPré&amp;$BB309,Règles_bovins[Ration]&amp;Règles_bovins[Aliment],0)),0),0)*IF(SUM(TotalBovins_24_36moisAuPré)&gt;0,SUM(TotalBovins_24_36moisAuPré),SUM(TotalBovins_24_36mois))*35</f>
        <v>0</v>
      </c>
      <c r="BE309" s="350">
        <f t="array" ref="BE309">IFERROR(IF(OR(AND(INDEX(Règles_bovins[Specificite],MATCH(RationHivernaleBovinsAuPré&amp;$BB309,Règles_bovins[Ration]&amp;Règles_bovins[Aliment],0))="s1",IF($BB309=Spécificité1Bovins,1)),
AND(INDEX(Règles_bovins[Specificite],MATCH(RationHivernaleBovinsAuPré&amp;$BB309,Règles_bovins[Ration]&amp;Règles_bovins[Aliment],0))="s2",IF($BB309=Spécificité2Bovins,1)),
INDEX(Règles_bovins[Specificite],MATCH(RationHivernaleBovinsAuPré&amp;$BB309,Règles_bovins[Ration]&amp;Règles_bovins[Aliment],0))="c"),
INDEX(Règles_bovins[Valeur 18-24],MATCH(RationHivernaleBovinsAuPré&amp;$BB309,Règles_bovins[Ration]&amp;Règles_bovins[Aliment],0)),0),0)*IF(SUM(TotalBovins_18_24moisAuPré)&gt;0,SUM(TotalBovins_18_24moisAuPré),SUM(TotalBovins_18_24mois))*35</f>
        <v>0</v>
      </c>
      <c r="BF309" s="350">
        <f t="array" ref="BF309">IFERROR(IF(OR(AND(INDEX(Règles_bovins[Specificite],MATCH(RationHivernaleBovinsAuPré&amp;$BB309,Règles_bovins[Ration]&amp;Règles_bovins[Aliment],0))="s1",IF($BB309=Spécificité1Bovins,1)),
AND(INDEX(Règles_bovins[Specificite],MATCH(RationHivernaleBovinsAuPré&amp;$BB309,Règles_bovins[Ration]&amp;Règles_bovins[Aliment],0))="s2",IF($BB309=Spécificité2Bovins,1)),
INDEX(Règles_bovins[Specificite],MATCH(RationHivernaleBovinsAuPré&amp;$BB309,Règles_bovins[Ration]&amp;Règles_bovins[Aliment],0))="c"),
INDEX(Règles_bovins[Valeur 12-18],MATCH(RationHivernaleBovinsAuPré&amp;$BB309,Règles_bovins[Ration]&amp;Règles_bovins[Aliment],0)),0),0)*IF(SUM(TotalBovins_12_18moisAuPré)&gt;0,SUM(TotalBovins_12_18moisAuPré),SUM(TotalBovins_12_18mois))*35</f>
        <v>0</v>
      </c>
      <c r="BG309" s="350">
        <f t="array" ref="BG309">IFERROR(IF(OR(AND(INDEX(Règles_bovins[Specificite],MATCH(RationHivernaleBovinsAuPré&amp;$BB309,Règles_bovins[Ration]&amp;Règles_bovins[Aliment],0))="s1",IF($BB309=Spécificité1Bovins,1)),
AND(INDEX(Règles_bovins[Specificite],MATCH(RationHivernaleBovinsAuPré&amp;$BB309,Règles_bovins[Ration]&amp;Règles_bovins[Aliment],0))="s2",IF($BB309=Spécificité2Bovins,1)),
INDEX(Règles_bovins[Specificite],MATCH(RationHivernaleBovinsAuPré&amp;$BB309,Règles_bovins[Ration]&amp;Règles_bovins[Aliment],0))="c"),
INDEX(Règles_bovins[Valeur 6-12],MATCH(RationHivernaleBovinsAuPré&amp;$BB309,Règles_bovins[Ration]&amp;Règles_bovins[Aliment],0)),0),0)*IF(SUM(TotalBovins_6_12moisAuPré)&gt;0,SUM(TotalBovins_6_12moisAuPré),SUM(TotalBovins_6_12mois))*35</f>
        <v>0</v>
      </c>
      <c r="BH309" s="350">
        <f t="array" ref="BH309">IFERROR(IF(OR(AND(INDEX(Règles_bovins[Specificite],MATCH(RationHivernaleBovinsAuPré&amp;$BB309,Règles_bovins[Ration]&amp;Règles_bovins[Aliment],0))="s1",IF($BB309=Spécificité1Bovins,1)),
AND(INDEX(Règles_bovins[Specificite],MATCH(RationHivernaleBovinsAuPré&amp;$BB309,Règles_bovins[Ration]&amp;Règles_bovins[Aliment],0))="s2",IF($BB309=Spécificité2Bovins,1)),
INDEX(Règles_bovins[Specificite],MATCH(RationHivernaleBovinsAuPré&amp;$BB309,Règles_bovins[Ration]&amp;Règles_bovins[Aliment],0))="c"),
INDEX(Règles_bovins[Valeur 3-6],MATCH(RationHivernaleBovinsAuPré&amp;$BB309,Règles_bovins[Ration]&amp;Règles_bovins[Aliment],0)),0),0)*IF(SUM(TotalBovins_3_6moisAuPré)&gt;0,SUM(TotalBovins_3_6moisAuPré),SUM(TotalBovins_3_6mois))*35</f>
        <v>0</v>
      </c>
      <c r="BI309" s="350">
        <f t="array" ref="BI309">IFERROR(IF(OR(AND(INDEX(Règles_bovins[Specificite],MATCH(RationHivernaleBovinsAuPré&amp;$BB309,Règles_bovins[Ration]&amp;Règles_bovins[Aliment],0))="s1",IF($BB309=Spécificité1Bovins,1)),
AND(INDEX(Règles_bovins[Specificite],MATCH(RationHivernaleBovinsAuPré&amp;$BB309,Règles_bovins[Ration]&amp;Règles_bovins[Aliment],0))="s2",IF($BB309=Spécificité2Bovins,1)),
INDEX(Règles_bovins[Specificite],MATCH(RationHivernaleBovinsAuPré&amp;$BB309,Règles_bovins[Ration]&amp;Règles_bovins[Aliment],0))="c"),
INDEX(Règles_bovins[Valeur 0-3],MATCH(RationHivernaleBovinsAuPré&amp;$BB309,Règles_bovins[Ration]&amp;Règles_bovins[Aliment],0)),0),0)*IF(SUM(TotalBovins_0_3moisAuPré)&gt;0,SUM(TotalBovins_0_3moisAuPré),SUM(TotalBovins_0_3mois))*35</f>
        <v>0</v>
      </c>
      <c r="BJ309" s="352">
        <f t="shared" si="71"/>
        <v>0</v>
      </c>
      <c r="BM309" s="276"/>
      <c r="DN309" s="350" t="str">
        <f t="shared" si="73"/>
        <v>Lentille</v>
      </c>
      <c r="DO309" s="351">
        <f t="array" ref="DO309">SUM((IF(QualitéAlimentsAgneauMâle_0_3_mois=BONNE,VLOOKUP("Lentille",AlimentsRationOvinsMâles,5,FALSE),0)+(IF(QualitéAlimentsAgneauFemelle_0_3_mois=BONNE,VLOOKUP("Lentille",AlimentsRationOvinsFemelles,5,FALSE),0)+(IF(QualitéAlimentsAgneauMâle_3_6_mois=BONNE,VLOOKUP("Lentille",AlimentsRationOvinsMâles,4,FALSE),0)+(IF(QualitéAlimentsAgneauFemelle_3_6_mois=BONNE,VLOOKUP("Lentille",AlimentsRationOvinsFemelles,4,FALSE),0)+(IF(QualitéAlimentsJeuneBélier=BONNE,VLOOKUP("Lentille",AlimentsRationOvinsMâles,3,FALSE),0)+(IF(QualitéAlimentsJeuneBrebis=BONNE,VLOOKUP("Lentille",AlimentsRationOvinsFemelles,3,FALSE),0)+(IF(QualitéAlimentsBélier=BONNE,VLOOKUP("Lentille",AlimentsRationOvinsMâles,2,FALSE),0)+(IF(QualitéAlimentsBrebis=BONNE,VLOOKUP("Lentille",AlimentsRationOvinsFemelles,2,FALSE),0))))))))))</f>
        <v>0</v>
      </c>
      <c r="DP309" s="351">
        <f t="array" ref="DP309">SUM((IF(QualitéAlimentsAgneauMâle_0_3_mois=MOYENNE,VLOOKUP("Lentille",AlimentsRationOvinsMâles,5,FALSE),0)+(IF(QualitéAlimentsAgneauFemelle_0_3_mois=MOYENNE,VLOOKUP("Lentille",AlimentsRationOvinsFemelles,5,FALSE),0)+(IF(QualitéAlimentsAgneauMâle_3_6_mois=MOYENNE,VLOOKUP("Lentille",AlimentsRationOvinsMâles,4,FALSE),0)+(IF(QualitéAlimentsAgneauFemelle_3_6_mois=MOYENNE,VLOOKUP("Lentille",AlimentsRationOvinsFemelles,4,FALSE),0)+(IF(QualitéAlimentsJeuneBélier=MOYENNE,VLOOKUP("Lentille",AlimentsRationOvinsMâles,3,FALSE),0)+(IF(QualitéAlimentsJeuneBrebis=MOYENNE,VLOOKUP("Lentille",AlimentsRationOvinsFemelles,3,FALSE),0)+(IF(QualitéAlimentsBélier=MOYENNE,VLOOKUP("Lentille",AlimentsRationOvinsMâles,2,FALSE),0)+(IF(QualitéAlimentsBrebis=MOYENNE,VLOOKUP("Lentille",AlimentsRationOvinsFemelles,2,FALSE),0))))))))))</f>
        <v>0</v>
      </c>
      <c r="DQ309" s="351">
        <f t="array" ref="DQ309">SUM((IF(QualitéAlimentsAgneauMâle_0_3_mois=MAUVAISE,VLOOKUP("Lentille",AlimentsRationOvinsMâles,5,FALSE),0)+(IF(QualitéAlimentsAgneauFemelle_0_3_mois=MAUVAISE,VLOOKUP("Lentille",AlimentsRationOvinsFemelles,5,FALSE),0)+(IF(QualitéAlimentsAgneauMâle_3_6_mois=MAUVAISE,VLOOKUP("Lentille",AlimentsRationOvinsMâles,4,FALSE),0)+(IF(QualitéAlimentsAgneauFemelle_3_6_mois=MAUVAISE,VLOOKUP("Lentille",AlimentsRationOvinsFemelles,4,FALSE),0)+(IF(QualitéAlimentsJeuneBélier=MAUVAISE,VLOOKUP("Lentille",AlimentsRationOvinsMâles,3,FALSE),0)+(IF(QualitéAlimentsJeuneBrebis=MAUVAISE,VLOOKUP("Lentille",AlimentsRationOvinsFemelles,3,FALSE),0)+(IF(QualitéAlimentsBélier=MAUVAISE,VLOOKUP("Lentille",AlimentsRationOvinsMâles,2,FALSE),0)+(IF(QualitéAlimentsBrebis=MAUVAISE,VLOOKUP("Lentille",AlimentsRationOvinsFemelles,2,FALSE),0))))))))))</f>
        <v>0</v>
      </c>
      <c r="DS309" s="276"/>
      <c r="GG309" s="276" t="s">
        <v>955</v>
      </c>
      <c r="GH309" s="276" t="s">
        <v>955</v>
      </c>
      <c r="GI309" s="276" t="s">
        <v>955</v>
      </c>
      <c r="GJ309" s="276" t="s">
        <v>955</v>
      </c>
      <c r="GK309" s="276" t="s">
        <v>955</v>
      </c>
      <c r="GL309" s="276" t="s">
        <v>955</v>
      </c>
      <c r="GM309" s="276" t="s">
        <v>955</v>
      </c>
      <c r="GN309" s="276" t="s">
        <v>955</v>
      </c>
      <c r="GO309" s="276" t="s">
        <v>955</v>
      </c>
      <c r="GP309" s="276" t="s">
        <v>955</v>
      </c>
      <c r="GQ309" s="276" t="s">
        <v>955</v>
      </c>
      <c r="GR309" s="276" t="s">
        <v>955</v>
      </c>
      <c r="GS309" s="276" t="s">
        <v>955</v>
      </c>
      <c r="GT309" s="276" t="s">
        <v>955</v>
      </c>
      <c r="GU309" s="276" t="s">
        <v>955</v>
      </c>
      <c r="GV309" s="276" t="s">
        <v>955</v>
      </c>
    </row>
    <row r="310" spans="1:204" ht="12.75" customHeight="1" x14ac:dyDescent="0.2">
      <c r="A310" s="276"/>
      <c r="B310" s="276"/>
      <c r="BB310" s="350" t="str">
        <f t="shared" si="72"/>
        <v>Seigle</v>
      </c>
      <c r="BC310" s="350">
        <f t="array" ref="BC310">IFERROR(IF(OR(AND(INDEX(Règles_bovins[Specificite],MATCH(RationHivernaleBovinsAuPré&amp;$BB310,Règles_bovins[Ration]&amp;Règles_bovins[Aliment],0))="s1",IF($BB310=Spécificité1Bovins,1)),
AND(INDEX(Règles_bovins[Specificite],MATCH(RationHivernaleBovinsAuPré&amp;$BB310,Règles_bovins[Ration]&amp;Règles_bovins[Aliment],0))="s2",IF($BB310=Spécificité2Bovins,1)),
INDEX(Règles_bovins[Specificite],MATCH(RationHivernaleBovinsAuPré&amp;$BB310,Règles_bovins[Ration]&amp;Règles_bovins[Aliment],0))="c"),
INDEX(Règles_bovins[Valeur 36 et plus],MATCH(RationHivernaleBovinsAuPré&amp;$BB310,Règles_bovins[Ration]&amp;Règles_bovins[Aliment],0)),0),0)*IF(SUM(TotalBovinsAdultesAuPré)&gt;0,SUM(TotalBovinsAdultesAuPré),SUM(TotalBovinsAdultes))*35</f>
        <v>0</v>
      </c>
      <c r="BD310" s="350">
        <f t="array" ref="BD310">IFERROR(IF(OR(AND(INDEX(Règles_bovins[Specificite],MATCH(RationHivernaleBovinsAuPré&amp;$BB310,Règles_bovins[Ration]&amp;Règles_bovins[Aliment],0))="s1",IF($BB310=Spécificité1Bovins,1)),
AND(INDEX(Règles_bovins[Specificite],MATCH(RationHivernaleBovinsAuPré&amp;$BB310,Règles_bovins[Ration]&amp;Règles_bovins[Aliment],0))="s2",IF($BB310=Spécificité2Bovins,1)),
INDEX(Règles_bovins[Specificite],MATCH(RationHivernaleBovinsAuPré&amp;$BB310,Règles_bovins[Ration]&amp;Règles_bovins[Aliment],0))="c"),
INDEX(Règles_bovins[Valeur 24-36],MATCH(RationHivernaleBovinsAuPré&amp;$BB310,Règles_bovins[Ration]&amp;Règles_bovins[Aliment],0)),0),0)*IF(SUM(TotalBovins_24_36moisAuPré)&gt;0,SUM(TotalBovins_24_36moisAuPré),SUM(TotalBovins_24_36mois))*35</f>
        <v>0</v>
      </c>
      <c r="BE310" s="350">
        <f t="array" ref="BE310">IFERROR(IF(OR(AND(INDEX(Règles_bovins[Specificite],MATCH(RationHivernaleBovinsAuPré&amp;$BB310,Règles_bovins[Ration]&amp;Règles_bovins[Aliment],0))="s1",IF($BB310=Spécificité1Bovins,1)),
AND(INDEX(Règles_bovins[Specificite],MATCH(RationHivernaleBovinsAuPré&amp;$BB310,Règles_bovins[Ration]&amp;Règles_bovins[Aliment],0))="s2",IF($BB310=Spécificité2Bovins,1)),
INDEX(Règles_bovins[Specificite],MATCH(RationHivernaleBovinsAuPré&amp;$BB310,Règles_bovins[Ration]&amp;Règles_bovins[Aliment],0))="c"),
INDEX(Règles_bovins[Valeur 18-24],MATCH(RationHivernaleBovinsAuPré&amp;$BB310,Règles_bovins[Ration]&amp;Règles_bovins[Aliment],0)),0),0)*IF(SUM(TotalBovins_18_24moisAuPré)&gt;0,SUM(TotalBovins_18_24moisAuPré),SUM(TotalBovins_18_24mois))*35</f>
        <v>0</v>
      </c>
      <c r="BF310" s="350">
        <f t="array" ref="BF310">IFERROR(IF(OR(AND(INDEX(Règles_bovins[Specificite],MATCH(RationHivernaleBovinsAuPré&amp;$BB310,Règles_bovins[Ration]&amp;Règles_bovins[Aliment],0))="s1",IF($BB310=Spécificité1Bovins,1)),
AND(INDEX(Règles_bovins[Specificite],MATCH(RationHivernaleBovinsAuPré&amp;$BB310,Règles_bovins[Ration]&amp;Règles_bovins[Aliment],0))="s2",IF($BB310=Spécificité2Bovins,1)),
INDEX(Règles_bovins[Specificite],MATCH(RationHivernaleBovinsAuPré&amp;$BB310,Règles_bovins[Ration]&amp;Règles_bovins[Aliment],0))="c"),
INDEX(Règles_bovins[Valeur 12-18],MATCH(RationHivernaleBovinsAuPré&amp;$BB310,Règles_bovins[Ration]&amp;Règles_bovins[Aliment],0)),0),0)*IF(SUM(TotalBovins_12_18moisAuPré)&gt;0,SUM(TotalBovins_12_18moisAuPré),SUM(TotalBovins_12_18mois))*35</f>
        <v>0</v>
      </c>
      <c r="BG310" s="350">
        <f t="array" ref="BG310">IFERROR(IF(OR(AND(INDEX(Règles_bovins[Specificite],MATCH(RationHivernaleBovinsAuPré&amp;$BB310,Règles_bovins[Ration]&amp;Règles_bovins[Aliment],0))="s1",IF($BB310=Spécificité1Bovins,1)),
AND(INDEX(Règles_bovins[Specificite],MATCH(RationHivernaleBovinsAuPré&amp;$BB310,Règles_bovins[Ration]&amp;Règles_bovins[Aliment],0))="s2",IF($BB310=Spécificité2Bovins,1)),
INDEX(Règles_bovins[Specificite],MATCH(RationHivernaleBovinsAuPré&amp;$BB310,Règles_bovins[Ration]&amp;Règles_bovins[Aliment],0))="c"),
INDEX(Règles_bovins[Valeur 6-12],MATCH(RationHivernaleBovinsAuPré&amp;$BB310,Règles_bovins[Ration]&amp;Règles_bovins[Aliment],0)),0),0)*IF(SUM(TotalBovins_6_12moisAuPré)&gt;0,SUM(TotalBovins_6_12moisAuPré),SUM(TotalBovins_6_12mois))*35</f>
        <v>0</v>
      </c>
      <c r="BH310" s="350">
        <f t="array" ref="BH310">IFERROR(IF(OR(AND(INDEX(Règles_bovins[Specificite],MATCH(RationHivernaleBovinsAuPré&amp;$BB310,Règles_bovins[Ration]&amp;Règles_bovins[Aliment],0))="s1",IF($BB310=Spécificité1Bovins,1)),
AND(INDEX(Règles_bovins[Specificite],MATCH(RationHivernaleBovinsAuPré&amp;$BB310,Règles_bovins[Ration]&amp;Règles_bovins[Aliment],0))="s2",IF($BB310=Spécificité2Bovins,1)),
INDEX(Règles_bovins[Specificite],MATCH(RationHivernaleBovinsAuPré&amp;$BB310,Règles_bovins[Ration]&amp;Règles_bovins[Aliment],0))="c"),
INDEX(Règles_bovins[Valeur 3-6],MATCH(RationHivernaleBovinsAuPré&amp;$BB310,Règles_bovins[Ration]&amp;Règles_bovins[Aliment],0)),0),0)*IF(SUM(TotalBovins_3_6moisAuPré)&gt;0,SUM(TotalBovins_3_6moisAuPré),SUM(TotalBovins_3_6mois))*35</f>
        <v>0</v>
      </c>
      <c r="BI310" s="350">
        <f t="array" ref="BI310">IFERROR(IF(OR(AND(INDEX(Règles_bovins[Specificite],MATCH(RationHivernaleBovinsAuPré&amp;$BB310,Règles_bovins[Ration]&amp;Règles_bovins[Aliment],0))="s1",IF($BB310=Spécificité1Bovins,1)),
AND(INDEX(Règles_bovins[Specificite],MATCH(RationHivernaleBovinsAuPré&amp;$BB310,Règles_bovins[Ration]&amp;Règles_bovins[Aliment],0))="s2",IF($BB310=Spécificité2Bovins,1)),
INDEX(Règles_bovins[Specificite],MATCH(RationHivernaleBovinsAuPré&amp;$BB310,Règles_bovins[Ration]&amp;Règles_bovins[Aliment],0))="c"),
INDEX(Règles_bovins[Valeur 0-3],MATCH(RationHivernaleBovinsAuPré&amp;$BB310,Règles_bovins[Ration]&amp;Règles_bovins[Aliment],0)),0),0)*IF(SUM(TotalBovins_0_3moisAuPré)&gt;0,SUM(TotalBovins_0_3moisAuPré),SUM(TotalBovins_0_3mois))*35</f>
        <v>0</v>
      </c>
      <c r="BJ310" s="352">
        <f t="shared" si="71"/>
        <v>0</v>
      </c>
      <c r="BM310" s="276"/>
      <c r="DN310" s="350" t="str">
        <f t="shared" si="73"/>
        <v>Maïs ensilé</v>
      </c>
      <c r="DO310" s="351">
        <f t="array" ref="DO310">SUM((IF(QualitéAlimentsAgneauMâle_0_3_mois=BONNE,VLOOKUP("Maïs ensilé",AlimentsRationOvinsMâles,5,FALSE),0)+(IF(QualitéAlimentsAgneauFemelle_0_3_mois=BONNE,VLOOKUP("Maïs ensilé",AlimentsRationOvinsFemelles,5,FALSE),0)+(IF(QualitéAlimentsAgneauMâle_3_6_mois=BONNE,VLOOKUP("Maïs ensilé",AlimentsRationOvinsMâles,4,FALSE),0)+(IF(QualitéAlimentsAgneauFemelle_3_6_mois=BONNE,VLOOKUP("Maïs ensilé",AlimentsRationOvinsFemelles,4,FALSE),0)+(IF(QualitéAlimentsJeuneBélier=BONNE,VLOOKUP("Maïs ensilé",AlimentsRationOvinsMâles,3,FALSE),0)+(IF(QualitéAlimentsJeuneBrebis=BONNE,VLOOKUP("Maïs ensilé",AlimentsRationOvinsFemelles,3,FALSE),0)+(IF(QualitéAlimentsBélier=BONNE,VLOOKUP("Maïs ensilé",AlimentsRationOvinsMâles,2,FALSE),0)+(IF(QualitéAlimentsBrebis=BONNE,VLOOKUP("Maïs ensilé",AlimentsRationOvinsFemelles,2,FALSE),0))))))))))</f>
        <v>0</v>
      </c>
      <c r="DP310" s="351">
        <f t="array" ref="DP310">SUM((IF(QualitéAlimentsAgneauMâle_0_3_mois=MOYENNE,VLOOKUP("Maïs ensilé",AlimentsRationOvinsMâles,5,FALSE),0)+(IF(QualitéAlimentsAgneauFemelle_0_3_mois=MOYENNE,VLOOKUP("Maïs ensilé",AlimentsRationOvinsFemelles,5,FALSE),0)+(IF(QualitéAlimentsAgneauMâle_3_6_mois=MOYENNE,VLOOKUP("Maïs ensilé",AlimentsRationOvinsMâles,4,FALSE),0)+(IF(QualitéAlimentsAgneauFemelle_3_6_mois=MOYENNE,VLOOKUP("Maïs ensilé",AlimentsRationOvinsFemelles,4,FALSE),0)+(IF(QualitéAlimentsJeuneBélier=MOYENNE,VLOOKUP("Maïs ensilé",AlimentsRationOvinsMâles,3,FALSE),0)+(IF(QualitéAlimentsJeuneBrebis=MOYENNE,VLOOKUP("Maïs ensilé",AlimentsRationOvinsFemelles,3,FALSE),0)+(IF(QualitéAlimentsBélier=MOYENNE,VLOOKUP("Maïs ensilé",AlimentsRationOvinsMâles,2,FALSE),0)+(IF(QualitéAlimentsBrebis=MOYENNE,VLOOKUP("Maïs ensilé",AlimentsRationOvinsFemelles,2,FALSE),0))))))))))</f>
        <v>0</v>
      </c>
      <c r="DQ310" s="351">
        <f t="array" ref="DQ310">SUM((IF(QualitéAlimentsAgneauMâle_0_3_mois=MAUVAISE,VLOOKUP("Maïs ensilé",AlimentsRationOvinsMâles,5,FALSE),0)+(IF(QualitéAlimentsAgneauFemelle_0_3_mois=MAUVAISE,VLOOKUP("Maïs ensilé",AlimentsRationOvinsFemelles,5,FALSE),0)+(IF(QualitéAlimentsAgneauMâle_3_6_mois=MAUVAISE,VLOOKUP("Maïs ensilé",AlimentsRationOvinsMâles,4,FALSE),0)+(IF(QualitéAlimentsAgneauFemelle_3_6_mois=MAUVAISE,VLOOKUP("Maïs ensilé",AlimentsRationOvinsFemelles,4,FALSE),0)+(IF(QualitéAlimentsJeuneBélier=MAUVAISE,VLOOKUP("Maïs ensilé",AlimentsRationOvinsMâles,3,FALSE),0)+(IF(QualitéAlimentsJeuneBrebis=MAUVAISE,VLOOKUP("Maïs ensilé",AlimentsRationOvinsFemelles,3,FALSE),0)+(IF(QualitéAlimentsBélier=MAUVAISE,VLOOKUP("Maïs ensilé",AlimentsRationOvinsMâles,2,FALSE),0)+(IF(QualitéAlimentsBrebis=MAUVAISE,VLOOKUP("Maïs ensilé",AlimentsRationOvinsFemelles,2,FALSE),0))))))))))</f>
        <v>0</v>
      </c>
      <c r="DS310" s="276"/>
      <c r="GG310" s="276" t="s">
        <v>955</v>
      </c>
      <c r="GH310" s="276" t="s">
        <v>955</v>
      </c>
      <c r="GI310" s="276" t="s">
        <v>955</v>
      </c>
      <c r="GJ310" s="276" t="s">
        <v>955</v>
      </c>
      <c r="GK310" s="276" t="s">
        <v>955</v>
      </c>
      <c r="GL310" s="276" t="s">
        <v>955</v>
      </c>
      <c r="GM310" s="276" t="s">
        <v>955</v>
      </c>
      <c r="GN310" s="276" t="s">
        <v>955</v>
      </c>
      <c r="GO310" s="276" t="s">
        <v>955</v>
      </c>
      <c r="GP310" s="276" t="s">
        <v>955</v>
      </c>
      <c r="GQ310" s="276" t="s">
        <v>955</v>
      </c>
      <c r="GR310" s="276" t="s">
        <v>955</v>
      </c>
      <c r="GS310" s="276" t="s">
        <v>955</v>
      </c>
      <c r="GT310" s="276" t="s">
        <v>955</v>
      </c>
      <c r="GU310" s="276" t="s">
        <v>955</v>
      </c>
      <c r="GV310" s="276" t="s">
        <v>955</v>
      </c>
    </row>
    <row r="311" spans="1:204" ht="12.75" customHeight="1" x14ac:dyDescent="0.2">
      <c r="A311" s="276"/>
      <c r="B311" s="276"/>
      <c r="BB311" s="350" t="str">
        <f t="shared" si="72"/>
        <v>Soja</v>
      </c>
      <c r="BC311" s="350">
        <f t="array" ref="BC311">IFERROR(IF(OR(AND(INDEX(Règles_bovins[Specificite],MATCH(RationHivernaleBovinsAuPré&amp;$BB311,Règles_bovins[Ration]&amp;Règles_bovins[Aliment],0))="s1",IF($BB311=Spécificité1Bovins,1)),
AND(INDEX(Règles_bovins[Specificite],MATCH(RationHivernaleBovinsAuPré&amp;$BB311,Règles_bovins[Ration]&amp;Règles_bovins[Aliment],0))="s2",IF($BB311=Spécificité2Bovins,1)),
INDEX(Règles_bovins[Specificite],MATCH(RationHivernaleBovinsAuPré&amp;$BB311,Règles_bovins[Ration]&amp;Règles_bovins[Aliment],0))="c"),
INDEX(Règles_bovins[Valeur 36 et plus],MATCH(RationHivernaleBovinsAuPré&amp;$BB311,Règles_bovins[Ration]&amp;Règles_bovins[Aliment],0)),0),0)*IF(SUM(TotalBovinsAdultesAuPré)&gt;0,SUM(TotalBovinsAdultesAuPré),SUM(TotalBovinsAdultes))*35</f>
        <v>0</v>
      </c>
      <c r="BD311" s="350">
        <f t="array" ref="BD311">IFERROR(IF(OR(AND(INDEX(Règles_bovins[Specificite],MATCH(RationHivernaleBovinsAuPré&amp;$BB311,Règles_bovins[Ration]&amp;Règles_bovins[Aliment],0))="s1",IF($BB311=Spécificité1Bovins,1)),
AND(INDEX(Règles_bovins[Specificite],MATCH(RationHivernaleBovinsAuPré&amp;$BB311,Règles_bovins[Ration]&amp;Règles_bovins[Aliment],0))="s2",IF($BB311=Spécificité2Bovins,1)),
INDEX(Règles_bovins[Specificite],MATCH(RationHivernaleBovinsAuPré&amp;$BB311,Règles_bovins[Ration]&amp;Règles_bovins[Aliment],0))="c"),
INDEX(Règles_bovins[Valeur 24-36],MATCH(RationHivernaleBovinsAuPré&amp;$BB311,Règles_bovins[Ration]&amp;Règles_bovins[Aliment],0)),0),0)*IF(SUM(TotalBovins_24_36moisAuPré)&gt;0,SUM(TotalBovins_24_36moisAuPré),SUM(TotalBovins_24_36mois))*35</f>
        <v>0</v>
      </c>
      <c r="BE311" s="350">
        <f t="array" ref="BE311">IFERROR(IF(OR(AND(INDEX(Règles_bovins[Specificite],MATCH(RationHivernaleBovinsAuPré&amp;$BB311,Règles_bovins[Ration]&amp;Règles_bovins[Aliment],0))="s1",IF($BB311=Spécificité1Bovins,1)),
AND(INDEX(Règles_bovins[Specificite],MATCH(RationHivernaleBovinsAuPré&amp;$BB311,Règles_bovins[Ration]&amp;Règles_bovins[Aliment],0))="s2",IF($BB311=Spécificité2Bovins,1)),
INDEX(Règles_bovins[Specificite],MATCH(RationHivernaleBovinsAuPré&amp;$BB311,Règles_bovins[Ration]&amp;Règles_bovins[Aliment],0))="c"),
INDEX(Règles_bovins[Valeur 18-24],MATCH(RationHivernaleBovinsAuPré&amp;$BB311,Règles_bovins[Ration]&amp;Règles_bovins[Aliment],0)),0),0)*IF(SUM(TotalBovins_18_24moisAuPré)&gt;0,SUM(TotalBovins_18_24moisAuPré),SUM(TotalBovins_18_24mois))*35</f>
        <v>0</v>
      </c>
      <c r="BF311" s="350">
        <f t="array" ref="BF311">IFERROR(IF(OR(AND(INDEX(Règles_bovins[Specificite],MATCH(RationHivernaleBovinsAuPré&amp;$BB311,Règles_bovins[Ration]&amp;Règles_bovins[Aliment],0))="s1",IF($BB311=Spécificité1Bovins,1)),
AND(INDEX(Règles_bovins[Specificite],MATCH(RationHivernaleBovinsAuPré&amp;$BB311,Règles_bovins[Ration]&amp;Règles_bovins[Aliment],0))="s2",IF($BB311=Spécificité2Bovins,1)),
INDEX(Règles_bovins[Specificite],MATCH(RationHivernaleBovinsAuPré&amp;$BB311,Règles_bovins[Ration]&amp;Règles_bovins[Aliment],0))="c"),
INDEX(Règles_bovins[Valeur 12-18],MATCH(RationHivernaleBovinsAuPré&amp;$BB311,Règles_bovins[Ration]&amp;Règles_bovins[Aliment],0)),0),0)*IF(SUM(TotalBovins_12_18moisAuPré)&gt;0,SUM(TotalBovins_12_18moisAuPré),SUM(TotalBovins_12_18mois))*35</f>
        <v>0</v>
      </c>
      <c r="BG311" s="350">
        <f t="array" ref="BG311">IFERROR(IF(OR(AND(INDEX(Règles_bovins[Specificite],MATCH(RationHivernaleBovinsAuPré&amp;$BB311,Règles_bovins[Ration]&amp;Règles_bovins[Aliment],0))="s1",IF($BB311=Spécificité1Bovins,1)),
AND(INDEX(Règles_bovins[Specificite],MATCH(RationHivernaleBovinsAuPré&amp;$BB311,Règles_bovins[Ration]&amp;Règles_bovins[Aliment],0))="s2",IF($BB311=Spécificité2Bovins,1)),
INDEX(Règles_bovins[Specificite],MATCH(RationHivernaleBovinsAuPré&amp;$BB311,Règles_bovins[Ration]&amp;Règles_bovins[Aliment],0))="c"),
INDEX(Règles_bovins[Valeur 6-12],MATCH(RationHivernaleBovinsAuPré&amp;$BB311,Règles_bovins[Ration]&amp;Règles_bovins[Aliment],0)),0),0)*IF(SUM(TotalBovins_6_12moisAuPré)&gt;0,SUM(TotalBovins_6_12moisAuPré),SUM(TotalBovins_6_12mois))*35</f>
        <v>0</v>
      </c>
      <c r="BH311" s="350">
        <f t="array" ref="BH311">IFERROR(IF(OR(AND(INDEX(Règles_bovins[Specificite],MATCH(RationHivernaleBovinsAuPré&amp;$BB311,Règles_bovins[Ration]&amp;Règles_bovins[Aliment],0))="s1",IF($BB311=Spécificité1Bovins,1)),
AND(INDEX(Règles_bovins[Specificite],MATCH(RationHivernaleBovinsAuPré&amp;$BB311,Règles_bovins[Ration]&amp;Règles_bovins[Aliment],0))="s2",IF($BB311=Spécificité2Bovins,1)),
INDEX(Règles_bovins[Specificite],MATCH(RationHivernaleBovinsAuPré&amp;$BB311,Règles_bovins[Ration]&amp;Règles_bovins[Aliment],0))="c"),
INDEX(Règles_bovins[Valeur 3-6],MATCH(RationHivernaleBovinsAuPré&amp;$BB311,Règles_bovins[Ration]&amp;Règles_bovins[Aliment],0)),0),0)*IF(SUM(TotalBovins_3_6moisAuPré)&gt;0,SUM(TotalBovins_3_6moisAuPré),SUM(TotalBovins_3_6mois))*35</f>
        <v>0</v>
      </c>
      <c r="BI311" s="350">
        <f t="array" ref="BI311">IFERROR(IF(OR(AND(INDEX(Règles_bovins[Specificite],MATCH(RationHivernaleBovinsAuPré&amp;$BB311,Règles_bovins[Ration]&amp;Règles_bovins[Aliment],0))="s1",IF($BB311=Spécificité1Bovins,1)),
AND(INDEX(Règles_bovins[Specificite],MATCH(RationHivernaleBovinsAuPré&amp;$BB311,Règles_bovins[Ration]&amp;Règles_bovins[Aliment],0))="s2",IF($BB311=Spécificité2Bovins,1)),
INDEX(Règles_bovins[Specificite],MATCH(RationHivernaleBovinsAuPré&amp;$BB311,Règles_bovins[Ration]&amp;Règles_bovins[Aliment],0))="c"),
INDEX(Règles_bovins[Valeur 0-3],MATCH(RationHivernaleBovinsAuPré&amp;$BB311,Règles_bovins[Ration]&amp;Règles_bovins[Aliment],0)),0),0)*IF(SUM(TotalBovins_0_3moisAuPré)&gt;0,SUM(TotalBovins_0_3moisAuPré),SUM(TotalBovins_0_3mois))*35</f>
        <v>0</v>
      </c>
      <c r="BJ311" s="352">
        <f t="shared" si="71"/>
        <v>0</v>
      </c>
      <c r="BM311" s="276"/>
      <c r="DN311" s="350" t="str">
        <f t="shared" si="73"/>
        <v>Maïs grain</v>
      </c>
      <c r="DO311" s="351">
        <f t="array" ref="DO311">SUM((IF(QualitéAlimentsAgneauMâle_0_3_mois=BONNE,VLOOKUP("Maïs grain",AlimentsRationOvinsMâles,5,FALSE),0)+(IF(QualitéAlimentsAgneauFemelle_0_3_mois=BONNE,VLOOKUP("Maïs grain",AlimentsRationOvinsFemelles,5,FALSE),0)+(IF(QualitéAlimentsAgneauMâle_3_6_mois=BONNE,VLOOKUP("Maïs grain",AlimentsRationOvinsMâles,4,FALSE),0)+(IF(QualitéAlimentsAgneauFemelle_3_6_mois=BONNE,VLOOKUP("Maïs grain",AlimentsRationOvinsFemelles,4,FALSE),0)+(IF(QualitéAlimentsJeuneBélier=BONNE,VLOOKUP("Maïs grain",AlimentsRationOvinsMâles,3,FALSE),0)+(IF(QualitéAlimentsJeuneBrebis=BONNE,VLOOKUP("Maïs grain",AlimentsRationOvinsFemelles,3,FALSE),0)+(IF(QualitéAlimentsBélier=BONNE,VLOOKUP("Maïs grain",AlimentsRationOvinsMâles,2,FALSE),0)+(IF(QualitéAlimentsBrebis=BONNE,VLOOKUP("Maïs grain",AlimentsRationOvinsFemelles,2,FALSE),0))))))))))</f>
        <v>0</v>
      </c>
      <c r="DP311" s="351">
        <f t="array" ref="DP311">SUM((IF(QualitéAlimentsAgneauMâle_0_3_mois=MOYENNE,VLOOKUP("Maïs grain",AlimentsRationOvinsMâles,5,FALSE),0)+(IF(QualitéAlimentsAgneauFemelle_0_3_mois=MOYENNE,VLOOKUP("Maïs grain",AlimentsRationOvinsFemelles,5,FALSE),0)+(IF(QualitéAlimentsAgneauMâle_3_6_mois=MOYENNE,VLOOKUP("Maïs grain",AlimentsRationOvinsMâles,4,FALSE),0)+(IF(QualitéAlimentsAgneauFemelle_3_6_mois=MOYENNE,VLOOKUP("Maïs grain",AlimentsRationOvinsFemelles,4,FALSE),0)+(IF(QualitéAlimentsJeuneBélier=MOYENNE,VLOOKUP("Maïs grain",AlimentsRationOvinsMâles,3,FALSE),0)+(IF(QualitéAlimentsJeuneBrebis=MOYENNE,VLOOKUP("Maïs grain",AlimentsRationOvinsFemelles,3,FALSE),0)+(IF(QualitéAlimentsBélier=MOYENNE,VLOOKUP("Maïs grain",AlimentsRationOvinsMâles,2,FALSE),0)+(IF(QualitéAlimentsBrebis=MOYENNE,VLOOKUP("Maïs grain",AlimentsRationOvinsFemelles,2,FALSE),0))))))))))</f>
        <v>0</v>
      </c>
      <c r="DQ311" s="351">
        <f t="array" ref="DQ311">SUM((IF(QualitéAlimentsAgneauMâle_0_3_mois=MAUVAISE,VLOOKUP("Maïs grain",AlimentsRationOvinsMâles,5,FALSE),0)+(IF(QualitéAlimentsAgneauFemelle_0_3_mois=MAUVAISE,VLOOKUP("Maïs grain",AlimentsRationOvinsFemelles,5,FALSE),0)+(IF(QualitéAlimentsAgneauMâle_3_6_mois=MAUVAISE,VLOOKUP("Maïs grain",AlimentsRationOvinsMâles,4,FALSE),0)+(IF(QualitéAlimentsAgneauFemelle_3_6_mois=MAUVAISE,VLOOKUP("Maïs grain",AlimentsRationOvinsFemelles,4,FALSE),0)+(IF(QualitéAlimentsJeuneBélier=MAUVAISE,VLOOKUP("Maïs grain",AlimentsRationOvinsMâles,3,FALSE),0)+(IF(QualitéAlimentsJeuneBrebis=MAUVAISE,VLOOKUP("Maïs grain",AlimentsRationOvinsFemelles,3,FALSE),0)+(IF(QualitéAlimentsBélier=MAUVAISE,VLOOKUP("Maïs grain",AlimentsRationOvinsMâles,2,FALSE),0)+(IF(QualitéAlimentsBrebis=MAUVAISE,VLOOKUP("Maïs grain",AlimentsRationOvinsFemelles,2,FALSE),0))))))))))</f>
        <v>0</v>
      </c>
      <c r="DS311" s="276"/>
      <c r="GG311" s="276" t="s">
        <v>955</v>
      </c>
      <c r="GH311" s="276" t="s">
        <v>955</v>
      </c>
      <c r="GI311" s="276" t="s">
        <v>955</v>
      </c>
      <c r="GJ311" s="276" t="s">
        <v>955</v>
      </c>
      <c r="GK311" s="276" t="s">
        <v>955</v>
      </c>
      <c r="GL311" s="276" t="s">
        <v>955</v>
      </c>
      <c r="GM311" s="276" t="s">
        <v>955</v>
      </c>
      <c r="GN311" s="276" t="s">
        <v>955</v>
      </c>
      <c r="GO311" s="276" t="s">
        <v>955</v>
      </c>
      <c r="GP311" s="276" t="s">
        <v>955</v>
      </c>
      <c r="GQ311" s="276" t="s">
        <v>955</v>
      </c>
      <c r="GR311" s="276" t="s">
        <v>955</v>
      </c>
      <c r="GS311" s="276" t="s">
        <v>955</v>
      </c>
      <c r="GT311" s="276" t="s">
        <v>955</v>
      </c>
      <c r="GU311" s="276" t="s">
        <v>955</v>
      </c>
      <c r="GV311" s="276" t="s">
        <v>955</v>
      </c>
    </row>
    <row r="312" spans="1:204" ht="12.75" customHeight="1" x14ac:dyDescent="0.2">
      <c r="A312" s="276"/>
      <c r="B312" s="276"/>
      <c r="BB312" s="350" t="str">
        <f t="shared" si="72"/>
        <v>Sorgho ensilé</v>
      </c>
      <c r="BC312" s="350">
        <f t="array" ref="BC312">IFERROR(IF(OR(AND(INDEX(Règles_bovins[Specificite],MATCH(RationHivernaleBovinsAuPré&amp;$BB312,Règles_bovins[Ration]&amp;Règles_bovins[Aliment],0))="s1",IF($BB312=Spécificité1Bovins,1)),
AND(INDEX(Règles_bovins[Specificite],MATCH(RationHivernaleBovinsAuPré&amp;$BB312,Règles_bovins[Ration]&amp;Règles_bovins[Aliment],0))="s2",IF($BB312=Spécificité2Bovins,1)),
INDEX(Règles_bovins[Specificite],MATCH(RationHivernaleBovinsAuPré&amp;$BB312,Règles_bovins[Ration]&amp;Règles_bovins[Aliment],0))="c"),
INDEX(Règles_bovins[Valeur 36 et plus],MATCH(RationHivernaleBovinsAuPré&amp;$BB312,Règles_bovins[Ration]&amp;Règles_bovins[Aliment],0)),0),0)*IF(SUM(TotalBovinsAdultesAuPré)&gt;0,SUM(TotalBovinsAdultesAuPré),SUM(TotalBovinsAdultes))*35</f>
        <v>0</v>
      </c>
      <c r="BD312" s="350">
        <f t="array" ref="BD312">IFERROR(IF(OR(AND(INDEX(Règles_bovins[Specificite],MATCH(RationHivernaleBovinsAuPré&amp;$BB312,Règles_bovins[Ration]&amp;Règles_bovins[Aliment],0))="s1",IF($BB312=Spécificité1Bovins,1)),
AND(INDEX(Règles_bovins[Specificite],MATCH(RationHivernaleBovinsAuPré&amp;$BB312,Règles_bovins[Ration]&amp;Règles_bovins[Aliment],0))="s2",IF($BB312=Spécificité2Bovins,1)),
INDEX(Règles_bovins[Specificite],MATCH(RationHivernaleBovinsAuPré&amp;$BB312,Règles_bovins[Ration]&amp;Règles_bovins[Aliment],0))="c"),
INDEX(Règles_bovins[Valeur 24-36],MATCH(RationHivernaleBovinsAuPré&amp;$BB312,Règles_bovins[Ration]&amp;Règles_bovins[Aliment],0)),0),0)*IF(SUM(TotalBovins_24_36moisAuPré)&gt;0,SUM(TotalBovins_24_36moisAuPré),SUM(TotalBovins_24_36mois))*35</f>
        <v>0</v>
      </c>
      <c r="BE312" s="350">
        <f t="array" ref="BE312">IFERROR(IF(OR(AND(INDEX(Règles_bovins[Specificite],MATCH(RationHivernaleBovinsAuPré&amp;$BB312,Règles_bovins[Ration]&amp;Règles_bovins[Aliment],0))="s1",IF($BB312=Spécificité1Bovins,1)),
AND(INDEX(Règles_bovins[Specificite],MATCH(RationHivernaleBovinsAuPré&amp;$BB312,Règles_bovins[Ration]&amp;Règles_bovins[Aliment],0))="s2",IF($BB312=Spécificité2Bovins,1)),
INDEX(Règles_bovins[Specificite],MATCH(RationHivernaleBovinsAuPré&amp;$BB312,Règles_bovins[Ration]&amp;Règles_bovins[Aliment],0))="c"),
INDEX(Règles_bovins[Valeur 18-24],MATCH(RationHivernaleBovinsAuPré&amp;$BB312,Règles_bovins[Ration]&amp;Règles_bovins[Aliment],0)),0),0)*IF(SUM(TotalBovins_18_24moisAuPré)&gt;0,SUM(TotalBovins_18_24moisAuPré),SUM(TotalBovins_18_24mois))*35</f>
        <v>0</v>
      </c>
      <c r="BF312" s="350">
        <f t="array" ref="BF312">IFERROR(IF(OR(AND(INDEX(Règles_bovins[Specificite],MATCH(RationHivernaleBovinsAuPré&amp;$BB312,Règles_bovins[Ration]&amp;Règles_bovins[Aliment],0))="s1",IF($BB312=Spécificité1Bovins,1)),
AND(INDEX(Règles_bovins[Specificite],MATCH(RationHivernaleBovinsAuPré&amp;$BB312,Règles_bovins[Ration]&amp;Règles_bovins[Aliment],0))="s2",IF($BB312=Spécificité2Bovins,1)),
INDEX(Règles_bovins[Specificite],MATCH(RationHivernaleBovinsAuPré&amp;$BB312,Règles_bovins[Ration]&amp;Règles_bovins[Aliment],0))="c"),
INDEX(Règles_bovins[Valeur 12-18],MATCH(RationHivernaleBovinsAuPré&amp;$BB312,Règles_bovins[Ration]&amp;Règles_bovins[Aliment],0)),0),0)*IF(SUM(TotalBovins_12_18moisAuPré)&gt;0,SUM(TotalBovins_12_18moisAuPré),SUM(TotalBovins_12_18mois))*35</f>
        <v>0</v>
      </c>
      <c r="BG312" s="350">
        <f t="array" ref="BG312">IFERROR(IF(OR(AND(INDEX(Règles_bovins[Specificite],MATCH(RationHivernaleBovinsAuPré&amp;$BB312,Règles_bovins[Ration]&amp;Règles_bovins[Aliment],0))="s1",IF($BB312=Spécificité1Bovins,1)),
AND(INDEX(Règles_bovins[Specificite],MATCH(RationHivernaleBovinsAuPré&amp;$BB312,Règles_bovins[Ration]&amp;Règles_bovins[Aliment],0))="s2",IF($BB312=Spécificité2Bovins,1)),
INDEX(Règles_bovins[Specificite],MATCH(RationHivernaleBovinsAuPré&amp;$BB312,Règles_bovins[Ration]&amp;Règles_bovins[Aliment],0))="c"),
INDEX(Règles_bovins[Valeur 6-12],MATCH(RationHivernaleBovinsAuPré&amp;$BB312,Règles_bovins[Ration]&amp;Règles_bovins[Aliment],0)),0),0)*IF(SUM(TotalBovins_6_12moisAuPré)&gt;0,SUM(TotalBovins_6_12moisAuPré),SUM(TotalBovins_6_12mois))*35</f>
        <v>0</v>
      </c>
      <c r="BH312" s="350">
        <f t="array" ref="BH312">IFERROR(IF(OR(AND(INDEX(Règles_bovins[Specificite],MATCH(RationHivernaleBovinsAuPré&amp;$BB312,Règles_bovins[Ration]&amp;Règles_bovins[Aliment],0))="s1",IF($BB312=Spécificité1Bovins,1)),
AND(INDEX(Règles_bovins[Specificite],MATCH(RationHivernaleBovinsAuPré&amp;$BB312,Règles_bovins[Ration]&amp;Règles_bovins[Aliment],0))="s2",IF($BB312=Spécificité2Bovins,1)),
INDEX(Règles_bovins[Specificite],MATCH(RationHivernaleBovinsAuPré&amp;$BB312,Règles_bovins[Ration]&amp;Règles_bovins[Aliment],0))="c"),
INDEX(Règles_bovins[Valeur 3-6],MATCH(RationHivernaleBovinsAuPré&amp;$BB312,Règles_bovins[Ration]&amp;Règles_bovins[Aliment],0)),0),0)*IF(SUM(TotalBovins_3_6moisAuPré)&gt;0,SUM(TotalBovins_3_6moisAuPré),SUM(TotalBovins_3_6mois))*35</f>
        <v>0</v>
      </c>
      <c r="BI312" s="350">
        <f t="array" ref="BI312">IFERROR(IF(OR(AND(INDEX(Règles_bovins[Specificite],MATCH(RationHivernaleBovinsAuPré&amp;$BB312,Règles_bovins[Ration]&amp;Règles_bovins[Aliment],0))="s1",IF($BB312=Spécificité1Bovins,1)),
AND(INDEX(Règles_bovins[Specificite],MATCH(RationHivernaleBovinsAuPré&amp;$BB312,Règles_bovins[Ration]&amp;Règles_bovins[Aliment],0))="s2",IF($BB312=Spécificité2Bovins,1)),
INDEX(Règles_bovins[Specificite],MATCH(RationHivernaleBovinsAuPré&amp;$BB312,Règles_bovins[Ration]&amp;Règles_bovins[Aliment],0))="c"),
INDEX(Règles_bovins[Valeur 0-3],MATCH(RationHivernaleBovinsAuPré&amp;$BB312,Règles_bovins[Ration]&amp;Règles_bovins[Aliment],0)),0),0)*IF(SUM(TotalBovins_0_3moisAuPré)&gt;0,SUM(TotalBovins_0_3moisAuPré),SUM(TotalBovins_0_3mois))*35</f>
        <v>0</v>
      </c>
      <c r="BJ312" s="352">
        <f t="shared" si="71"/>
        <v>0</v>
      </c>
      <c r="BM312" s="276"/>
      <c r="DN312" s="350" t="str">
        <f t="shared" si="73"/>
        <v>Minéraux + vitamines</v>
      </c>
      <c r="DO312" s="351">
        <f t="array" ref="DO312">SUM((IF(QualitéAlimentsAgneauMâle_0_3_mois=BONNE,VLOOKUP("Minéraux + vitamines",AlimentsRationOvinsMâles,5,FALSE),0)+(IF(QualitéAlimentsAgneauFemelle_0_3_mois=BONNE,VLOOKUP("Minéraux + vitamines",AlimentsRationOvinsFemelles,5,FALSE),0)+(IF(QualitéAlimentsAgneauMâle_3_6_mois=BONNE,VLOOKUP("Minéraux + vitamines",AlimentsRationOvinsMâles,4,FALSE),0)+(IF(QualitéAlimentsAgneauFemelle_3_6_mois=BONNE,VLOOKUP("Minéraux + vitamines",AlimentsRationOvinsFemelles,4,FALSE),0)+(IF(QualitéAlimentsJeuneBélier=BONNE,VLOOKUP("Minéraux + vitamines",AlimentsRationOvinsMâles,3,FALSE),0)+(IF(QualitéAlimentsJeuneBrebis=BONNE,VLOOKUP("Minéraux + vitamines",AlimentsRationOvinsFemelles,3,FALSE),0)+(IF(QualitéAlimentsBélier=BONNE,VLOOKUP("Minéraux + vitamines",AlimentsRationOvinsMâles,2,FALSE),0)+(IF(QualitéAlimentsBrebis=BONNE,VLOOKUP("Minéraux + vitamines",AlimentsRationOvinsFemelles,2,FALSE),0))))))))))</f>
        <v>0</v>
      </c>
      <c r="DP312" s="351">
        <f t="array" ref="DP312">SUM((IF(QualitéAlimentsAgneauMâle_0_3_mois=MOYENNE,VLOOKUP("Minéraux + vitamines",AlimentsRationOvinsMâles,5,FALSE),0)+(IF(QualitéAlimentsAgneauFemelle_0_3_mois=MOYENNE,VLOOKUP("Minéraux + vitamines",AlimentsRationOvinsFemelles,5,FALSE),0)+(IF(QualitéAlimentsAgneauMâle_3_6_mois=MOYENNE,VLOOKUP("Minéraux + vitamines",AlimentsRationOvinsMâles,4,FALSE),0)+(IF(QualitéAlimentsAgneauFemelle_3_6_mois=MOYENNE,VLOOKUP("Minéraux + vitamines",AlimentsRationOvinsFemelles,4,FALSE),0)+(IF(QualitéAlimentsJeuneBélier=MOYENNE,VLOOKUP("Minéraux + vitamines",AlimentsRationOvinsMâles,3,FALSE),0)+(IF(QualitéAlimentsJeuneBrebis=MOYENNE,VLOOKUP("Minéraux + vitamines",AlimentsRationOvinsFemelles,3,FALSE),0)+(IF(QualitéAlimentsBélier=MOYENNE,VLOOKUP("Minéraux + vitamines",AlimentsRationOvinsMâles,2,FALSE),0)+(IF(QualitéAlimentsBrebis=MOYENNE,VLOOKUP("Minéraux + vitamines",AlimentsRationOvinsFemelles,2,FALSE),0))))))))))</f>
        <v>0</v>
      </c>
      <c r="DQ312" s="351">
        <f t="array" ref="DQ312">SUM((IF(QualitéAlimentsAgneauMâle_0_3_mois=MAUVAISE,VLOOKUP("Minéraux + vitamines",AlimentsRationOvinsMâles,5,FALSE),0)+(IF(QualitéAlimentsAgneauFemelle_0_3_mois=MAUVAISE,VLOOKUP("Minéraux + vitamines",AlimentsRationOvinsFemelles,5,FALSE),0)+(IF(QualitéAlimentsAgneauMâle_3_6_mois=MAUVAISE,VLOOKUP("Minéraux + vitamines",AlimentsRationOvinsMâles,4,FALSE),0)+(IF(QualitéAlimentsAgneauFemelle_3_6_mois=MAUVAISE,VLOOKUP("Minéraux + vitamines",AlimentsRationOvinsFemelles,4,FALSE),0)+(IF(QualitéAlimentsJeuneBélier=MAUVAISE,VLOOKUP("Minéraux + vitamines",AlimentsRationOvinsMâles,3,FALSE),0)+(IF(QualitéAlimentsJeuneBrebis=MAUVAISE,VLOOKUP("Minéraux + vitamines",AlimentsRationOvinsFemelles,3,FALSE),0)+(IF(QualitéAlimentsBélier=MAUVAISE,VLOOKUP("Minéraux + vitamines",AlimentsRationOvinsMâles,2,FALSE),0)+(IF(QualitéAlimentsBrebis=MAUVAISE,VLOOKUP("Minéraux + vitamines",AlimentsRationOvinsFemelles,2,FALSE),0))))))))))</f>
        <v>0</v>
      </c>
      <c r="DS312" s="276"/>
      <c r="GG312" s="276" t="s">
        <v>955</v>
      </c>
      <c r="GH312" s="276" t="s">
        <v>955</v>
      </c>
      <c r="GI312" s="276" t="s">
        <v>955</v>
      </c>
      <c r="GJ312" s="276" t="s">
        <v>955</v>
      </c>
      <c r="GK312" s="276" t="s">
        <v>955</v>
      </c>
      <c r="GL312" s="276" t="s">
        <v>955</v>
      </c>
      <c r="GM312" s="276" t="s">
        <v>955</v>
      </c>
      <c r="GN312" s="276" t="s">
        <v>955</v>
      </c>
      <c r="GO312" s="276" t="s">
        <v>955</v>
      </c>
      <c r="GP312" s="276" t="s">
        <v>955</v>
      </c>
      <c r="GQ312" s="276" t="s">
        <v>955</v>
      </c>
      <c r="GR312" s="276" t="s">
        <v>955</v>
      </c>
      <c r="GS312" s="276" t="s">
        <v>955</v>
      </c>
      <c r="GT312" s="276" t="s">
        <v>955</v>
      </c>
      <c r="GU312" s="276" t="s">
        <v>955</v>
      </c>
      <c r="GV312" s="276" t="s">
        <v>955</v>
      </c>
    </row>
    <row r="313" spans="1:204" ht="12.75" customHeight="1" x14ac:dyDescent="0.2">
      <c r="A313" s="276"/>
      <c r="B313" s="276"/>
      <c r="BB313" s="350" t="str">
        <f t="shared" si="72"/>
        <v>Tournesol</v>
      </c>
      <c r="BC313" s="350">
        <f t="array" ref="BC313">IFERROR(IF(OR(AND(INDEX(Règles_bovins[Specificite],MATCH(RationHivernaleBovinsAuPré&amp;$BB313,Règles_bovins[Ration]&amp;Règles_bovins[Aliment],0))="s1",IF($BB313=Spécificité1Bovins,1)),
AND(INDEX(Règles_bovins[Specificite],MATCH(RationHivernaleBovinsAuPré&amp;$BB313,Règles_bovins[Ration]&amp;Règles_bovins[Aliment],0))="s2",IF($BB313=Spécificité2Bovins,1)),
INDEX(Règles_bovins[Specificite],MATCH(RationHivernaleBovinsAuPré&amp;$BB313,Règles_bovins[Ration]&amp;Règles_bovins[Aliment],0))="c"),
INDEX(Règles_bovins[Valeur 36 et plus],MATCH(RationHivernaleBovinsAuPré&amp;$BB313,Règles_bovins[Ration]&amp;Règles_bovins[Aliment],0)),0),0)*IF(SUM(TotalBovinsAdultesAuPré)&gt;0,SUM(TotalBovinsAdultesAuPré),SUM(TotalBovinsAdultes))*35</f>
        <v>0</v>
      </c>
      <c r="BD313" s="350">
        <f t="array" ref="BD313">IFERROR(IF(OR(AND(INDEX(Règles_bovins[Specificite],MATCH(RationHivernaleBovinsAuPré&amp;$BB313,Règles_bovins[Ration]&amp;Règles_bovins[Aliment],0))="s1",IF($BB313=Spécificité1Bovins,1)),
AND(INDEX(Règles_bovins[Specificite],MATCH(RationHivernaleBovinsAuPré&amp;$BB313,Règles_bovins[Ration]&amp;Règles_bovins[Aliment],0))="s2",IF($BB313=Spécificité2Bovins,1)),
INDEX(Règles_bovins[Specificite],MATCH(RationHivernaleBovinsAuPré&amp;$BB313,Règles_bovins[Ration]&amp;Règles_bovins[Aliment],0))="c"),
INDEX(Règles_bovins[Valeur 24-36],MATCH(RationHivernaleBovinsAuPré&amp;$BB313,Règles_bovins[Ration]&amp;Règles_bovins[Aliment],0)),0),0)*IF(SUM(TotalBovins_24_36moisAuPré)&gt;0,SUM(TotalBovins_24_36moisAuPré),SUM(TotalBovins_24_36mois))*35</f>
        <v>0</v>
      </c>
      <c r="BE313" s="350">
        <f t="array" ref="BE313">IFERROR(IF(OR(AND(INDEX(Règles_bovins[Specificite],MATCH(RationHivernaleBovinsAuPré&amp;$BB313,Règles_bovins[Ration]&amp;Règles_bovins[Aliment],0))="s1",IF($BB313=Spécificité1Bovins,1)),
AND(INDEX(Règles_bovins[Specificite],MATCH(RationHivernaleBovinsAuPré&amp;$BB313,Règles_bovins[Ration]&amp;Règles_bovins[Aliment],0))="s2",IF($BB313=Spécificité2Bovins,1)),
INDEX(Règles_bovins[Specificite],MATCH(RationHivernaleBovinsAuPré&amp;$BB313,Règles_bovins[Ration]&amp;Règles_bovins[Aliment],0))="c"),
INDEX(Règles_bovins[Valeur 18-24],MATCH(RationHivernaleBovinsAuPré&amp;$BB313,Règles_bovins[Ration]&amp;Règles_bovins[Aliment],0)),0),0)*IF(SUM(TotalBovins_18_24moisAuPré)&gt;0,SUM(TotalBovins_18_24moisAuPré),SUM(TotalBovins_18_24mois))*35</f>
        <v>0</v>
      </c>
      <c r="BF313" s="350">
        <f t="array" ref="BF313">IFERROR(IF(OR(AND(INDEX(Règles_bovins[Specificite],MATCH(RationHivernaleBovinsAuPré&amp;$BB313,Règles_bovins[Ration]&amp;Règles_bovins[Aliment],0))="s1",IF($BB313=Spécificité1Bovins,1)),
AND(INDEX(Règles_bovins[Specificite],MATCH(RationHivernaleBovinsAuPré&amp;$BB313,Règles_bovins[Ration]&amp;Règles_bovins[Aliment],0))="s2",IF($BB313=Spécificité2Bovins,1)),
INDEX(Règles_bovins[Specificite],MATCH(RationHivernaleBovinsAuPré&amp;$BB313,Règles_bovins[Ration]&amp;Règles_bovins[Aliment],0))="c"),
INDEX(Règles_bovins[Valeur 12-18],MATCH(RationHivernaleBovinsAuPré&amp;$BB313,Règles_bovins[Ration]&amp;Règles_bovins[Aliment],0)),0),0)*IF(SUM(TotalBovins_12_18moisAuPré)&gt;0,SUM(TotalBovins_12_18moisAuPré),SUM(TotalBovins_12_18mois))*35</f>
        <v>0</v>
      </c>
      <c r="BG313" s="350">
        <f t="array" ref="BG313">IFERROR(IF(OR(AND(INDEX(Règles_bovins[Specificite],MATCH(RationHivernaleBovinsAuPré&amp;$BB313,Règles_bovins[Ration]&amp;Règles_bovins[Aliment],0))="s1",IF($BB313=Spécificité1Bovins,1)),
AND(INDEX(Règles_bovins[Specificite],MATCH(RationHivernaleBovinsAuPré&amp;$BB313,Règles_bovins[Ration]&amp;Règles_bovins[Aliment],0))="s2",IF($BB313=Spécificité2Bovins,1)),
INDEX(Règles_bovins[Specificite],MATCH(RationHivernaleBovinsAuPré&amp;$BB313,Règles_bovins[Ration]&amp;Règles_bovins[Aliment],0))="c"),
INDEX(Règles_bovins[Valeur 6-12],MATCH(RationHivernaleBovinsAuPré&amp;$BB313,Règles_bovins[Ration]&amp;Règles_bovins[Aliment],0)),0),0)*IF(SUM(TotalBovins_6_12moisAuPré)&gt;0,SUM(TotalBovins_6_12moisAuPré),SUM(TotalBovins_6_12mois))*35</f>
        <v>0</v>
      </c>
      <c r="BH313" s="350">
        <f t="array" ref="BH313">IFERROR(IF(OR(AND(INDEX(Règles_bovins[Specificite],MATCH(RationHivernaleBovinsAuPré&amp;$BB313,Règles_bovins[Ration]&amp;Règles_bovins[Aliment],0))="s1",IF($BB313=Spécificité1Bovins,1)),
AND(INDEX(Règles_bovins[Specificite],MATCH(RationHivernaleBovinsAuPré&amp;$BB313,Règles_bovins[Ration]&amp;Règles_bovins[Aliment],0))="s2",IF($BB313=Spécificité2Bovins,1)),
INDEX(Règles_bovins[Specificite],MATCH(RationHivernaleBovinsAuPré&amp;$BB313,Règles_bovins[Ration]&amp;Règles_bovins[Aliment],0))="c"),
INDEX(Règles_bovins[Valeur 3-6],MATCH(RationHivernaleBovinsAuPré&amp;$BB313,Règles_bovins[Ration]&amp;Règles_bovins[Aliment],0)),0),0)*IF(SUM(TotalBovins_3_6moisAuPré)&gt;0,SUM(TotalBovins_3_6moisAuPré),SUM(TotalBovins_3_6mois))*35</f>
        <v>0</v>
      </c>
      <c r="BI313" s="350">
        <f t="array" ref="BI313">IFERROR(IF(OR(AND(INDEX(Règles_bovins[Specificite],MATCH(RationHivernaleBovinsAuPré&amp;$BB313,Règles_bovins[Ration]&amp;Règles_bovins[Aliment],0))="s1",IF($BB313=Spécificité1Bovins,1)),
AND(INDEX(Règles_bovins[Specificite],MATCH(RationHivernaleBovinsAuPré&amp;$BB313,Règles_bovins[Ration]&amp;Règles_bovins[Aliment],0))="s2",IF($BB313=Spécificité2Bovins,1)),
INDEX(Règles_bovins[Specificite],MATCH(RationHivernaleBovinsAuPré&amp;$BB313,Règles_bovins[Ration]&amp;Règles_bovins[Aliment],0))="c"),
INDEX(Règles_bovins[Valeur 0-3],MATCH(RationHivernaleBovinsAuPré&amp;$BB313,Règles_bovins[Ration]&amp;Règles_bovins[Aliment],0)),0),0)*IF(SUM(TotalBovins_0_3moisAuPré)&gt;0,SUM(TotalBovins_0_3moisAuPré),SUM(TotalBovins_0_3mois))*35</f>
        <v>0</v>
      </c>
      <c r="BJ313" s="352">
        <f t="shared" si="71"/>
        <v>0</v>
      </c>
      <c r="BM313" s="276"/>
      <c r="DN313" s="350" t="str">
        <f t="shared" si="73"/>
        <v>Orge</v>
      </c>
      <c r="DO313" s="351">
        <f t="array" ref="DO313">SUM((IF(QualitéAlimentsAgneauMâle_0_3_mois=BONNE,VLOOKUP("Orge",AlimentsRationOvinsMâles,5,FALSE),0)+(IF(QualitéAlimentsAgneauFemelle_0_3_mois=BONNE,VLOOKUP("Orge",AlimentsRationOvinsFemelles,5,FALSE),0)+(IF(QualitéAlimentsAgneauMâle_3_6_mois=BONNE,VLOOKUP("Orge",AlimentsRationOvinsMâles,4,FALSE),0)+(IF(QualitéAlimentsAgneauFemelle_3_6_mois=BONNE,VLOOKUP("Orge",AlimentsRationOvinsFemelles,4,FALSE),0)+(IF(QualitéAlimentsJeuneBélier=BONNE,VLOOKUP("Orge",AlimentsRationOvinsMâles,3,FALSE),0)+(IF(QualitéAlimentsJeuneBrebis=BONNE,VLOOKUP("Orge",AlimentsRationOvinsFemelles,3,FALSE),0)+(IF(QualitéAlimentsBélier=BONNE,VLOOKUP("Orge",AlimentsRationOvinsMâles,2,FALSE),0)+(IF(QualitéAlimentsBrebis=BONNE,VLOOKUP("Orge",AlimentsRationOvinsFemelles,2,FALSE),0))))))))))</f>
        <v>0</v>
      </c>
      <c r="DP313" s="351">
        <f t="array" ref="DP313">SUM((IF(QualitéAlimentsAgneauMâle_0_3_mois=MOYENNE,VLOOKUP("Orge",AlimentsRationOvinsMâles,5,FALSE),0)+(IF(QualitéAlimentsAgneauFemelle_0_3_mois=MOYENNE,VLOOKUP("Orge",AlimentsRationOvinsFemelles,5,FALSE),0)+(IF(QualitéAlimentsAgneauMâle_3_6_mois=MOYENNE,VLOOKUP("Orge",AlimentsRationOvinsMâles,4,FALSE),0)+(IF(QualitéAlimentsAgneauFemelle_3_6_mois=MOYENNE,VLOOKUP("Orge",AlimentsRationOvinsFemelles,4,FALSE),0)+(IF(QualitéAlimentsJeuneBélier=MOYENNE,VLOOKUP("Orge",AlimentsRationOvinsMâles,3,FALSE),0)+(IF(QualitéAlimentsJeuneBrebis=MOYENNE,VLOOKUP("Orge",AlimentsRationOvinsFemelles,3,FALSE),0)+(IF(QualitéAlimentsBélier=MOYENNE,VLOOKUP("Orge",AlimentsRationOvinsMâles,2,FALSE),0)+(IF(QualitéAlimentsBrebis=MOYENNE,VLOOKUP("Orge",AlimentsRationOvinsFemelles,2,FALSE),0))))))))))</f>
        <v>0</v>
      </c>
      <c r="DQ313" s="351">
        <f t="array" ref="DQ313">SUM((IF(QualitéAlimentsAgneauMâle_0_3_mois=MAUVAISE,VLOOKUP("Orge",AlimentsRationOvinsMâles,5,FALSE),0)+(IF(QualitéAlimentsAgneauFemelle_0_3_mois=MAUVAISE,VLOOKUP("Orge",AlimentsRationOvinsFemelles,5,FALSE),0)+(IF(QualitéAlimentsAgneauMâle_3_6_mois=MAUVAISE,VLOOKUP("Orge",AlimentsRationOvinsMâles,4,FALSE),0)+(IF(QualitéAlimentsAgneauFemelle_3_6_mois=MAUVAISE,VLOOKUP("Orge",AlimentsRationOvinsFemelles,4,FALSE),0)+(IF(QualitéAlimentsJeuneBélier=MAUVAISE,VLOOKUP("Orge",AlimentsRationOvinsMâles,3,FALSE),0)+(IF(QualitéAlimentsJeuneBrebis=MAUVAISE,VLOOKUP("Orge",AlimentsRationOvinsFemelles,3,FALSE),0)+(IF(QualitéAlimentsBélier=MAUVAISE,VLOOKUP("Orge",AlimentsRationOvinsMâles,2,FALSE),0)+(IF(QualitéAlimentsBrebis=MAUVAISE,VLOOKUP("Orge",AlimentsRationOvinsFemelles,2,FALSE),0))))))))))</f>
        <v>0</v>
      </c>
      <c r="DS313" s="276"/>
      <c r="GG313" s="276" t="s">
        <v>955</v>
      </c>
      <c r="GH313" s="276" t="s">
        <v>955</v>
      </c>
      <c r="GI313" s="276" t="s">
        <v>955</v>
      </c>
      <c r="GJ313" s="276" t="s">
        <v>955</v>
      </c>
      <c r="GK313" s="276" t="s">
        <v>955</v>
      </c>
      <c r="GL313" s="276" t="s">
        <v>955</v>
      </c>
      <c r="GM313" s="276" t="s">
        <v>955</v>
      </c>
      <c r="GN313" s="276" t="s">
        <v>955</v>
      </c>
      <c r="GO313" s="276" t="s">
        <v>955</v>
      </c>
      <c r="GP313" s="276" t="s">
        <v>955</v>
      </c>
      <c r="GQ313" s="276" t="s">
        <v>955</v>
      </c>
      <c r="GR313" s="276" t="s">
        <v>955</v>
      </c>
      <c r="GS313" s="276" t="s">
        <v>955</v>
      </c>
      <c r="GT313" s="276" t="s">
        <v>955</v>
      </c>
      <c r="GU313" s="276" t="s">
        <v>955</v>
      </c>
      <c r="GV313" s="276" t="s">
        <v>955</v>
      </c>
    </row>
    <row r="314" spans="1:204" ht="12.75" customHeight="1" x14ac:dyDescent="0.2">
      <c r="A314" s="276"/>
      <c r="B314" s="276"/>
      <c r="BB314" s="350" t="str">
        <f t="shared" si="72"/>
        <v>Tourteau de colza</v>
      </c>
      <c r="BC314" s="350">
        <f t="array" ref="BC314">IFERROR(IF(OR(AND(INDEX(Règles_bovins[Specificite],MATCH(RationHivernaleBovinsAuPré&amp;$BB314,Règles_bovins[Ration]&amp;Règles_bovins[Aliment],0))="s1",IF($BB314=Spécificité1Bovins,1)),
AND(INDEX(Règles_bovins[Specificite],MATCH(RationHivernaleBovinsAuPré&amp;$BB314,Règles_bovins[Ration]&amp;Règles_bovins[Aliment],0))="s2",IF($BB314=Spécificité2Bovins,1)),
INDEX(Règles_bovins[Specificite],MATCH(RationHivernaleBovinsAuPré&amp;$BB314,Règles_bovins[Ration]&amp;Règles_bovins[Aliment],0))="c"),
INDEX(Règles_bovins[Valeur 36 et plus],MATCH(RationHivernaleBovinsAuPré&amp;$BB314,Règles_bovins[Ration]&amp;Règles_bovins[Aliment],0)),0),0)*IF(SUM(TotalBovinsAdultesAuPré)&gt;0,SUM(TotalBovinsAdultesAuPré),SUM(TotalBovinsAdultes))*35</f>
        <v>0</v>
      </c>
      <c r="BD314" s="350">
        <f t="array" ref="BD314">IFERROR(IF(OR(AND(INDEX(Règles_bovins[Specificite],MATCH(RationHivernaleBovinsAuPré&amp;$BB314,Règles_bovins[Ration]&amp;Règles_bovins[Aliment],0))="s1",IF($BB314=Spécificité1Bovins,1)),
AND(INDEX(Règles_bovins[Specificite],MATCH(RationHivernaleBovinsAuPré&amp;$BB314,Règles_bovins[Ration]&amp;Règles_bovins[Aliment],0))="s2",IF($BB314=Spécificité2Bovins,1)),
INDEX(Règles_bovins[Specificite],MATCH(RationHivernaleBovinsAuPré&amp;$BB314,Règles_bovins[Ration]&amp;Règles_bovins[Aliment],0))="c"),
INDEX(Règles_bovins[Valeur 24-36],MATCH(RationHivernaleBovinsAuPré&amp;$BB314,Règles_bovins[Ration]&amp;Règles_bovins[Aliment],0)),0),0)*IF(SUM(TotalBovins_24_36moisAuPré)&gt;0,SUM(TotalBovins_24_36moisAuPré),SUM(TotalBovins_24_36mois))*35</f>
        <v>0</v>
      </c>
      <c r="BE314" s="350">
        <f t="array" ref="BE314">IFERROR(IF(OR(AND(INDEX(Règles_bovins[Specificite],MATCH(RationHivernaleBovinsAuPré&amp;$BB314,Règles_bovins[Ration]&amp;Règles_bovins[Aliment],0))="s1",IF($BB314=Spécificité1Bovins,1)),
AND(INDEX(Règles_bovins[Specificite],MATCH(RationHivernaleBovinsAuPré&amp;$BB314,Règles_bovins[Ration]&amp;Règles_bovins[Aliment],0))="s2",IF($BB314=Spécificité2Bovins,1)),
INDEX(Règles_bovins[Specificite],MATCH(RationHivernaleBovinsAuPré&amp;$BB314,Règles_bovins[Ration]&amp;Règles_bovins[Aliment],0))="c"),
INDEX(Règles_bovins[Valeur 18-24],MATCH(RationHivernaleBovinsAuPré&amp;$BB314,Règles_bovins[Ration]&amp;Règles_bovins[Aliment],0)),0),0)*IF(SUM(TotalBovins_18_24moisAuPré)&gt;0,SUM(TotalBovins_18_24moisAuPré),SUM(TotalBovins_18_24mois))*35</f>
        <v>0</v>
      </c>
      <c r="BF314" s="350">
        <f t="array" ref="BF314">IFERROR(IF(OR(AND(INDEX(Règles_bovins[Specificite],MATCH(RationHivernaleBovinsAuPré&amp;$BB314,Règles_bovins[Ration]&amp;Règles_bovins[Aliment],0))="s1",IF($BB314=Spécificité1Bovins,1)),
AND(INDEX(Règles_bovins[Specificite],MATCH(RationHivernaleBovinsAuPré&amp;$BB314,Règles_bovins[Ration]&amp;Règles_bovins[Aliment],0))="s2",IF($BB314=Spécificité2Bovins,1)),
INDEX(Règles_bovins[Specificite],MATCH(RationHivernaleBovinsAuPré&amp;$BB314,Règles_bovins[Ration]&amp;Règles_bovins[Aliment],0))="c"),
INDEX(Règles_bovins[Valeur 12-18],MATCH(RationHivernaleBovinsAuPré&amp;$BB314,Règles_bovins[Ration]&amp;Règles_bovins[Aliment],0)),0),0)*IF(SUM(TotalBovins_12_18moisAuPré)&gt;0,SUM(TotalBovins_12_18moisAuPré),SUM(TotalBovins_12_18mois))*35</f>
        <v>0</v>
      </c>
      <c r="BG314" s="350">
        <f t="array" ref="BG314">IFERROR(IF(OR(AND(INDEX(Règles_bovins[Specificite],MATCH(RationHivernaleBovinsAuPré&amp;$BB314,Règles_bovins[Ration]&amp;Règles_bovins[Aliment],0))="s1",IF($BB314=Spécificité1Bovins,1)),
AND(INDEX(Règles_bovins[Specificite],MATCH(RationHivernaleBovinsAuPré&amp;$BB314,Règles_bovins[Ration]&amp;Règles_bovins[Aliment],0))="s2",IF($BB314=Spécificité2Bovins,1)),
INDEX(Règles_bovins[Specificite],MATCH(RationHivernaleBovinsAuPré&amp;$BB314,Règles_bovins[Ration]&amp;Règles_bovins[Aliment],0))="c"),
INDEX(Règles_bovins[Valeur 6-12],MATCH(RationHivernaleBovinsAuPré&amp;$BB314,Règles_bovins[Ration]&amp;Règles_bovins[Aliment],0)),0),0)*IF(SUM(TotalBovins_6_12moisAuPré)&gt;0,SUM(TotalBovins_6_12moisAuPré),SUM(TotalBovins_6_12mois))*35</f>
        <v>0</v>
      </c>
      <c r="BH314" s="350">
        <f t="array" ref="BH314">IFERROR(IF(OR(AND(INDEX(Règles_bovins[Specificite],MATCH(RationHivernaleBovinsAuPré&amp;$BB314,Règles_bovins[Ration]&amp;Règles_bovins[Aliment],0))="s1",IF($BB314=Spécificité1Bovins,1)),
AND(INDEX(Règles_bovins[Specificite],MATCH(RationHivernaleBovinsAuPré&amp;$BB314,Règles_bovins[Ration]&amp;Règles_bovins[Aliment],0))="s2",IF($BB314=Spécificité2Bovins,1)),
INDEX(Règles_bovins[Specificite],MATCH(RationHivernaleBovinsAuPré&amp;$BB314,Règles_bovins[Ration]&amp;Règles_bovins[Aliment],0))="c"),
INDEX(Règles_bovins[Valeur 3-6],MATCH(RationHivernaleBovinsAuPré&amp;$BB314,Règles_bovins[Ration]&amp;Règles_bovins[Aliment],0)),0),0)*IF(SUM(TotalBovins_3_6moisAuPré)&gt;0,SUM(TotalBovins_3_6moisAuPré),SUM(TotalBovins_3_6mois))*35</f>
        <v>0</v>
      </c>
      <c r="BI314" s="350">
        <f t="array" ref="BI314">IFERROR(IF(OR(AND(INDEX(Règles_bovins[Specificite],MATCH(RationHivernaleBovinsAuPré&amp;$BB314,Règles_bovins[Ration]&amp;Règles_bovins[Aliment],0))="s1",IF($BB314=Spécificité1Bovins,1)),
AND(INDEX(Règles_bovins[Specificite],MATCH(RationHivernaleBovinsAuPré&amp;$BB314,Règles_bovins[Ration]&amp;Règles_bovins[Aliment],0))="s2",IF($BB314=Spécificité2Bovins,1)),
INDEX(Règles_bovins[Specificite],MATCH(RationHivernaleBovinsAuPré&amp;$BB314,Règles_bovins[Ration]&amp;Règles_bovins[Aliment],0))="c"),
INDEX(Règles_bovins[Valeur 0-3],MATCH(RationHivernaleBovinsAuPré&amp;$BB314,Règles_bovins[Ration]&amp;Règles_bovins[Aliment],0)),0),0)*IF(SUM(TotalBovins_0_3moisAuPré)&gt;0,SUM(TotalBovins_0_3moisAuPré),SUM(TotalBovins_0_3mois))*35</f>
        <v>0</v>
      </c>
      <c r="BJ314" s="352">
        <f t="shared" si="71"/>
        <v>0</v>
      </c>
      <c r="BM314" s="276"/>
      <c r="DN314" s="350" t="str">
        <f t="shared" si="73"/>
        <v>Paille</v>
      </c>
      <c r="DO314" s="351">
        <f t="array" ref="DO314">SUM((IF(QualitéAlimentsAgneauMâle_0_3_mois=BONNE,VLOOKUP("Paille",AlimentsRationOvinsMâles,5,FALSE),0)+(IF(QualitéAlimentsAgneauFemelle_0_3_mois=BONNE,VLOOKUP("Paille",AlimentsRationOvinsFemelles,5,FALSE),0)+(IF(QualitéAlimentsAgneauMâle_3_6_mois=BONNE,VLOOKUP("Paille",AlimentsRationOvinsMâles,4,FALSE),0)+(IF(QualitéAlimentsAgneauFemelle_3_6_mois=BONNE,VLOOKUP("Paille",AlimentsRationOvinsFemelles,4,FALSE),0)+(IF(QualitéAlimentsJeuneBélier=BONNE,VLOOKUP("Paille",AlimentsRationOvinsMâles,3,FALSE),0)+(IF(QualitéAlimentsJeuneBrebis=BONNE,VLOOKUP("Paille",AlimentsRationOvinsFemelles,3,FALSE),0)+(IF(QualitéAlimentsBélier=BONNE,VLOOKUP("Paille",AlimentsRationOvinsMâles,2,FALSE),0)+(IF(QualitéAlimentsBrebis=BONNE,VLOOKUP("Paille",AlimentsRationOvinsFemelles,2,FALSE),0))))))))))</f>
        <v>0</v>
      </c>
      <c r="DP314" s="351">
        <f t="array" ref="DP314">SUM((IF(QualitéAlimentsAgneauMâle_0_3_mois=MOYENNE,VLOOKUP("Paille",AlimentsRationOvinsMâles,5,FALSE),0)+(IF(QualitéAlimentsAgneauFemelle_0_3_mois=MOYENNE,VLOOKUP("Paille",AlimentsRationOvinsFemelles,5,FALSE),0)+(IF(QualitéAlimentsAgneauMâle_3_6_mois=MOYENNE,VLOOKUP("Paille",AlimentsRationOvinsMâles,4,FALSE),0)+(IF(QualitéAlimentsAgneauFemelle_3_6_mois=MOYENNE,VLOOKUP("Paille",AlimentsRationOvinsFemelles,4,FALSE),0)+(IF(QualitéAlimentsJeuneBélier=MOYENNE,VLOOKUP("Paille",AlimentsRationOvinsMâles,3,FALSE),0)+(IF(QualitéAlimentsJeuneBrebis=MOYENNE,VLOOKUP("Paille",AlimentsRationOvinsFemelles,3,FALSE),0)+(IF(QualitéAlimentsBélier=MOYENNE,VLOOKUP("Paille",AlimentsRationOvinsMâles,2,FALSE),0)+(IF(QualitéAlimentsBrebis=MOYENNE,VLOOKUP("Paille",AlimentsRationOvinsFemelles,2,FALSE),0))))))))))</f>
        <v>0</v>
      </c>
      <c r="DQ314" s="351">
        <f t="array" ref="DQ314">SUM((IF(QualitéAlimentsAgneauMâle_0_3_mois=MAUVAISE,VLOOKUP("Paille",AlimentsRationOvinsMâles,5,FALSE),0)+(IF(QualitéAlimentsAgneauFemelle_0_3_mois=MAUVAISE,VLOOKUP("Paille",AlimentsRationOvinsFemelles,5,FALSE),0)+(IF(QualitéAlimentsAgneauMâle_3_6_mois=MAUVAISE,VLOOKUP("Paille",AlimentsRationOvinsMâles,4,FALSE),0)+(IF(QualitéAlimentsAgneauFemelle_3_6_mois=MAUVAISE,VLOOKUP("Paille",AlimentsRationOvinsFemelles,4,FALSE),0)+(IF(QualitéAlimentsJeuneBélier=MAUVAISE,VLOOKUP("Paille",AlimentsRationOvinsMâles,3,FALSE),0)+(IF(QualitéAlimentsJeuneBrebis=MAUVAISE,VLOOKUP("Paille",AlimentsRationOvinsFemelles,3,FALSE),0)+(IF(QualitéAlimentsBélier=MAUVAISE,VLOOKUP("Paille",AlimentsRationOvinsMâles,2,FALSE),0)+(IF(QualitéAlimentsBrebis=MAUVAISE,VLOOKUP("Paille",AlimentsRationOvinsFemelles,2,FALSE),0)+SUM(LitièreOvins[[#Totals],[litière tout ovins]:[litière ovins races laitières]]))))))))))</f>
        <v>0</v>
      </c>
      <c r="DS314" s="276"/>
      <c r="GG314" s="276" t="s">
        <v>955</v>
      </c>
      <c r="GH314" s="276" t="s">
        <v>955</v>
      </c>
      <c r="GI314" s="276" t="s">
        <v>955</v>
      </c>
      <c r="GJ314" s="276" t="s">
        <v>955</v>
      </c>
      <c r="GK314" s="276" t="s">
        <v>955</v>
      </c>
      <c r="GL314" s="276" t="s">
        <v>955</v>
      </c>
      <c r="GM314" s="276" t="s">
        <v>955</v>
      </c>
      <c r="GN314" s="276" t="s">
        <v>955</v>
      </c>
      <c r="GO314" s="276" t="s">
        <v>955</v>
      </c>
      <c r="GP314" s="276" t="s">
        <v>955</v>
      </c>
      <c r="GQ314" s="276" t="s">
        <v>955</v>
      </c>
      <c r="GR314" s="276" t="s">
        <v>955</v>
      </c>
      <c r="GS314" s="276" t="s">
        <v>955</v>
      </c>
      <c r="GT314" s="276" t="s">
        <v>955</v>
      </c>
      <c r="GU314" s="276" t="s">
        <v>955</v>
      </c>
      <c r="GV314" s="276" t="s">
        <v>955</v>
      </c>
    </row>
    <row r="315" spans="1:204" ht="12.75" customHeight="1" x14ac:dyDescent="0.2">
      <c r="A315" s="276"/>
      <c r="B315" s="276"/>
      <c r="BB315" s="350" t="str">
        <f t="shared" si="72"/>
        <v>Tourteau de tournesol</v>
      </c>
      <c r="BC315" s="350">
        <f t="array" ref="BC315">IFERROR(IF(OR(AND(INDEX(Règles_bovins[Specificite],MATCH(RationHivernaleBovinsAuPré&amp;$BB315,Règles_bovins[Ration]&amp;Règles_bovins[Aliment],0))="s1",IF($BB315=Spécificité1Bovins,1)),
AND(INDEX(Règles_bovins[Specificite],MATCH(RationHivernaleBovinsAuPré&amp;$BB315,Règles_bovins[Ration]&amp;Règles_bovins[Aliment],0))="s2",IF($BB315=Spécificité2Bovins,1)),
INDEX(Règles_bovins[Specificite],MATCH(RationHivernaleBovinsAuPré&amp;$BB315,Règles_bovins[Ration]&amp;Règles_bovins[Aliment],0))="c"),
INDEX(Règles_bovins[Valeur 36 et plus],MATCH(RationHivernaleBovinsAuPré&amp;$BB315,Règles_bovins[Ration]&amp;Règles_bovins[Aliment],0)),0),0)*IF(SUM(TotalBovinsAdultesAuPré)&gt;0,SUM(TotalBovinsAdultesAuPré),SUM(TotalBovinsAdultes))*35</f>
        <v>0</v>
      </c>
      <c r="BD315" s="350">
        <f t="array" ref="BD315">IFERROR(IF(OR(AND(INDEX(Règles_bovins[Specificite],MATCH(RationHivernaleBovinsAuPré&amp;$BB315,Règles_bovins[Ration]&amp;Règles_bovins[Aliment],0))="s1",IF($BB315=Spécificité1Bovins,1)),
AND(INDEX(Règles_bovins[Specificite],MATCH(RationHivernaleBovinsAuPré&amp;$BB315,Règles_bovins[Ration]&amp;Règles_bovins[Aliment],0))="s2",IF($BB315=Spécificité2Bovins,1)),
INDEX(Règles_bovins[Specificite],MATCH(RationHivernaleBovinsAuPré&amp;$BB315,Règles_bovins[Ration]&amp;Règles_bovins[Aliment],0))="c"),
INDEX(Règles_bovins[Valeur 24-36],MATCH(RationHivernaleBovinsAuPré&amp;$BB315,Règles_bovins[Ration]&amp;Règles_bovins[Aliment],0)),0),0)*IF(SUM(TotalBovins_24_36moisAuPré)&gt;0,SUM(TotalBovins_24_36moisAuPré),SUM(TotalBovins_24_36mois))*35</f>
        <v>0</v>
      </c>
      <c r="BE315" s="350">
        <f t="array" ref="BE315">IFERROR(IF(OR(AND(INDEX(Règles_bovins[Specificite],MATCH(RationHivernaleBovinsAuPré&amp;$BB315,Règles_bovins[Ration]&amp;Règles_bovins[Aliment],0))="s1",IF($BB315=Spécificité1Bovins,1)),
AND(INDEX(Règles_bovins[Specificite],MATCH(RationHivernaleBovinsAuPré&amp;$BB315,Règles_bovins[Ration]&amp;Règles_bovins[Aliment],0))="s2",IF($BB315=Spécificité2Bovins,1)),
INDEX(Règles_bovins[Specificite],MATCH(RationHivernaleBovinsAuPré&amp;$BB315,Règles_bovins[Ration]&amp;Règles_bovins[Aliment],0))="c"),
INDEX(Règles_bovins[Valeur 18-24],MATCH(RationHivernaleBovinsAuPré&amp;$BB315,Règles_bovins[Ration]&amp;Règles_bovins[Aliment],0)),0),0)*IF(SUM(TotalBovins_18_24moisAuPré)&gt;0,SUM(TotalBovins_18_24moisAuPré),SUM(TotalBovins_18_24mois))*35</f>
        <v>0</v>
      </c>
      <c r="BF315" s="350">
        <f t="array" ref="BF315">IFERROR(IF(OR(AND(INDEX(Règles_bovins[Specificite],MATCH(RationHivernaleBovinsAuPré&amp;$BB315,Règles_bovins[Ration]&amp;Règles_bovins[Aliment],0))="s1",IF($BB315=Spécificité1Bovins,1)),
AND(INDEX(Règles_bovins[Specificite],MATCH(RationHivernaleBovinsAuPré&amp;$BB315,Règles_bovins[Ration]&amp;Règles_bovins[Aliment],0))="s2",IF($BB315=Spécificité2Bovins,1)),
INDEX(Règles_bovins[Specificite],MATCH(RationHivernaleBovinsAuPré&amp;$BB315,Règles_bovins[Ration]&amp;Règles_bovins[Aliment],0))="c"),
INDEX(Règles_bovins[Valeur 12-18],MATCH(RationHivernaleBovinsAuPré&amp;$BB315,Règles_bovins[Ration]&amp;Règles_bovins[Aliment],0)),0),0)*IF(SUM(TotalBovins_12_18moisAuPré)&gt;0,SUM(TotalBovins_12_18moisAuPré),SUM(TotalBovins_12_18mois))*35</f>
        <v>0</v>
      </c>
      <c r="BG315" s="350">
        <f t="array" ref="BG315">IFERROR(IF(OR(AND(INDEX(Règles_bovins[Specificite],MATCH(RationHivernaleBovinsAuPré&amp;$BB315,Règles_bovins[Ration]&amp;Règles_bovins[Aliment],0))="s1",IF($BB315=Spécificité1Bovins,1)),
AND(INDEX(Règles_bovins[Specificite],MATCH(RationHivernaleBovinsAuPré&amp;$BB315,Règles_bovins[Ration]&amp;Règles_bovins[Aliment],0))="s2",IF($BB315=Spécificité2Bovins,1)),
INDEX(Règles_bovins[Specificite],MATCH(RationHivernaleBovinsAuPré&amp;$BB315,Règles_bovins[Ration]&amp;Règles_bovins[Aliment],0))="c"),
INDEX(Règles_bovins[Valeur 6-12],MATCH(RationHivernaleBovinsAuPré&amp;$BB315,Règles_bovins[Ration]&amp;Règles_bovins[Aliment],0)),0),0)*IF(SUM(TotalBovins_6_12moisAuPré)&gt;0,SUM(TotalBovins_6_12moisAuPré),SUM(TotalBovins_6_12mois))*35</f>
        <v>0</v>
      </c>
      <c r="BH315" s="350">
        <f t="array" ref="BH315">IFERROR(IF(OR(AND(INDEX(Règles_bovins[Specificite],MATCH(RationHivernaleBovinsAuPré&amp;$BB315,Règles_bovins[Ration]&amp;Règles_bovins[Aliment],0))="s1",IF($BB315=Spécificité1Bovins,1)),
AND(INDEX(Règles_bovins[Specificite],MATCH(RationHivernaleBovinsAuPré&amp;$BB315,Règles_bovins[Ration]&amp;Règles_bovins[Aliment],0))="s2",IF($BB315=Spécificité2Bovins,1)),
INDEX(Règles_bovins[Specificite],MATCH(RationHivernaleBovinsAuPré&amp;$BB315,Règles_bovins[Ration]&amp;Règles_bovins[Aliment],0))="c"),
INDEX(Règles_bovins[Valeur 3-6],MATCH(RationHivernaleBovinsAuPré&amp;$BB315,Règles_bovins[Ration]&amp;Règles_bovins[Aliment],0)),0),0)*IF(SUM(TotalBovins_3_6moisAuPré)&gt;0,SUM(TotalBovins_3_6moisAuPré),SUM(TotalBovins_3_6mois))*35</f>
        <v>0</v>
      </c>
      <c r="BI315" s="350">
        <f t="array" ref="BI315">IFERROR(IF(OR(AND(INDEX(Règles_bovins[Specificite],MATCH(RationHivernaleBovinsAuPré&amp;$BB315,Règles_bovins[Ration]&amp;Règles_bovins[Aliment],0))="s1",IF($BB315=Spécificité1Bovins,1)),
AND(INDEX(Règles_bovins[Specificite],MATCH(RationHivernaleBovinsAuPré&amp;$BB315,Règles_bovins[Ration]&amp;Règles_bovins[Aliment],0))="s2",IF($BB315=Spécificité2Bovins,1)),
INDEX(Règles_bovins[Specificite],MATCH(RationHivernaleBovinsAuPré&amp;$BB315,Règles_bovins[Ration]&amp;Règles_bovins[Aliment],0))="c"),
INDEX(Règles_bovins[Valeur 0-3],MATCH(RationHivernaleBovinsAuPré&amp;$BB315,Règles_bovins[Ration]&amp;Règles_bovins[Aliment],0)),0),0)*IF(SUM(TotalBovins_0_3moisAuPré)&gt;0,SUM(TotalBovins_0_3moisAuPré),SUM(TotalBovins_0_3mois))*35</f>
        <v>0</v>
      </c>
      <c r="BJ315" s="352">
        <f t="shared" si="71"/>
        <v>0</v>
      </c>
      <c r="BM315" s="276"/>
      <c r="DN315" s="350" t="str">
        <f t="shared" si="73"/>
        <v>Pois</v>
      </c>
      <c r="DO315" s="351">
        <f t="array" ref="DO315">SUM((IF(QualitéAlimentsAgneauMâle_0_3_mois=BONNE,VLOOKUP("Pois",AlimentsRationOvinsMâles,5,FALSE),0)+(IF(QualitéAlimentsAgneauFemelle_0_3_mois=BONNE,VLOOKUP("Pois",AlimentsRationOvinsFemelles,5,FALSE),0)+(IF(QualitéAlimentsAgneauMâle_3_6_mois=BONNE,VLOOKUP("Pois",AlimentsRationOvinsMâles,4,FALSE),0)+(IF(QualitéAlimentsAgneauFemelle_3_6_mois=BONNE,VLOOKUP("Pois",AlimentsRationOvinsFemelles,4,FALSE),0)+(IF(QualitéAlimentsJeuneBélier=BONNE,VLOOKUP("Pois",AlimentsRationOvinsMâles,3,FALSE),0)+(IF(QualitéAlimentsJeuneBrebis=BONNE,VLOOKUP("Pois",AlimentsRationOvinsFemelles,3,FALSE),0)+(IF(QualitéAlimentsBélier=BONNE,VLOOKUP("Pois",AlimentsRationOvinsMâles,2,FALSE),0)+(IF(QualitéAlimentsBrebis=BONNE,VLOOKUP("Pois",AlimentsRationOvinsFemelles,2,FALSE),0))))))))))</f>
        <v>0</v>
      </c>
      <c r="DP315" s="351">
        <f t="array" ref="DP315">SUM((IF(QualitéAlimentsAgneauMâle_0_3_mois=MOYENNE,VLOOKUP("Pois",AlimentsRationOvinsMâles,5,FALSE),0)+(IF(QualitéAlimentsAgneauFemelle_0_3_mois=MOYENNE,VLOOKUP("Pois",AlimentsRationOvinsFemelles,5,FALSE),0)+(IF(QualitéAlimentsAgneauMâle_3_6_mois=MOYENNE,VLOOKUP("Pois",AlimentsRationOvinsMâles,4,FALSE),0)+(IF(QualitéAlimentsAgneauFemelle_3_6_mois=MOYENNE,VLOOKUP("Pois",AlimentsRationOvinsFemelles,4,FALSE),0)+(IF(QualitéAlimentsJeuneBélier=MOYENNE,VLOOKUP("Pois",AlimentsRationOvinsMâles,3,FALSE),0)+(IF(QualitéAlimentsJeuneBrebis=MOYENNE,VLOOKUP("Pois",AlimentsRationOvinsFemelles,3,FALSE),0)+(IF(QualitéAlimentsBélier=MOYENNE,VLOOKUP("Pois",AlimentsRationOvinsMâles,2,FALSE),0)+(IF(QualitéAlimentsBrebis=MOYENNE,VLOOKUP("Pois",AlimentsRationOvinsFemelles,2,FALSE),0))))))))))</f>
        <v>0</v>
      </c>
      <c r="DQ315" s="351">
        <f t="array" ref="DQ315">SUM((IF(QualitéAlimentsAgneauMâle_0_3_mois=MAUVAISE,VLOOKUP("Pois",AlimentsRationOvinsMâles,5,FALSE),0)+(IF(QualitéAlimentsAgneauFemelle_0_3_mois=MAUVAISE,VLOOKUP("Pois",AlimentsRationOvinsFemelles,5,FALSE),0)+(IF(QualitéAlimentsAgneauMâle_3_6_mois=MAUVAISE,VLOOKUP("Pois",AlimentsRationOvinsMâles,4,FALSE),0)+(IF(QualitéAlimentsAgneauFemelle_3_6_mois=MAUVAISE,VLOOKUP("Pois",AlimentsRationOvinsFemelles,4,FALSE),0)+(IF(QualitéAlimentsJeuneBélier=MAUVAISE,VLOOKUP("Pois",AlimentsRationOvinsMâles,3,FALSE),0)+(IF(QualitéAlimentsJeuneBrebis=MAUVAISE,VLOOKUP("Pois",AlimentsRationOvinsFemelles,3,FALSE),0)+(IF(QualitéAlimentsBélier=MAUVAISE,VLOOKUP("Pois",AlimentsRationOvinsMâles,2,FALSE),0)+(IF(QualitéAlimentsBrebis=MAUVAISE,VLOOKUP("Pois",AlimentsRationOvinsFemelles,2,FALSE),0))))))))))</f>
        <v>0</v>
      </c>
      <c r="DS315" s="276"/>
      <c r="GG315" s="276" t="s">
        <v>955</v>
      </c>
      <c r="GH315" s="276" t="s">
        <v>955</v>
      </c>
      <c r="GI315" s="276" t="s">
        <v>955</v>
      </c>
      <c r="GJ315" s="276" t="s">
        <v>955</v>
      </c>
      <c r="GK315" s="276" t="s">
        <v>955</v>
      </c>
      <c r="GL315" s="276" t="s">
        <v>955</v>
      </c>
      <c r="GM315" s="276" t="s">
        <v>955</v>
      </c>
      <c r="GN315" s="276" t="s">
        <v>955</v>
      </c>
      <c r="GO315" s="276" t="s">
        <v>955</v>
      </c>
      <c r="GP315" s="276" t="s">
        <v>955</v>
      </c>
      <c r="GQ315" s="276" t="s">
        <v>955</v>
      </c>
      <c r="GR315" s="276" t="s">
        <v>955</v>
      </c>
      <c r="GS315" s="276" t="s">
        <v>955</v>
      </c>
      <c r="GT315" s="276" t="s">
        <v>955</v>
      </c>
      <c r="GU315" s="276" t="s">
        <v>955</v>
      </c>
      <c r="GV315" s="276" t="s">
        <v>955</v>
      </c>
    </row>
    <row r="316" spans="1:204" ht="12.75" customHeight="1" x14ac:dyDescent="0.2">
      <c r="A316" s="276"/>
      <c r="B316" s="276"/>
      <c r="BB316" s="350" t="str">
        <f t="shared" si="72"/>
        <v>Triticale</v>
      </c>
      <c r="BC316" s="350">
        <f t="array" ref="BC316">IFERROR(IF(OR(AND(INDEX(Règles_bovins[Specificite],MATCH(RationHivernaleBovinsAuPré&amp;$BB316,Règles_bovins[Ration]&amp;Règles_bovins[Aliment],0))="s1",IF($BB316=Spécificité1Bovins,1)),
AND(INDEX(Règles_bovins[Specificite],MATCH(RationHivernaleBovinsAuPré&amp;$BB316,Règles_bovins[Ration]&amp;Règles_bovins[Aliment],0))="s2",IF($BB316=Spécificité2Bovins,1)),
INDEX(Règles_bovins[Specificite],MATCH(RationHivernaleBovinsAuPré&amp;$BB316,Règles_bovins[Ration]&amp;Règles_bovins[Aliment],0))="c"),
INDEX(Règles_bovins[Valeur 36 et plus],MATCH(RationHivernaleBovinsAuPré&amp;$BB316,Règles_bovins[Ration]&amp;Règles_bovins[Aliment],0)),0),0)*IF(SUM(TotalBovinsAdultesAuPré)&gt;0,SUM(TotalBovinsAdultesAuPré),SUM(TotalBovinsAdultes))*35</f>
        <v>0</v>
      </c>
      <c r="BD316" s="350">
        <f t="array" ref="BD316">IFERROR(IF(OR(AND(INDEX(Règles_bovins[Specificite],MATCH(RationHivernaleBovinsAuPré&amp;$BB316,Règles_bovins[Ration]&amp;Règles_bovins[Aliment],0))="s1",IF($BB316=Spécificité1Bovins,1)),
AND(INDEX(Règles_bovins[Specificite],MATCH(RationHivernaleBovinsAuPré&amp;$BB316,Règles_bovins[Ration]&amp;Règles_bovins[Aliment],0))="s2",IF($BB316=Spécificité2Bovins,1)),
INDEX(Règles_bovins[Specificite],MATCH(RationHivernaleBovinsAuPré&amp;$BB316,Règles_bovins[Ration]&amp;Règles_bovins[Aliment],0))="c"),
INDEX(Règles_bovins[Valeur 24-36],MATCH(RationHivernaleBovinsAuPré&amp;$BB316,Règles_bovins[Ration]&amp;Règles_bovins[Aliment],0)),0),0)*IF(SUM(TotalBovins_24_36moisAuPré)&gt;0,SUM(TotalBovins_24_36moisAuPré),SUM(TotalBovins_24_36mois))*35</f>
        <v>0</v>
      </c>
      <c r="BE316" s="350">
        <f t="array" ref="BE316">IFERROR(IF(OR(AND(INDEX(Règles_bovins[Specificite],MATCH(RationHivernaleBovinsAuPré&amp;$BB316,Règles_bovins[Ration]&amp;Règles_bovins[Aliment],0))="s1",IF($BB316=Spécificité1Bovins,1)),
AND(INDEX(Règles_bovins[Specificite],MATCH(RationHivernaleBovinsAuPré&amp;$BB316,Règles_bovins[Ration]&amp;Règles_bovins[Aliment],0))="s2",IF($BB316=Spécificité2Bovins,1)),
INDEX(Règles_bovins[Specificite],MATCH(RationHivernaleBovinsAuPré&amp;$BB316,Règles_bovins[Ration]&amp;Règles_bovins[Aliment],0))="c"),
INDEX(Règles_bovins[Valeur 18-24],MATCH(RationHivernaleBovinsAuPré&amp;$BB316,Règles_bovins[Ration]&amp;Règles_bovins[Aliment],0)),0),0)*IF(SUM(TotalBovins_18_24moisAuPré)&gt;0,SUM(TotalBovins_18_24moisAuPré),SUM(TotalBovins_18_24mois))*35</f>
        <v>0</v>
      </c>
      <c r="BF316" s="350">
        <f t="array" ref="BF316">IFERROR(IF(OR(AND(INDEX(Règles_bovins[Specificite],MATCH(RationHivernaleBovinsAuPré&amp;$BB316,Règles_bovins[Ration]&amp;Règles_bovins[Aliment],0))="s1",IF($BB316=Spécificité1Bovins,1)),
AND(INDEX(Règles_bovins[Specificite],MATCH(RationHivernaleBovinsAuPré&amp;$BB316,Règles_bovins[Ration]&amp;Règles_bovins[Aliment],0))="s2",IF($BB316=Spécificité2Bovins,1)),
INDEX(Règles_bovins[Specificite],MATCH(RationHivernaleBovinsAuPré&amp;$BB316,Règles_bovins[Ration]&amp;Règles_bovins[Aliment],0))="c"),
INDEX(Règles_bovins[Valeur 12-18],MATCH(RationHivernaleBovinsAuPré&amp;$BB316,Règles_bovins[Ration]&amp;Règles_bovins[Aliment],0)),0),0)*IF(SUM(TotalBovins_12_18moisAuPré)&gt;0,SUM(TotalBovins_12_18moisAuPré),SUM(TotalBovins_12_18mois))*35</f>
        <v>0</v>
      </c>
      <c r="BG316" s="350">
        <f t="array" ref="BG316">IFERROR(IF(OR(AND(INDEX(Règles_bovins[Specificite],MATCH(RationHivernaleBovinsAuPré&amp;$BB316,Règles_bovins[Ration]&amp;Règles_bovins[Aliment],0))="s1",IF($BB316=Spécificité1Bovins,1)),
AND(INDEX(Règles_bovins[Specificite],MATCH(RationHivernaleBovinsAuPré&amp;$BB316,Règles_bovins[Ration]&amp;Règles_bovins[Aliment],0))="s2",IF($BB316=Spécificité2Bovins,1)),
INDEX(Règles_bovins[Specificite],MATCH(RationHivernaleBovinsAuPré&amp;$BB316,Règles_bovins[Ration]&amp;Règles_bovins[Aliment],0))="c"),
INDEX(Règles_bovins[Valeur 6-12],MATCH(RationHivernaleBovinsAuPré&amp;$BB316,Règles_bovins[Ration]&amp;Règles_bovins[Aliment],0)),0),0)*IF(SUM(TotalBovins_6_12moisAuPré)&gt;0,SUM(TotalBovins_6_12moisAuPré),SUM(TotalBovins_6_12mois))*35</f>
        <v>0</v>
      </c>
      <c r="BH316" s="350">
        <f t="array" ref="BH316">IFERROR(IF(OR(AND(INDEX(Règles_bovins[Specificite],MATCH(RationHivernaleBovinsAuPré&amp;$BB316,Règles_bovins[Ration]&amp;Règles_bovins[Aliment],0))="s1",IF($BB316=Spécificité1Bovins,1)),
AND(INDEX(Règles_bovins[Specificite],MATCH(RationHivernaleBovinsAuPré&amp;$BB316,Règles_bovins[Ration]&amp;Règles_bovins[Aliment],0))="s2",IF($BB316=Spécificité2Bovins,1)),
INDEX(Règles_bovins[Specificite],MATCH(RationHivernaleBovinsAuPré&amp;$BB316,Règles_bovins[Ration]&amp;Règles_bovins[Aliment],0))="c"),
INDEX(Règles_bovins[Valeur 3-6],MATCH(RationHivernaleBovinsAuPré&amp;$BB316,Règles_bovins[Ration]&amp;Règles_bovins[Aliment],0)),0),0)*IF(SUM(TotalBovins_3_6moisAuPré)&gt;0,SUM(TotalBovins_3_6moisAuPré),SUM(TotalBovins_3_6mois))*35</f>
        <v>0</v>
      </c>
      <c r="BI316" s="350">
        <f t="array" ref="BI316">IFERROR(IF(OR(AND(INDEX(Règles_bovins[Specificite],MATCH(RationHivernaleBovinsAuPré&amp;$BB316,Règles_bovins[Ration]&amp;Règles_bovins[Aliment],0))="s1",IF($BB316=Spécificité1Bovins,1)),
AND(INDEX(Règles_bovins[Specificite],MATCH(RationHivernaleBovinsAuPré&amp;$BB316,Règles_bovins[Ration]&amp;Règles_bovins[Aliment],0))="s2",IF($BB316=Spécificité2Bovins,1)),
INDEX(Règles_bovins[Specificite],MATCH(RationHivernaleBovinsAuPré&amp;$BB316,Règles_bovins[Ration]&amp;Règles_bovins[Aliment],0))="c"),
INDEX(Règles_bovins[Valeur 0-3],MATCH(RationHivernaleBovinsAuPré&amp;$BB316,Règles_bovins[Ration]&amp;Règles_bovins[Aliment],0)),0),0)*IF(SUM(TotalBovins_0_3moisAuPré)&gt;0,SUM(TotalBovins_0_3moisAuPré),SUM(TotalBovins_0_3mois))*35</f>
        <v>0</v>
      </c>
      <c r="BJ316" s="352">
        <f t="shared" si="71"/>
        <v>0</v>
      </c>
      <c r="BM316" s="276"/>
      <c r="DN316" s="350" t="str">
        <f t="shared" si="73"/>
        <v>Pomme de terre</v>
      </c>
      <c r="DO316" s="351">
        <f t="array" ref="DO316">SUM((IF(QualitéAlimentsAgneauMâle_0_3_mois=BONNE,VLOOKUP("Pomme de terre",AlimentsRationOvinsMâles,5,FALSE),0)+(IF(QualitéAlimentsAgneauFemelle_0_3_mois=BONNE,VLOOKUP("Pomme de terre",AlimentsRationOvinsFemelles,5,FALSE),0)+(IF(QualitéAlimentsAgneauMâle_3_6_mois=BONNE,VLOOKUP("Pomme de terre",AlimentsRationOvinsMâles,4,FALSE),0)+(IF(QualitéAlimentsAgneauFemelle_3_6_mois=BONNE,VLOOKUP("Pomme de terre",AlimentsRationOvinsFemelles,4,FALSE),0)+(IF(QualitéAlimentsJeuneBélier=BONNE,VLOOKUP("Pomme de terre",AlimentsRationOvinsMâles,3,FALSE),0)+(IF(QualitéAlimentsJeuneBrebis=BONNE,VLOOKUP("Pomme de terre",AlimentsRationOvinsFemelles,3,FALSE),0)+(IF(QualitéAlimentsBélier=BONNE,VLOOKUP("Pomme de terre",AlimentsRationOvinsMâles,2,FALSE),0)+(IF(QualitéAlimentsBrebis=BONNE,VLOOKUP("Pomme de terre",AlimentsRationOvinsFemelles,2,FALSE),0))))))))))</f>
        <v>0</v>
      </c>
      <c r="DP316" s="351">
        <f t="array" ref="DP316">SUM((IF(QualitéAlimentsAgneauMâle_0_3_mois=MOYENNE,VLOOKUP("Pomme de terre",AlimentsRationOvinsMâles,5,FALSE),0)+(IF(QualitéAlimentsAgneauFemelle_0_3_mois=MOYENNE,VLOOKUP("Pomme de terre",AlimentsRationOvinsFemelles,5,FALSE),0)+(IF(QualitéAlimentsAgneauMâle_3_6_mois=MOYENNE,VLOOKUP("Pomme de terre",AlimentsRationOvinsMâles,4,FALSE),0)+(IF(QualitéAlimentsAgneauFemelle_3_6_mois=MOYENNE,VLOOKUP("Pomme de terre",AlimentsRationOvinsFemelles,4,FALSE),0)+(IF(QualitéAlimentsJeuneBélier=MOYENNE,VLOOKUP("Pomme de terre",AlimentsRationOvinsMâles,3,FALSE),0)+(IF(QualitéAlimentsJeuneBrebis=MOYENNE,VLOOKUP("Pomme de terre",AlimentsRationOvinsFemelles,3,FALSE),0)+(IF(QualitéAlimentsBélier=MOYENNE,VLOOKUP("Pomme de terre",AlimentsRationOvinsMâles,2,FALSE),0)+(IF(QualitéAlimentsBrebis=MOYENNE,VLOOKUP("Pomme de terre",AlimentsRationOvinsFemelles,2,FALSE),0))))))))))</f>
        <v>0</v>
      </c>
      <c r="DQ316" s="351">
        <f t="array" ref="DQ316">SUM((IF(QualitéAlimentsAgneauMâle_0_3_mois=MAUVAISE,VLOOKUP("Pomme de terre",AlimentsRationOvinsMâles,5,FALSE),0)+(IF(QualitéAlimentsAgneauFemelle_0_3_mois=MAUVAISE,VLOOKUP("Pomme de terre",AlimentsRationOvinsFemelles,5,FALSE),0)+(IF(QualitéAlimentsAgneauMâle_3_6_mois=MAUVAISE,VLOOKUP("Pomme de terre",AlimentsRationOvinsMâles,4,FALSE),0)+(IF(QualitéAlimentsAgneauFemelle_3_6_mois=MAUVAISE,VLOOKUP("Pomme de terre",AlimentsRationOvinsFemelles,4,FALSE),0)+(IF(QualitéAlimentsJeuneBélier=MAUVAISE,VLOOKUP("Pomme de terre",AlimentsRationOvinsMâles,3,FALSE),0)+(IF(QualitéAlimentsJeuneBrebis=MAUVAISE,VLOOKUP("Pomme de terre",AlimentsRationOvinsFemelles,3,FALSE),0)+(IF(QualitéAlimentsBélier=MAUVAISE,VLOOKUP("Pomme de terre",AlimentsRationOvinsMâles,2,FALSE),0)+(IF(QualitéAlimentsBrebis=MAUVAISE,VLOOKUP("Pomme de terre",AlimentsRationOvinsFemelles,2,FALSE),0))))))))))</f>
        <v>0</v>
      </c>
      <c r="DS316" s="276"/>
      <c r="GG316" s="276" t="s">
        <v>955</v>
      </c>
      <c r="GH316" s="276" t="s">
        <v>955</v>
      </c>
      <c r="GI316" s="276" t="s">
        <v>955</v>
      </c>
      <c r="GJ316" s="276" t="s">
        <v>955</v>
      </c>
      <c r="GK316" s="276" t="s">
        <v>955</v>
      </c>
      <c r="GL316" s="276" t="s">
        <v>955</v>
      </c>
      <c r="GM316" s="276" t="s">
        <v>955</v>
      </c>
      <c r="GN316" s="276" t="s">
        <v>955</v>
      </c>
      <c r="GO316" s="276" t="s">
        <v>955</v>
      </c>
      <c r="GP316" s="276" t="s">
        <v>955</v>
      </c>
      <c r="GQ316" s="276" t="s">
        <v>955</v>
      </c>
      <c r="GR316" s="276" t="s">
        <v>955</v>
      </c>
      <c r="GS316" s="276" t="s">
        <v>955</v>
      </c>
      <c r="GT316" s="276" t="s">
        <v>955</v>
      </c>
      <c r="GU316" s="276" t="s">
        <v>955</v>
      </c>
      <c r="GV316" s="276" t="s">
        <v>955</v>
      </c>
    </row>
    <row r="317" spans="1:204" ht="12.75" customHeight="1" x14ac:dyDescent="0.2">
      <c r="A317" s="276"/>
      <c r="B317" s="276"/>
      <c r="BB317" s="350">
        <f t="shared" si="72"/>
        <v>0</v>
      </c>
      <c r="BC317" s="350">
        <f t="array" ref="BC317">IFERROR(IF(OR(AND(INDEX(Règles_bovins[Specificite],MATCH(RationHivernaleBovinsAuPré&amp;$BB317,Règles_bovins[Ration]&amp;Règles_bovins[Aliment],0))="s1",IF($BB317=Spécificité1Bovins,1)),
AND(INDEX(Règles_bovins[Specificite],MATCH(RationHivernaleBovinsAuPré&amp;$BB317,Règles_bovins[Ration]&amp;Règles_bovins[Aliment],0))="s2",IF($BB317=Spécificité2Bovins,1)),
INDEX(Règles_bovins[Specificite],MATCH(RationHivernaleBovinsAuPré&amp;$BB317,Règles_bovins[Ration]&amp;Règles_bovins[Aliment],0))="c"),
INDEX(Règles_bovins[Valeur 36 et plus],MATCH(RationHivernaleBovinsAuPré&amp;$BB317,Règles_bovins[Ration]&amp;Règles_bovins[Aliment],0)),0),0)*IF(SUM(TotalBovinsAdultesAuPré)&gt;0,SUM(TotalBovinsAdultesAuPré),SUM(TotalBovinsAdultes))*35</f>
        <v>0</v>
      </c>
      <c r="BD317" s="350">
        <f t="array" ref="BD317">IFERROR(IF(OR(AND(INDEX(Règles_bovins[Specificite],MATCH(RationHivernaleBovinsAuPré&amp;$BB317,Règles_bovins[Ration]&amp;Règles_bovins[Aliment],0))="s1",IF($BB317=Spécificité1Bovins,1)),
AND(INDEX(Règles_bovins[Specificite],MATCH(RationHivernaleBovinsAuPré&amp;$BB317,Règles_bovins[Ration]&amp;Règles_bovins[Aliment],0))="s2",IF($BB317=Spécificité2Bovins,1)),
INDEX(Règles_bovins[Specificite],MATCH(RationHivernaleBovinsAuPré&amp;$BB317,Règles_bovins[Ration]&amp;Règles_bovins[Aliment],0))="c"),
INDEX(Règles_bovins[Valeur 24-36],MATCH(RationHivernaleBovinsAuPré&amp;$BB317,Règles_bovins[Ration]&amp;Règles_bovins[Aliment],0)),0),0)*IF(SUM(TotalBovins_24_36moisAuPré)&gt;0,SUM(TotalBovins_24_36moisAuPré),SUM(TotalBovins_24_36mois))*35</f>
        <v>0</v>
      </c>
      <c r="BE317" s="350">
        <f t="array" ref="BE317">IFERROR(IF(OR(AND(INDEX(Règles_bovins[Specificite],MATCH(RationHivernaleBovinsAuPré&amp;$BB317,Règles_bovins[Ration]&amp;Règles_bovins[Aliment],0))="s1",IF($BB317=Spécificité1Bovins,1)),
AND(INDEX(Règles_bovins[Specificite],MATCH(RationHivernaleBovinsAuPré&amp;$BB317,Règles_bovins[Ration]&amp;Règles_bovins[Aliment],0))="s2",IF($BB317=Spécificité2Bovins,1)),
INDEX(Règles_bovins[Specificite],MATCH(RationHivernaleBovinsAuPré&amp;$BB317,Règles_bovins[Ration]&amp;Règles_bovins[Aliment],0))="c"),
INDEX(Règles_bovins[Valeur 18-24],MATCH(RationHivernaleBovinsAuPré&amp;$BB317,Règles_bovins[Ration]&amp;Règles_bovins[Aliment],0)),0),0)*IF(SUM(TotalBovins_18_24moisAuPré)&gt;0,SUM(TotalBovins_18_24moisAuPré),SUM(TotalBovins_18_24mois))*35</f>
        <v>0</v>
      </c>
      <c r="BF317" s="350">
        <f t="array" ref="BF317">IFERROR(IF(OR(AND(INDEX(Règles_bovins[Specificite],MATCH(RationHivernaleBovinsAuPré&amp;$BB317,Règles_bovins[Ration]&amp;Règles_bovins[Aliment],0))="s1",IF($BB317=Spécificité1Bovins,1)),
AND(INDEX(Règles_bovins[Specificite],MATCH(RationHivernaleBovinsAuPré&amp;$BB317,Règles_bovins[Ration]&amp;Règles_bovins[Aliment],0))="s2",IF($BB317=Spécificité2Bovins,1)),
INDEX(Règles_bovins[Specificite],MATCH(RationHivernaleBovinsAuPré&amp;$BB317,Règles_bovins[Ration]&amp;Règles_bovins[Aliment],0))="c"),
INDEX(Règles_bovins[Valeur 12-18],MATCH(RationHivernaleBovinsAuPré&amp;$BB317,Règles_bovins[Ration]&amp;Règles_bovins[Aliment],0)),0),0)*IF(SUM(TotalBovins_12_18moisAuPré)&gt;0,SUM(TotalBovins_12_18moisAuPré),SUM(TotalBovins_12_18mois))*35</f>
        <v>0</v>
      </c>
      <c r="BG317" s="350">
        <f t="array" ref="BG317">IFERROR(IF(OR(AND(INDEX(Règles_bovins[Specificite],MATCH(RationHivernaleBovinsAuPré&amp;$BB317,Règles_bovins[Ration]&amp;Règles_bovins[Aliment],0))="s1",IF($BB317=Spécificité1Bovins,1)),
AND(INDEX(Règles_bovins[Specificite],MATCH(RationHivernaleBovinsAuPré&amp;$BB317,Règles_bovins[Ration]&amp;Règles_bovins[Aliment],0))="s2",IF($BB317=Spécificité2Bovins,1)),
INDEX(Règles_bovins[Specificite],MATCH(RationHivernaleBovinsAuPré&amp;$BB317,Règles_bovins[Ration]&amp;Règles_bovins[Aliment],0))="c"),
INDEX(Règles_bovins[Valeur 6-12],MATCH(RationHivernaleBovinsAuPré&amp;$BB317,Règles_bovins[Ration]&amp;Règles_bovins[Aliment],0)),0),0)*IF(SUM(TotalBovins_6_12moisAuPré)&gt;0,SUM(TotalBovins_6_12moisAuPré),SUM(TotalBovins_6_12mois))*35</f>
        <v>0</v>
      </c>
      <c r="BH317" s="350">
        <f t="array" ref="BH317">IFERROR(IF(OR(AND(INDEX(Règles_bovins[Specificite],MATCH(RationHivernaleBovinsAuPré&amp;$BB317,Règles_bovins[Ration]&amp;Règles_bovins[Aliment],0))="s1",IF($BB317=Spécificité1Bovins,1)),
AND(INDEX(Règles_bovins[Specificite],MATCH(RationHivernaleBovinsAuPré&amp;$BB317,Règles_bovins[Ration]&amp;Règles_bovins[Aliment],0))="s2",IF($BB317=Spécificité2Bovins,1)),
INDEX(Règles_bovins[Specificite],MATCH(RationHivernaleBovinsAuPré&amp;$BB317,Règles_bovins[Ration]&amp;Règles_bovins[Aliment],0))="c"),
INDEX(Règles_bovins[Valeur 3-6],MATCH(RationHivernaleBovinsAuPré&amp;$BB317,Règles_bovins[Ration]&amp;Règles_bovins[Aliment],0)),0),0)*IF(SUM(TotalBovins_3_6moisAuPré)&gt;0,SUM(TotalBovins_3_6moisAuPré),SUM(TotalBovins_3_6mois))*35</f>
        <v>0</v>
      </c>
      <c r="BI317" s="350">
        <f t="array" ref="BI317">IFERROR(IF(OR(AND(INDEX(Règles_bovins[Specificite],MATCH(RationHivernaleBovinsAuPré&amp;$BB317,Règles_bovins[Ration]&amp;Règles_bovins[Aliment],0))="s1",IF($BB317=Spécificité1Bovins,1)),
AND(INDEX(Règles_bovins[Specificite],MATCH(RationHivernaleBovinsAuPré&amp;$BB317,Règles_bovins[Ration]&amp;Règles_bovins[Aliment],0))="s2",IF($BB317=Spécificité2Bovins,1)),
INDEX(Règles_bovins[Specificite],MATCH(RationHivernaleBovinsAuPré&amp;$BB317,Règles_bovins[Ration]&amp;Règles_bovins[Aliment],0))="c"),
INDEX(Règles_bovins[Valeur 0-3],MATCH(RationHivernaleBovinsAuPré&amp;$BB317,Règles_bovins[Ration]&amp;Règles_bovins[Aliment],0)),0),0)*IF(SUM(TotalBovins_0_3moisAuPré)&gt;0,SUM(TotalBovins_0_3moisAuPré),SUM(TotalBovins_0_3mois))*35</f>
        <v>0</v>
      </c>
      <c r="BJ317" s="352">
        <f t="shared" si="71"/>
        <v>0</v>
      </c>
      <c r="BM317" s="276"/>
      <c r="DN317" s="350" t="str">
        <f t="shared" si="73"/>
        <v>Pulpe déshydratée de betterave</v>
      </c>
      <c r="DO317" s="351">
        <f t="array" ref="DO317">SUM((IF(QualitéAlimentsAgneauMâle_0_3_mois=BONNE,VLOOKUP("Pulpe déshydratée de betterave",AlimentsRationOvinsMâles,5,FALSE),0)+(IF(QualitéAlimentsAgneauFemelle_0_3_mois=BONNE,VLOOKUP("Pulpe déshydratée de betterave",AlimentsRationOvinsFemelles,5,FALSE),0)+(IF(QualitéAlimentsAgneauMâle_3_6_mois=BONNE,VLOOKUP("Pulpe déshydratée de betterave",AlimentsRationOvinsMâles,4,FALSE),0)+(IF(QualitéAlimentsAgneauFemelle_3_6_mois=BONNE,VLOOKUP("Pulpe déshydratée de betterave",AlimentsRationOvinsFemelles,4,FALSE),0)+(IF(QualitéAlimentsJeuneBélier=BONNE,VLOOKUP("Pulpe déshydratée de betterave",AlimentsRationOvinsMâles,3,FALSE),0)+(IF(QualitéAlimentsJeuneBrebis=BONNE,VLOOKUP("Pulpe déshydratée de betterave",AlimentsRationOvinsFemelles,3,FALSE),0)+(IF(QualitéAlimentsBélier=BONNE,VLOOKUP("Pulpe déshydratée de betterave",AlimentsRationOvinsMâles,2,FALSE),0)+(IF(QualitéAlimentsBrebis=BONNE,VLOOKUP("Pulpe déshydratée de betterave",AlimentsRationOvinsFemelles,2,FALSE),0))))))))))</f>
        <v>0</v>
      </c>
      <c r="DP317" s="351">
        <f t="array" ref="DP317">SUM((IF(QualitéAlimentsAgneauMâle_0_3_mois=MOYENNE,VLOOKUP("Pulpe déshydratée de betterave",AlimentsRationOvinsMâles,5,FALSE),0)+(IF(QualitéAlimentsAgneauFemelle_0_3_mois=MOYENNE,VLOOKUP("Pulpe déshydratée de betterave",AlimentsRationOvinsFemelles,5,FALSE),0)+(IF(QualitéAlimentsAgneauMâle_3_6_mois=MOYENNE,VLOOKUP("Pulpe déshydratée de betterave",AlimentsRationOvinsMâles,4,FALSE),0)+(IF(QualitéAlimentsAgneauFemelle_3_6_mois=MOYENNE,VLOOKUP("Pulpe déshydratée de betterave",AlimentsRationOvinsFemelles,4,FALSE),0)+(IF(QualitéAlimentsJeuneBélier=MOYENNE,VLOOKUP("Pulpe déshydratée de betterave",AlimentsRationOvinsMâles,3,FALSE),0)+(IF(QualitéAlimentsJeuneBrebis=MOYENNE,VLOOKUP("Pulpe déshydratée de betterave",AlimentsRationOvinsFemelles,3,FALSE),0)+(IF(QualitéAlimentsBélier=MOYENNE,VLOOKUP("Pulpe déshydratée de betterave",AlimentsRationOvinsMâles,2,FALSE),0)+(IF(QualitéAlimentsBrebis=MOYENNE,VLOOKUP("Pulpe déshydratée de betterave",AlimentsRationOvinsFemelles,2,FALSE),0))))))))))</f>
        <v>0</v>
      </c>
      <c r="DQ317" s="351">
        <f t="array" ref="DQ317">SUM((IF(QualitéAlimentsAgneauMâle_0_3_mois=MAUVAISE,VLOOKUP("Pulpe déshydratée de betterave",AlimentsRationOvinsMâles,5,FALSE),0)+(IF(QualitéAlimentsAgneauFemelle_0_3_mois=MAUVAISE,VLOOKUP("Pulpe déshydratée de betterave",AlimentsRationOvinsFemelles,5,FALSE),0)+(IF(QualitéAlimentsAgneauMâle_3_6_mois=MAUVAISE,VLOOKUP("Pulpe déshydratée de betterave",AlimentsRationOvinsMâles,4,FALSE),0)+(IF(QualitéAlimentsAgneauFemelle_3_6_mois=MAUVAISE,VLOOKUP("Pulpe déshydratée de betterave",AlimentsRationOvinsFemelles,4,FALSE),0)+(IF(QualitéAlimentsJeuneBélier=MAUVAISE,VLOOKUP("Pulpe déshydratée de betterave",AlimentsRationOvinsMâles,3,FALSE),0)+(IF(QualitéAlimentsJeuneBrebis=MAUVAISE,VLOOKUP("Pulpe déshydratée de betterave",AlimentsRationOvinsFemelles,3,FALSE),0)+(IF(QualitéAlimentsBélier=MAUVAISE,VLOOKUP("Pulpe déshydratée de betterave",AlimentsRationOvinsMâles,2,FALSE),0)+(IF(QualitéAlimentsBrebis=MAUVAISE,VLOOKUP("Pulpe déshydratée de betterave",AlimentsRationOvinsFemelles,2,FALSE),0))))))))))</f>
        <v>0</v>
      </c>
      <c r="DS317" s="276"/>
      <c r="GG317" s="276" t="s">
        <v>955</v>
      </c>
      <c r="GH317" s="276" t="s">
        <v>955</v>
      </c>
      <c r="GI317" s="276" t="s">
        <v>955</v>
      </c>
      <c r="GJ317" s="276" t="s">
        <v>955</v>
      </c>
      <c r="GK317" s="276" t="s">
        <v>955</v>
      </c>
      <c r="GL317" s="276" t="s">
        <v>955</v>
      </c>
      <c r="GM317" s="276" t="s">
        <v>955</v>
      </c>
      <c r="GN317" s="276" t="s">
        <v>955</v>
      </c>
      <c r="GO317" s="276" t="s">
        <v>955</v>
      </c>
      <c r="GP317" s="276" t="s">
        <v>955</v>
      </c>
      <c r="GQ317" s="276" t="s">
        <v>955</v>
      </c>
      <c r="GR317" s="276" t="s">
        <v>955</v>
      </c>
      <c r="GS317" s="276" t="s">
        <v>955</v>
      </c>
      <c r="GT317" s="276" t="s">
        <v>955</v>
      </c>
      <c r="GU317" s="276" t="s">
        <v>955</v>
      </c>
      <c r="GV317" s="276" t="s">
        <v>955</v>
      </c>
    </row>
    <row r="318" spans="1:204" ht="12.75" customHeight="1" x14ac:dyDescent="0.2">
      <c r="A318" s="276"/>
      <c r="B318" s="276"/>
      <c r="BB318" s="350">
        <f t="shared" si="72"/>
        <v>0</v>
      </c>
      <c r="BC318" s="350">
        <f t="array" ref="BC318">IFERROR(IF(OR(AND(INDEX(Règles_bovins[Specificite],MATCH(RationHivernaleBovinsAuPré&amp;$BB318,Règles_bovins[Ration]&amp;Règles_bovins[Aliment],0))="s1",IF($BB318=Spécificité1Bovins,1)),
AND(INDEX(Règles_bovins[Specificite],MATCH(RationHivernaleBovinsAuPré&amp;$BB318,Règles_bovins[Ration]&amp;Règles_bovins[Aliment],0))="s2",IF($BB318=Spécificité2Bovins,1)),
INDEX(Règles_bovins[Specificite],MATCH(RationHivernaleBovinsAuPré&amp;$BB318,Règles_bovins[Ration]&amp;Règles_bovins[Aliment],0))="c"),
INDEX(Règles_bovins[Valeur 36 et plus],MATCH(RationHivernaleBovinsAuPré&amp;$BB318,Règles_bovins[Ration]&amp;Règles_bovins[Aliment],0)),0),0)*IF(SUM(TotalBovinsAdultesAuPré)&gt;0,SUM(TotalBovinsAdultesAuPré),SUM(TotalBovinsAdultes))*35</f>
        <v>0</v>
      </c>
      <c r="BD318" s="350">
        <f t="array" ref="BD318">IFERROR(IF(OR(AND(INDEX(Règles_bovins[Specificite],MATCH(RationHivernaleBovinsAuPré&amp;$BB318,Règles_bovins[Ration]&amp;Règles_bovins[Aliment],0))="s1",IF($BB318=Spécificité1Bovins,1)),
AND(INDEX(Règles_bovins[Specificite],MATCH(RationHivernaleBovinsAuPré&amp;$BB318,Règles_bovins[Ration]&amp;Règles_bovins[Aliment],0))="s2",IF($BB318=Spécificité2Bovins,1)),
INDEX(Règles_bovins[Specificite],MATCH(RationHivernaleBovinsAuPré&amp;$BB318,Règles_bovins[Ration]&amp;Règles_bovins[Aliment],0))="c"),
INDEX(Règles_bovins[Valeur 24-36],MATCH(RationHivernaleBovinsAuPré&amp;$BB318,Règles_bovins[Ration]&amp;Règles_bovins[Aliment],0)),0),0)*IF(SUM(TotalBovins_24_36moisAuPré)&gt;0,SUM(TotalBovins_24_36moisAuPré),SUM(TotalBovins_24_36mois))*35</f>
        <v>0</v>
      </c>
      <c r="BE318" s="350">
        <f t="array" ref="BE318">IFERROR(IF(OR(AND(INDEX(Règles_bovins[Specificite],MATCH(RationHivernaleBovinsAuPré&amp;$BB318,Règles_bovins[Ration]&amp;Règles_bovins[Aliment],0))="s1",IF($BB318=Spécificité1Bovins,1)),
AND(INDEX(Règles_bovins[Specificite],MATCH(RationHivernaleBovinsAuPré&amp;$BB318,Règles_bovins[Ration]&amp;Règles_bovins[Aliment],0))="s2",IF($BB318=Spécificité2Bovins,1)),
INDEX(Règles_bovins[Specificite],MATCH(RationHivernaleBovinsAuPré&amp;$BB318,Règles_bovins[Ration]&amp;Règles_bovins[Aliment],0))="c"),
INDEX(Règles_bovins[Valeur 18-24],MATCH(RationHivernaleBovinsAuPré&amp;$BB318,Règles_bovins[Ration]&amp;Règles_bovins[Aliment],0)),0),0)*IF(SUM(TotalBovins_18_24moisAuPré)&gt;0,SUM(TotalBovins_18_24moisAuPré),SUM(TotalBovins_18_24mois))*35</f>
        <v>0</v>
      </c>
      <c r="BF318" s="350">
        <f t="array" ref="BF318">IFERROR(IF(OR(AND(INDEX(Règles_bovins[Specificite],MATCH(RationHivernaleBovinsAuPré&amp;$BB318,Règles_bovins[Ration]&amp;Règles_bovins[Aliment],0))="s1",IF($BB318=Spécificité1Bovins,1)),
AND(INDEX(Règles_bovins[Specificite],MATCH(RationHivernaleBovinsAuPré&amp;$BB318,Règles_bovins[Ration]&amp;Règles_bovins[Aliment],0))="s2",IF($BB318=Spécificité2Bovins,1)),
INDEX(Règles_bovins[Specificite],MATCH(RationHivernaleBovinsAuPré&amp;$BB318,Règles_bovins[Ration]&amp;Règles_bovins[Aliment],0))="c"),
INDEX(Règles_bovins[Valeur 12-18],MATCH(RationHivernaleBovinsAuPré&amp;$BB318,Règles_bovins[Ration]&amp;Règles_bovins[Aliment],0)),0),0)*IF(SUM(TotalBovins_12_18moisAuPré)&gt;0,SUM(TotalBovins_12_18moisAuPré),SUM(TotalBovins_12_18mois))*35</f>
        <v>0</v>
      </c>
      <c r="BG318" s="350">
        <f t="array" ref="BG318">IFERROR(IF(OR(AND(INDEX(Règles_bovins[Specificite],MATCH(RationHivernaleBovinsAuPré&amp;$BB318,Règles_bovins[Ration]&amp;Règles_bovins[Aliment],0))="s1",IF($BB318=Spécificité1Bovins,1)),
AND(INDEX(Règles_bovins[Specificite],MATCH(RationHivernaleBovinsAuPré&amp;$BB318,Règles_bovins[Ration]&amp;Règles_bovins[Aliment],0))="s2",IF($BB318=Spécificité2Bovins,1)),
INDEX(Règles_bovins[Specificite],MATCH(RationHivernaleBovinsAuPré&amp;$BB318,Règles_bovins[Ration]&amp;Règles_bovins[Aliment],0))="c"),
INDEX(Règles_bovins[Valeur 6-12],MATCH(RationHivernaleBovinsAuPré&amp;$BB318,Règles_bovins[Ration]&amp;Règles_bovins[Aliment],0)),0),0)*IF(SUM(TotalBovins_6_12moisAuPré)&gt;0,SUM(TotalBovins_6_12moisAuPré),SUM(TotalBovins_6_12mois))*35</f>
        <v>0</v>
      </c>
      <c r="BH318" s="350">
        <f t="array" ref="BH318">IFERROR(IF(OR(AND(INDEX(Règles_bovins[Specificite],MATCH(RationHivernaleBovinsAuPré&amp;$BB318,Règles_bovins[Ration]&amp;Règles_bovins[Aliment],0))="s1",IF($BB318=Spécificité1Bovins,1)),
AND(INDEX(Règles_bovins[Specificite],MATCH(RationHivernaleBovinsAuPré&amp;$BB318,Règles_bovins[Ration]&amp;Règles_bovins[Aliment],0))="s2",IF($BB318=Spécificité2Bovins,1)),
INDEX(Règles_bovins[Specificite],MATCH(RationHivernaleBovinsAuPré&amp;$BB318,Règles_bovins[Ration]&amp;Règles_bovins[Aliment],0))="c"),
INDEX(Règles_bovins[Valeur 3-6],MATCH(RationHivernaleBovinsAuPré&amp;$BB318,Règles_bovins[Ration]&amp;Règles_bovins[Aliment],0)),0),0)*IF(SUM(TotalBovins_3_6moisAuPré)&gt;0,SUM(TotalBovins_3_6moisAuPré),SUM(TotalBovins_3_6mois))*35</f>
        <v>0</v>
      </c>
      <c r="BI318" s="350">
        <f t="array" ref="BI318">IFERROR(IF(OR(AND(INDEX(Règles_bovins[Specificite],MATCH(RationHivernaleBovinsAuPré&amp;$BB318,Règles_bovins[Ration]&amp;Règles_bovins[Aliment],0))="s1",IF($BB318=Spécificité1Bovins,1)),
AND(INDEX(Règles_bovins[Specificite],MATCH(RationHivernaleBovinsAuPré&amp;$BB318,Règles_bovins[Ration]&amp;Règles_bovins[Aliment],0))="s2",IF($BB318=Spécificité2Bovins,1)),
INDEX(Règles_bovins[Specificite],MATCH(RationHivernaleBovinsAuPré&amp;$BB318,Règles_bovins[Ration]&amp;Règles_bovins[Aliment],0))="c"),
INDEX(Règles_bovins[Valeur 0-3],MATCH(RationHivernaleBovinsAuPré&amp;$BB318,Règles_bovins[Ration]&amp;Règles_bovins[Aliment],0)),0),0)*IF(SUM(TotalBovins_0_3moisAuPré)&gt;0,SUM(TotalBovins_0_3moisAuPré),SUM(TotalBovins_0_3mois))*35</f>
        <v>0</v>
      </c>
      <c r="BJ318" s="352">
        <f t="shared" si="71"/>
        <v>0</v>
      </c>
      <c r="BM318" s="276"/>
      <c r="DN318" s="350" t="str">
        <f t="shared" si="73"/>
        <v>Ration complète</v>
      </c>
      <c r="DO318" s="351">
        <f t="array" ref="DO318">SUM((IF(QualitéAlimentsAgneauMâle_0_3_mois=BONNE,VLOOKUP("Ration complète",AlimentsRationOvinsMâles,5,FALSE),0)+(IF(QualitéAlimentsAgneauFemelle_0_3_mois=BONNE,VLOOKUP("Ration complète",AlimentsRationOvinsFemelles,5,FALSE),0)+(IF(QualitéAlimentsAgneauMâle_3_6_mois=BONNE,VLOOKUP("Ration complète",AlimentsRationOvinsMâles,4,FALSE),0)+(IF(QualitéAlimentsAgneauFemelle_3_6_mois=BONNE,VLOOKUP("Ration complète",AlimentsRationOvinsFemelles,4,FALSE),0)+(IF(QualitéAlimentsJeuneBélier=BONNE,VLOOKUP("Ration complète",AlimentsRationOvinsMâles,3,FALSE),0)+(IF(QualitéAlimentsJeuneBrebis=BONNE,VLOOKUP("Ration complète",AlimentsRationOvinsFemelles,3,FALSE),0)+(IF(QualitéAlimentsBélier=BONNE,VLOOKUP("Ration complète",AlimentsRationOvinsMâles,2,FALSE),0)+(IF(QualitéAlimentsBrebis=BONNE,VLOOKUP("Ration complète",AlimentsRationOvinsFemelles,2,FALSE),0))))))))))</f>
        <v>0</v>
      </c>
      <c r="DP318" s="351">
        <f t="array" ref="DP318">SUM((IF(QualitéAlimentsAgneauMâle_0_3_mois=MOYENNE,VLOOKUP("Ration complète",AlimentsRationOvinsMâles,5,FALSE),0)+(IF(QualitéAlimentsAgneauFemelle_0_3_mois=MOYENNE,VLOOKUP("Ration complète",AlimentsRationOvinsFemelles,5,FALSE),0)+(IF(QualitéAlimentsAgneauMâle_3_6_mois=MOYENNE,VLOOKUP("Ration complète",AlimentsRationOvinsMâles,4,FALSE),0)+(IF(QualitéAlimentsAgneauFemelle_3_6_mois=MOYENNE,VLOOKUP("Ration complète",AlimentsRationOvinsFemelles,4,FALSE),0)+(IF(QualitéAlimentsJeuneBélier=MOYENNE,VLOOKUP("Ration complète",AlimentsRationOvinsMâles,3,FALSE),0)+(IF(QualitéAlimentsJeuneBrebis=MOYENNE,VLOOKUP("Ration complète",AlimentsRationOvinsFemelles,3,FALSE),0)+(IF(QualitéAlimentsBélier=MOYENNE,VLOOKUP("Ration complète",AlimentsRationOvinsMâles,2,FALSE),0)+(IF(QualitéAlimentsBrebis=MOYENNE,VLOOKUP("Ration complète",AlimentsRationOvinsFemelles,2,FALSE),0))))))))))</f>
        <v>0</v>
      </c>
      <c r="DQ318" s="351">
        <f t="array" ref="DQ318">SUM((IF(QualitéAlimentsAgneauMâle_0_3_mois=MAUVAISE,VLOOKUP("Ration complète",AlimentsRationOvinsMâles,5,FALSE),0)+(IF(QualitéAlimentsAgneauFemelle_0_3_mois=MAUVAISE,VLOOKUP("Ration complète",AlimentsRationOvinsFemelles,5,FALSE),0)+(IF(QualitéAlimentsAgneauMâle_3_6_mois=MAUVAISE,VLOOKUP("Ration complète",AlimentsRationOvinsMâles,4,FALSE),0)+(IF(QualitéAlimentsAgneauFemelle_3_6_mois=MAUVAISE,VLOOKUP("Ration complète",AlimentsRationOvinsFemelles,4,FALSE),0)+(IF(QualitéAlimentsJeuneBélier=MAUVAISE,VLOOKUP("Ration complète",AlimentsRationOvinsMâles,3,FALSE),0)+(IF(QualitéAlimentsJeuneBrebis=MAUVAISE,VLOOKUP("Ration complète",AlimentsRationOvinsFemelles,3,FALSE),0)+(IF(QualitéAlimentsBélier=MAUVAISE,VLOOKUP("Ration complète",AlimentsRationOvinsMâles,2,FALSE),0)+(IF(QualitéAlimentsBrebis=MAUVAISE,VLOOKUP("Ration complète",AlimentsRationOvinsFemelles,2,FALSE),0))))))))))</f>
        <v>0</v>
      </c>
      <c r="DS318" s="276"/>
      <c r="GG318" s="276" t="s">
        <v>955</v>
      </c>
      <c r="GH318" s="276" t="s">
        <v>955</v>
      </c>
      <c r="GI318" s="276" t="s">
        <v>955</v>
      </c>
      <c r="GJ318" s="276" t="s">
        <v>955</v>
      </c>
      <c r="GK318" s="276" t="s">
        <v>955</v>
      </c>
      <c r="GL318" s="276" t="s">
        <v>955</v>
      </c>
      <c r="GM318" s="276" t="s">
        <v>955</v>
      </c>
      <c r="GN318" s="276" t="s">
        <v>955</v>
      </c>
      <c r="GO318" s="276" t="s">
        <v>955</v>
      </c>
      <c r="GP318" s="276" t="s">
        <v>955</v>
      </c>
      <c r="GQ318" s="276" t="s">
        <v>955</v>
      </c>
      <c r="GR318" s="276" t="s">
        <v>955</v>
      </c>
      <c r="GS318" s="276" t="s">
        <v>955</v>
      </c>
      <c r="GT318" s="276" t="s">
        <v>955</v>
      </c>
      <c r="GU318" s="276" t="s">
        <v>955</v>
      </c>
      <c r="GV318" s="276" t="s">
        <v>955</v>
      </c>
    </row>
    <row r="319" spans="1:204" ht="12.75" customHeight="1" x14ac:dyDescent="0.2">
      <c r="A319" s="276"/>
      <c r="B319" s="276"/>
      <c r="BB319" s="350">
        <f t="shared" si="72"/>
        <v>0</v>
      </c>
      <c r="BC319" s="350">
        <f t="array" ref="BC319">IFERROR(IF(OR(AND(INDEX(Règles_bovins[Specificite],MATCH(RationHivernaleBovinsAuPré&amp;$BB319,Règles_bovins[Ration]&amp;Règles_bovins[Aliment],0))="s1",IF($BB319=Spécificité1Bovins,1)),
AND(INDEX(Règles_bovins[Specificite],MATCH(RationHivernaleBovinsAuPré&amp;$BB319,Règles_bovins[Ration]&amp;Règles_bovins[Aliment],0))="s2",IF($BB319=Spécificité2Bovins,1)),
INDEX(Règles_bovins[Specificite],MATCH(RationHivernaleBovinsAuPré&amp;$BB319,Règles_bovins[Ration]&amp;Règles_bovins[Aliment],0))="c"),
INDEX(Règles_bovins[Valeur 36 et plus],MATCH(RationHivernaleBovinsAuPré&amp;$BB319,Règles_bovins[Ration]&amp;Règles_bovins[Aliment],0)),0),0)*IF(SUM(TotalBovinsAdultesAuPré)&gt;0,SUM(TotalBovinsAdultesAuPré),SUM(TotalBovinsAdultes))*35</f>
        <v>0</v>
      </c>
      <c r="BD319" s="350">
        <f t="array" ref="BD319">IFERROR(IF(OR(AND(INDEX(Règles_bovins[Specificite],MATCH(RationHivernaleBovinsAuPré&amp;$BB319,Règles_bovins[Ration]&amp;Règles_bovins[Aliment],0))="s1",IF($BB319=Spécificité1Bovins,1)),
AND(INDEX(Règles_bovins[Specificite],MATCH(RationHivernaleBovinsAuPré&amp;$BB319,Règles_bovins[Ration]&amp;Règles_bovins[Aliment],0))="s2",IF($BB319=Spécificité2Bovins,1)),
INDEX(Règles_bovins[Specificite],MATCH(RationHivernaleBovinsAuPré&amp;$BB319,Règles_bovins[Ration]&amp;Règles_bovins[Aliment],0))="c"),
INDEX(Règles_bovins[Valeur 24-36],MATCH(RationHivernaleBovinsAuPré&amp;$BB319,Règles_bovins[Ration]&amp;Règles_bovins[Aliment],0)),0),0)*IF(SUM(TotalBovins_24_36moisAuPré)&gt;0,SUM(TotalBovins_24_36moisAuPré),SUM(TotalBovins_24_36mois))*35</f>
        <v>0</v>
      </c>
      <c r="BE319" s="350">
        <f t="array" ref="BE319">IFERROR(IF(OR(AND(INDEX(Règles_bovins[Specificite],MATCH(RationHivernaleBovinsAuPré&amp;$BB319,Règles_bovins[Ration]&amp;Règles_bovins[Aliment],0))="s1",IF($BB319=Spécificité1Bovins,1)),
AND(INDEX(Règles_bovins[Specificite],MATCH(RationHivernaleBovinsAuPré&amp;$BB319,Règles_bovins[Ration]&amp;Règles_bovins[Aliment],0))="s2",IF($BB319=Spécificité2Bovins,1)),
INDEX(Règles_bovins[Specificite],MATCH(RationHivernaleBovinsAuPré&amp;$BB319,Règles_bovins[Ration]&amp;Règles_bovins[Aliment],0))="c"),
INDEX(Règles_bovins[Valeur 18-24],MATCH(RationHivernaleBovinsAuPré&amp;$BB319,Règles_bovins[Ration]&amp;Règles_bovins[Aliment],0)),0),0)*IF(SUM(TotalBovins_18_24moisAuPré)&gt;0,SUM(TotalBovins_18_24moisAuPré),SUM(TotalBovins_18_24mois))*35</f>
        <v>0</v>
      </c>
      <c r="BF319" s="350">
        <f t="array" ref="BF319">IFERROR(IF(OR(AND(INDEX(Règles_bovins[Specificite],MATCH(RationHivernaleBovinsAuPré&amp;$BB319,Règles_bovins[Ration]&amp;Règles_bovins[Aliment],0))="s1",IF($BB319=Spécificité1Bovins,1)),
AND(INDEX(Règles_bovins[Specificite],MATCH(RationHivernaleBovinsAuPré&amp;$BB319,Règles_bovins[Ration]&amp;Règles_bovins[Aliment],0))="s2",IF($BB319=Spécificité2Bovins,1)),
INDEX(Règles_bovins[Specificite],MATCH(RationHivernaleBovinsAuPré&amp;$BB319,Règles_bovins[Ration]&amp;Règles_bovins[Aliment],0))="c"),
INDEX(Règles_bovins[Valeur 12-18],MATCH(RationHivernaleBovinsAuPré&amp;$BB319,Règles_bovins[Ration]&amp;Règles_bovins[Aliment],0)),0),0)*IF(SUM(TotalBovins_12_18moisAuPré)&gt;0,SUM(TotalBovins_12_18moisAuPré),SUM(TotalBovins_12_18mois))*35</f>
        <v>0</v>
      </c>
      <c r="BG319" s="350">
        <f t="array" ref="BG319">IFERROR(IF(OR(AND(INDEX(Règles_bovins[Specificite],MATCH(RationHivernaleBovinsAuPré&amp;$BB319,Règles_bovins[Ration]&amp;Règles_bovins[Aliment],0))="s1",IF($BB319=Spécificité1Bovins,1)),
AND(INDEX(Règles_bovins[Specificite],MATCH(RationHivernaleBovinsAuPré&amp;$BB319,Règles_bovins[Ration]&amp;Règles_bovins[Aliment],0))="s2",IF($BB319=Spécificité2Bovins,1)),
INDEX(Règles_bovins[Specificite],MATCH(RationHivernaleBovinsAuPré&amp;$BB319,Règles_bovins[Ration]&amp;Règles_bovins[Aliment],0))="c"),
INDEX(Règles_bovins[Valeur 6-12],MATCH(RationHivernaleBovinsAuPré&amp;$BB319,Règles_bovins[Ration]&amp;Règles_bovins[Aliment],0)),0),0)*IF(SUM(TotalBovins_6_12moisAuPré)&gt;0,SUM(TotalBovins_6_12moisAuPré),SUM(TotalBovins_6_12mois))*35</f>
        <v>0</v>
      </c>
      <c r="BH319" s="350">
        <f t="array" ref="BH319">IFERROR(IF(OR(AND(INDEX(Règles_bovins[Specificite],MATCH(RationHivernaleBovinsAuPré&amp;$BB319,Règles_bovins[Ration]&amp;Règles_bovins[Aliment],0))="s1",IF($BB319=Spécificité1Bovins,1)),
AND(INDEX(Règles_bovins[Specificite],MATCH(RationHivernaleBovinsAuPré&amp;$BB319,Règles_bovins[Ration]&amp;Règles_bovins[Aliment],0))="s2",IF($BB319=Spécificité2Bovins,1)),
INDEX(Règles_bovins[Specificite],MATCH(RationHivernaleBovinsAuPré&amp;$BB319,Règles_bovins[Ration]&amp;Règles_bovins[Aliment],0))="c"),
INDEX(Règles_bovins[Valeur 3-6],MATCH(RationHivernaleBovinsAuPré&amp;$BB319,Règles_bovins[Ration]&amp;Règles_bovins[Aliment],0)),0),0)*IF(SUM(TotalBovins_3_6moisAuPré)&gt;0,SUM(TotalBovins_3_6moisAuPré),SUM(TotalBovins_3_6mois))*35</f>
        <v>0</v>
      </c>
      <c r="BI319" s="350">
        <f t="array" ref="BI319">IFERROR(IF(OR(AND(INDEX(Règles_bovins[Specificite],MATCH(RationHivernaleBovinsAuPré&amp;$BB319,Règles_bovins[Ration]&amp;Règles_bovins[Aliment],0))="s1",IF($BB319=Spécificité1Bovins,1)),
AND(INDEX(Règles_bovins[Specificite],MATCH(RationHivernaleBovinsAuPré&amp;$BB319,Règles_bovins[Ration]&amp;Règles_bovins[Aliment],0))="s2",IF($BB319=Spécificité2Bovins,1)),
INDEX(Règles_bovins[Specificite],MATCH(RationHivernaleBovinsAuPré&amp;$BB319,Règles_bovins[Ration]&amp;Règles_bovins[Aliment],0))="c"),
INDEX(Règles_bovins[Valeur 0-3],MATCH(RationHivernaleBovinsAuPré&amp;$BB319,Règles_bovins[Ration]&amp;Règles_bovins[Aliment],0)),0),0)*IF(SUM(TotalBovins_0_3moisAuPré)&gt;0,SUM(TotalBovins_0_3moisAuPré),SUM(TotalBovins_0_3mois))*35</f>
        <v>0</v>
      </c>
      <c r="BJ319" s="352">
        <f t="shared" si="71"/>
        <v>0</v>
      </c>
      <c r="BM319" s="276"/>
      <c r="DN319" s="350" t="str">
        <f t="shared" si="73"/>
        <v>Seigle</v>
      </c>
      <c r="DO319" s="351">
        <f t="array" ref="DO319">SUM((IF(QualitéAlimentsAgneauMâle_0_3_mois=BONNE,VLOOKUP("Seigle",AlimentsRationOvinsMâles,5,FALSE),0)+(IF(QualitéAlimentsAgneauFemelle_0_3_mois=BONNE,VLOOKUP("Seigle",AlimentsRationOvinsFemelles,5,FALSE),0)+(IF(QualitéAlimentsAgneauMâle_3_6_mois=BONNE,VLOOKUP("Seigle",AlimentsRationOvinsMâles,4,FALSE),0)+(IF(QualitéAlimentsAgneauFemelle_3_6_mois=BONNE,VLOOKUP("Seigle",AlimentsRationOvinsFemelles,4,FALSE),0)+(IF(QualitéAlimentsJeuneBélier=BONNE,VLOOKUP("Seigle",AlimentsRationOvinsMâles,3,FALSE),0)+(IF(QualitéAlimentsJeuneBrebis=BONNE,VLOOKUP("Seigle",AlimentsRationOvinsFemelles,3,FALSE),0)+(IF(QualitéAlimentsBélier=BONNE,VLOOKUP("Seigle",AlimentsRationOvinsMâles,2,FALSE),0)+(IF(QualitéAlimentsBrebis=BONNE,VLOOKUP("Seigle",AlimentsRationOvinsFemelles,2,FALSE),0))))))))))</f>
        <v>0</v>
      </c>
      <c r="DP319" s="351">
        <f t="array" ref="DP319">SUM((IF(QualitéAlimentsAgneauMâle_0_3_mois=MOYENNE,VLOOKUP("Seigle",AlimentsRationOvinsMâles,5,FALSE),0)+(IF(QualitéAlimentsAgneauFemelle_0_3_mois=MOYENNE,VLOOKUP("Seigle",AlimentsRationOvinsFemelles,5,FALSE),0)+(IF(QualitéAlimentsAgneauMâle_3_6_mois=MOYENNE,VLOOKUP("Seigle",AlimentsRationOvinsMâles,4,FALSE),0)+(IF(QualitéAlimentsAgneauFemelle_3_6_mois=MOYENNE,VLOOKUP("Seigle",AlimentsRationOvinsFemelles,4,FALSE),0)+(IF(QualitéAlimentsJeuneBélier=MOYENNE,VLOOKUP("Seigle",AlimentsRationOvinsMâles,3,FALSE),0)+(IF(QualitéAlimentsJeuneBrebis=MOYENNE,VLOOKUP("Seigle",AlimentsRationOvinsFemelles,3,FALSE),0)+(IF(QualitéAlimentsBélier=MOYENNE,VLOOKUP("Seigle",AlimentsRationOvinsMâles,2,FALSE),0)+(IF(QualitéAlimentsBrebis=MOYENNE,VLOOKUP("Seigle",AlimentsRationOvinsFemelles,2,FALSE),0))))))))))</f>
        <v>0</v>
      </c>
      <c r="DQ319" s="351">
        <f t="array" ref="DQ319">SUM((IF(QualitéAlimentsAgneauMâle_0_3_mois=MAUVAISE,VLOOKUP("Seigle",AlimentsRationOvinsMâles,5,FALSE),0)+(IF(QualitéAlimentsAgneauFemelle_0_3_mois=MAUVAISE,VLOOKUP("Seigle",AlimentsRationOvinsFemelles,5,FALSE),0)+(IF(QualitéAlimentsAgneauMâle_3_6_mois=MAUVAISE,VLOOKUP("Seigle",AlimentsRationOvinsMâles,4,FALSE),0)+(IF(QualitéAlimentsAgneauFemelle_3_6_mois=MAUVAISE,VLOOKUP("Seigle",AlimentsRationOvinsFemelles,4,FALSE),0)+(IF(QualitéAlimentsJeuneBélier=MAUVAISE,VLOOKUP("Seigle",AlimentsRationOvinsMâles,3,FALSE),0)+(IF(QualitéAlimentsJeuneBrebis=MAUVAISE,VLOOKUP("Seigle",AlimentsRationOvinsFemelles,3,FALSE),0)+(IF(QualitéAlimentsBélier=MAUVAISE,VLOOKUP("Seigle",AlimentsRationOvinsMâles,2,FALSE),0)+(IF(QualitéAlimentsBrebis=MAUVAISE,VLOOKUP("Seigle",AlimentsRationOvinsFemelles,2,FALSE),0))))))))))</f>
        <v>0</v>
      </c>
      <c r="DS319" s="276"/>
      <c r="GG319" s="276" t="s">
        <v>955</v>
      </c>
      <c r="GH319" s="276" t="s">
        <v>955</v>
      </c>
      <c r="GI319" s="276" t="s">
        <v>955</v>
      </c>
      <c r="GJ319" s="276" t="s">
        <v>955</v>
      </c>
      <c r="GK319" s="276" t="s">
        <v>955</v>
      </c>
      <c r="GL319" s="276" t="s">
        <v>955</v>
      </c>
      <c r="GM319" s="276" t="s">
        <v>955</v>
      </c>
      <c r="GN319" s="276" t="s">
        <v>955</v>
      </c>
      <c r="GO319" s="276" t="s">
        <v>955</v>
      </c>
      <c r="GP319" s="276" t="s">
        <v>955</v>
      </c>
      <c r="GQ319" s="276" t="s">
        <v>955</v>
      </c>
      <c r="GR319" s="276" t="s">
        <v>955</v>
      </c>
      <c r="GS319" s="276" t="s">
        <v>955</v>
      </c>
      <c r="GT319" s="276" t="s">
        <v>955</v>
      </c>
      <c r="GU319" s="276" t="s">
        <v>955</v>
      </c>
      <c r="GV319" s="276" t="s">
        <v>955</v>
      </c>
    </row>
    <row r="320" spans="1:204" ht="12.75" customHeight="1" x14ac:dyDescent="0.2">
      <c r="A320" s="276"/>
      <c r="B320" s="276"/>
      <c r="BB320" s="350">
        <f t="shared" si="72"/>
        <v>0</v>
      </c>
      <c r="BC320" s="350">
        <f t="array" ref="BC320">IFERROR(IF(OR(AND(INDEX(Règles_bovins[Specificite],MATCH(RationHivernaleBovinsAuPré&amp;$BB320,Règles_bovins[Ration]&amp;Règles_bovins[Aliment],0))="s1",IF($BB320=Spécificité1Bovins,1)),
AND(INDEX(Règles_bovins[Specificite],MATCH(RationHivernaleBovinsAuPré&amp;$BB320,Règles_bovins[Ration]&amp;Règles_bovins[Aliment],0))="s2",IF($BB320=Spécificité2Bovins,1)),
INDEX(Règles_bovins[Specificite],MATCH(RationHivernaleBovinsAuPré&amp;$BB320,Règles_bovins[Ration]&amp;Règles_bovins[Aliment],0))="c"),
INDEX(Règles_bovins[Valeur 36 et plus],MATCH(RationHivernaleBovinsAuPré&amp;$BB320,Règles_bovins[Ration]&amp;Règles_bovins[Aliment],0)),0),0)*IF(SUM(TotalBovinsAdultesAuPré)&gt;0,SUM(TotalBovinsAdultesAuPré),SUM(TotalBovinsAdultes))*35</f>
        <v>0</v>
      </c>
      <c r="BD320" s="350">
        <f t="array" ref="BD320">IFERROR(IF(OR(AND(INDEX(Règles_bovins[Specificite],MATCH(RationHivernaleBovinsAuPré&amp;$BB320,Règles_bovins[Ration]&amp;Règles_bovins[Aliment],0))="s1",IF($BB320=Spécificité1Bovins,1)),
AND(INDEX(Règles_bovins[Specificite],MATCH(RationHivernaleBovinsAuPré&amp;$BB320,Règles_bovins[Ration]&amp;Règles_bovins[Aliment],0))="s2",IF($BB320=Spécificité2Bovins,1)),
INDEX(Règles_bovins[Specificite],MATCH(RationHivernaleBovinsAuPré&amp;$BB320,Règles_bovins[Ration]&amp;Règles_bovins[Aliment],0))="c"),
INDEX(Règles_bovins[Valeur 24-36],MATCH(RationHivernaleBovinsAuPré&amp;$BB320,Règles_bovins[Ration]&amp;Règles_bovins[Aliment],0)),0),0)*IF(SUM(TotalBovins_24_36moisAuPré)&gt;0,SUM(TotalBovins_24_36moisAuPré),SUM(TotalBovins_24_36mois))*35</f>
        <v>0</v>
      </c>
      <c r="BE320" s="350">
        <f t="array" ref="BE320">IFERROR(IF(OR(AND(INDEX(Règles_bovins[Specificite],MATCH(RationHivernaleBovinsAuPré&amp;$BB320,Règles_bovins[Ration]&amp;Règles_bovins[Aliment],0))="s1",IF($BB320=Spécificité1Bovins,1)),
AND(INDEX(Règles_bovins[Specificite],MATCH(RationHivernaleBovinsAuPré&amp;$BB320,Règles_bovins[Ration]&amp;Règles_bovins[Aliment],0))="s2",IF($BB320=Spécificité2Bovins,1)),
INDEX(Règles_bovins[Specificite],MATCH(RationHivernaleBovinsAuPré&amp;$BB320,Règles_bovins[Ration]&amp;Règles_bovins[Aliment],0))="c"),
INDEX(Règles_bovins[Valeur 18-24],MATCH(RationHivernaleBovinsAuPré&amp;$BB320,Règles_bovins[Ration]&amp;Règles_bovins[Aliment],0)),0),0)*IF(SUM(TotalBovins_18_24moisAuPré)&gt;0,SUM(TotalBovins_18_24moisAuPré),SUM(TotalBovins_18_24mois))*35</f>
        <v>0</v>
      </c>
      <c r="BF320" s="350">
        <f t="array" ref="BF320">IFERROR(IF(OR(AND(INDEX(Règles_bovins[Specificite],MATCH(RationHivernaleBovinsAuPré&amp;$BB320,Règles_bovins[Ration]&amp;Règles_bovins[Aliment],0))="s1",IF($BB320=Spécificité1Bovins,1)),
AND(INDEX(Règles_bovins[Specificite],MATCH(RationHivernaleBovinsAuPré&amp;$BB320,Règles_bovins[Ration]&amp;Règles_bovins[Aliment],0))="s2",IF($BB320=Spécificité2Bovins,1)),
INDEX(Règles_bovins[Specificite],MATCH(RationHivernaleBovinsAuPré&amp;$BB320,Règles_bovins[Ration]&amp;Règles_bovins[Aliment],0))="c"),
INDEX(Règles_bovins[Valeur 12-18],MATCH(RationHivernaleBovinsAuPré&amp;$BB320,Règles_bovins[Ration]&amp;Règles_bovins[Aliment],0)),0),0)*IF(SUM(TotalBovins_12_18moisAuPré)&gt;0,SUM(TotalBovins_12_18moisAuPré),SUM(TotalBovins_12_18mois))*35</f>
        <v>0</v>
      </c>
      <c r="BG320" s="350">
        <f t="array" ref="BG320">IFERROR(IF(OR(AND(INDEX(Règles_bovins[Specificite],MATCH(RationHivernaleBovinsAuPré&amp;$BB320,Règles_bovins[Ration]&amp;Règles_bovins[Aliment],0))="s1",IF($BB320=Spécificité1Bovins,1)),
AND(INDEX(Règles_bovins[Specificite],MATCH(RationHivernaleBovinsAuPré&amp;$BB320,Règles_bovins[Ration]&amp;Règles_bovins[Aliment],0))="s2",IF($BB320=Spécificité2Bovins,1)),
INDEX(Règles_bovins[Specificite],MATCH(RationHivernaleBovinsAuPré&amp;$BB320,Règles_bovins[Ration]&amp;Règles_bovins[Aliment],0))="c"),
INDEX(Règles_bovins[Valeur 6-12],MATCH(RationHivernaleBovinsAuPré&amp;$BB320,Règles_bovins[Ration]&amp;Règles_bovins[Aliment],0)),0),0)*IF(SUM(TotalBovins_6_12moisAuPré)&gt;0,SUM(TotalBovins_6_12moisAuPré),SUM(TotalBovins_6_12mois))*35</f>
        <v>0</v>
      </c>
      <c r="BH320" s="350">
        <f t="array" ref="BH320">IFERROR(IF(OR(AND(INDEX(Règles_bovins[Specificite],MATCH(RationHivernaleBovinsAuPré&amp;$BB320,Règles_bovins[Ration]&amp;Règles_bovins[Aliment],0))="s1",IF($BB320=Spécificité1Bovins,1)),
AND(INDEX(Règles_bovins[Specificite],MATCH(RationHivernaleBovinsAuPré&amp;$BB320,Règles_bovins[Ration]&amp;Règles_bovins[Aliment],0))="s2",IF($BB320=Spécificité2Bovins,1)),
INDEX(Règles_bovins[Specificite],MATCH(RationHivernaleBovinsAuPré&amp;$BB320,Règles_bovins[Ration]&amp;Règles_bovins[Aliment],0))="c"),
INDEX(Règles_bovins[Valeur 3-6],MATCH(RationHivernaleBovinsAuPré&amp;$BB320,Règles_bovins[Ration]&amp;Règles_bovins[Aliment],0)),0),0)*IF(SUM(TotalBovins_3_6moisAuPré)&gt;0,SUM(TotalBovins_3_6moisAuPré),SUM(TotalBovins_3_6mois))*35</f>
        <v>0</v>
      </c>
      <c r="BI320" s="350">
        <f t="array" ref="BI320">IFERROR(IF(OR(AND(INDEX(Règles_bovins[Specificite],MATCH(RationHivernaleBovinsAuPré&amp;$BB320,Règles_bovins[Ration]&amp;Règles_bovins[Aliment],0))="s1",IF($BB320=Spécificité1Bovins,1)),
AND(INDEX(Règles_bovins[Specificite],MATCH(RationHivernaleBovinsAuPré&amp;$BB320,Règles_bovins[Ration]&amp;Règles_bovins[Aliment],0))="s2",IF($BB320=Spécificité2Bovins,1)),
INDEX(Règles_bovins[Specificite],MATCH(RationHivernaleBovinsAuPré&amp;$BB320,Règles_bovins[Ration]&amp;Règles_bovins[Aliment],0))="c"),
INDEX(Règles_bovins[Valeur 0-3],MATCH(RationHivernaleBovinsAuPré&amp;$BB320,Règles_bovins[Ration]&amp;Règles_bovins[Aliment],0)),0),0)*IF(SUM(TotalBovins_0_3moisAuPré)&gt;0,SUM(TotalBovins_0_3moisAuPré),SUM(TotalBovins_0_3mois))*35</f>
        <v>0</v>
      </c>
      <c r="BJ320" s="352">
        <f t="shared" si="71"/>
        <v>0</v>
      </c>
      <c r="BM320" s="276"/>
      <c r="DN320" s="350" t="str">
        <f t="shared" si="73"/>
        <v>Soja</v>
      </c>
      <c r="DO320" s="351">
        <f t="array" ref="DO320">SUM((IF(QualitéAlimentsAgneauMâle_0_3_mois=BONNE,VLOOKUP("Soja",AlimentsRationOvinsMâles,5,FALSE),0)+(IF(QualitéAlimentsAgneauFemelle_0_3_mois=BONNE,VLOOKUP("Soja",AlimentsRationOvinsFemelles,5,FALSE),0)+(IF(QualitéAlimentsAgneauMâle_3_6_mois=BONNE,VLOOKUP("Soja",AlimentsRationOvinsMâles,4,FALSE),0)+(IF(QualitéAlimentsAgneauFemelle_3_6_mois=BONNE,VLOOKUP("Soja",AlimentsRationOvinsFemelles,4,FALSE),0)+(IF(QualitéAlimentsJeuneBélier=BONNE,VLOOKUP("Soja",AlimentsRationOvinsMâles,3,FALSE),0)+(IF(QualitéAlimentsJeuneBrebis=BONNE,VLOOKUP("Soja",AlimentsRationOvinsFemelles,3,FALSE),0)+(IF(QualitéAlimentsBélier=BONNE,VLOOKUP("Soja",AlimentsRationOvinsMâles,2,FALSE),0)+(IF(QualitéAlimentsBrebis=BONNE,VLOOKUP("Soja",AlimentsRationOvinsFemelles,2,FALSE),0))))))))))</f>
        <v>0</v>
      </c>
      <c r="DP320" s="351">
        <f t="array" ref="DP320">SUM((IF(QualitéAlimentsAgneauMâle_0_3_mois=MOYENNE,VLOOKUP("Soja",AlimentsRationOvinsMâles,5,FALSE),0)+(IF(QualitéAlimentsAgneauFemelle_0_3_mois=MOYENNE,VLOOKUP("Soja",AlimentsRationOvinsFemelles,5,FALSE),0)+(IF(QualitéAlimentsAgneauMâle_3_6_mois=MOYENNE,VLOOKUP("Soja",AlimentsRationOvinsMâles,4,FALSE),0)+(IF(QualitéAlimentsAgneauFemelle_3_6_mois=MOYENNE,VLOOKUP("Soja",AlimentsRationOvinsFemelles,4,FALSE),0)+(IF(QualitéAlimentsJeuneBélier=MOYENNE,VLOOKUP("Soja",AlimentsRationOvinsMâles,3,FALSE),0)+(IF(QualitéAlimentsJeuneBrebis=MOYENNE,VLOOKUP("Soja",AlimentsRationOvinsFemelles,3,FALSE),0)+(IF(QualitéAlimentsBélier=MOYENNE,VLOOKUP("Soja",AlimentsRationOvinsMâles,2,FALSE),0)+(IF(QualitéAlimentsBrebis=MOYENNE,VLOOKUP("Soja",AlimentsRationOvinsFemelles,2,FALSE),0))))))))))</f>
        <v>0</v>
      </c>
      <c r="DQ320" s="351">
        <f t="array" ref="DQ320">SUM((IF(QualitéAlimentsAgneauMâle_0_3_mois=MAUVAISE,VLOOKUP("Soja",AlimentsRationOvinsMâles,5,FALSE),0)+(IF(QualitéAlimentsAgneauFemelle_0_3_mois=MAUVAISE,VLOOKUP("Soja",AlimentsRationOvinsFemelles,5,FALSE),0)+(IF(QualitéAlimentsAgneauMâle_3_6_mois=MAUVAISE,VLOOKUP("Soja",AlimentsRationOvinsMâles,4,FALSE),0)+(IF(QualitéAlimentsAgneauFemelle_3_6_mois=MAUVAISE,VLOOKUP("Soja",AlimentsRationOvinsFemelles,4,FALSE),0)+(IF(QualitéAlimentsJeuneBélier=MAUVAISE,VLOOKUP("Soja",AlimentsRationOvinsMâles,3,FALSE),0)+(IF(QualitéAlimentsJeuneBrebis=MAUVAISE,VLOOKUP("Soja",AlimentsRationOvinsFemelles,3,FALSE),0)+(IF(QualitéAlimentsBélier=MAUVAISE,VLOOKUP("Soja",AlimentsRationOvinsMâles,2,FALSE),0)+(IF(QualitéAlimentsBrebis=MAUVAISE,VLOOKUP("Soja",AlimentsRationOvinsFemelles,2,FALSE),0))))))))))</f>
        <v>0</v>
      </c>
      <c r="DS320" s="276"/>
      <c r="GG320" s="276" t="s">
        <v>955</v>
      </c>
      <c r="GH320" s="276" t="s">
        <v>955</v>
      </c>
      <c r="GI320" s="276" t="s">
        <v>955</v>
      </c>
      <c r="GJ320" s="276" t="s">
        <v>955</v>
      </c>
      <c r="GK320" s="276" t="s">
        <v>955</v>
      </c>
      <c r="GL320" s="276" t="s">
        <v>955</v>
      </c>
      <c r="GM320" s="276" t="s">
        <v>955</v>
      </c>
      <c r="GN320" s="276" t="s">
        <v>955</v>
      </c>
      <c r="GO320" s="276" t="s">
        <v>955</v>
      </c>
      <c r="GP320" s="276" t="s">
        <v>955</v>
      </c>
      <c r="GQ320" s="276" t="s">
        <v>955</v>
      </c>
      <c r="GR320" s="276" t="s">
        <v>955</v>
      </c>
      <c r="GS320" s="276" t="s">
        <v>955</v>
      </c>
      <c r="GT320" s="276" t="s">
        <v>955</v>
      </c>
      <c r="GU320" s="276" t="s">
        <v>955</v>
      </c>
      <c r="GV320" s="276" t="s">
        <v>955</v>
      </c>
    </row>
    <row r="321" spans="1:204" ht="12.75" customHeight="1" x14ac:dyDescent="0.2">
      <c r="A321" s="276"/>
      <c r="B321" s="276"/>
      <c r="BB321" s="350">
        <f t="shared" si="72"/>
        <v>0</v>
      </c>
      <c r="BC321" s="350">
        <f t="array" ref="BC321">IFERROR(IF(OR(AND(INDEX(Règles_bovins[Specificite],MATCH(RationHivernaleBovinsAuPré&amp;$BB321,Règles_bovins[Ration]&amp;Règles_bovins[Aliment],0))="s1",IF($BB321=Spécificité1Bovins,1)),
AND(INDEX(Règles_bovins[Specificite],MATCH(RationHivernaleBovinsAuPré&amp;$BB321,Règles_bovins[Ration]&amp;Règles_bovins[Aliment],0))="s2",IF($BB321=Spécificité2Bovins,1)),
INDEX(Règles_bovins[Specificite],MATCH(RationHivernaleBovinsAuPré&amp;$BB321,Règles_bovins[Ration]&amp;Règles_bovins[Aliment],0))="c"),
INDEX(Règles_bovins[Valeur 36 et plus],MATCH(RationHivernaleBovinsAuPré&amp;$BB321,Règles_bovins[Ration]&amp;Règles_bovins[Aliment],0)),0),0)*IF(SUM(TotalBovinsAdultesAuPré)&gt;0,SUM(TotalBovinsAdultesAuPré),SUM(TotalBovinsAdultes))*35</f>
        <v>0</v>
      </c>
      <c r="BD321" s="350">
        <f t="array" ref="BD321">IFERROR(IF(OR(AND(INDEX(Règles_bovins[Specificite],MATCH(RationHivernaleBovinsAuPré&amp;$BB321,Règles_bovins[Ration]&amp;Règles_bovins[Aliment],0))="s1",IF($BB321=Spécificité1Bovins,1)),
AND(INDEX(Règles_bovins[Specificite],MATCH(RationHivernaleBovinsAuPré&amp;$BB321,Règles_bovins[Ration]&amp;Règles_bovins[Aliment],0))="s2",IF($BB321=Spécificité2Bovins,1)),
INDEX(Règles_bovins[Specificite],MATCH(RationHivernaleBovinsAuPré&amp;$BB321,Règles_bovins[Ration]&amp;Règles_bovins[Aliment],0))="c"),
INDEX(Règles_bovins[Valeur 24-36],MATCH(RationHivernaleBovinsAuPré&amp;$BB321,Règles_bovins[Ration]&amp;Règles_bovins[Aliment],0)),0),0)*IF(SUM(TotalBovins_24_36moisAuPré)&gt;0,SUM(TotalBovins_24_36moisAuPré),SUM(TotalBovins_24_36mois))*35</f>
        <v>0</v>
      </c>
      <c r="BE321" s="350">
        <f t="array" ref="BE321">IFERROR(IF(OR(AND(INDEX(Règles_bovins[Specificite],MATCH(RationHivernaleBovinsAuPré&amp;$BB321,Règles_bovins[Ration]&amp;Règles_bovins[Aliment],0))="s1",IF($BB321=Spécificité1Bovins,1)),
AND(INDEX(Règles_bovins[Specificite],MATCH(RationHivernaleBovinsAuPré&amp;$BB321,Règles_bovins[Ration]&amp;Règles_bovins[Aliment],0))="s2",IF($BB321=Spécificité2Bovins,1)),
INDEX(Règles_bovins[Specificite],MATCH(RationHivernaleBovinsAuPré&amp;$BB321,Règles_bovins[Ration]&amp;Règles_bovins[Aliment],0))="c"),
INDEX(Règles_bovins[Valeur 18-24],MATCH(RationHivernaleBovinsAuPré&amp;$BB321,Règles_bovins[Ration]&amp;Règles_bovins[Aliment],0)),0),0)*IF(SUM(TotalBovins_18_24moisAuPré)&gt;0,SUM(TotalBovins_18_24moisAuPré),SUM(TotalBovins_18_24mois))*35</f>
        <v>0</v>
      </c>
      <c r="BF321" s="350">
        <f t="array" ref="BF321">IFERROR(IF(OR(AND(INDEX(Règles_bovins[Specificite],MATCH(RationHivernaleBovinsAuPré&amp;$BB321,Règles_bovins[Ration]&amp;Règles_bovins[Aliment],0))="s1",IF($BB321=Spécificité1Bovins,1)),
AND(INDEX(Règles_bovins[Specificite],MATCH(RationHivernaleBovinsAuPré&amp;$BB321,Règles_bovins[Ration]&amp;Règles_bovins[Aliment],0))="s2",IF($BB321=Spécificité2Bovins,1)),
INDEX(Règles_bovins[Specificite],MATCH(RationHivernaleBovinsAuPré&amp;$BB321,Règles_bovins[Ration]&amp;Règles_bovins[Aliment],0))="c"),
INDEX(Règles_bovins[Valeur 12-18],MATCH(RationHivernaleBovinsAuPré&amp;$BB321,Règles_bovins[Ration]&amp;Règles_bovins[Aliment],0)),0),0)*IF(SUM(TotalBovins_12_18moisAuPré)&gt;0,SUM(TotalBovins_12_18moisAuPré),SUM(TotalBovins_12_18mois))*35</f>
        <v>0</v>
      </c>
      <c r="BG321" s="350">
        <f t="array" ref="BG321">IFERROR(IF(OR(AND(INDEX(Règles_bovins[Specificite],MATCH(RationHivernaleBovinsAuPré&amp;$BB321,Règles_bovins[Ration]&amp;Règles_bovins[Aliment],0))="s1",IF($BB321=Spécificité1Bovins,1)),
AND(INDEX(Règles_bovins[Specificite],MATCH(RationHivernaleBovinsAuPré&amp;$BB321,Règles_bovins[Ration]&amp;Règles_bovins[Aliment],0))="s2",IF($BB321=Spécificité2Bovins,1)),
INDEX(Règles_bovins[Specificite],MATCH(RationHivernaleBovinsAuPré&amp;$BB321,Règles_bovins[Ration]&amp;Règles_bovins[Aliment],0))="c"),
INDEX(Règles_bovins[Valeur 6-12],MATCH(RationHivernaleBovinsAuPré&amp;$BB321,Règles_bovins[Ration]&amp;Règles_bovins[Aliment],0)),0),0)*IF(SUM(TotalBovins_6_12moisAuPré)&gt;0,SUM(TotalBovins_6_12moisAuPré),SUM(TotalBovins_6_12mois))*35</f>
        <v>0</v>
      </c>
      <c r="BH321" s="350">
        <f t="array" ref="BH321">IFERROR(IF(OR(AND(INDEX(Règles_bovins[Specificite],MATCH(RationHivernaleBovinsAuPré&amp;$BB321,Règles_bovins[Ration]&amp;Règles_bovins[Aliment],0))="s1",IF($BB321=Spécificité1Bovins,1)),
AND(INDEX(Règles_bovins[Specificite],MATCH(RationHivernaleBovinsAuPré&amp;$BB321,Règles_bovins[Ration]&amp;Règles_bovins[Aliment],0))="s2",IF($BB321=Spécificité2Bovins,1)),
INDEX(Règles_bovins[Specificite],MATCH(RationHivernaleBovinsAuPré&amp;$BB321,Règles_bovins[Ration]&amp;Règles_bovins[Aliment],0))="c"),
INDEX(Règles_bovins[Valeur 3-6],MATCH(RationHivernaleBovinsAuPré&amp;$BB321,Règles_bovins[Ration]&amp;Règles_bovins[Aliment],0)),0),0)*IF(SUM(TotalBovins_3_6moisAuPré)&gt;0,SUM(TotalBovins_3_6moisAuPré),SUM(TotalBovins_3_6mois))*35</f>
        <v>0</v>
      </c>
      <c r="BI321" s="350">
        <f t="array" ref="BI321">IFERROR(IF(OR(AND(INDEX(Règles_bovins[Specificite],MATCH(RationHivernaleBovinsAuPré&amp;$BB321,Règles_bovins[Ration]&amp;Règles_bovins[Aliment],0))="s1",IF($BB321=Spécificité1Bovins,1)),
AND(INDEX(Règles_bovins[Specificite],MATCH(RationHivernaleBovinsAuPré&amp;$BB321,Règles_bovins[Ration]&amp;Règles_bovins[Aliment],0))="s2",IF($BB321=Spécificité2Bovins,1)),
INDEX(Règles_bovins[Specificite],MATCH(RationHivernaleBovinsAuPré&amp;$BB321,Règles_bovins[Ration]&amp;Règles_bovins[Aliment],0))="c"),
INDEX(Règles_bovins[Valeur 0-3],MATCH(RationHivernaleBovinsAuPré&amp;$BB321,Règles_bovins[Ration]&amp;Règles_bovins[Aliment],0)),0),0)*IF(SUM(TotalBovins_0_3moisAuPré)&gt;0,SUM(TotalBovins_0_3moisAuPré),SUM(TotalBovins_0_3mois))*35</f>
        <v>0</v>
      </c>
      <c r="BJ321" s="352">
        <f t="shared" si="71"/>
        <v>0</v>
      </c>
      <c r="BM321" s="276"/>
      <c r="DN321" s="350" t="str">
        <f t="shared" si="73"/>
        <v>Sorgho ensilé</v>
      </c>
      <c r="DO321" s="351">
        <f t="array" ref="DO321">SUM((IF(QualitéAlimentsAgneauMâle_0_3_mois=BONNE,VLOOKUP("Sorho ensilé",AlimentsRationOvinsMâles,5,FALSE),0)+(IF(QualitéAlimentsAgneauFemelle_0_3_mois=BONNE,VLOOKUP("Sorho ensilé",AlimentsRationOvinsFemelles,5,FALSE),0)+(IF(QualitéAlimentsAgneauMâle_3_6_mois=BONNE,VLOOKUP("Sorho ensilé",AlimentsRationOvinsMâles,4,FALSE),0)+(IF(QualitéAlimentsAgneauFemelle_3_6_mois=BONNE,VLOOKUP("Sorho ensilé",AlimentsRationOvinsFemelles,4,FALSE),0)+(IF(QualitéAlimentsJeuneBélier=BONNE,VLOOKUP("Sorho ensilé",AlimentsRationOvinsMâles,3,FALSE),0)+(IF(QualitéAlimentsJeuneBrebis=BONNE,VLOOKUP("Sorho ensilé",AlimentsRationOvinsFemelles,3,FALSE),0)+(IF(QualitéAlimentsBélier=BONNE,VLOOKUP("Sorho ensilé",AlimentsRationOvinsMâles,2,FALSE),0)+(IF(QualitéAlimentsBrebis=BONNE,VLOOKUP("Sorho ensilé",AlimentsRationOvinsFemelles,2,FALSE),0))))))))))</f>
        <v>0</v>
      </c>
      <c r="DP321" s="351">
        <f t="array" ref="DP321">SUM((IF(QualitéAlimentsAgneauMâle_0_3_mois=MOYENNE,VLOOKUP("Sorho ensilé",AlimentsRationOvinsMâles,5,FALSE),0)+(IF(QualitéAlimentsAgneauFemelle_0_3_mois=MOYENNE,VLOOKUP("Sorho ensilé",AlimentsRationOvinsFemelles,5,FALSE),0)+(IF(QualitéAlimentsAgneauMâle_3_6_mois=MOYENNE,VLOOKUP("Sorho ensilé",AlimentsRationOvinsMâles,4,FALSE),0)+(IF(QualitéAlimentsAgneauFemelle_3_6_mois=MOYENNE,VLOOKUP("Sorho ensilé",AlimentsRationOvinsFemelles,4,FALSE),0)+(IF(QualitéAlimentsJeuneBélier=MOYENNE,VLOOKUP("Sorho ensilé",AlimentsRationOvinsMâles,3,FALSE),0)+(IF(QualitéAlimentsJeuneBrebis=MOYENNE,VLOOKUP("Sorho ensilé",AlimentsRationOvinsFemelles,3,FALSE),0)+(IF(QualitéAlimentsBélier=MOYENNE,VLOOKUP("Sorho ensilé",AlimentsRationOvinsMâles,2,FALSE),0)+(IF(QualitéAlimentsBrebis=MOYENNE,VLOOKUP("Sorho ensilé",AlimentsRationOvinsFemelles,2,FALSE),0))))))))))</f>
        <v>0</v>
      </c>
      <c r="DQ321" s="351">
        <f t="array" ref="DQ321">SUM((IF(QualitéAlimentsAgneauMâle_0_3_mois=MAUVAISE,VLOOKUP("Sorho ensilé",AlimentsRationOvinsMâles,5,FALSE),0)+(IF(QualitéAlimentsAgneauFemelle_0_3_mois=MAUVAISE,VLOOKUP("Sorho ensilé",AlimentsRationOvinsFemelles,5,FALSE),0)+(IF(QualitéAlimentsAgneauMâle_3_6_mois=MAUVAISE,VLOOKUP("Sorho ensilé",AlimentsRationOvinsMâles,4,FALSE),0)+(IF(QualitéAlimentsAgneauFemelle_3_6_mois=MAUVAISE,VLOOKUP("Sorho ensilé",AlimentsRationOvinsFemelles,4,FALSE),0)+(IF(QualitéAlimentsJeuneBélier=MAUVAISE,VLOOKUP("Sorho ensilé",AlimentsRationOvinsMâles,3,FALSE),0)+(IF(QualitéAlimentsJeuneBrebis=MAUVAISE,VLOOKUP("Sorho ensilé",AlimentsRationOvinsFemelles,3,FALSE),0)+(IF(QualitéAlimentsBélier=MAUVAISE,VLOOKUP("Sorho ensilé",AlimentsRationOvinsMâles,2,FALSE),0)+(IF(QualitéAlimentsBrebis=MAUVAISE,VLOOKUP("Sorho ensilé",AlimentsRationOvinsFemelles,2,FALSE),0))))))))))</f>
        <v>0</v>
      </c>
      <c r="DS321" s="276"/>
      <c r="GG321" s="276" t="s">
        <v>955</v>
      </c>
      <c r="GH321" s="276" t="s">
        <v>955</v>
      </c>
      <c r="GI321" s="276" t="s">
        <v>955</v>
      </c>
      <c r="GJ321" s="276" t="s">
        <v>955</v>
      </c>
      <c r="GK321" s="276" t="s">
        <v>955</v>
      </c>
      <c r="GL321" s="276" t="s">
        <v>955</v>
      </c>
      <c r="GM321" s="276" t="s">
        <v>955</v>
      </c>
      <c r="GN321" s="276" t="s">
        <v>955</v>
      </c>
      <c r="GO321" s="276" t="s">
        <v>955</v>
      </c>
      <c r="GP321" s="276" t="s">
        <v>955</v>
      </c>
      <c r="GQ321" s="276" t="s">
        <v>955</v>
      </c>
      <c r="GR321" s="276" t="s">
        <v>955</v>
      </c>
      <c r="GS321" s="276" t="s">
        <v>955</v>
      </c>
      <c r="GT321" s="276" t="s">
        <v>955</v>
      </c>
      <c r="GU321" s="276" t="s">
        <v>955</v>
      </c>
      <c r="GV321" s="276" t="s">
        <v>955</v>
      </c>
    </row>
    <row r="322" spans="1:204" ht="12.75" customHeight="1" x14ac:dyDescent="0.2">
      <c r="A322" s="276"/>
      <c r="B322" s="276"/>
      <c r="BB322" s="350">
        <f t="shared" si="72"/>
        <v>0</v>
      </c>
      <c r="BC322" s="350">
        <f t="array" ref="BC322">IFERROR(IF(OR(AND(INDEX(Règles_bovins[Specificite],MATCH(RationHivernaleBovinsAuPré&amp;$BB322,Règles_bovins[Ration]&amp;Règles_bovins[Aliment],0))="s1",IF($BB322=Spécificité1Bovins,1)),
AND(INDEX(Règles_bovins[Specificite],MATCH(RationHivernaleBovinsAuPré&amp;$BB322,Règles_bovins[Ration]&amp;Règles_bovins[Aliment],0))="s2",IF($BB322=Spécificité2Bovins,1)),
INDEX(Règles_bovins[Specificite],MATCH(RationHivernaleBovinsAuPré&amp;$BB322,Règles_bovins[Ration]&amp;Règles_bovins[Aliment],0))="c"),
INDEX(Règles_bovins[Valeur 36 et plus],MATCH(RationHivernaleBovinsAuPré&amp;$BB322,Règles_bovins[Ration]&amp;Règles_bovins[Aliment],0)),0),0)*IF(SUM(TotalBovinsAdultesAuPré)&gt;0,SUM(TotalBovinsAdultesAuPré),SUM(TotalBovinsAdultes))*35</f>
        <v>0</v>
      </c>
      <c r="BD322" s="350">
        <f t="array" ref="BD322">IFERROR(IF(OR(AND(INDEX(Règles_bovins[Specificite],MATCH(RationHivernaleBovinsAuPré&amp;$BB322,Règles_bovins[Ration]&amp;Règles_bovins[Aliment],0))="s1",IF($BB322=Spécificité1Bovins,1)),
AND(INDEX(Règles_bovins[Specificite],MATCH(RationHivernaleBovinsAuPré&amp;$BB322,Règles_bovins[Ration]&amp;Règles_bovins[Aliment],0))="s2",IF($BB322=Spécificité2Bovins,1)),
INDEX(Règles_bovins[Specificite],MATCH(RationHivernaleBovinsAuPré&amp;$BB322,Règles_bovins[Ration]&amp;Règles_bovins[Aliment],0))="c"),
INDEX(Règles_bovins[Valeur 24-36],MATCH(RationHivernaleBovinsAuPré&amp;$BB322,Règles_bovins[Ration]&amp;Règles_bovins[Aliment],0)),0),0)*IF(SUM(TotalBovins_24_36moisAuPré)&gt;0,SUM(TotalBovins_24_36moisAuPré),SUM(TotalBovins_24_36mois))*35</f>
        <v>0</v>
      </c>
      <c r="BE322" s="350">
        <f t="array" ref="BE322">IFERROR(IF(OR(AND(INDEX(Règles_bovins[Specificite],MATCH(RationHivernaleBovinsAuPré&amp;$BB322,Règles_bovins[Ration]&amp;Règles_bovins[Aliment],0))="s1",IF($BB322=Spécificité1Bovins,1)),
AND(INDEX(Règles_bovins[Specificite],MATCH(RationHivernaleBovinsAuPré&amp;$BB322,Règles_bovins[Ration]&amp;Règles_bovins[Aliment],0))="s2",IF($BB322=Spécificité2Bovins,1)),
INDEX(Règles_bovins[Specificite],MATCH(RationHivernaleBovinsAuPré&amp;$BB322,Règles_bovins[Ration]&amp;Règles_bovins[Aliment],0))="c"),
INDEX(Règles_bovins[Valeur 18-24],MATCH(RationHivernaleBovinsAuPré&amp;$BB322,Règles_bovins[Ration]&amp;Règles_bovins[Aliment],0)),0),0)*IF(SUM(TotalBovins_18_24moisAuPré)&gt;0,SUM(TotalBovins_18_24moisAuPré),SUM(TotalBovins_18_24mois))*35</f>
        <v>0</v>
      </c>
      <c r="BF322" s="350">
        <f t="array" ref="BF322">IFERROR(IF(OR(AND(INDEX(Règles_bovins[Specificite],MATCH(RationHivernaleBovinsAuPré&amp;$BB322,Règles_bovins[Ration]&amp;Règles_bovins[Aliment],0))="s1",IF($BB322=Spécificité1Bovins,1)),
AND(INDEX(Règles_bovins[Specificite],MATCH(RationHivernaleBovinsAuPré&amp;$BB322,Règles_bovins[Ration]&amp;Règles_bovins[Aliment],0))="s2",IF($BB322=Spécificité2Bovins,1)),
INDEX(Règles_bovins[Specificite],MATCH(RationHivernaleBovinsAuPré&amp;$BB322,Règles_bovins[Ration]&amp;Règles_bovins[Aliment],0))="c"),
INDEX(Règles_bovins[Valeur 12-18],MATCH(RationHivernaleBovinsAuPré&amp;$BB322,Règles_bovins[Ration]&amp;Règles_bovins[Aliment],0)),0),0)*IF(SUM(TotalBovins_12_18moisAuPré)&gt;0,SUM(TotalBovins_12_18moisAuPré),SUM(TotalBovins_12_18mois))*35</f>
        <v>0</v>
      </c>
      <c r="BG322" s="350">
        <f t="array" ref="BG322">IFERROR(IF(OR(AND(INDEX(Règles_bovins[Specificite],MATCH(RationHivernaleBovinsAuPré&amp;$BB322,Règles_bovins[Ration]&amp;Règles_bovins[Aliment],0))="s1",IF($BB322=Spécificité1Bovins,1)),
AND(INDEX(Règles_bovins[Specificite],MATCH(RationHivernaleBovinsAuPré&amp;$BB322,Règles_bovins[Ration]&amp;Règles_bovins[Aliment],0))="s2",IF($BB322=Spécificité2Bovins,1)),
INDEX(Règles_bovins[Specificite],MATCH(RationHivernaleBovinsAuPré&amp;$BB322,Règles_bovins[Ration]&amp;Règles_bovins[Aliment],0))="c"),
INDEX(Règles_bovins[Valeur 6-12],MATCH(RationHivernaleBovinsAuPré&amp;$BB322,Règles_bovins[Ration]&amp;Règles_bovins[Aliment],0)),0),0)*IF(SUM(TotalBovins_6_12moisAuPré)&gt;0,SUM(TotalBovins_6_12moisAuPré),SUM(TotalBovins_6_12mois))*35</f>
        <v>0</v>
      </c>
      <c r="BH322" s="350">
        <f t="array" ref="BH322">IFERROR(IF(OR(AND(INDEX(Règles_bovins[Specificite],MATCH(RationHivernaleBovinsAuPré&amp;$BB322,Règles_bovins[Ration]&amp;Règles_bovins[Aliment],0))="s1",IF($BB322=Spécificité1Bovins,1)),
AND(INDEX(Règles_bovins[Specificite],MATCH(RationHivernaleBovinsAuPré&amp;$BB322,Règles_bovins[Ration]&amp;Règles_bovins[Aliment],0))="s2",IF($BB322=Spécificité2Bovins,1)),
INDEX(Règles_bovins[Specificite],MATCH(RationHivernaleBovinsAuPré&amp;$BB322,Règles_bovins[Ration]&amp;Règles_bovins[Aliment],0))="c"),
INDEX(Règles_bovins[Valeur 3-6],MATCH(RationHivernaleBovinsAuPré&amp;$BB322,Règles_bovins[Ration]&amp;Règles_bovins[Aliment],0)),0),0)*IF(SUM(TotalBovins_3_6moisAuPré)&gt;0,SUM(TotalBovins_3_6moisAuPré),SUM(TotalBovins_3_6mois))*35</f>
        <v>0</v>
      </c>
      <c r="BI322" s="350">
        <f t="array" ref="BI322">IFERROR(IF(OR(AND(INDEX(Règles_bovins[Specificite],MATCH(RationHivernaleBovinsAuPré&amp;$BB322,Règles_bovins[Ration]&amp;Règles_bovins[Aliment],0))="s1",IF($BB322=Spécificité1Bovins,1)),
AND(INDEX(Règles_bovins[Specificite],MATCH(RationHivernaleBovinsAuPré&amp;$BB322,Règles_bovins[Ration]&amp;Règles_bovins[Aliment],0))="s2",IF($BB322=Spécificité2Bovins,1)),
INDEX(Règles_bovins[Specificite],MATCH(RationHivernaleBovinsAuPré&amp;$BB322,Règles_bovins[Ration]&amp;Règles_bovins[Aliment],0))="c"),
INDEX(Règles_bovins[Valeur 0-3],MATCH(RationHivernaleBovinsAuPré&amp;$BB322,Règles_bovins[Ration]&amp;Règles_bovins[Aliment],0)),0),0)*IF(SUM(TotalBovins_0_3moisAuPré)&gt;0,SUM(TotalBovins_0_3moisAuPré),SUM(TotalBovins_0_3mois))*35</f>
        <v>0</v>
      </c>
      <c r="BJ322" s="352">
        <f t="shared" si="71"/>
        <v>0</v>
      </c>
      <c r="BM322" s="276"/>
      <c r="DN322" s="350" t="str">
        <f t="shared" si="73"/>
        <v>Tournesol</v>
      </c>
      <c r="DO322" s="351">
        <f t="array" ref="DO322">SUM((IF(QualitéAlimentsAgneauMâle_0_3_mois=BONNE,VLOOKUP("Tournesol",AlimentsRationOvinsMâles,5,FALSE),0)+(IF(QualitéAlimentsAgneauFemelle_0_3_mois=BONNE,VLOOKUP("Tournesol",AlimentsRationOvinsFemelles,5,FALSE),0)+(IF(QualitéAlimentsAgneauMâle_3_6_mois=BONNE,VLOOKUP("Tournesol",AlimentsRationOvinsMâles,4,FALSE),0)+(IF(QualitéAlimentsAgneauFemelle_3_6_mois=BONNE,VLOOKUP("Tournesol",AlimentsRationOvinsFemelles,4,FALSE),0)+(IF(QualitéAlimentsJeuneBélier=BONNE,VLOOKUP("Tournesol",AlimentsRationOvinsMâles,3,FALSE),0)+(IF(QualitéAlimentsJeuneBrebis=BONNE,VLOOKUP("Tournesol",AlimentsRationOvinsFemelles,3,FALSE),0)+(IF(QualitéAlimentsBélier=BONNE,VLOOKUP("Tournesol",AlimentsRationOvinsMâles,2,FALSE),0)+(IF(QualitéAlimentsBrebis=BONNE,VLOOKUP("Tournesol",AlimentsRationOvinsFemelles,2,FALSE),0))))))))))</f>
        <v>0</v>
      </c>
      <c r="DP322" s="351">
        <f t="array" ref="DP322">SUM((IF(QualitéAlimentsAgneauMâle_0_3_mois=MOYENNE,VLOOKUP("Tournesol",AlimentsRationOvinsMâles,5,FALSE),0)+(IF(QualitéAlimentsAgneauFemelle_0_3_mois=MOYENNE,VLOOKUP("Tournesol",AlimentsRationOvinsFemelles,5,FALSE),0)+(IF(QualitéAlimentsAgneauMâle_3_6_mois=MOYENNE,VLOOKUP("Tournesol",AlimentsRationOvinsMâles,4,FALSE),0)+(IF(QualitéAlimentsAgneauFemelle_3_6_mois=MOYENNE,VLOOKUP("Tournesol",AlimentsRationOvinsFemelles,4,FALSE),0)+(IF(QualitéAlimentsJeuneBélier=MOYENNE,VLOOKUP("Tournesol",AlimentsRationOvinsMâles,3,FALSE),0)+(IF(QualitéAlimentsJeuneBrebis=MOYENNE,VLOOKUP("Tournesol",AlimentsRationOvinsFemelles,3,FALSE),0)+(IF(QualitéAlimentsBélier=MOYENNE,VLOOKUP("Tournesol",AlimentsRationOvinsMâles,2,FALSE),0)+(IF(QualitéAlimentsBrebis=MOYENNE,VLOOKUP("Tournesol",AlimentsRationOvinsFemelles,2,FALSE),0))))))))))</f>
        <v>0</v>
      </c>
      <c r="DQ322" s="351">
        <f t="array" ref="DQ322">SUM((IF(QualitéAlimentsAgneauMâle_0_3_mois=MAUVAISE,VLOOKUP("Tournesol",AlimentsRationOvinsMâles,5,FALSE),0)+(IF(QualitéAlimentsAgneauFemelle_0_3_mois=MAUVAISE,VLOOKUP("Tournesol",AlimentsRationOvinsFemelles,5,FALSE),0)+(IF(QualitéAlimentsAgneauMâle_3_6_mois=MAUVAISE,VLOOKUP("Tournesol",AlimentsRationOvinsMâles,4,FALSE),0)+(IF(QualitéAlimentsAgneauFemelle_3_6_mois=MAUVAISE,VLOOKUP("Tournesol",AlimentsRationOvinsFemelles,4,FALSE),0)+(IF(QualitéAlimentsJeuneBélier=MAUVAISE,VLOOKUP("Tournesol",AlimentsRationOvinsMâles,3,FALSE),0)+(IF(QualitéAlimentsJeuneBrebis=MAUVAISE,VLOOKUP("Tournesol",AlimentsRationOvinsFemelles,3,FALSE),0)+(IF(QualitéAlimentsBélier=MAUVAISE,VLOOKUP("Tournesol",AlimentsRationOvinsMâles,2,FALSE),0)+(IF(QualitéAlimentsBrebis=MAUVAISE,VLOOKUP("Tournesol",AlimentsRationOvinsFemelles,2,FALSE),0))))))))))</f>
        <v>0</v>
      </c>
      <c r="DS322" s="276"/>
      <c r="GG322" s="276" t="s">
        <v>955</v>
      </c>
      <c r="GH322" s="276" t="s">
        <v>955</v>
      </c>
      <c r="GI322" s="276" t="s">
        <v>955</v>
      </c>
      <c r="GJ322" s="276" t="s">
        <v>955</v>
      </c>
      <c r="GK322" s="276" t="s">
        <v>955</v>
      </c>
      <c r="GL322" s="276" t="s">
        <v>955</v>
      </c>
      <c r="GM322" s="276" t="s">
        <v>955</v>
      </c>
      <c r="GN322" s="276" t="s">
        <v>955</v>
      </c>
      <c r="GO322" s="276" t="s">
        <v>955</v>
      </c>
      <c r="GP322" s="276" t="s">
        <v>955</v>
      </c>
      <c r="GQ322" s="276" t="s">
        <v>955</v>
      </c>
      <c r="GR322" s="276" t="s">
        <v>955</v>
      </c>
      <c r="GS322" s="276" t="s">
        <v>955</v>
      </c>
      <c r="GT322" s="276" t="s">
        <v>955</v>
      </c>
      <c r="GU322" s="276" t="s">
        <v>955</v>
      </c>
      <c r="GV322" s="276" t="s">
        <v>955</v>
      </c>
    </row>
    <row r="323" spans="1:204" ht="12.75" customHeight="1" x14ac:dyDescent="0.2">
      <c r="A323" s="276"/>
      <c r="B323" s="276"/>
      <c r="BB323" s="350">
        <f t="shared" si="72"/>
        <v>0</v>
      </c>
      <c r="BC323" s="350">
        <f t="array" ref="BC323">IFERROR(IF(OR(AND(INDEX(Règles_bovins[Specificite],MATCH(RationHivernaleBovinsAuPré&amp;$BB323,Règles_bovins[Ration]&amp;Règles_bovins[Aliment],0))="s1",IF($BB323=Spécificité1Bovins,1)),
AND(INDEX(Règles_bovins[Specificite],MATCH(RationHivernaleBovinsAuPré&amp;$BB323,Règles_bovins[Ration]&amp;Règles_bovins[Aliment],0))="s2",IF($BB323=Spécificité2Bovins,1)),
INDEX(Règles_bovins[Specificite],MATCH(RationHivernaleBovinsAuPré&amp;$BB323,Règles_bovins[Ration]&amp;Règles_bovins[Aliment],0))="c"),
INDEX(Règles_bovins[Valeur 36 et plus],MATCH(RationHivernaleBovinsAuPré&amp;$BB323,Règles_bovins[Ration]&amp;Règles_bovins[Aliment],0)),0),0)*IF(SUM(TotalBovinsAdultesAuPré)&gt;0,SUM(TotalBovinsAdultesAuPré),SUM(TotalBovinsAdultes))*35</f>
        <v>0</v>
      </c>
      <c r="BD323" s="350">
        <f t="array" ref="BD323">IFERROR(IF(OR(AND(INDEX(Règles_bovins[Specificite],MATCH(RationHivernaleBovinsAuPré&amp;$BB323,Règles_bovins[Ration]&amp;Règles_bovins[Aliment],0))="s1",IF($BB323=Spécificité1Bovins,1)),
AND(INDEX(Règles_bovins[Specificite],MATCH(RationHivernaleBovinsAuPré&amp;$BB323,Règles_bovins[Ration]&amp;Règles_bovins[Aliment],0))="s2",IF($BB323=Spécificité2Bovins,1)),
INDEX(Règles_bovins[Specificite],MATCH(RationHivernaleBovinsAuPré&amp;$BB323,Règles_bovins[Ration]&amp;Règles_bovins[Aliment],0))="c"),
INDEX(Règles_bovins[Valeur 24-36],MATCH(RationHivernaleBovinsAuPré&amp;$BB323,Règles_bovins[Ration]&amp;Règles_bovins[Aliment],0)),0),0)*IF(SUM(TotalBovins_24_36moisAuPré)&gt;0,SUM(TotalBovins_24_36moisAuPré),SUM(TotalBovins_24_36mois))*35</f>
        <v>0</v>
      </c>
      <c r="BE323" s="350">
        <f t="array" ref="BE323">IFERROR(IF(OR(AND(INDEX(Règles_bovins[Specificite],MATCH(RationHivernaleBovinsAuPré&amp;$BB323,Règles_bovins[Ration]&amp;Règles_bovins[Aliment],0))="s1",IF($BB323=Spécificité1Bovins,1)),
AND(INDEX(Règles_bovins[Specificite],MATCH(RationHivernaleBovinsAuPré&amp;$BB323,Règles_bovins[Ration]&amp;Règles_bovins[Aliment],0))="s2",IF($BB323=Spécificité2Bovins,1)),
INDEX(Règles_bovins[Specificite],MATCH(RationHivernaleBovinsAuPré&amp;$BB323,Règles_bovins[Ration]&amp;Règles_bovins[Aliment],0))="c"),
INDEX(Règles_bovins[Valeur 18-24],MATCH(RationHivernaleBovinsAuPré&amp;$BB323,Règles_bovins[Ration]&amp;Règles_bovins[Aliment],0)),0),0)*IF(SUM(TotalBovins_18_24moisAuPré)&gt;0,SUM(TotalBovins_18_24moisAuPré),SUM(TotalBovins_18_24mois))*35</f>
        <v>0</v>
      </c>
      <c r="BF323" s="350">
        <f t="array" ref="BF323">IFERROR(IF(OR(AND(INDEX(Règles_bovins[Specificite],MATCH(RationHivernaleBovinsAuPré&amp;$BB323,Règles_bovins[Ration]&amp;Règles_bovins[Aliment],0))="s1",IF($BB323=Spécificité1Bovins,1)),
AND(INDEX(Règles_bovins[Specificite],MATCH(RationHivernaleBovinsAuPré&amp;$BB323,Règles_bovins[Ration]&amp;Règles_bovins[Aliment],0))="s2",IF($BB323=Spécificité2Bovins,1)),
INDEX(Règles_bovins[Specificite],MATCH(RationHivernaleBovinsAuPré&amp;$BB323,Règles_bovins[Ration]&amp;Règles_bovins[Aliment],0))="c"),
INDEX(Règles_bovins[Valeur 12-18],MATCH(RationHivernaleBovinsAuPré&amp;$BB323,Règles_bovins[Ration]&amp;Règles_bovins[Aliment],0)),0),0)*IF(SUM(TotalBovins_12_18moisAuPré)&gt;0,SUM(TotalBovins_12_18moisAuPré),SUM(TotalBovins_12_18mois))*35</f>
        <v>0</v>
      </c>
      <c r="BG323" s="350">
        <f t="array" ref="BG323">IFERROR(IF(OR(AND(INDEX(Règles_bovins[Specificite],MATCH(RationHivernaleBovinsAuPré&amp;$BB323,Règles_bovins[Ration]&amp;Règles_bovins[Aliment],0))="s1",IF($BB323=Spécificité1Bovins,1)),
AND(INDEX(Règles_bovins[Specificite],MATCH(RationHivernaleBovinsAuPré&amp;$BB323,Règles_bovins[Ration]&amp;Règles_bovins[Aliment],0))="s2",IF($BB323=Spécificité2Bovins,1)),
INDEX(Règles_bovins[Specificite],MATCH(RationHivernaleBovinsAuPré&amp;$BB323,Règles_bovins[Ration]&amp;Règles_bovins[Aliment],0))="c"),
INDEX(Règles_bovins[Valeur 6-12],MATCH(RationHivernaleBovinsAuPré&amp;$BB323,Règles_bovins[Ration]&amp;Règles_bovins[Aliment],0)),0),0)*IF(SUM(TotalBovins_6_12moisAuPré)&gt;0,SUM(TotalBovins_6_12moisAuPré),SUM(TotalBovins_6_12mois))*35</f>
        <v>0</v>
      </c>
      <c r="BH323" s="350">
        <f t="array" ref="BH323">IFERROR(IF(OR(AND(INDEX(Règles_bovins[Specificite],MATCH(RationHivernaleBovinsAuPré&amp;$BB323,Règles_bovins[Ration]&amp;Règles_bovins[Aliment],0))="s1",IF($BB323=Spécificité1Bovins,1)),
AND(INDEX(Règles_bovins[Specificite],MATCH(RationHivernaleBovinsAuPré&amp;$BB323,Règles_bovins[Ration]&amp;Règles_bovins[Aliment],0))="s2",IF($BB323=Spécificité2Bovins,1)),
INDEX(Règles_bovins[Specificite],MATCH(RationHivernaleBovinsAuPré&amp;$BB323,Règles_bovins[Ration]&amp;Règles_bovins[Aliment],0))="c"),
INDEX(Règles_bovins[Valeur 3-6],MATCH(RationHivernaleBovinsAuPré&amp;$BB323,Règles_bovins[Ration]&amp;Règles_bovins[Aliment],0)),0),0)*IF(SUM(TotalBovins_3_6moisAuPré)&gt;0,SUM(TotalBovins_3_6moisAuPré),SUM(TotalBovins_3_6mois))*35</f>
        <v>0</v>
      </c>
      <c r="BI323" s="350">
        <f t="array" ref="BI323">IFERROR(IF(OR(AND(INDEX(Règles_bovins[Specificite],MATCH(RationHivernaleBovinsAuPré&amp;$BB323,Règles_bovins[Ration]&amp;Règles_bovins[Aliment],0))="s1",IF($BB323=Spécificité1Bovins,1)),
AND(INDEX(Règles_bovins[Specificite],MATCH(RationHivernaleBovinsAuPré&amp;$BB323,Règles_bovins[Ration]&amp;Règles_bovins[Aliment],0))="s2",IF($BB323=Spécificité2Bovins,1)),
INDEX(Règles_bovins[Specificite],MATCH(RationHivernaleBovinsAuPré&amp;$BB323,Règles_bovins[Ration]&amp;Règles_bovins[Aliment],0))="c"),
INDEX(Règles_bovins[Valeur 0-3],MATCH(RationHivernaleBovinsAuPré&amp;$BB323,Règles_bovins[Ration]&amp;Règles_bovins[Aliment],0)),0),0)*IF(SUM(TotalBovins_0_3moisAuPré)&gt;0,SUM(TotalBovins_0_3moisAuPré),SUM(TotalBovins_0_3mois))*35</f>
        <v>0</v>
      </c>
      <c r="BJ323" s="352">
        <f t="shared" si="71"/>
        <v>0</v>
      </c>
      <c r="BM323" s="276"/>
      <c r="DN323" s="350" t="str">
        <f t="shared" si="73"/>
        <v>Tourteau de colza</v>
      </c>
      <c r="DO323" s="351">
        <f t="array" ref="DO323">SUM((IF(QualitéAlimentsAgneauMâle_0_3_mois=BONNE,VLOOKUP("Tournesol de colza",AlimentsRationOvinsMâles,5,FALSE),0)+(IF(QualitéAlimentsAgneauFemelle_0_3_mois=BONNE,VLOOKUP("Tournesol de colza",AlimentsRationOvinsFemelles,5,FALSE),0)+(IF(QualitéAlimentsAgneauMâle_3_6_mois=BONNE,VLOOKUP("Tournesol de colza",AlimentsRationOvinsMâles,4,FALSE),0)+(IF(QualitéAlimentsAgneauFemelle_3_6_mois=BONNE,VLOOKUP("Tournesol de colza",AlimentsRationOvinsFemelles,4,FALSE),0)+(IF(QualitéAlimentsJeuneBélier=BONNE,VLOOKUP("Tournesol de colza",AlimentsRationOvinsMâles,3,FALSE),0)+(IF(QualitéAlimentsJeuneBrebis=BONNE,VLOOKUP("Tournesol de colza",AlimentsRationOvinsFemelles,3,FALSE),0)+(IF(QualitéAlimentsBélier=BONNE,VLOOKUP("Tournesol de colza",AlimentsRationOvinsMâles,2,FALSE),0)+(IF(QualitéAlimentsBrebis=BONNE,VLOOKUP("Tournesol de colza",AlimentsRationOvinsFemelles,2,FALSE),0))))))))))</f>
        <v>0</v>
      </c>
      <c r="DP323" s="351">
        <f t="array" ref="DP323">SUM((IF(QualitéAlimentsAgneauMâle_0_3_mois=MOYENNE,VLOOKUP("Tournesol de colza",AlimentsRationOvinsMâles,5,FALSE),0)+(IF(QualitéAlimentsAgneauFemelle_0_3_mois=MOYENNE,VLOOKUP("Tournesol de colza",AlimentsRationOvinsFemelles,5,FALSE),0)+(IF(QualitéAlimentsAgneauMâle_3_6_mois=MOYENNE,VLOOKUP("Tournesol de colza",AlimentsRationOvinsMâles,4,FALSE),0)+(IF(QualitéAlimentsAgneauFemelle_3_6_mois=MOYENNE,VLOOKUP("Tournesol de colza",AlimentsRationOvinsFemelles,4,FALSE),0)+(IF(QualitéAlimentsJeuneBélier=MOYENNE,VLOOKUP("Tournesol de colza",AlimentsRationOvinsMâles,3,FALSE),0)+(IF(QualitéAlimentsJeuneBrebis=MOYENNE,VLOOKUP("Tournesol de colza",AlimentsRationOvinsFemelles,3,FALSE),0)+(IF(QualitéAlimentsBélier=MOYENNE,VLOOKUP("Tournesol de colza",AlimentsRationOvinsMâles,2,FALSE),0)+(IF(QualitéAlimentsBrebis=MOYENNE,VLOOKUP("Tournesol de colza",AlimentsRationOvinsFemelles,2,FALSE),0))))))))))</f>
        <v>0</v>
      </c>
      <c r="DQ323" s="351">
        <f t="array" ref="DQ323">SUM((IF(QualitéAlimentsAgneauMâle_0_3_mois=MAUVAISE,VLOOKUP("Tournesol de colza",AlimentsRationOvinsMâles,5,FALSE),0)+(IF(QualitéAlimentsAgneauFemelle_0_3_mois=MAUVAISE,VLOOKUP("Tournesol de colza",AlimentsRationOvinsFemelles,5,FALSE),0)+(IF(QualitéAlimentsAgneauMâle_3_6_mois=MAUVAISE,VLOOKUP("Tournesol de colza",AlimentsRationOvinsMâles,4,FALSE),0)+(IF(QualitéAlimentsAgneauFemelle_3_6_mois=MAUVAISE,VLOOKUP("Tournesol de colza",AlimentsRationOvinsFemelles,4,FALSE),0)+(IF(QualitéAlimentsJeuneBélier=MAUVAISE,VLOOKUP("Tournesol de colza",AlimentsRationOvinsMâles,3,FALSE),0)+(IF(QualitéAlimentsJeuneBrebis=MAUVAISE,VLOOKUP("Tournesol de colza",AlimentsRationOvinsFemelles,3,FALSE),0)+(IF(QualitéAlimentsBélier=MAUVAISE,VLOOKUP("Tournesol de colza",AlimentsRationOvinsMâles,2,FALSE),0)+(IF(QualitéAlimentsBrebis=MAUVAISE,VLOOKUP("Tournesol de colza",AlimentsRationOvinsFemelles,2,FALSE),0))))))))))</f>
        <v>0</v>
      </c>
      <c r="DS323" s="276"/>
      <c r="GG323" s="276" t="s">
        <v>955</v>
      </c>
      <c r="GH323" s="276" t="s">
        <v>955</v>
      </c>
      <c r="GI323" s="276" t="s">
        <v>955</v>
      </c>
      <c r="GJ323" s="276" t="s">
        <v>955</v>
      </c>
      <c r="GK323" s="276" t="s">
        <v>955</v>
      </c>
      <c r="GL323" s="276" t="s">
        <v>955</v>
      </c>
      <c r="GM323" s="276" t="s">
        <v>955</v>
      </c>
      <c r="GN323" s="276" t="s">
        <v>955</v>
      </c>
      <c r="GO323" s="276" t="s">
        <v>955</v>
      </c>
      <c r="GP323" s="276" t="s">
        <v>955</v>
      </c>
      <c r="GQ323" s="276" t="s">
        <v>955</v>
      </c>
      <c r="GR323" s="276" t="s">
        <v>955</v>
      </c>
      <c r="GS323" s="276" t="s">
        <v>955</v>
      </c>
      <c r="GT323" s="276" t="s">
        <v>955</v>
      </c>
      <c r="GU323" s="276" t="s">
        <v>955</v>
      </c>
      <c r="GV323" s="276" t="s">
        <v>955</v>
      </c>
    </row>
    <row r="324" spans="1:204" ht="12.75" customHeight="1" x14ac:dyDescent="0.2">
      <c r="A324" s="276"/>
      <c r="B324" s="276"/>
      <c r="BM324" s="276"/>
      <c r="DN324" s="350" t="str">
        <f t="shared" si="73"/>
        <v>Tourteau de tournesol</v>
      </c>
      <c r="DO324" s="351">
        <f t="array" ref="DO324">SUM((IF(QualitéAlimentsAgneauMâle_0_3_mois=BONNE,VLOOKUP("Tournesol de tournesol",AlimentsRationOvinsMâles,5,FALSE),0)+(IF(QualitéAlimentsAgneauFemelle_0_3_mois=BONNE,VLOOKUP("Tournesol de tournesol",AlimentsRationOvinsFemelles,5,FALSE),0)+(IF(QualitéAlimentsAgneauMâle_3_6_mois=BONNE,VLOOKUP("Tournesol de tournesol",AlimentsRationOvinsMâles,4,FALSE),0)+(IF(QualitéAlimentsAgneauFemelle_3_6_mois=BONNE,VLOOKUP("Tournesol de tournesol",AlimentsRationOvinsFemelles,4,FALSE),0)+(IF(QualitéAlimentsJeuneBélier=BONNE,VLOOKUP("Tournesol de tournesol",AlimentsRationOvinsMâles,3,FALSE),0)+(IF(QualitéAlimentsJeuneBrebis=BONNE,VLOOKUP("Tournesol de tournesol",AlimentsRationOvinsFemelles,3,FALSE),0)+(IF(QualitéAlimentsBélier=BONNE,VLOOKUP("Tournesol de tournesol",AlimentsRationOvinsMâles,2,FALSE),0)+(IF(QualitéAlimentsBrebis=BONNE,VLOOKUP("Tournesol de tournesol",AlimentsRationOvinsFemelles,2,FALSE),0))))))))))</f>
        <v>0</v>
      </c>
      <c r="DP324" s="351">
        <f t="array" ref="DP324">SUM((IF(QualitéAlimentsAgneauMâle_0_3_mois=MOYENNE,VLOOKUP("Tournesol de tournesol",AlimentsRationOvinsMâles,5,FALSE),0)+(IF(QualitéAlimentsAgneauFemelle_0_3_mois=MOYENNE,VLOOKUP("Tournesol de tournesol",AlimentsRationOvinsFemelles,5,FALSE),0)+(IF(QualitéAlimentsAgneauMâle_3_6_mois=MOYENNE,VLOOKUP("Tournesol de tournesol",AlimentsRationOvinsMâles,4,FALSE),0)+(IF(QualitéAlimentsAgneauFemelle_3_6_mois=MOYENNE,VLOOKUP("Tournesol de tournesol",AlimentsRationOvinsFemelles,4,FALSE),0)+(IF(QualitéAlimentsJeuneBélier=MOYENNE,VLOOKUP("Tournesol de tournesol",AlimentsRationOvinsMâles,3,FALSE),0)+(IF(QualitéAlimentsJeuneBrebis=MOYENNE,VLOOKUP("Tournesol de tournesol",AlimentsRationOvinsFemelles,3,FALSE),0)+(IF(QualitéAlimentsBélier=MOYENNE,VLOOKUP("Tournesol de tournesol",AlimentsRationOvinsMâles,2,FALSE),0)+(IF(QualitéAlimentsBrebis=MOYENNE,VLOOKUP("Tournesol de tournesol",AlimentsRationOvinsFemelles,2,FALSE),0))))))))))</f>
        <v>0</v>
      </c>
      <c r="DQ324" s="351">
        <f t="array" ref="DQ324">SUM((IF(QualitéAlimentsAgneauMâle_0_3_mois=MAUVAISE,VLOOKUP("Tournesol de tournesol",AlimentsRationOvinsMâles,5,FALSE),0)+(IF(QualitéAlimentsAgneauFemelle_0_3_mois=MAUVAISE,VLOOKUP("Tournesol de tournesol",AlimentsRationOvinsFemelles,5,FALSE),0)+(IF(QualitéAlimentsAgneauMâle_3_6_mois=MAUVAISE,VLOOKUP("Tournesol de tournesol",AlimentsRationOvinsMâles,4,FALSE),0)+(IF(QualitéAlimentsAgneauFemelle_3_6_mois=MAUVAISE,VLOOKUP("Tournesol de tournesol",AlimentsRationOvinsFemelles,4,FALSE),0)+(IF(QualitéAlimentsJeuneBélier=MAUVAISE,VLOOKUP("Tournesol de tournesol",AlimentsRationOvinsMâles,3,FALSE),0)+(IF(QualitéAlimentsJeuneBrebis=MAUVAISE,VLOOKUP("Tournesol de tournesol",AlimentsRationOvinsFemelles,3,FALSE),0)+(IF(QualitéAlimentsBélier=MAUVAISE,VLOOKUP("Tournesol de tournesol",AlimentsRationOvinsMâles,2,FALSE),0)+(IF(QualitéAlimentsBrebis=MAUVAISE,VLOOKUP("Tournesol de tournesol",AlimentsRationOvinsFemelles,2,FALSE),0))))))))))</f>
        <v>0</v>
      </c>
      <c r="DS324" s="276"/>
      <c r="GG324" s="276" t="s">
        <v>955</v>
      </c>
      <c r="GH324" s="276" t="s">
        <v>955</v>
      </c>
      <c r="GI324" s="276" t="s">
        <v>955</v>
      </c>
      <c r="GJ324" s="276" t="s">
        <v>955</v>
      </c>
      <c r="GK324" s="276" t="s">
        <v>955</v>
      </c>
      <c r="GL324" s="276" t="s">
        <v>955</v>
      </c>
      <c r="GM324" s="276" t="s">
        <v>955</v>
      </c>
      <c r="GN324" s="276" t="s">
        <v>955</v>
      </c>
      <c r="GO324" s="276" t="s">
        <v>955</v>
      </c>
      <c r="GP324" s="276" t="s">
        <v>955</v>
      </c>
      <c r="GQ324" s="276" t="s">
        <v>955</v>
      </c>
      <c r="GR324" s="276" t="s">
        <v>955</v>
      </c>
      <c r="GS324" s="276" t="s">
        <v>955</v>
      </c>
      <c r="GT324" s="276" t="s">
        <v>955</v>
      </c>
      <c r="GU324" s="276" t="s">
        <v>955</v>
      </c>
      <c r="GV324" s="276" t="s">
        <v>955</v>
      </c>
    </row>
    <row r="325" spans="1:204" ht="12.75" customHeight="1" x14ac:dyDescent="0.2">
      <c r="A325" s="276"/>
      <c r="B325" s="276"/>
      <c r="BB325" s="229" t="s">
        <v>913</v>
      </c>
      <c r="BC325" s="229"/>
      <c r="BD325" s="229"/>
      <c r="BE325" s="229"/>
      <c r="BF325" s="229"/>
      <c r="BG325" s="229"/>
      <c r="BH325" s="229"/>
      <c r="BI325" s="229"/>
      <c r="BJ325" s="229"/>
      <c r="BM325" s="276"/>
      <c r="DN325" s="350" t="str">
        <f t="shared" si="73"/>
        <v>Triticale</v>
      </c>
      <c r="DO325" s="351">
        <f t="array" ref="DO325">SUM((IF(QualitéAlimentsAgneauMâle_0_3_mois=BONNE,VLOOKUP("Triticale",AlimentsRationOvinsMâles,5,FALSE),0)+(IF(QualitéAlimentsAgneauFemelle_0_3_mois=BONNE,VLOOKUP("Triticale",AlimentsRationOvinsFemelles,5,FALSE),0)+(IF(QualitéAlimentsAgneauMâle_3_6_mois=BONNE,VLOOKUP("Triticale",AlimentsRationOvinsMâles,4,FALSE),0)+(IF(QualitéAlimentsAgneauFemelle_3_6_mois=BONNE,VLOOKUP("Triticale",AlimentsRationOvinsFemelles,4,FALSE),0)+(IF(QualitéAlimentsJeuneBélier=BONNE,VLOOKUP("Triticale",AlimentsRationOvinsMâles,3,FALSE),0)+(IF(QualitéAlimentsJeuneBrebis=BONNE,VLOOKUP("Triticale",AlimentsRationOvinsFemelles,3,FALSE),0)+(IF(QualitéAlimentsBélier=BONNE,VLOOKUP("Triticale",AlimentsRationOvinsMâles,2,FALSE),0)+(IF(QualitéAlimentsBrebis=BONNE,VLOOKUP("Triticale",AlimentsRationOvinsFemelles,2,FALSE),0))))))))))</f>
        <v>0</v>
      </c>
      <c r="DP325" s="351">
        <f t="array" ref="DP325">SUM((IF(QualitéAlimentsAgneauMâle_0_3_mois=MOYENNE,VLOOKUP("Triticale",AlimentsRationOvinsMâles,5,FALSE),0)+(IF(QualitéAlimentsAgneauFemelle_0_3_mois=MOYENNE,VLOOKUP("Triticale",AlimentsRationOvinsFemelles,5,FALSE),0)+(IF(QualitéAlimentsAgneauMâle_3_6_mois=MOYENNE,VLOOKUP("Triticale",AlimentsRationOvinsMâles,4,FALSE),0)+(IF(QualitéAlimentsAgneauFemelle_3_6_mois=MOYENNE,VLOOKUP("Triticale",AlimentsRationOvinsFemelles,4,FALSE),0)+(IF(QualitéAlimentsJeuneBélier=MOYENNE,VLOOKUP("Triticale",AlimentsRationOvinsMâles,3,FALSE),0)+(IF(QualitéAlimentsJeuneBrebis=MOYENNE,VLOOKUP("Triticale",AlimentsRationOvinsFemelles,3,FALSE),0)+(IF(QualitéAlimentsBélier=MOYENNE,VLOOKUP("Triticale",AlimentsRationOvinsMâles,2,FALSE),0)+(IF(QualitéAlimentsBrebis=MOYENNE,VLOOKUP("Triticale",AlimentsRationOvinsFemelles,2,FALSE),0))))))))))</f>
        <v>0</v>
      </c>
      <c r="DQ325" s="351">
        <f t="array" ref="DQ325">SUM((IF(QualitéAlimentsAgneauMâle_0_3_mois=MAUVAISE,VLOOKUP("Triticale",AlimentsRationOvinsMâles,5,FALSE),0)+(IF(QualitéAlimentsAgneauFemelle_0_3_mois=MAUVAISE,VLOOKUP("Triticale",AlimentsRationOvinsFemelles,5,FALSE),0)+(IF(QualitéAlimentsAgneauMâle_3_6_mois=MAUVAISE,VLOOKUP("Triticale",AlimentsRationOvinsMâles,4,FALSE),0)+(IF(QualitéAlimentsAgneauFemelle_3_6_mois=MAUVAISE,VLOOKUP("Triticale",AlimentsRationOvinsFemelles,4,FALSE),0)+(IF(QualitéAlimentsJeuneBélier=MAUVAISE,VLOOKUP("Triticale",AlimentsRationOvinsMâles,3,FALSE),0)+(IF(QualitéAlimentsJeuneBrebis=MAUVAISE,VLOOKUP("Triticale",AlimentsRationOvinsFemelles,3,FALSE),0)+(IF(QualitéAlimentsBélier=MAUVAISE,VLOOKUP("Triticale",AlimentsRationOvinsMâles,2,FALSE),0)+(IF(QualitéAlimentsBrebis=MAUVAISE,VLOOKUP("Triticale",AlimentsRationOvinsFemelles,2,FALSE),0))))))))))</f>
        <v>0</v>
      </c>
      <c r="DS325" s="276"/>
      <c r="GG325" s="276" t="s">
        <v>955</v>
      </c>
      <c r="GH325" s="276" t="s">
        <v>955</v>
      </c>
      <c r="GI325" s="276" t="s">
        <v>955</v>
      </c>
      <c r="GJ325" s="276" t="s">
        <v>955</v>
      </c>
      <c r="GK325" s="276" t="s">
        <v>955</v>
      </c>
      <c r="GL325" s="276" t="s">
        <v>955</v>
      </c>
      <c r="GM325" s="276" t="s">
        <v>955</v>
      </c>
      <c r="GN325" s="276" t="s">
        <v>955</v>
      </c>
      <c r="GO325" s="276" t="s">
        <v>955</v>
      </c>
      <c r="GP325" s="276" t="s">
        <v>955</v>
      </c>
      <c r="GQ325" s="276" t="s">
        <v>955</v>
      </c>
      <c r="GR325" s="276" t="s">
        <v>955</v>
      </c>
      <c r="GS325" s="276" t="s">
        <v>955</v>
      </c>
      <c r="GT325" s="276" t="s">
        <v>955</v>
      </c>
      <c r="GU325" s="276" t="s">
        <v>955</v>
      </c>
      <c r="GV325" s="276" t="s">
        <v>955</v>
      </c>
    </row>
    <row r="326" spans="1:204" ht="12.75" customHeight="1" x14ac:dyDescent="0.2">
      <c r="A326" s="276"/>
      <c r="B326" s="276"/>
      <c r="BB326" s="394" t="s">
        <v>910</v>
      </c>
      <c r="BC326" s="395" t="s">
        <v>902</v>
      </c>
      <c r="BD326" s="395" t="s">
        <v>901</v>
      </c>
      <c r="BE326" s="395" t="s">
        <v>900</v>
      </c>
      <c r="BF326" s="395" t="s">
        <v>899</v>
      </c>
      <c r="BG326" s="395" t="s">
        <v>898</v>
      </c>
      <c r="BH326" s="395" t="s">
        <v>897</v>
      </c>
      <c r="BI326" s="395" t="s">
        <v>896</v>
      </c>
      <c r="BJ326" s="396" t="s">
        <v>903</v>
      </c>
      <c r="BM326" s="276"/>
      <c r="DN326" s="350">
        <f t="shared" si="73"/>
        <v>0</v>
      </c>
      <c r="DO326" s="351"/>
      <c r="DP326" s="351"/>
      <c r="DQ326" s="351"/>
      <c r="DS326" s="276"/>
      <c r="GG326" s="276" t="s">
        <v>955</v>
      </c>
      <c r="GH326" s="276" t="s">
        <v>955</v>
      </c>
      <c r="GI326" s="276" t="s">
        <v>955</v>
      </c>
      <c r="GJ326" s="276" t="s">
        <v>955</v>
      </c>
      <c r="GK326" s="276" t="s">
        <v>955</v>
      </c>
      <c r="GL326" s="276" t="s">
        <v>955</v>
      </c>
      <c r="GM326" s="276" t="s">
        <v>955</v>
      </c>
      <c r="GN326" s="276" t="s">
        <v>955</v>
      </c>
      <c r="GO326" s="276" t="s">
        <v>955</v>
      </c>
      <c r="GP326" s="276" t="s">
        <v>955</v>
      </c>
      <c r="GQ326" s="276" t="s">
        <v>955</v>
      </c>
      <c r="GR326" s="276" t="s">
        <v>955</v>
      </c>
      <c r="GS326" s="276" t="s">
        <v>955</v>
      </c>
      <c r="GT326" s="276" t="s">
        <v>955</v>
      </c>
      <c r="GU326" s="276" t="s">
        <v>955</v>
      </c>
      <c r="GV326" s="276" t="s">
        <v>955</v>
      </c>
    </row>
    <row r="327" spans="1:204" ht="12.75" customHeight="1" x14ac:dyDescent="0.2">
      <c r="A327" s="276"/>
      <c r="B327" s="276"/>
      <c r="BB327" s="397" t="s">
        <v>508</v>
      </c>
      <c r="BC327" s="398">
        <f t="array" ref="BC327">IF(ChoixRationHivernaleComplèteBovins=OUI,IFERROR(IF(OR(AND(INDEX(Règles_bovins[Specificite],MATCH(RationHivernaleBovinsAuPré&amp;Ration_hivernale_complète_bovins[aliment],Règles_bovins[Ration]&amp;Règles_bovins[Aliment],0))="s1",IF(Ration_hivernale_complète_bovins[aliment]=Spécificité1Bovins,1)),
AND(INDEX(Règles_bovins[Specificite],MATCH(RationHivernaleBovinsAuPré&amp;Ration_hivernale_complète_bovins[aliment],Règles_bovins[Ration]&amp;Règles_bovins[Aliment],0))="s2",IF(Ration_hivernale_complète_bovins[aliment]=Spécificité2Bovins,1)),
INDEX(Règles_bovins[Specificite],MATCH(RationHivernaleBovinsAuPré&amp;Ration_hivernale_complète_bovins[aliment],Règles_bovins[Ration]&amp;Règles_bovins[Aliment],0))="c",INDEX(Règles_bovins[Specificite],MATCH(RationHivernaleBovinsAuPré&amp;Ration_hivernale_complète_bovins[aliment],Règles_bovins[Ration]&amp;Règles_bovins[Aliment],0))="complet"),
INDEX(Règles_bovins[Valeur 36 et plus],MATCH(RationHivernaleBovinsAuPré&amp;Ration_hivernale_complète_bovins[aliment],Règles_bovins[Ration]&amp;Règles_bovins[Aliment],0)),0),0)*IF(SUM(TotalBovinsLaitièresEtAlalaitantes)=0,SUM(TotalBovinsAdultes)*35,SUM(TotalBovinsAdultesAuPré)*35),0)</f>
        <v>0</v>
      </c>
      <c r="BD327" s="398">
        <f t="array" ref="BD327">IF(ChoixRationHivernaleComplèteBovins=OUI,IFERROR(IF(OR(AND(INDEX(Règles_bovins[Specificite],MATCH(RationHivernaleBovinsAuPré&amp;Ration_hivernale_complète_bovins[aliment],Règles_bovins[Ration]&amp;Règles_bovins[Aliment],0))="s1",IF(Ration_hivernale_complète_bovins[aliment]=Spécificité1Bovins,1)),
AND(INDEX(Règles_bovins[Specificite],MATCH(RationHivernaleBovinsAuPré&amp;Ration_hivernale_complète_bovins[aliment],Règles_bovins[Ration]&amp;Règles_bovins[Aliment],0))="s2",IF(Ration_hivernale_complète_bovins[aliment]=Spécificité2Bovins,1)),
INDEX(Règles_bovins[Specificite],MATCH(RationHivernaleBovinsAuPré&amp;Ration_hivernale_complète_bovins[aliment],Règles_bovins[Ration]&amp;Règles_bovins[Aliment],0))="c",INDEX(Règles_bovins[Specificite],MATCH(RationHivernaleBovinsAuPré&amp;Ration_hivernale_complète_bovins[aliment],Règles_bovins[Ration]&amp;Règles_bovins[Aliment],0))="complet"),
INDEX(Règles_bovins[Valeur 24-36],MATCH(RationHivernaleBovinsAuPré&amp;Ration_hivernale_complète_bovins[aliment],Règles_bovins[Ration]&amp;Règles_bovins[Aliment],0)),0),0)*IF(SUM(TotalBovinsLaitièresEtAlalaitantes)=0,SUM(TotalBovins_24_36mois)*35,SUM(TotalBovins_24_36moisAuPré)*35),0)</f>
        <v>0</v>
      </c>
      <c r="BE327" s="398">
        <f t="array" ref="BE327">IF(ChoixRationHivernaleComplèteBovins=OUI,IFERROR(IF(OR(AND(INDEX(Règles_bovins[Specificite],MATCH(RationHivernaleBovinsAuPré&amp;Ration_hivernale_complète_bovins[aliment],Règles_bovins[Ration]&amp;Règles_bovins[Aliment],0))="s1",IF(Ration_hivernale_complète_bovins[aliment]=Spécificité1Bovins,1)),
AND(INDEX(Règles_bovins[Specificite],MATCH(RationHivernaleBovinsAuPré&amp;Ration_hivernale_complète_bovins[aliment],Règles_bovins[Ration]&amp;Règles_bovins[Aliment],0))="s2",IF(Ration_hivernale_complète_bovins[aliment]=Spécificité2Bovins,1)),
INDEX(Règles_bovins[Specificite],MATCH(RationHivernaleBovinsAuPré&amp;Ration_hivernale_complète_bovins[aliment],Règles_bovins[Ration]&amp;Règles_bovins[Aliment],0))="c",INDEX(Règles_bovins[Specificite],MATCH(RationHivernaleBovinsAuPré&amp;Ration_hivernale_complète_bovins[aliment],Règles_bovins[Ration]&amp;Règles_bovins[Aliment],0))="complet"),
INDEX(Règles_bovins[Valeur 18-24],MATCH(RationHivernaleBovinsAuPré&amp;Ration_hivernale_complète_bovins[aliment],Règles_bovins[Ration]&amp;Règles_bovins[Aliment],0)),0),0)*IF(SUM(TotalBovinsLaitièresEtAlalaitantes)=0,SUM(TotalBovins_18_24mois)*35,SUM(TotalBovins_18_24moisAuPré)*35),0)</f>
        <v>0</v>
      </c>
      <c r="BF327" s="398">
        <f t="array" ref="BF327">IF(ChoixRationHivernaleComplèteBovins=OUI,IFERROR(IF(OR(AND(INDEX(Règles_bovins[Specificite],MATCH(RationHivernaleBovinsAuPré&amp;Ration_hivernale_complète_bovins[aliment],Règles_bovins[Ration]&amp;Règles_bovins[Aliment],0))="s1",IF(Ration_hivernale_complète_bovins[aliment]=Spécificité1Bovins,1)),
AND(INDEX(Règles_bovins[Specificite],MATCH(RationHivernaleBovinsAuPré&amp;Ration_hivernale_complète_bovins[aliment],Règles_bovins[Ration]&amp;Règles_bovins[Aliment],0))="s2",IF(Ration_hivernale_complète_bovins[aliment]=Spécificité2Bovins,1)),
INDEX(Règles_bovins[Specificite],MATCH(RationHivernaleBovinsAuPré&amp;Ration_hivernale_complète_bovins[aliment],Règles_bovins[Ration]&amp;Règles_bovins[Aliment],0))="c",INDEX(Règles_bovins[Specificite],MATCH(RationHivernaleBovinsAuPré&amp;Ration_hivernale_complète_bovins[aliment],Règles_bovins[Ration]&amp;Règles_bovins[Aliment],0))="complet"),
INDEX(Règles_bovins[Valeur 12-18],MATCH(RationHivernaleBovinsAuPré&amp;Ration_hivernale_complète_bovins[aliment],Règles_bovins[Ration]&amp;Règles_bovins[Aliment],0)),0),0)*IF(SUM(TotalBovinsLaitièresEtAlalaitantes)=0,SUM(TotalBovins_12_18mois)*35,SUM(TotalBovins_12_18moisAuPré)*35),0)</f>
        <v>0</v>
      </c>
      <c r="BG327" s="398">
        <f t="array" ref="BG327">IF(ChoixRationHivernaleComplèteBovins=OUI,IFERROR(IF(OR(AND(INDEX(Règles_bovins[Specificite],MATCH(RationHivernaleBovinsAuPré&amp;Ration_hivernale_complète_bovins[aliment],Règles_bovins[Ration]&amp;Règles_bovins[Aliment],0))="s1",IF(Ration_hivernale_complète_bovins[aliment]=Spécificité1Bovins,1)),
AND(INDEX(Règles_bovins[Specificite],MATCH(RationHivernaleBovinsAuPré&amp;Ration_hivernale_complète_bovins[aliment],Règles_bovins[Ration]&amp;Règles_bovins[Aliment],0))="s2",IF(Ration_hivernale_complète_bovins[aliment]=Spécificité2Bovins,1)),
INDEX(Règles_bovins[Specificite],MATCH(RationHivernaleBovinsAuPré&amp;Ration_hivernale_complète_bovins[aliment],Règles_bovins[Ration]&amp;Règles_bovins[Aliment],0))="c",INDEX(Règles_bovins[Specificite],MATCH(RationHivernaleBovinsAuPré&amp;Ration_hivernale_complète_bovins[aliment],Règles_bovins[Ration]&amp;Règles_bovins[Aliment],0))="complet"),
INDEX(Règles_bovins[Valeur 6-12],MATCH(RationHivernaleBovinsAuPré&amp;Ration_hivernale_complète_bovins[aliment],Règles_bovins[Ration]&amp;Règles_bovins[Aliment],0)),0),0)*IF(SUM(TotalBovinsLaitièresEtAlalaitantes)=0,SUM(TotalBovins_6_12mois)*35,SUM(TotalBovins_6_12moisAuPré)*35),0)</f>
        <v>0</v>
      </c>
      <c r="BH327" s="398">
        <f t="array" ref="BH327">IF(ChoixRationHivernaleComplèteBovins=OUI,IFERROR(IF(OR(AND(INDEX(Règles_bovins[Specificite],MATCH(RationHivernaleBovinsAuPré&amp;Ration_hivernale_complète_bovins[aliment],Règles_bovins[Ration]&amp;Règles_bovins[Aliment],0))="s1",IF(Ration_hivernale_complète_bovins[aliment]=Spécificité1Bovins,1)),
AND(INDEX(Règles_bovins[Specificite],MATCH(RationHivernaleBovinsAuPré&amp;Ration_hivernale_complète_bovins[aliment],Règles_bovins[Ration]&amp;Règles_bovins[Aliment],0))="s2",IF(Ration_hivernale_complète_bovins[aliment]=Spécificité2Bovins,1)),
INDEX(Règles_bovins[Specificite],MATCH(RationHivernaleBovinsAuPré&amp;Ration_hivernale_complète_bovins[aliment],Règles_bovins[Ration]&amp;Règles_bovins[Aliment],0))="c",INDEX(Règles_bovins[Specificite],MATCH(RationHivernaleBovinsAuPré&amp;Ration_hivernale_complète_bovins[aliment],Règles_bovins[Ration]&amp;Règles_bovins[Aliment],0))="complet"),
INDEX(Règles_bovins[Valeur 3-6],MATCH(RationHivernaleBovinsAuPré&amp;Ration_hivernale_complète_bovins[aliment],Règles_bovins[Ration]&amp;Règles_bovins[Aliment],0)),0),0)*IF(SUM(TotalBovinsLaitièresEtAlalaitantes)=0,SUM(TotalBovins_3_6mois)*35,SUM(TotalBovins_3_6moisAuPré)*35),0)</f>
        <v>0</v>
      </c>
      <c r="BI327" s="398">
        <f t="array" ref="BI327">IF(ChoixRationHivernaleComplèteBovins=OUI,IFERROR(IF(OR(AND(INDEX(Règles_bovins[Specificite],MATCH(RationHivernaleBovinsAuPré&amp;Ration_hivernale_complète_bovins[aliment],Règles_bovins[Ration]&amp;Règles_bovins[Aliment],0))="s1",IF(Ration_hivernale_complète_bovins[aliment]=Spécificité1Bovins,1)),
AND(INDEX(Règles_bovins[Specificite],MATCH(RationHivernaleBovinsAuPré&amp;Ration_hivernale_complète_bovins[aliment],Règles_bovins[Ration]&amp;Règles_bovins[Aliment],0))="s2",IF(Ration_hivernale_complète_bovins[aliment]=Spécificité2Bovins,1)),
INDEX(Règles_bovins[Specificite],MATCH(RationHivernaleBovinsAuPré&amp;Ration_hivernale_complète_bovins[aliment],Règles_bovins[Ration]&amp;Règles_bovins[Aliment],0))="c",INDEX(Règles_bovins[Specificite],MATCH(RationHivernaleBovinsAuPré&amp;Ration_hivernale_complète_bovins[aliment],Règles_bovins[Ration]&amp;Règles_bovins[Aliment],0))="complet"),
INDEX(Règles_bovins[Valeur 0-3],MATCH(RationHivernaleBovinsAuPré&amp;Ration_hivernale_complète_bovins[aliment],Règles_bovins[Ration]&amp;Règles_bovins[Aliment],0)),0),0)*IF(SUM(TotalBovinsLaitièresEtAlalaitantes)=0,SUM(TotalBovins_0_3mois)*35,SUM(TotalBovins_0_3moisAuPré)*35),0)</f>
        <v>0</v>
      </c>
      <c r="BJ327" s="399">
        <f>SUM(Ration_hivernale_complète_bovins[[Val 36 et plus]:[Val 0-3]])</f>
        <v>0</v>
      </c>
      <c r="BM327" s="276"/>
      <c r="DN327" s="350">
        <f t="shared" si="73"/>
        <v>0</v>
      </c>
      <c r="DO327" s="351"/>
      <c r="DP327" s="351"/>
      <c r="DQ327" s="351"/>
      <c r="DS327" s="276"/>
      <c r="GG327" s="276" t="s">
        <v>955</v>
      </c>
      <c r="GH327" s="276" t="s">
        <v>955</v>
      </c>
      <c r="GI327" s="276" t="s">
        <v>955</v>
      </c>
      <c r="GJ327" s="276" t="s">
        <v>955</v>
      </c>
      <c r="GK327" s="276" t="s">
        <v>955</v>
      </c>
      <c r="GL327" s="276" t="s">
        <v>955</v>
      </c>
      <c r="GM327" s="276" t="s">
        <v>955</v>
      </c>
      <c r="GN327" s="276" t="s">
        <v>955</v>
      </c>
      <c r="GO327" s="276" t="s">
        <v>955</v>
      </c>
      <c r="GP327" s="276" t="s">
        <v>955</v>
      </c>
      <c r="GQ327" s="276" t="s">
        <v>955</v>
      </c>
      <c r="GR327" s="276" t="s">
        <v>955</v>
      </c>
      <c r="GS327" s="276" t="s">
        <v>955</v>
      </c>
      <c r="GT327" s="276" t="s">
        <v>955</v>
      </c>
      <c r="GU327" s="276" t="s">
        <v>955</v>
      </c>
      <c r="GV327" s="276" t="s">
        <v>955</v>
      </c>
    </row>
    <row r="328" spans="1:204" ht="12.75" customHeight="1" x14ac:dyDescent="0.2">
      <c r="A328" s="276"/>
      <c r="B328" s="276"/>
      <c r="BB328" s="229"/>
      <c r="BC328" s="229"/>
      <c r="BD328" s="229"/>
      <c r="BE328" s="229"/>
      <c r="BF328" s="229"/>
      <c r="BG328" s="229"/>
      <c r="BH328" s="229"/>
      <c r="BI328" s="229"/>
      <c r="BJ328" s="229"/>
      <c r="DN328" s="350">
        <f t="shared" si="73"/>
        <v>0</v>
      </c>
      <c r="DO328" s="351"/>
      <c r="DP328" s="351"/>
      <c r="DQ328" s="351"/>
      <c r="DS328" s="276"/>
      <c r="GG328" s="276" t="s">
        <v>955</v>
      </c>
      <c r="GH328" s="276" t="s">
        <v>955</v>
      </c>
      <c r="GI328" s="276" t="s">
        <v>955</v>
      </c>
      <c r="GJ328" s="276" t="s">
        <v>955</v>
      </c>
      <c r="GK328" s="276" t="s">
        <v>955</v>
      </c>
      <c r="GL328" s="276" t="s">
        <v>955</v>
      </c>
      <c r="GM328" s="276" t="s">
        <v>955</v>
      </c>
      <c r="GN328" s="276" t="s">
        <v>955</v>
      </c>
      <c r="GO328" s="276" t="s">
        <v>955</v>
      </c>
      <c r="GP328" s="276" t="s">
        <v>955</v>
      </c>
      <c r="GQ328" s="276" t="s">
        <v>955</v>
      </c>
      <c r="GR328" s="276" t="s">
        <v>955</v>
      </c>
      <c r="GS328" s="276" t="s">
        <v>955</v>
      </c>
      <c r="GT328" s="276" t="s">
        <v>955</v>
      </c>
      <c r="GU328" s="276" t="s">
        <v>955</v>
      </c>
      <c r="GV328" s="276" t="s">
        <v>955</v>
      </c>
    </row>
    <row r="329" spans="1:204" ht="12.75" customHeight="1" x14ac:dyDescent="0.2">
      <c r="A329" s="276"/>
      <c r="B329" s="276"/>
      <c r="DN329" s="350">
        <f t="shared" si="73"/>
        <v>0</v>
      </c>
      <c r="DO329" s="351"/>
      <c r="DP329" s="351"/>
      <c r="DQ329" s="351"/>
      <c r="DS329" s="276"/>
      <c r="GG329" s="276" t="s">
        <v>955</v>
      </c>
      <c r="GH329" s="276" t="s">
        <v>955</v>
      </c>
      <c r="GI329" s="276" t="s">
        <v>955</v>
      </c>
      <c r="GJ329" s="276" t="s">
        <v>955</v>
      </c>
      <c r="GK329" s="276" t="s">
        <v>955</v>
      </c>
      <c r="GL329" s="276" t="s">
        <v>955</v>
      </c>
      <c r="GM329" s="276" t="s">
        <v>955</v>
      </c>
      <c r="GN329" s="276" t="s">
        <v>955</v>
      </c>
      <c r="GO329" s="276" t="s">
        <v>955</v>
      </c>
      <c r="GP329" s="276" t="s">
        <v>955</v>
      </c>
      <c r="GQ329" s="276" t="s">
        <v>955</v>
      </c>
      <c r="GR329" s="276" t="s">
        <v>955</v>
      </c>
      <c r="GS329" s="276" t="s">
        <v>955</v>
      </c>
      <c r="GT329" s="276" t="s">
        <v>955</v>
      </c>
      <c r="GU329" s="276" t="s">
        <v>955</v>
      </c>
      <c r="GV329" s="276" t="s">
        <v>955</v>
      </c>
    </row>
    <row r="330" spans="1:204" ht="12.75" customHeight="1" x14ac:dyDescent="0.2">
      <c r="A330" s="276"/>
      <c r="B330" s="276"/>
      <c r="BB330" s="347" t="s">
        <v>1019</v>
      </c>
      <c r="BC330" s="348"/>
      <c r="BD330" s="229"/>
      <c r="BG330" s="347" t="s">
        <v>1020</v>
      </c>
      <c r="BH330" s="348"/>
      <c r="DN330" s="350">
        <f t="shared" si="73"/>
        <v>0</v>
      </c>
      <c r="DO330" s="351"/>
      <c r="DP330" s="351"/>
      <c r="DQ330" s="351"/>
      <c r="DS330" s="276"/>
      <c r="GG330" s="276" t="s">
        <v>955</v>
      </c>
      <c r="GH330" s="276" t="s">
        <v>955</v>
      </c>
      <c r="GI330" s="276" t="s">
        <v>955</v>
      </c>
      <c r="GJ330" s="276" t="s">
        <v>955</v>
      </c>
      <c r="GK330" s="276" t="s">
        <v>955</v>
      </c>
      <c r="GL330" s="276" t="s">
        <v>955</v>
      </c>
      <c r="GM330" s="276" t="s">
        <v>955</v>
      </c>
      <c r="GN330" s="276" t="s">
        <v>955</v>
      </c>
      <c r="GO330" s="276" t="s">
        <v>955</v>
      </c>
      <c r="GP330" s="276" t="s">
        <v>955</v>
      </c>
      <c r="GQ330" s="276" t="s">
        <v>955</v>
      </c>
      <c r="GR330" s="276" t="s">
        <v>955</v>
      </c>
      <c r="GS330" s="276" t="s">
        <v>955</v>
      </c>
      <c r="GT330" s="276" t="s">
        <v>955</v>
      </c>
      <c r="GU330" s="276" t="s">
        <v>955</v>
      </c>
      <c r="GV330" s="276" t="s">
        <v>955</v>
      </c>
    </row>
    <row r="331" spans="1:204" ht="12.75" customHeight="1" x14ac:dyDescent="0.2">
      <c r="A331" s="276"/>
      <c r="B331" s="276"/>
      <c r="BB331" s="400" t="s">
        <v>970</v>
      </c>
      <c r="BC331" s="406" t="s">
        <v>974</v>
      </c>
      <c r="BD331" s="396" t="s">
        <v>975</v>
      </c>
      <c r="BG331" s="400" t="s">
        <v>970</v>
      </c>
      <c r="BH331" s="401" t="s">
        <v>971</v>
      </c>
      <c r="DN331" s="350">
        <f t="shared" si="73"/>
        <v>0</v>
      </c>
      <c r="DO331" s="351"/>
      <c r="DP331" s="351"/>
      <c r="DQ331" s="351"/>
      <c r="DS331" s="276"/>
      <c r="GG331" s="276" t="s">
        <v>955</v>
      </c>
      <c r="GH331" s="276" t="s">
        <v>955</v>
      </c>
      <c r="GI331" s="276" t="s">
        <v>955</v>
      </c>
      <c r="GJ331" s="276" t="s">
        <v>955</v>
      </c>
      <c r="GK331" s="276" t="s">
        <v>955</v>
      </c>
      <c r="GL331" s="276" t="s">
        <v>955</v>
      </c>
      <c r="GM331" s="276" t="s">
        <v>955</v>
      </c>
      <c r="GN331" s="276" t="s">
        <v>955</v>
      </c>
      <c r="GO331" s="276" t="s">
        <v>955</v>
      </c>
      <c r="GP331" s="276" t="s">
        <v>955</v>
      </c>
      <c r="GQ331" s="276" t="s">
        <v>955</v>
      </c>
      <c r="GR331" s="276" t="s">
        <v>955</v>
      </c>
      <c r="GS331" s="276" t="s">
        <v>955</v>
      </c>
      <c r="GT331" s="276" t="s">
        <v>955</v>
      </c>
      <c r="GU331" s="276" t="s">
        <v>955</v>
      </c>
      <c r="GV331" s="276" t="s">
        <v>955</v>
      </c>
    </row>
    <row r="332" spans="1:204" ht="12.75" customHeight="1" x14ac:dyDescent="0.2">
      <c r="A332" s="276"/>
      <c r="B332" s="276"/>
      <c r="BB332" s="402" t="s">
        <v>520</v>
      </c>
      <c r="BC332" s="407">
        <f>BD30*TotalTaureaux*SUM(AA76:AA100)</f>
        <v>0</v>
      </c>
      <c r="BD332" s="408">
        <f>BD30*TotalTaureauxRacesLaitières*SUM(AA76:AA100)</f>
        <v>0</v>
      </c>
      <c r="BG332" s="402" t="s">
        <v>520</v>
      </c>
      <c r="BH332" s="403">
        <f>BG30*TotalTaureaux*SUM(AA76:AA100)</f>
        <v>0</v>
      </c>
      <c r="DS332" s="276"/>
      <c r="GG332" s="276" t="s">
        <v>955</v>
      </c>
      <c r="GH332" s="276" t="s">
        <v>955</v>
      </c>
      <c r="GI332" s="276" t="s">
        <v>955</v>
      </c>
      <c r="GJ332" s="276" t="s">
        <v>955</v>
      </c>
      <c r="GK332" s="276" t="s">
        <v>955</v>
      </c>
      <c r="GL332" s="276" t="s">
        <v>955</v>
      </c>
      <c r="GM332" s="276" t="s">
        <v>955</v>
      </c>
      <c r="GN332" s="276" t="s">
        <v>955</v>
      </c>
      <c r="GO332" s="276" t="s">
        <v>955</v>
      </c>
      <c r="GP332" s="276" t="s">
        <v>955</v>
      </c>
      <c r="GQ332" s="276" t="s">
        <v>955</v>
      </c>
      <c r="GR332" s="276" t="s">
        <v>955</v>
      </c>
      <c r="GS332" s="276" t="s">
        <v>955</v>
      </c>
      <c r="GT332" s="276" t="s">
        <v>955</v>
      </c>
      <c r="GU332" s="276" t="s">
        <v>955</v>
      </c>
      <c r="GV332" s="276" t="s">
        <v>955</v>
      </c>
    </row>
    <row r="333" spans="1:204" ht="12.75" customHeight="1" x14ac:dyDescent="0.2">
      <c r="A333" s="276"/>
      <c r="B333" s="276"/>
      <c r="BB333" s="402" t="s">
        <v>521</v>
      </c>
      <c r="BC333" s="407">
        <f>BD31*TotalVaches*SUM(AA76:AA100)</f>
        <v>0</v>
      </c>
      <c r="BD333" s="408">
        <f>BD31*TotalVachesRacesLaitières*SUM(AA76:AA100)</f>
        <v>0</v>
      </c>
      <c r="BG333" s="402" t="s">
        <v>521</v>
      </c>
      <c r="BH333" s="403">
        <f>BG31*TotalVaches*SUM(AA76:AA100)</f>
        <v>0</v>
      </c>
      <c r="DS333" s="276"/>
      <c r="GG333" s="276" t="s">
        <v>955</v>
      </c>
      <c r="GH333" s="276" t="s">
        <v>955</v>
      </c>
      <c r="GI333" s="276" t="s">
        <v>955</v>
      </c>
      <c r="GJ333" s="276" t="s">
        <v>955</v>
      </c>
      <c r="GK333" s="276" t="s">
        <v>955</v>
      </c>
      <c r="GL333" s="276" t="s">
        <v>955</v>
      </c>
      <c r="GM333" s="276" t="s">
        <v>955</v>
      </c>
      <c r="GN333" s="276" t="s">
        <v>955</v>
      </c>
      <c r="GO333" s="276" t="s">
        <v>955</v>
      </c>
      <c r="GP333" s="276" t="s">
        <v>955</v>
      </c>
      <c r="GQ333" s="276" t="s">
        <v>955</v>
      </c>
      <c r="GR333" s="276" t="s">
        <v>955</v>
      </c>
      <c r="GS333" s="276" t="s">
        <v>955</v>
      </c>
      <c r="GT333" s="276" t="s">
        <v>955</v>
      </c>
      <c r="GU333" s="276" t="s">
        <v>955</v>
      </c>
      <c r="GV333" s="276" t="s">
        <v>955</v>
      </c>
    </row>
    <row r="334" spans="1:204" ht="12.75" customHeight="1" x14ac:dyDescent="0.2">
      <c r="A334" s="276"/>
      <c r="B334" s="276"/>
      <c r="BB334" s="402" t="s">
        <v>522</v>
      </c>
      <c r="BC334" s="407">
        <f>BD32*SUM(TotalJeuneBovin)*SUM(AA76:AA100)</f>
        <v>0</v>
      </c>
      <c r="BD334" s="408">
        <f>BD32*SUM(TotalJeunesBovinsRacesLaitières)*SUM(AA76:AA100)</f>
        <v>0</v>
      </c>
      <c r="BG334" s="402" t="s">
        <v>522</v>
      </c>
      <c r="BH334" s="403">
        <f>BG32*SUM(TotalJeuneBovin)*SUM(AA76:AA100)</f>
        <v>0</v>
      </c>
      <c r="DS334" s="276"/>
      <c r="GG334" s="276" t="s">
        <v>955</v>
      </c>
      <c r="GH334" s="276" t="s">
        <v>955</v>
      </c>
      <c r="GI334" s="276" t="s">
        <v>955</v>
      </c>
      <c r="GJ334" s="276" t="s">
        <v>955</v>
      </c>
      <c r="GK334" s="276" t="s">
        <v>955</v>
      </c>
      <c r="GL334" s="276" t="s">
        <v>955</v>
      </c>
      <c r="GM334" s="276" t="s">
        <v>955</v>
      </c>
      <c r="GN334" s="276" t="s">
        <v>955</v>
      </c>
      <c r="GO334" s="276" t="s">
        <v>955</v>
      </c>
      <c r="GP334" s="276" t="s">
        <v>955</v>
      </c>
      <c r="GQ334" s="276" t="s">
        <v>955</v>
      </c>
      <c r="GR334" s="276" t="s">
        <v>955</v>
      </c>
      <c r="GS334" s="276" t="s">
        <v>955</v>
      </c>
      <c r="GT334" s="276" t="s">
        <v>955</v>
      </c>
      <c r="GU334" s="276" t="s">
        <v>955</v>
      </c>
      <c r="GV334" s="276" t="s">
        <v>955</v>
      </c>
    </row>
    <row r="335" spans="1:204" ht="12.75" customHeight="1" x14ac:dyDescent="0.2">
      <c r="A335" s="276"/>
      <c r="B335" s="276"/>
      <c r="BB335" s="402" t="s">
        <v>523</v>
      </c>
      <c r="BC335" s="407"/>
      <c r="BD335" s="408"/>
      <c r="BG335" s="402" t="s">
        <v>523</v>
      </c>
      <c r="BH335" s="403"/>
      <c r="DS335" s="276"/>
      <c r="GG335" s="276" t="s">
        <v>955</v>
      </c>
      <c r="GH335" s="276" t="s">
        <v>955</v>
      </c>
      <c r="GI335" s="276" t="s">
        <v>955</v>
      </c>
      <c r="GJ335" s="276" t="s">
        <v>955</v>
      </c>
      <c r="GK335" s="276" t="s">
        <v>955</v>
      </c>
      <c r="GL335" s="276" t="s">
        <v>955</v>
      </c>
      <c r="GM335" s="276" t="s">
        <v>955</v>
      </c>
      <c r="GN335" s="276" t="s">
        <v>955</v>
      </c>
      <c r="GO335" s="276" t="s">
        <v>955</v>
      </c>
      <c r="GP335" s="276" t="s">
        <v>955</v>
      </c>
      <c r="GQ335" s="276" t="s">
        <v>955</v>
      </c>
      <c r="GR335" s="276" t="s">
        <v>955</v>
      </c>
      <c r="GS335" s="276" t="s">
        <v>955</v>
      </c>
      <c r="GT335" s="276" t="s">
        <v>955</v>
      </c>
      <c r="GU335" s="276" t="s">
        <v>955</v>
      </c>
      <c r="GV335" s="276" t="s">
        <v>955</v>
      </c>
    </row>
    <row r="336" spans="1:204" ht="12.75" customHeight="1" x14ac:dyDescent="0.2">
      <c r="A336" s="276"/>
      <c r="B336" s="276"/>
      <c r="BB336" s="402" t="s">
        <v>524</v>
      </c>
      <c r="BC336" s="407">
        <f>BD34*SUM(TotalVeaux)*SUM(AA76:AA100)</f>
        <v>0</v>
      </c>
      <c r="BD336" s="408">
        <f>BD34*SUM(TotalVeauxRacesLaitières)*SUM(AA76:AA100)</f>
        <v>0</v>
      </c>
      <c r="BG336" s="402" t="s">
        <v>524</v>
      </c>
      <c r="BH336" s="403">
        <f>BG34*SUM(TotalVeaux)*SUM(AA76:AA100)</f>
        <v>0</v>
      </c>
      <c r="DS336" s="276"/>
      <c r="GG336" s="276" t="s">
        <v>955</v>
      </c>
      <c r="GH336" s="276" t="s">
        <v>955</v>
      </c>
      <c r="GI336" s="276" t="s">
        <v>955</v>
      </c>
      <c r="GJ336" s="276" t="s">
        <v>955</v>
      </c>
      <c r="GK336" s="276" t="s">
        <v>955</v>
      </c>
      <c r="GL336" s="276" t="s">
        <v>955</v>
      </c>
      <c r="GM336" s="276" t="s">
        <v>955</v>
      </c>
      <c r="GN336" s="276" t="s">
        <v>955</v>
      </c>
      <c r="GO336" s="276" t="s">
        <v>955</v>
      </c>
      <c r="GP336" s="276" t="s">
        <v>955</v>
      </c>
      <c r="GQ336" s="276" t="s">
        <v>955</v>
      </c>
      <c r="GR336" s="276" t="s">
        <v>955</v>
      </c>
      <c r="GS336" s="276" t="s">
        <v>955</v>
      </c>
      <c r="GT336" s="276" t="s">
        <v>955</v>
      </c>
      <c r="GU336" s="276" t="s">
        <v>955</v>
      </c>
      <c r="GV336" s="276" t="s">
        <v>955</v>
      </c>
    </row>
    <row r="337" spans="1:204" ht="12.75" customHeight="1" x14ac:dyDescent="0.2">
      <c r="A337" s="276"/>
      <c r="B337" s="276"/>
      <c r="BB337" s="404" t="s">
        <v>973</v>
      </c>
      <c r="BC337" s="409">
        <f>IF(AND(ChoixPaillageBovins=OUI,OR(ChoixBovinsPréHiver=NON,ChoixBovinsPréHiver="")),SUBTOTAL(109,LitièreBovins[Litière tout bovins]),0)</f>
        <v>0</v>
      </c>
      <c r="BD337" s="405">
        <f>IF(AND(ChoixPaillageBovins=OUI,ChoixBovinsPréHiver=OUI),SUBTOTAL(109,LitièreBovins[litière races laitières]),0)</f>
        <v>0</v>
      </c>
      <c r="BG337" s="404" t="s">
        <v>973</v>
      </c>
      <c r="BH337" s="405">
        <f>SUBTOTAL(109,LisierBovins[Lisier])</f>
        <v>0</v>
      </c>
      <c r="DS337" s="276"/>
      <c r="GG337" s="276" t="s">
        <v>955</v>
      </c>
      <c r="GH337" s="276" t="s">
        <v>955</v>
      </c>
      <c r="GI337" s="276" t="s">
        <v>955</v>
      </c>
      <c r="GJ337" s="276" t="s">
        <v>955</v>
      </c>
      <c r="GK337" s="276" t="s">
        <v>955</v>
      </c>
      <c r="GL337" s="276" t="s">
        <v>955</v>
      </c>
      <c r="GM337" s="276" t="s">
        <v>955</v>
      </c>
      <c r="GN337" s="276" t="s">
        <v>955</v>
      </c>
      <c r="GO337" s="276" t="s">
        <v>955</v>
      </c>
      <c r="GP337" s="276" t="s">
        <v>955</v>
      </c>
      <c r="GQ337" s="276" t="s">
        <v>955</v>
      </c>
      <c r="GR337" s="276" t="s">
        <v>955</v>
      </c>
      <c r="GS337" s="276" t="s">
        <v>955</v>
      </c>
      <c r="GT337" s="276" t="s">
        <v>955</v>
      </c>
      <c r="GU337" s="276" t="s">
        <v>955</v>
      </c>
      <c r="GV337" s="276" t="s">
        <v>955</v>
      </c>
    </row>
    <row r="338" spans="1:204" ht="12.75" customHeight="1" x14ac:dyDescent="0.2">
      <c r="A338" s="276"/>
      <c r="B338" s="276"/>
      <c r="DS338" s="276"/>
      <c r="GG338" s="276" t="s">
        <v>955</v>
      </c>
      <c r="GH338" s="276" t="s">
        <v>955</v>
      </c>
      <c r="GI338" s="276" t="s">
        <v>955</v>
      </c>
      <c r="GJ338" s="276" t="s">
        <v>955</v>
      </c>
      <c r="GK338" s="276" t="s">
        <v>955</v>
      </c>
      <c r="GL338" s="276" t="s">
        <v>955</v>
      </c>
      <c r="GM338" s="276" t="s">
        <v>955</v>
      </c>
      <c r="GN338" s="276" t="s">
        <v>955</v>
      </c>
      <c r="GO338" s="276" t="s">
        <v>955</v>
      </c>
      <c r="GP338" s="276" t="s">
        <v>955</v>
      </c>
      <c r="GQ338" s="276" t="s">
        <v>955</v>
      </c>
      <c r="GR338" s="276" t="s">
        <v>955</v>
      </c>
      <c r="GS338" s="276" t="s">
        <v>955</v>
      </c>
      <c r="GT338" s="276" t="s">
        <v>955</v>
      </c>
      <c r="GU338" s="276" t="s">
        <v>955</v>
      </c>
      <c r="GV338" s="276" t="s">
        <v>955</v>
      </c>
    </row>
    <row r="339" spans="1:204" ht="12.75" customHeight="1" x14ac:dyDescent="0.2">
      <c r="A339" s="276"/>
      <c r="B339" s="276"/>
      <c r="DS339" s="276"/>
      <c r="GG339" s="276" t="s">
        <v>955</v>
      </c>
      <c r="GH339" s="276" t="s">
        <v>955</v>
      </c>
      <c r="GI339" s="276" t="s">
        <v>955</v>
      </c>
      <c r="GJ339" s="276" t="s">
        <v>955</v>
      </c>
      <c r="GK339" s="276" t="s">
        <v>955</v>
      </c>
      <c r="GL339" s="276" t="s">
        <v>955</v>
      </c>
      <c r="GM339" s="276" t="s">
        <v>955</v>
      </c>
      <c r="GN339" s="276" t="s">
        <v>955</v>
      </c>
      <c r="GO339" s="276" t="s">
        <v>955</v>
      </c>
      <c r="GP339" s="276" t="s">
        <v>955</v>
      </c>
      <c r="GQ339" s="276" t="s">
        <v>955</v>
      </c>
      <c r="GR339" s="276" t="s">
        <v>955</v>
      </c>
      <c r="GS339" s="276" t="s">
        <v>955</v>
      </c>
      <c r="GT339" s="276" t="s">
        <v>955</v>
      </c>
      <c r="GU339" s="276" t="s">
        <v>955</v>
      </c>
      <c r="GV339" s="276" t="s">
        <v>955</v>
      </c>
    </row>
    <row r="340" spans="1:204" ht="12.75" customHeight="1" x14ac:dyDescent="0.2">
      <c r="A340" s="276"/>
      <c r="B340" s="276"/>
      <c r="BB340" s="229" t="s">
        <v>1195</v>
      </c>
      <c r="BC340" s="229"/>
      <c r="BD340" s="229"/>
      <c r="BE340" s="229"/>
      <c r="DS340" s="276"/>
      <c r="GG340" s="276" t="s">
        <v>955</v>
      </c>
      <c r="GH340" s="276" t="s">
        <v>955</v>
      </c>
      <c r="GI340" s="276" t="s">
        <v>955</v>
      </c>
      <c r="GJ340" s="276" t="s">
        <v>955</v>
      </c>
      <c r="GK340" s="276" t="s">
        <v>955</v>
      </c>
      <c r="GL340" s="276" t="s">
        <v>955</v>
      </c>
      <c r="GM340" s="276" t="s">
        <v>955</v>
      </c>
      <c r="GN340" s="276" t="s">
        <v>955</v>
      </c>
      <c r="GO340" s="276" t="s">
        <v>955</v>
      </c>
      <c r="GP340" s="276" t="s">
        <v>955</v>
      </c>
      <c r="GQ340" s="276" t="s">
        <v>955</v>
      </c>
      <c r="GR340" s="276" t="s">
        <v>955</v>
      </c>
      <c r="GS340" s="276" t="s">
        <v>955</v>
      </c>
      <c r="GT340" s="276" t="s">
        <v>955</v>
      </c>
      <c r="GU340" s="276" t="s">
        <v>955</v>
      </c>
      <c r="GV340" s="276" t="s">
        <v>955</v>
      </c>
    </row>
    <row r="341" spans="1:204" ht="12.75" customHeight="1" x14ac:dyDescent="0.2">
      <c r="A341" s="276"/>
      <c r="B341" s="276"/>
      <c r="BB341" s="349" t="s">
        <v>910</v>
      </c>
      <c r="BC341" s="353" t="s">
        <v>1192</v>
      </c>
      <c r="BD341" s="353" t="s">
        <v>1193</v>
      </c>
      <c r="BE341" s="353" t="s">
        <v>1194</v>
      </c>
      <c r="DS341" s="276"/>
      <c r="GG341" s="276" t="s">
        <v>955</v>
      </c>
      <c r="GH341" s="276" t="s">
        <v>955</v>
      </c>
      <c r="GI341" s="276" t="s">
        <v>955</v>
      </c>
      <c r="GJ341" s="276" t="s">
        <v>955</v>
      </c>
      <c r="GK341" s="276" t="s">
        <v>955</v>
      </c>
      <c r="GL341" s="276" t="s">
        <v>955</v>
      </c>
      <c r="GM341" s="276" t="s">
        <v>955</v>
      </c>
      <c r="GN341" s="276" t="s">
        <v>955</v>
      </c>
      <c r="GO341" s="276" t="s">
        <v>955</v>
      </c>
      <c r="GP341" s="276" t="s">
        <v>955</v>
      </c>
      <c r="GQ341" s="276" t="s">
        <v>955</v>
      </c>
      <c r="GR341" s="276" t="s">
        <v>955</v>
      </c>
      <c r="GS341" s="276" t="s">
        <v>955</v>
      </c>
      <c r="GT341" s="276" t="s">
        <v>955</v>
      </c>
      <c r="GU341" s="276" t="s">
        <v>955</v>
      </c>
      <c r="GV341" s="276" t="s">
        <v>955</v>
      </c>
    </row>
    <row r="342" spans="1:204" ht="12.75" customHeight="1" x14ac:dyDescent="0.2">
      <c r="A342" s="276"/>
      <c r="B342" s="276"/>
      <c r="BB342" s="350" t="str">
        <f>BB194</f>
        <v>Avoine</v>
      </c>
      <c r="BC342" s="351">
        <f t="array" ref="BC342">SUM((IF(QualitéAlimentsVeauxMâles_0_3_mois=BONNE,VLOOKUP("Avoine",AlimentsRationBovinsMâles,8,FALSE),0)+(IF(QualitéAlimentsVeauxFemelles_0_3_mois=BONNE,VLOOKUP("Avoine",AlimentsRationBovinsFemelles,8,FALSE),0)+(IF(QualitéAlimentsVeauxMâles_3_6_mois=BONNE,VLOOKUP("Avoine",AlimentsRationBovinsMâles,7,FALSE),0)+(IF(QualitéAlimentsVeauxFemelles_3_6_mois=BONNE,VLOOKUP("Avoine",AlimentsRationBovinsFemelles,7,FALSE),0)+(IF(QualitéAlimentsVeauxMâles_6_12_mois=BONNE,VLOOKUP("Avoine",AlimentsRationBovinsMâles,6,FALSE),0)+(IF(QualitéAlimentsVeauxFemelles_6_12_mois=BONNE,VLOOKUP("Avoine",AlimentsRationBovinsFemelles,6,FALSE),0)+(IF(QualitéAlimentsTaurillons_12_18_mois=BONNE,VLOOKUP("Avoine",AlimentsRationBovinsMâles,5,FALSE),0)+(IF(QualitéAlimentsGénisses_12_18_mois=BONNE,VLOOKUP("Avoine",AlimentsRationBovinsFemelles,5,FALSE),0)+(IF(QualitéAlimentsTaurillons_18_24_mois=BONNE,VLOOKUP("Avoine",AlimentsRationBovinsMâles,4,FALSE),0)+(IF(QualitéAlimentsGénisses_18_24_mois=BONNE,VLOOKUP("Avoine",AlimentsRationBovinsFemelles,4,FALSE),0)+(IF(QualitéAlimentsTaurillons_24_36_mois=BONNE,VLOOKUP("Avoine",AlimentsRationBovinsMâles,3,FALSE),0)+(IF(QualitéAlimentsGénisses_24_36_mois=BONNE,VLOOKUP("Avoine",AlimentsRationBovinsFemelles,3,FALSE),0)+(IF(QualitéAlimentsTaureaux=BONNE,VLOOKUP("Avoine",AlimentsRationBovinsMâles,2,FALSE),0)+(IF(QualitéAlimentsVaches=BONNE,VLOOKUP("Avoine",AlimentsRationBovinsFemelles,2,FALSE),0))))))))))))))))</f>
        <v>0</v>
      </c>
      <c r="BD342" s="351">
        <f t="array" ref="BD342">SUM((IF(QualitéAlimentsVeauxMâles_0_3_mois=MOYENNE,VLOOKUP("Avoine",AlimentsRationBovinsMâles,8,FALSE),0)+(IF(QualitéAlimentsVeauxFemelles_0_3_mois=MOYENNE,VLOOKUP("Avoine",AlimentsRationBovinsFemelles,8,FALSE),0)+(IF(QualitéAlimentsVeauxMâles_3_6_mois=MOYENNE,VLOOKUP("Avoine",AlimentsRationBovinsMâles,7,FALSE),0)+(IF(QualitéAlimentsVeauxFemelles_3_6_mois=MOYENNE,VLOOKUP("Avoine",AlimentsRationBovinsFemelles,7,FALSE),0)+(IF(QualitéAlimentsVeauxMâles_6_12_mois=MOYENNE,VLOOKUP("Avoine",AlimentsRationBovinsMâles,6,FALSE),0)+(IF(QualitéAlimentsVeauxFemelles_6_12_mois=MOYENNE,VLOOKUP("Avoine",AlimentsRationBovinsFemelles,6,FALSE),0)+(IF(QualitéAlimentsTaurillons_12_18_mois=MOYENNE,VLOOKUP("Avoine",AlimentsRationBovinsMâles,5,FALSE),0)+(IF(QualitéAlimentsGénisses_12_18_mois=MOYENNE,VLOOKUP("Avoine",AlimentsRationBovinsFemelles,5,FALSE),0)+(IF(QualitéAlimentsTaurillons_18_24_mois=MOYENNE,VLOOKUP("Avoine",AlimentsRationBovinsMâles,4,FALSE),0)+(IF(QualitéAlimentsGénisses_18_24_mois=MOYENNE,VLOOKUP("Avoine",AlimentsRationBovinsFemelles,4,FALSE),0)+(IF(QualitéAlimentsTaurillons_24_36_mois=MOYENNE,VLOOKUP("Avoine",AlimentsRationBovinsMâles,3,FALSE),0)+(IF(QualitéAlimentsGénisses_24_36_mois=MOYENNE,VLOOKUP("Avoine",AlimentsRationBovinsFemelles,3,FALSE),0)+(IF(QualitéAlimentsTaureaux=MOYENNE,VLOOKUP("Avoine",AlimentsRationBovinsMâles,2,FALSE),0)+(IF(QualitéAlimentsVaches=MOYENNE,VLOOKUP("Avoine",AlimentsRationBovinsFemelles,2,FALSE),0))))))))))))))))</f>
        <v>0</v>
      </c>
      <c r="BE342" s="351">
        <f t="array" ref="BE342">SUM((IF(QualitéAlimentsVeauxMâles_0_3_mois=MAUVAISE,VLOOKUP("Avoine",AlimentsRationBovinsMâles,8,FALSE),0)+(IF(QualitéAlimentsVeauxFemelles_0_3_mois=MAUVAISE,VLOOKUP("Avoine",AlimentsRationBovinsFemelles,8,FALSE),0)+(IF(QualitéAlimentsVeauxMâles_3_6_mois=MAUVAISE,VLOOKUP("Avoine",AlimentsRationBovinsMâles,7,FALSE),0)+(IF(QualitéAlimentsVeauxFemelles_3_6_mois=MAUVAISE,VLOOKUP("Avoine",AlimentsRationBovinsFemelles,7,FALSE),0)+(IF(QualitéAlimentsVeauxMâles_6_12_mois=MAUVAISE,VLOOKUP("Avoine",AlimentsRationBovinsMâles,6,FALSE),0)+(IF(QualitéAlimentsVeauxFemelles_6_12_mois=MAUVAISE,VLOOKUP("Avoine",AlimentsRationBovinsFemelles,6,FALSE),0)+(IF(QualitéAlimentsTaurillons_12_18_mois=MAUVAISE,VLOOKUP("Avoine",AlimentsRationBovinsMâles,5,FALSE),0)+(IF(QualitéAlimentsGénisses_12_18_mois=MAUVAISE,VLOOKUP("Avoine",AlimentsRationBovinsFemelles,5,FALSE),0)+(IF(QualitéAlimentsTaurillons_18_24_mois=MAUVAISE,VLOOKUP("Avoine",AlimentsRationBovinsMâles,4,FALSE),0)+(IF(QualitéAlimentsGénisses_18_24_mois=MAUVAISE,VLOOKUP("Avoine",AlimentsRationBovinsFemelles,4,FALSE),0)+(IF(QualitéAlimentsTaurillons_24_36_mois=MAUVAISE,VLOOKUP("Avoine",AlimentsRationBovinsMâles,3,FALSE),0)+(IF(QualitéAlimentsGénisses_24_36_mois=MAUVAISE,VLOOKUP("Avoine",AlimentsRationBovinsFemelles,3,FALSE),0)+(IF(QualitéAlimentsTaureaux=MAUVAISE,VLOOKUP("Avoine",AlimentsRationBovinsMâles,2,FALSE),0)+(IF(QualitéAlimentsVaches=MAUVAISE,VLOOKUP("Avoine",AlimentsRationBovinsFemelles,2,FALSE),0))))))))))))))))</f>
        <v>0</v>
      </c>
      <c r="DS342" s="276"/>
      <c r="GG342" s="276" t="s">
        <v>955</v>
      </c>
      <c r="GH342" s="276" t="s">
        <v>955</v>
      </c>
      <c r="GI342" s="276" t="s">
        <v>955</v>
      </c>
      <c r="GJ342" s="276" t="s">
        <v>955</v>
      </c>
      <c r="GK342" s="276" t="s">
        <v>955</v>
      </c>
      <c r="GL342" s="276" t="s">
        <v>955</v>
      </c>
      <c r="GM342" s="276" t="s">
        <v>955</v>
      </c>
      <c r="GN342" s="276" t="s">
        <v>955</v>
      </c>
      <c r="GO342" s="276" t="s">
        <v>955</v>
      </c>
      <c r="GP342" s="276" t="s">
        <v>955</v>
      </c>
      <c r="GQ342" s="276" t="s">
        <v>955</v>
      </c>
      <c r="GR342" s="276" t="s">
        <v>955</v>
      </c>
      <c r="GS342" s="276" t="s">
        <v>955</v>
      </c>
      <c r="GT342" s="276" t="s">
        <v>955</v>
      </c>
      <c r="GU342" s="276" t="s">
        <v>955</v>
      </c>
      <c r="GV342" s="276" t="s">
        <v>955</v>
      </c>
    </row>
    <row r="343" spans="1:204" ht="12.75" customHeight="1" x14ac:dyDescent="0.2">
      <c r="A343" s="276"/>
      <c r="B343" s="276"/>
      <c r="BB343" s="350" t="str">
        <f t="shared" ref="BB343:BB380" si="74">BB195</f>
        <v>Betterave</v>
      </c>
      <c r="BC343" s="351">
        <f t="array" ref="BC343">SUM((IF(QualitéAlimentsVeauxMâles_0_3_mois=BONNE,VLOOKUP("Betterave",AlimentsRationBovinsMâles,8,FALSE),0)+(IF(QualitéAlimentsVeauxFemelles_0_3_mois=BONNE,VLOOKUP("Betterave",AlimentsRationBovinsFemelles,8,FALSE),0)+(IF(QualitéAlimentsVeauxMâles_3_6_mois=BONNE,VLOOKUP("Betterave",AlimentsRationBovinsMâles,7,FALSE),0)+(IF(QualitéAlimentsVeauxFemelles_3_6_mois=BONNE,VLOOKUP("Betterave",AlimentsRationBovinsFemelles,7,FALSE),0)+(IF(QualitéAlimentsVeauxMâles_6_12_mois=BONNE,VLOOKUP("Betterave",AlimentsRationBovinsMâles,6,FALSE),0)+(IF(QualitéAlimentsVeauxFemelles_6_12_mois=BONNE,VLOOKUP("Betterave",AlimentsRationBovinsFemelles,6,FALSE),0)+(IF(QualitéAlimentsTaurillons_12_18_mois=BONNE,VLOOKUP("Betterave",AlimentsRationBovinsMâles,5,FALSE),0)+(IF(QualitéAlimentsGénisses_12_18_mois=BONNE,VLOOKUP("Betterave",AlimentsRationBovinsFemelles,5,FALSE),0)+(IF(QualitéAlimentsTaurillons_18_24_mois=BONNE,VLOOKUP("Betterave",AlimentsRationBovinsMâles,4,FALSE),0)+(IF(QualitéAlimentsGénisses_18_24_mois=BONNE,VLOOKUP("Betterave",AlimentsRationBovinsFemelles,4,FALSE),0)+(IF(QualitéAlimentsTaurillons_24_36_mois=BONNE,VLOOKUP("Betterave",AlimentsRationBovinsMâles,3,FALSE),0)+(IF(QualitéAlimentsGénisses_24_36_mois=BONNE,VLOOKUP("Betterave",AlimentsRationBovinsFemelles,3,FALSE),0)+(IF(QualitéAlimentsTaureaux=BONNE,VLOOKUP("Betterave",AlimentsRationBovinsMâles,2,FALSE),0)+(IF(QualitéAlimentsVaches=BONNE,VLOOKUP("Betterave",AlimentsRationBovinsFemelles,2,FALSE),0))))))))))))))))</f>
        <v>0</v>
      </c>
      <c r="BD343" s="351">
        <f t="array" ref="BD343">SUM((IF(QualitéAlimentsVeauxMâles_0_3_mois=MOYENNE,VLOOKUP("Betterave",AlimentsRationBovinsMâles,8,FALSE),0)+(IF(QualitéAlimentsVeauxFemelles_0_3_mois=MOYENNE,VLOOKUP("Betterave",AlimentsRationBovinsFemelles,8,FALSE),0)+(IF(QualitéAlimentsVeauxMâles_3_6_mois=MOYENNE,VLOOKUP("Betterave",AlimentsRationBovinsMâles,7,FALSE),0)+(IF(QualitéAlimentsVeauxFemelles_3_6_mois=MOYENNE,VLOOKUP("Betterave",AlimentsRationBovinsFemelles,7,FALSE),0)+(IF(QualitéAlimentsVeauxMâles_6_12_mois=MOYENNE,VLOOKUP("Betterave",AlimentsRationBovinsMâles,6,FALSE),0)+(IF(QualitéAlimentsVeauxFemelles_6_12_mois=MOYENNE,VLOOKUP("Betterave",AlimentsRationBovinsFemelles,6,FALSE),0)+(IF(QualitéAlimentsTaurillons_12_18_mois=MOYENNE,VLOOKUP("Betterave",AlimentsRationBovinsMâles,5,FALSE),0)+(IF(QualitéAlimentsGénisses_12_18_mois=MOYENNE,VLOOKUP("Betterave",AlimentsRationBovinsFemelles,5,FALSE),0)+(IF(QualitéAlimentsTaurillons_18_24_mois=MOYENNE,VLOOKUP("Betterave",AlimentsRationBovinsMâles,4,FALSE),0)+(IF(QualitéAlimentsGénisses_18_24_mois=MOYENNE,VLOOKUP("Betterave",AlimentsRationBovinsFemelles,4,FALSE),0)+(IF(QualitéAlimentsTaurillons_24_36_mois=MOYENNE,VLOOKUP("Betterave",AlimentsRationBovinsMâles,3,FALSE),0)+(IF(QualitéAlimentsGénisses_24_36_mois=MOYENNE,VLOOKUP("Betterave",AlimentsRationBovinsFemelles,3,FALSE),0)+(IF(QualitéAlimentsTaureaux=MOYENNE,VLOOKUP("Betterave",AlimentsRationBovinsMâles,2,FALSE),0)+(IF(QualitéAlimentsVaches=MOYENNE,VLOOKUP("Betterave",AlimentsRationBovinsFemelles,2,FALSE),0))))))))))))))))</f>
        <v>0</v>
      </c>
      <c r="BE343" s="351">
        <f t="array" ref="BE343">SUM((IF(QualitéAlimentsVeauxMâles_0_3_mois=MAUVAISE,VLOOKUP("Betterave",AlimentsRationBovinsMâles,8,FALSE),0)+(IF(QualitéAlimentsVeauxFemelles_0_3_mois=MAUVAISE,VLOOKUP("Betterave",AlimentsRationBovinsFemelles,8,FALSE),0)+(IF(QualitéAlimentsVeauxMâles_3_6_mois=MAUVAISE,VLOOKUP("Betterave",AlimentsRationBovinsMâles,7,FALSE),0)+(IF(QualitéAlimentsVeauxFemelles_3_6_mois=MAUVAISE,VLOOKUP("Betterave",AlimentsRationBovinsFemelles,7,FALSE),0)+(IF(QualitéAlimentsVeauxMâles_6_12_mois=MAUVAISE,VLOOKUP("Betterave",AlimentsRationBovinsMâles,6,FALSE),0)+(IF(QualitéAlimentsVeauxFemelles_6_12_mois=MAUVAISE,VLOOKUP("Betterave",AlimentsRationBovinsFemelles,6,FALSE),0)+(IF(QualitéAlimentsTaurillons_12_18_mois=MAUVAISE,VLOOKUP("Betterave",AlimentsRationBovinsMâles,5,FALSE),0)+(IF(QualitéAlimentsGénisses_12_18_mois=MAUVAISE,VLOOKUP("Betterave",AlimentsRationBovinsFemelles,5,FALSE),0)+(IF(QualitéAlimentsTaurillons_18_24_mois=MAUVAISE,VLOOKUP("Betterave",AlimentsRationBovinsMâles,4,FALSE),0)+(IF(QualitéAlimentsGénisses_18_24_mois=MAUVAISE,VLOOKUP("Betterave",AlimentsRationBovinsFemelles,4,FALSE),0)+(IF(QualitéAlimentsTaurillons_24_36_mois=MAUVAISE,VLOOKUP("Betterave",AlimentsRationBovinsMâles,3,FALSE),0)+(IF(QualitéAlimentsGénisses_24_36_mois=MAUVAISE,VLOOKUP("Betterave",AlimentsRationBovinsFemelles,3,FALSE),0)+(IF(QualitéAlimentsTaureaux=MAUVAISE,VLOOKUP("Betterave",AlimentsRationBovinsMâles,2,FALSE),0)+(IF(QualitéAlimentsVaches=MAUVAISE,VLOOKUP("Betterave",AlimentsRationBovinsFemelles,2,FALSE),0))))))))))))))))</f>
        <v>0</v>
      </c>
      <c r="DS343" s="276"/>
      <c r="GG343" s="276" t="s">
        <v>955</v>
      </c>
      <c r="GH343" s="276" t="s">
        <v>955</v>
      </c>
      <c r="GI343" s="276" t="s">
        <v>955</v>
      </c>
      <c r="GJ343" s="276" t="s">
        <v>955</v>
      </c>
      <c r="GK343" s="276" t="s">
        <v>955</v>
      </c>
      <c r="GL343" s="276" t="s">
        <v>955</v>
      </c>
      <c r="GM343" s="276" t="s">
        <v>955</v>
      </c>
      <c r="GN343" s="276" t="s">
        <v>955</v>
      </c>
      <c r="GO343" s="276" t="s">
        <v>955</v>
      </c>
      <c r="GP343" s="276" t="s">
        <v>955</v>
      </c>
      <c r="GQ343" s="276" t="s">
        <v>955</v>
      </c>
      <c r="GR343" s="276" t="s">
        <v>955</v>
      </c>
      <c r="GS343" s="276" t="s">
        <v>955</v>
      </c>
      <c r="GT343" s="276" t="s">
        <v>955</v>
      </c>
      <c r="GU343" s="276" t="s">
        <v>955</v>
      </c>
      <c r="GV343" s="276" t="s">
        <v>955</v>
      </c>
    </row>
    <row r="344" spans="1:204" ht="12.75" customHeight="1" x14ac:dyDescent="0.2">
      <c r="A344" s="276"/>
      <c r="B344" s="276"/>
      <c r="BB344" s="350" t="str">
        <f t="shared" si="74"/>
        <v>Blé</v>
      </c>
      <c r="BC344" s="351">
        <f t="array" ref="BC344">SUM((IF(QualitéAlimentsVeauxMâles_0_3_mois=BONNE,VLOOKUP("Blé",AlimentsRationBovinsMâles,8,FALSE),0)+(IF(QualitéAlimentsVeauxFemelles_0_3_mois=BONNE,VLOOKUP("Blé",AlimentsRationBovinsFemelles,8,FALSE),0)+(IF(QualitéAlimentsVeauxMâles_3_6_mois=BONNE,VLOOKUP("Blé",AlimentsRationBovinsMâles,7,FALSE),0)+(IF(QualitéAlimentsVeauxFemelles_3_6_mois=BONNE,VLOOKUP("Blé",AlimentsRationBovinsFemelles,7,FALSE),0)+(IF(QualitéAlimentsVeauxMâles_6_12_mois=BONNE,VLOOKUP("Blé",AlimentsRationBovinsMâles,6,FALSE),0)+(IF(QualitéAlimentsVeauxFemelles_6_12_mois=BONNE,VLOOKUP("Blé",AlimentsRationBovinsFemelles,6,FALSE),0)+(IF(QualitéAlimentsTaurillons_12_18_mois=BONNE,VLOOKUP("Blé",AlimentsRationBovinsMâles,5,FALSE),0)+(IF(QualitéAlimentsGénisses_12_18_mois=BONNE,VLOOKUP("Blé",AlimentsRationBovinsFemelles,5,FALSE),0)+(IF(QualitéAlimentsTaurillons_18_24_mois=BONNE,VLOOKUP("Blé",AlimentsRationBovinsMâles,4,FALSE),0)+(IF(QualitéAlimentsGénisses_18_24_mois=BONNE,VLOOKUP("Blé",AlimentsRationBovinsFemelles,4,FALSE),0)+(IF(QualitéAlimentsTaurillons_24_36_mois=BONNE,VLOOKUP("Blé",AlimentsRationBovinsMâles,3,FALSE),0)+(IF(QualitéAlimentsGénisses_24_36_mois=BONNE,VLOOKUP("Blé",AlimentsRationBovinsFemelles,3,FALSE),0)+(IF(QualitéAlimentsTaureaux=BONNE,VLOOKUP("Blé",AlimentsRationBovinsMâles,2,FALSE),0)+(IF(QualitéAlimentsVaches=BONNE,VLOOKUP("Blé",AlimentsRationBovinsFemelles,2,FALSE),0))))))))))))))))</f>
        <v>0</v>
      </c>
      <c r="BD344" s="351">
        <f t="array" ref="BD344">SUM((IF(QualitéAlimentsVeauxMâles_0_3_mois=MOYENNE,VLOOKUP("Blé",AlimentsRationBovinsMâles,8,FALSE),0)+(IF(QualitéAlimentsVeauxFemelles_0_3_mois=MOYENNE,VLOOKUP("Blé",AlimentsRationBovinsFemelles,8,FALSE),0)+(IF(QualitéAlimentsVeauxMâles_3_6_mois=MOYENNE,VLOOKUP("Blé",AlimentsRationBovinsMâles,7,FALSE),0)+(IF(QualitéAlimentsVeauxFemelles_3_6_mois=MOYENNE,VLOOKUP("Blé",AlimentsRationBovinsFemelles,7,FALSE),0)+(IF(QualitéAlimentsVeauxMâles_6_12_mois=MOYENNE,VLOOKUP("Blé",AlimentsRationBovinsMâles,6,FALSE),0)+(IF(QualitéAlimentsVeauxFemelles_6_12_mois=MOYENNE,VLOOKUP("Blé",AlimentsRationBovinsFemelles,6,FALSE),0)+(IF(QualitéAlimentsTaurillons_12_18_mois=MOYENNE,VLOOKUP("Blé",AlimentsRationBovinsMâles,5,FALSE),0)+(IF(QualitéAlimentsGénisses_12_18_mois=MOYENNE,VLOOKUP("Blé",AlimentsRationBovinsFemelles,5,FALSE),0)+(IF(QualitéAlimentsTaurillons_18_24_mois=MOYENNE,VLOOKUP("Blé",AlimentsRationBovinsMâles,4,FALSE),0)+(IF(QualitéAlimentsGénisses_18_24_mois=MOYENNE,VLOOKUP("Blé",AlimentsRationBovinsFemelles,4,FALSE),0)+(IF(QualitéAlimentsTaurillons_24_36_mois=MOYENNE,VLOOKUP("Blé",AlimentsRationBovinsMâles,3,FALSE),0)+(IF(QualitéAlimentsGénisses_24_36_mois=MOYENNE,VLOOKUP("Blé",AlimentsRationBovinsFemelles,3,FALSE),0)+(IF(QualitéAlimentsTaureaux=MOYENNE,VLOOKUP("Blé",AlimentsRationBovinsMâles,2,FALSE),0)+(IF(QualitéAlimentsVaches=MOYENNE,VLOOKUP("Blé",AlimentsRationBovinsFemelles,2,FALSE),0))))))))))))))))</f>
        <v>0</v>
      </c>
      <c r="BE344" s="351">
        <f t="array" ref="BE344">SUM((IF(QualitéAlimentsVeauxMâles_0_3_mois=MAUVAISE,VLOOKUP("Blé",AlimentsRationBovinsMâles,8,FALSE),0)+(IF(QualitéAlimentsVeauxFemelles_0_3_mois=MAUVAISE,VLOOKUP("Blé",AlimentsRationBovinsFemelles,8,FALSE),0)+(IF(QualitéAlimentsVeauxMâles_3_6_mois=MAUVAISE,VLOOKUP("Blé",AlimentsRationBovinsMâles,7,FALSE),0)+(IF(QualitéAlimentsVeauxFemelles_3_6_mois=MAUVAISE,VLOOKUP("Blé",AlimentsRationBovinsFemelles,7,FALSE),0)+(IF(QualitéAlimentsVeauxMâles_6_12_mois=MAUVAISE,VLOOKUP("Blé",AlimentsRationBovinsMâles,6,FALSE),0)+(IF(QualitéAlimentsVeauxFemelles_6_12_mois=MAUVAISE,VLOOKUP("Blé",AlimentsRationBovinsFemelles,6,FALSE),0)+(IF(QualitéAlimentsTaurillons_12_18_mois=MAUVAISE,VLOOKUP("Blé",AlimentsRationBovinsMâles,5,FALSE),0)+(IF(QualitéAlimentsGénisses_12_18_mois=MAUVAISE,VLOOKUP("Blé",AlimentsRationBovinsFemelles,5,FALSE),0)+(IF(QualitéAlimentsTaurillons_18_24_mois=MAUVAISE,VLOOKUP("Blé",AlimentsRationBovinsMâles,4,FALSE),0)+(IF(QualitéAlimentsGénisses_18_24_mois=MAUVAISE,VLOOKUP("Blé",AlimentsRationBovinsFemelles,4,FALSE),0)+(IF(QualitéAlimentsTaurillons_24_36_mois=MAUVAISE,VLOOKUP("Blé",AlimentsRationBovinsMâles,3,FALSE),0)+(IF(QualitéAlimentsGénisses_24_36_mois=MAUVAISE,VLOOKUP("Blé",AlimentsRationBovinsFemelles,3,FALSE),0)+(IF(QualitéAlimentsTaureaux=MAUVAISE,VLOOKUP("Blé",AlimentsRationBovinsMâles,2,FALSE),0)+(IF(QualitéAlimentsVaches=MAUVAISE,VLOOKUP("Blé",AlimentsRationBovinsFemelles,2,FALSE),0))))))))))))))))</f>
        <v>0</v>
      </c>
      <c r="DS344" s="276"/>
      <c r="GG344" s="276" t="s">
        <v>955</v>
      </c>
      <c r="GH344" s="276" t="s">
        <v>955</v>
      </c>
      <c r="GI344" s="276" t="s">
        <v>955</v>
      </c>
      <c r="GJ344" s="276" t="s">
        <v>955</v>
      </c>
      <c r="GK344" s="276" t="s">
        <v>955</v>
      </c>
      <c r="GL344" s="276" t="s">
        <v>955</v>
      </c>
      <c r="GM344" s="276" t="s">
        <v>955</v>
      </c>
      <c r="GN344" s="276" t="s">
        <v>955</v>
      </c>
      <c r="GO344" s="276" t="s">
        <v>955</v>
      </c>
      <c r="GP344" s="276" t="s">
        <v>955</v>
      </c>
      <c r="GQ344" s="276" t="s">
        <v>955</v>
      </c>
      <c r="GR344" s="276" t="s">
        <v>955</v>
      </c>
      <c r="GS344" s="276" t="s">
        <v>955</v>
      </c>
      <c r="GT344" s="276" t="s">
        <v>955</v>
      </c>
      <c r="GU344" s="276" t="s">
        <v>955</v>
      </c>
      <c r="GV344" s="276" t="s">
        <v>955</v>
      </c>
    </row>
    <row r="345" spans="1:204" ht="12.75" customHeight="1" x14ac:dyDescent="0.2">
      <c r="A345" s="276"/>
      <c r="B345" s="276"/>
      <c r="BB345" s="350" t="str">
        <f t="shared" si="74"/>
        <v>Bouchons luzerne</v>
      </c>
      <c r="BC345" s="351">
        <f t="array" ref="BC345">SUM((IF(QualitéAlimentsVeauxMâles_0_3_mois=BONNE,VLOOKUP("Bouchons luzerne",AlimentsRationBovinsMâles,8,FALSE),0)+(IF(QualitéAlimentsVeauxFemelles_0_3_mois=BONNE,VLOOKUP("Bouchons luzerne",AlimentsRationBovinsFemelles,8,FALSE),0)+(IF(QualitéAlimentsVeauxMâles_3_6_mois=BONNE,VLOOKUP("Bouchons luzerne",AlimentsRationBovinsMâles,7,FALSE),0)+(IF(QualitéAlimentsVeauxFemelles_3_6_mois=BONNE,VLOOKUP("Bouchons luzerne",AlimentsRationBovinsFemelles,7,FALSE),0)+(IF(QualitéAlimentsVeauxMâles_6_12_mois=BONNE,VLOOKUP("Bouchons luzerne",AlimentsRationBovinsMâles,6,FALSE),0)+(IF(QualitéAlimentsVeauxFemelles_6_12_mois=BONNE,VLOOKUP("Bouchons luzerne",AlimentsRationBovinsFemelles,6,FALSE),0)+(IF(QualitéAlimentsTaurillons_12_18_mois=BONNE,VLOOKUP("Bouchons luzerne",AlimentsRationBovinsMâles,5,FALSE),0)+(IF(QualitéAlimentsGénisses_12_18_mois=BONNE,VLOOKUP("Bouchons luzerne",AlimentsRationBovinsFemelles,5,FALSE),0)+(IF(QualitéAlimentsTaurillons_18_24_mois=BONNE,VLOOKUP("Bouchons luzerne",AlimentsRationBovinsMâles,4,FALSE),0)+(IF(QualitéAlimentsGénisses_18_24_mois=BONNE,VLOOKUP("Bouchons luzerne",AlimentsRationBovinsFemelles,4,FALSE),0)+(IF(QualitéAlimentsTaurillons_24_36_mois=BONNE,VLOOKUP("Bouchons luzerne",AlimentsRationBovinsMâles,3,FALSE),0)+(IF(QualitéAlimentsGénisses_24_36_mois=BONNE,VLOOKUP("Bouchons luzerne",AlimentsRationBovinsFemelles,3,FALSE),0)+(IF(QualitéAlimentsTaureaux=BONNE,VLOOKUP("Bouchons luzerne",AlimentsRationBovinsMâles,2,FALSE),0)+(IF(QualitéAlimentsVaches=BONNE,VLOOKUP("Bouchons luzerne",AlimentsRationBovinsFemelles,2,FALSE),0))))))))))))))))</f>
        <v>0</v>
      </c>
      <c r="BD345" s="351">
        <f t="array" ref="BD345">SUM((IF(QualitéAlimentsVeauxMâles_0_3_mois=MOYENNE,VLOOKUP("Bouchons luzerne",AlimentsRationBovinsMâles,8,FALSE),0)+(IF(QualitéAlimentsVeauxFemelles_0_3_mois=MOYENNE,VLOOKUP("Bouchons luzerne",AlimentsRationBovinsFemelles,8,FALSE),0)+(IF(QualitéAlimentsVeauxMâles_3_6_mois=MOYENNE,VLOOKUP("Bouchons luzerne",AlimentsRationBovinsMâles,7,FALSE),0)+(IF(QualitéAlimentsVeauxFemelles_3_6_mois=MOYENNE,VLOOKUP("Bouchons luzerne",AlimentsRationBovinsFemelles,7,FALSE),0)+(IF(QualitéAlimentsVeauxMâles_6_12_mois=MOYENNE,VLOOKUP("Bouchons luzerne",AlimentsRationBovinsMâles,6,FALSE),0)+(IF(QualitéAlimentsVeauxFemelles_6_12_mois=MOYENNE,VLOOKUP("Bouchons luzerne",AlimentsRationBovinsFemelles,6,FALSE),0)+(IF(QualitéAlimentsTaurillons_12_18_mois=MOYENNE,VLOOKUP("Bouchons luzerne",AlimentsRationBovinsMâles,5,FALSE),0)+(IF(QualitéAlimentsGénisses_12_18_mois=MOYENNE,VLOOKUP("Bouchons luzerne",AlimentsRationBovinsFemelles,5,FALSE),0)+(IF(QualitéAlimentsTaurillons_18_24_mois=MOYENNE,VLOOKUP("Bouchons luzerne",AlimentsRationBovinsMâles,4,FALSE),0)+(IF(QualitéAlimentsGénisses_18_24_mois=MOYENNE,VLOOKUP("Bouchons luzerne",AlimentsRationBovinsFemelles,4,FALSE),0)+(IF(QualitéAlimentsTaurillons_24_36_mois=MOYENNE,VLOOKUP("Bouchons luzerne",AlimentsRationBovinsMâles,3,FALSE),0)+(IF(QualitéAlimentsGénisses_24_36_mois=MOYENNE,VLOOKUP("Bouchons luzerne",AlimentsRationBovinsFemelles,3,FALSE),0)+(IF(QualitéAlimentsTaureaux=MOYENNE,VLOOKUP("Bouchons luzerne",AlimentsRationBovinsMâles,2,FALSE),0)+(IF(QualitéAlimentsVaches=MOYENNE,VLOOKUP("Bouchons luzerne",AlimentsRationBovinsFemelles,2,FALSE),0))))))))))))))))</f>
        <v>0</v>
      </c>
      <c r="BE345" s="351">
        <f t="array" ref="BE345">SUM((IF(QualitéAlimentsVeauxMâles_0_3_mois=MAUVAISE,VLOOKUP("Bouchons luzerne",AlimentsRationBovinsMâles,8,FALSE),0)+(IF(QualitéAlimentsVeauxFemelles_0_3_mois=MAUVAISE,VLOOKUP("Bouchons luzerne",AlimentsRationBovinsFemelles,8,FALSE),0)+(IF(QualitéAlimentsVeauxMâles_3_6_mois=MAUVAISE,VLOOKUP("Bouchons luzerne",AlimentsRationBovinsMâles,7,FALSE),0)+(IF(QualitéAlimentsVeauxFemelles_3_6_mois=MAUVAISE,VLOOKUP("Bouchons luzerne",AlimentsRationBovinsFemelles,7,FALSE),0)+(IF(QualitéAlimentsVeauxMâles_6_12_mois=MAUVAISE,VLOOKUP("Bouchons luzerne",AlimentsRationBovinsMâles,6,FALSE),0)+(IF(QualitéAlimentsVeauxFemelles_6_12_mois=MAUVAISE,VLOOKUP("Bouchons luzerne",AlimentsRationBovinsFemelles,6,FALSE),0)+(IF(QualitéAlimentsTaurillons_12_18_mois=MAUVAISE,VLOOKUP("Bouchons luzerne",AlimentsRationBovinsMâles,5,FALSE),0)+(IF(QualitéAlimentsGénisses_12_18_mois=MAUVAISE,VLOOKUP("Bouchons luzerne",AlimentsRationBovinsFemelles,5,FALSE),0)+(IF(QualitéAlimentsTaurillons_18_24_mois=MAUVAISE,VLOOKUP("Bouchons luzerne",AlimentsRationBovinsMâles,4,FALSE),0)+(IF(QualitéAlimentsGénisses_18_24_mois=MAUVAISE,VLOOKUP("Bouchons luzerne",AlimentsRationBovinsFemelles,4,FALSE),0)+(IF(QualitéAlimentsTaurillons_24_36_mois=MAUVAISE,VLOOKUP("Bouchons luzerne",AlimentsRationBovinsMâles,3,FALSE),0)+(IF(QualitéAlimentsGénisses_24_36_mois=MAUVAISE,VLOOKUP("Bouchons luzerne",AlimentsRationBovinsFemelles,3,FALSE),0)+(IF(QualitéAlimentsTaureaux=MAUVAISE,VLOOKUP("Bouchons luzerne",AlimentsRationBovinsMâles,2,FALSE),0)+(IF(QualitéAlimentsVaches=MAUVAISE,VLOOKUP("Bouchons luzerne",AlimentsRationBovinsFemelles,2,FALSE),0))))))))))))))))</f>
        <v>0</v>
      </c>
      <c r="DS345" s="276"/>
      <c r="GG345" s="276" t="s">
        <v>955</v>
      </c>
      <c r="GH345" s="276" t="s">
        <v>955</v>
      </c>
      <c r="GI345" s="276" t="s">
        <v>955</v>
      </c>
      <c r="GJ345" s="276" t="s">
        <v>955</v>
      </c>
      <c r="GK345" s="276" t="s">
        <v>955</v>
      </c>
      <c r="GL345" s="276" t="s">
        <v>955</v>
      </c>
      <c r="GM345" s="276" t="s">
        <v>955</v>
      </c>
      <c r="GN345" s="276" t="s">
        <v>955</v>
      </c>
      <c r="GO345" s="276" t="s">
        <v>955</v>
      </c>
      <c r="GP345" s="276" t="s">
        <v>955</v>
      </c>
      <c r="GQ345" s="276" t="s">
        <v>955</v>
      </c>
      <c r="GR345" s="276" t="s">
        <v>955</v>
      </c>
      <c r="GS345" s="276" t="s">
        <v>955</v>
      </c>
      <c r="GT345" s="276" t="s">
        <v>955</v>
      </c>
      <c r="GU345" s="276" t="s">
        <v>955</v>
      </c>
      <c r="GV345" s="276" t="s">
        <v>955</v>
      </c>
    </row>
    <row r="346" spans="1:204" ht="12.75" customHeight="1" x14ac:dyDescent="0.2">
      <c r="A346" s="276"/>
      <c r="B346" s="276"/>
      <c r="BB346" s="350" t="str">
        <f t="shared" si="74"/>
        <v>Chanvre</v>
      </c>
      <c r="BC346" s="351">
        <f t="array" ref="BC346">SUM((IF(QualitéAlimentsVeauxMâles_0_3_mois=BONNE,VLOOKUP("Chanvre",AlimentsRationBovinsMâles,8,FALSE),0)+(IF(QualitéAlimentsVeauxFemelles_0_3_mois=BONNE,VLOOKUP("Chanvre",AlimentsRationBovinsFemelles,8,FALSE),0)+(IF(QualitéAlimentsVeauxMâles_3_6_mois=BONNE,VLOOKUP("Chanvre",AlimentsRationBovinsMâles,7,FALSE),0)+(IF(QualitéAlimentsVeauxFemelles_3_6_mois=BONNE,VLOOKUP("Chanvre",AlimentsRationBovinsFemelles,7,FALSE),0)+(IF(QualitéAlimentsVeauxMâles_6_12_mois=BONNE,VLOOKUP("Chanvre",AlimentsRationBovinsMâles,6,FALSE),0)+(IF(QualitéAlimentsVeauxFemelles_6_12_mois=BONNE,VLOOKUP("Chanvre",AlimentsRationBovinsFemelles,6,FALSE),0)+(IF(QualitéAlimentsTaurillons_12_18_mois=BONNE,VLOOKUP("Chanvre",AlimentsRationBovinsMâles,5,FALSE),0)+(IF(QualitéAlimentsGénisses_12_18_mois=BONNE,VLOOKUP("Chanvre",AlimentsRationBovinsFemelles,5,FALSE),0)+(IF(QualitéAlimentsTaurillons_18_24_mois=BONNE,VLOOKUP("Chanvre",AlimentsRationBovinsMâles,4,FALSE),0)+(IF(QualitéAlimentsGénisses_18_24_mois=BONNE,VLOOKUP("Chanvre",AlimentsRationBovinsFemelles,4,FALSE),0)+(IF(QualitéAlimentsTaurillons_24_36_mois=BONNE,VLOOKUP("Chanvre",AlimentsRationBovinsMâles,3,FALSE),0)+(IF(QualitéAlimentsGénisses_24_36_mois=BONNE,VLOOKUP("Chanvre",AlimentsRationBovinsFemelles,3,FALSE),0)+(IF(QualitéAlimentsTaureaux=BONNE,VLOOKUP("Chanvre",AlimentsRationBovinsMâles,2,FALSE),0)+(IF(QualitéAlimentsVaches=BONNE,VLOOKUP("Chanvre",AlimentsRationBovinsFemelles,2,FALSE),0))))))))))))))))</f>
        <v>0</v>
      </c>
      <c r="BD346" s="351">
        <f t="array" ref="BD346">SUM((IF(QualitéAlimentsVeauxMâles_0_3_mois=MOYENNE,VLOOKUP("Chanvre",AlimentsRationBovinsMâles,8,FALSE),0)+(IF(QualitéAlimentsVeauxFemelles_0_3_mois=MOYENNE,VLOOKUP("Chanvre",AlimentsRationBovinsFemelles,8,FALSE),0)+(IF(QualitéAlimentsVeauxMâles_3_6_mois=MOYENNE,VLOOKUP("Chanvre",AlimentsRationBovinsMâles,7,FALSE),0)+(IF(QualitéAlimentsVeauxFemelles_3_6_mois=MOYENNE,VLOOKUP("Chanvre",AlimentsRationBovinsFemelles,7,FALSE),0)+(IF(QualitéAlimentsVeauxMâles_6_12_mois=MOYENNE,VLOOKUP("Chanvre",AlimentsRationBovinsMâles,6,FALSE),0)+(IF(QualitéAlimentsVeauxFemelles_6_12_mois=MOYENNE,VLOOKUP("Chanvre",AlimentsRationBovinsFemelles,6,FALSE),0)+(IF(QualitéAlimentsTaurillons_12_18_mois=MOYENNE,VLOOKUP("Chanvre",AlimentsRationBovinsMâles,5,FALSE),0)+(IF(QualitéAlimentsGénisses_12_18_mois=MOYENNE,VLOOKUP("Chanvre",AlimentsRationBovinsFemelles,5,FALSE),0)+(IF(QualitéAlimentsTaurillons_18_24_mois=MOYENNE,VLOOKUP("Chanvre",AlimentsRationBovinsMâles,4,FALSE),0)+(IF(QualitéAlimentsGénisses_18_24_mois=MOYENNE,VLOOKUP("Chanvre",AlimentsRationBovinsFemelles,4,FALSE),0)+(IF(QualitéAlimentsTaurillons_24_36_mois=MOYENNE,VLOOKUP("Chanvre",AlimentsRationBovinsMâles,3,FALSE),0)+(IF(QualitéAlimentsGénisses_24_36_mois=MOYENNE,VLOOKUP("Chanvre",AlimentsRationBovinsFemelles,3,FALSE),0)+(IF(QualitéAlimentsTaureaux=MOYENNE,VLOOKUP("Chanvre",AlimentsRationBovinsMâles,2,FALSE),0)+(IF(QualitéAlimentsVaches=MOYENNE,VLOOKUP("Chanvre",AlimentsRationBovinsFemelles,2,FALSE),0))))))))))))))))</f>
        <v>0</v>
      </c>
      <c r="BE346" s="351">
        <f t="array" ref="BE346">SUM((IF(QualitéAlimentsVeauxMâles_0_3_mois=MAUVAISE,VLOOKUP("Chanvre",AlimentsRationBovinsMâles,8,FALSE),0)+(IF(QualitéAlimentsVeauxFemelles_0_3_mois=MAUVAISE,VLOOKUP("Chanvre",AlimentsRationBovinsFemelles,8,FALSE),0)+(IF(QualitéAlimentsVeauxMâles_3_6_mois=MAUVAISE,VLOOKUP("Chanvre",AlimentsRationBovinsMâles,7,FALSE),0)+(IF(QualitéAlimentsVeauxFemelles_3_6_mois=MAUVAISE,VLOOKUP("Chanvre",AlimentsRationBovinsFemelles,7,FALSE),0)+(IF(QualitéAlimentsVeauxMâles_6_12_mois=MAUVAISE,VLOOKUP("Chanvre",AlimentsRationBovinsMâles,6,FALSE),0)+(IF(QualitéAlimentsVeauxFemelles_6_12_mois=MAUVAISE,VLOOKUP("Chanvre",AlimentsRationBovinsFemelles,6,FALSE),0)+(IF(QualitéAlimentsTaurillons_12_18_mois=MAUVAISE,VLOOKUP("Chanvre",AlimentsRationBovinsMâles,5,FALSE),0)+(IF(QualitéAlimentsGénisses_12_18_mois=MAUVAISE,VLOOKUP("Chanvre",AlimentsRationBovinsFemelles,5,FALSE),0)+(IF(QualitéAlimentsTaurillons_18_24_mois=MAUVAISE,VLOOKUP("Chanvre",AlimentsRationBovinsMâles,4,FALSE),0)+(IF(QualitéAlimentsGénisses_18_24_mois=MAUVAISE,VLOOKUP("Chanvre",AlimentsRationBovinsFemelles,4,FALSE),0)+(IF(QualitéAlimentsTaurillons_24_36_mois=MAUVAISE,VLOOKUP("Chanvre",AlimentsRationBovinsMâles,3,FALSE),0)+(IF(QualitéAlimentsGénisses_24_36_mois=MAUVAISE,VLOOKUP("Chanvre",AlimentsRationBovinsFemelles,3,FALSE),0)+(IF(QualitéAlimentsTaureaux=MAUVAISE,VLOOKUP("Chanvre",AlimentsRationBovinsMâles,2,FALSE),0)+(IF(QualitéAlimentsVaches=MAUVAISE,VLOOKUP("Chanvre",AlimentsRationBovinsFemelles,2,FALSE),0))))))))))))))))</f>
        <v>0</v>
      </c>
      <c r="DS346" s="276"/>
      <c r="GG346" s="276" t="s">
        <v>955</v>
      </c>
      <c r="GH346" s="276" t="s">
        <v>955</v>
      </c>
      <c r="GI346" s="276" t="s">
        <v>955</v>
      </c>
      <c r="GJ346" s="276" t="s">
        <v>955</v>
      </c>
      <c r="GK346" s="276" t="s">
        <v>955</v>
      </c>
      <c r="GL346" s="276" t="s">
        <v>955</v>
      </c>
      <c r="GM346" s="276" t="s">
        <v>955</v>
      </c>
      <c r="GN346" s="276" t="s">
        <v>955</v>
      </c>
      <c r="GO346" s="276" t="s">
        <v>955</v>
      </c>
      <c r="GP346" s="276" t="s">
        <v>955</v>
      </c>
      <c r="GQ346" s="276" t="s">
        <v>955</v>
      </c>
      <c r="GR346" s="276" t="s">
        <v>955</v>
      </c>
      <c r="GS346" s="276" t="s">
        <v>955</v>
      </c>
      <c r="GT346" s="276" t="s">
        <v>955</v>
      </c>
      <c r="GU346" s="276" t="s">
        <v>955</v>
      </c>
      <c r="GV346" s="276" t="s">
        <v>955</v>
      </c>
    </row>
    <row r="347" spans="1:204" ht="12.75" customHeight="1" x14ac:dyDescent="0.2">
      <c r="A347" s="276"/>
      <c r="B347" s="276"/>
      <c r="BB347" s="350" t="str">
        <f t="shared" si="74"/>
        <v>Canola</v>
      </c>
      <c r="BC347" s="351">
        <f t="array" ref="BC347">SUM((IF(QualitéAlimentsVeauxMâles_0_3_mois=BONNE,VLOOKUP("Canola",AlimentsRationBovinsMâles,8,FALSE),0)+(IF(QualitéAlimentsVeauxFemelles_0_3_mois=BONNE,VLOOKUP("Canola",AlimentsRationBovinsFemelles,8,FALSE),0)+(IF(QualitéAlimentsVeauxMâles_3_6_mois=BONNE,VLOOKUP("Canola",AlimentsRationBovinsMâles,7,FALSE),0)+(IF(QualitéAlimentsVeauxFemelles_3_6_mois=BONNE,VLOOKUP("Canola",AlimentsRationBovinsFemelles,7,FALSE),0)+(IF(QualitéAlimentsVeauxMâles_6_12_mois=BONNE,VLOOKUP("Canola",AlimentsRationBovinsMâles,6,FALSE),0)+(IF(QualitéAlimentsVeauxFemelles_6_12_mois=BONNE,VLOOKUP("Canola",AlimentsRationBovinsFemelles,6,FALSE),0)+(IF(QualitéAlimentsTaurillons_12_18_mois=BONNE,VLOOKUP("Canola",AlimentsRationBovinsMâles,5,FALSE),0)+(IF(QualitéAlimentsGénisses_12_18_mois=BONNE,VLOOKUP("Canola",AlimentsRationBovinsFemelles,5,FALSE),0)+(IF(QualitéAlimentsTaurillons_18_24_mois=BONNE,VLOOKUP("Canola",AlimentsRationBovinsMâles,4,FALSE),0)+(IF(QualitéAlimentsGénisses_18_24_mois=BONNE,VLOOKUP("Canola",AlimentsRationBovinsFemelles,4,FALSE),0)+(IF(QualitéAlimentsTaurillons_24_36_mois=BONNE,VLOOKUP("Canola",AlimentsRationBovinsMâles,3,FALSE),0)+(IF(QualitéAlimentsGénisses_24_36_mois=BONNE,VLOOKUP("Canola",AlimentsRationBovinsFemelles,3,FALSE),0)+(IF(QualitéAlimentsTaureaux=BONNE,VLOOKUP("Canola",AlimentsRationBovinsMâles,2,FALSE),0)+(IF(QualitéAlimentsVaches=BONNE,VLOOKUP("Canola",AlimentsRationBovinsFemelles,2,FALSE),0))))))))))))))))</f>
        <v>0</v>
      </c>
      <c r="BD347" s="351">
        <f t="array" ref="BD347">SUM((IF(QualitéAlimentsVeauxMâles_0_3_mois=MOYENNE,VLOOKUP("Canola",AlimentsRationBovinsMâles,8,FALSE),0)+(IF(QualitéAlimentsVeauxFemelles_0_3_mois=MOYENNE,VLOOKUP("Canola",AlimentsRationBovinsFemelles,8,FALSE),0)+(IF(QualitéAlimentsVeauxMâles_3_6_mois=MOYENNE,VLOOKUP("Canola",AlimentsRationBovinsMâles,7,FALSE),0)+(IF(QualitéAlimentsVeauxFemelles_3_6_mois=MOYENNE,VLOOKUP("Canola",AlimentsRationBovinsFemelles,7,FALSE),0)+(IF(QualitéAlimentsVeauxMâles_6_12_mois=MOYENNE,VLOOKUP("Canola",AlimentsRationBovinsMâles,6,FALSE),0)+(IF(QualitéAlimentsVeauxFemelles_6_12_mois=MOYENNE,VLOOKUP("Canola",AlimentsRationBovinsFemelles,6,FALSE),0)+(IF(QualitéAlimentsTaurillons_12_18_mois=MOYENNE,VLOOKUP("Canola",AlimentsRationBovinsMâles,5,FALSE),0)+(IF(QualitéAlimentsGénisses_12_18_mois=MOYENNE,VLOOKUP("Canola",AlimentsRationBovinsFemelles,5,FALSE),0)+(IF(QualitéAlimentsTaurillons_18_24_mois=MOYENNE,VLOOKUP("Canola",AlimentsRationBovinsMâles,4,FALSE),0)+(IF(QualitéAlimentsGénisses_18_24_mois=MOYENNE,VLOOKUP("Canola",AlimentsRationBovinsFemelles,4,FALSE),0)+(IF(QualitéAlimentsTaurillons_24_36_mois=MOYENNE,VLOOKUP("Canola",AlimentsRationBovinsMâles,3,FALSE),0)+(IF(QualitéAlimentsGénisses_24_36_mois=MOYENNE,VLOOKUP("Canola",AlimentsRationBovinsFemelles,3,FALSE),0)+(IF(QualitéAlimentsTaureaux=MOYENNE,VLOOKUP("Canola",AlimentsRationBovinsMâles,2,FALSE),0)+(IF(QualitéAlimentsVaches=MOYENNE,VLOOKUP("Canola",AlimentsRationBovinsFemelles,2,FALSE),0))))))))))))))))</f>
        <v>0</v>
      </c>
      <c r="BE347" s="351">
        <f t="array" ref="BE347">SUM((IF(QualitéAlimentsVeauxMâles_0_3_mois=MAUVAISE,VLOOKUP("Canola",AlimentsRationBovinsMâles,8,FALSE),0)+(IF(QualitéAlimentsVeauxFemelles_0_3_mois=MAUVAISE,VLOOKUP("Canola",AlimentsRationBovinsFemelles,8,FALSE),0)+(IF(QualitéAlimentsVeauxMâles_3_6_mois=MAUVAISE,VLOOKUP("Canola",AlimentsRationBovinsMâles,7,FALSE),0)+(IF(QualitéAlimentsVeauxFemelles_3_6_mois=MAUVAISE,VLOOKUP("Canola",AlimentsRationBovinsFemelles,7,FALSE),0)+(IF(QualitéAlimentsVeauxMâles_6_12_mois=MAUVAISE,VLOOKUP("Canola",AlimentsRationBovinsMâles,6,FALSE),0)+(IF(QualitéAlimentsVeauxFemelles_6_12_mois=MAUVAISE,VLOOKUP("Canola",AlimentsRationBovinsFemelles,6,FALSE),0)+(IF(QualitéAlimentsTaurillons_12_18_mois=MAUVAISE,VLOOKUP("Canola",AlimentsRationBovinsMâles,5,FALSE),0)+(IF(QualitéAlimentsGénisses_12_18_mois=MAUVAISE,VLOOKUP("Canola",AlimentsRationBovinsFemelles,5,FALSE),0)+(IF(QualitéAlimentsTaurillons_18_24_mois=MAUVAISE,VLOOKUP("Canola",AlimentsRationBovinsMâles,4,FALSE),0)+(IF(QualitéAlimentsGénisses_18_24_mois=MAUVAISE,VLOOKUP("Canola",AlimentsRationBovinsFemelles,4,FALSE),0)+(IF(QualitéAlimentsTaurillons_24_36_mois=MAUVAISE,VLOOKUP("Canola",AlimentsRationBovinsMâles,3,FALSE),0)+(IF(QualitéAlimentsGénisses_24_36_mois=MAUVAISE,VLOOKUP("Canola",AlimentsRationBovinsFemelles,3,FALSE),0)+(IF(QualitéAlimentsTaureaux=MAUVAISE,VLOOKUP("Canola",AlimentsRationBovinsMâles,2,FALSE),0)+(IF(QualitéAlimentsVaches=MAUVAISE,VLOOKUP("Canola",AlimentsRationBovinsFemelles,2,FALSE),0))))))))))))))))</f>
        <v>0</v>
      </c>
      <c r="DS347" s="276"/>
      <c r="GG347" s="276" t="s">
        <v>955</v>
      </c>
      <c r="GH347" s="276" t="s">
        <v>955</v>
      </c>
      <c r="GI347" s="276" t="s">
        <v>955</v>
      </c>
      <c r="GJ347" s="276" t="s">
        <v>955</v>
      </c>
      <c r="GK347" s="276" t="s">
        <v>955</v>
      </c>
      <c r="GL347" s="276" t="s">
        <v>955</v>
      </c>
      <c r="GM347" s="276" t="s">
        <v>955</v>
      </c>
      <c r="GN347" s="276" t="s">
        <v>955</v>
      </c>
      <c r="GO347" s="276" t="s">
        <v>955</v>
      </c>
      <c r="GP347" s="276" t="s">
        <v>955</v>
      </c>
      <c r="GQ347" s="276" t="s">
        <v>955</v>
      </c>
      <c r="GR347" s="276" t="s">
        <v>955</v>
      </c>
      <c r="GS347" s="276" t="s">
        <v>955</v>
      </c>
      <c r="GT347" s="276" t="s">
        <v>955</v>
      </c>
      <c r="GU347" s="276" t="s">
        <v>955</v>
      </c>
      <c r="GV347" s="276" t="s">
        <v>955</v>
      </c>
    </row>
    <row r="348" spans="1:204" ht="12.75" customHeight="1" x14ac:dyDescent="0.2">
      <c r="A348" s="276"/>
      <c r="B348" s="276"/>
      <c r="BB348" s="350" t="str">
        <f t="shared" si="74"/>
        <v>Colza</v>
      </c>
      <c r="BC348" s="351">
        <f t="array" ref="BC348">SUM((IF(QualitéAlimentsVeauxMâles_0_3_mois=BONNE,VLOOKUP("Colza",AlimentsRationBovinsMâles,8,FALSE),0)+(IF(QualitéAlimentsVeauxFemelles_0_3_mois=BONNE,VLOOKUP("Colza",AlimentsRationBovinsFemelles,8,FALSE),0)+(IF(QualitéAlimentsVeauxMâles_3_6_mois=BONNE,VLOOKUP("Colza",AlimentsRationBovinsMâles,7,FALSE),0)+(IF(QualitéAlimentsVeauxFemelles_3_6_mois=BONNE,VLOOKUP("Colza",AlimentsRationBovinsFemelles,7,FALSE),0)+(IF(QualitéAlimentsVeauxMâles_6_12_mois=BONNE,VLOOKUP("Colza",AlimentsRationBovinsMâles,6,FALSE),0)+(IF(QualitéAlimentsVeauxFemelles_6_12_mois=BONNE,VLOOKUP("Colza",AlimentsRationBovinsFemelles,6,FALSE),0)+(IF(QualitéAlimentsTaurillons_12_18_mois=BONNE,VLOOKUP("Colza",AlimentsRationBovinsMâles,5,FALSE),0)+(IF(QualitéAlimentsGénisses_12_18_mois=BONNE,VLOOKUP("Colza",AlimentsRationBovinsFemelles,5,FALSE),0)+(IF(QualitéAlimentsTaurillons_18_24_mois=BONNE,VLOOKUP("Colza",AlimentsRationBovinsMâles,4,FALSE),0)+(IF(QualitéAlimentsGénisses_18_24_mois=BONNE,VLOOKUP("Colza",AlimentsRationBovinsFemelles,4,FALSE),0)+(IF(QualitéAlimentsTaurillons_24_36_mois=BONNE,VLOOKUP("Colza",AlimentsRationBovinsMâles,3,FALSE),0)+(IF(QualitéAlimentsGénisses_24_36_mois=BONNE,VLOOKUP("Colza",AlimentsRationBovinsFemelles,3,FALSE),0)+(IF(QualitéAlimentsTaureaux=BONNE,VLOOKUP("Colza",AlimentsRationBovinsMâles,2,FALSE),0)+(IF(QualitéAlimentsVaches=BONNE,VLOOKUP("Colza",AlimentsRationBovinsFemelles,2,FALSE),0))))))))))))))))</f>
        <v>0</v>
      </c>
      <c r="BD348" s="351">
        <f t="array" ref="BD348">SUM((IF(QualitéAlimentsVeauxMâles_0_3_mois=MOYENNE,VLOOKUP("Colza",AlimentsRationBovinsMâles,8,FALSE),0)+(IF(QualitéAlimentsVeauxFemelles_0_3_mois=MOYENNE,VLOOKUP("Colza",AlimentsRationBovinsFemelles,8,FALSE),0)+(IF(QualitéAlimentsVeauxMâles_3_6_mois=MOYENNE,VLOOKUP("Colza",AlimentsRationBovinsMâles,7,FALSE),0)+(IF(QualitéAlimentsVeauxFemelles_3_6_mois=MOYENNE,VLOOKUP("Colza",AlimentsRationBovinsFemelles,7,FALSE),0)+(IF(QualitéAlimentsVeauxMâles_6_12_mois=MOYENNE,VLOOKUP("Colza",AlimentsRationBovinsMâles,6,FALSE),0)+(IF(QualitéAlimentsVeauxFemelles_6_12_mois=MOYENNE,VLOOKUP("Colza",AlimentsRationBovinsFemelles,6,FALSE),0)+(IF(QualitéAlimentsTaurillons_12_18_mois=MOYENNE,VLOOKUP("Colza",AlimentsRationBovinsMâles,5,FALSE),0)+(IF(QualitéAlimentsGénisses_12_18_mois=MOYENNE,VLOOKUP("Colza",AlimentsRationBovinsFemelles,5,FALSE),0)+(IF(QualitéAlimentsTaurillons_18_24_mois=MOYENNE,VLOOKUP("Colza",AlimentsRationBovinsMâles,4,FALSE),0)+(IF(QualitéAlimentsGénisses_18_24_mois=MOYENNE,VLOOKUP("Colza",AlimentsRationBovinsFemelles,4,FALSE),0)+(IF(QualitéAlimentsTaurillons_24_36_mois=MOYENNE,VLOOKUP("Colza",AlimentsRationBovinsMâles,3,FALSE),0)+(IF(QualitéAlimentsGénisses_24_36_mois=MOYENNE,VLOOKUP("Colza",AlimentsRationBovinsFemelles,3,FALSE),0)+(IF(QualitéAlimentsTaureaux=MOYENNE,VLOOKUP("Colza",AlimentsRationBovinsMâles,2,FALSE),0)+(IF(QualitéAlimentsVaches=MOYENNE,VLOOKUP("Colza",AlimentsRationBovinsFemelles,2,FALSE),0))))))))))))))))</f>
        <v>0</v>
      </c>
      <c r="BE348" s="351">
        <f t="array" ref="BE348">SUM((IF(QualitéAlimentsVeauxMâles_0_3_mois=MAUVAISE,VLOOKUP("Colza",AlimentsRationBovinsMâles,8,FALSE),0)+(IF(QualitéAlimentsVeauxFemelles_0_3_mois=MAUVAISE,VLOOKUP("Colza",AlimentsRationBovinsFemelles,8,FALSE),0)+(IF(QualitéAlimentsVeauxMâles_3_6_mois=MAUVAISE,VLOOKUP("Colza",AlimentsRationBovinsMâles,7,FALSE),0)+(IF(QualitéAlimentsVeauxFemelles_3_6_mois=MAUVAISE,VLOOKUP("Colza",AlimentsRationBovinsFemelles,7,FALSE),0)+(IF(QualitéAlimentsVeauxMâles_6_12_mois=MAUVAISE,VLOOKUP("Colza",AlimentsRationBovinsMâles,6,FALSE),0)+(IF(QualitéAlimentsVeauxFemelles_6_12_mois=MAUVAISE,VLOOKUP("Colza",AlimentsRationBovinsFemelles,6,FALSE),0)+(IF(QualitéAlimentsTaurillons_12_18_mois=MAUVAISE,VLOOKUP("Colza",AlimentsRationBovinsMâles,5,FALSE),0)+(IF(QualitéAlimentsGénisses_12_18_mois=MAUVAISE,VLOOKUP("Colza",AlimentsRationBovinsFemelles,5,FALSE),0)+(IF(QualitéAlimentsTaurillons_18_24_mois=MAUVAISE,VLOOKUP("Colza",AlimentsRationBovinsMâles,4,FALSE),0)+(IF(QualitéAlimentsGénisses_18_24_mois=MAUVAISE,VLOOKUP("Colza",AlimentsRationBovinsFemelles,4,FALSE),0)+(IF(QualitéAlimentsTaurillons_24_36_mois=MAUVAISE,VLOOKUP("Colza",AlimentsRationBovinsMâles,3,FALSE),0)+(IF(QualitéAlimentsGénisses_24_36_mois=MAUVAISE,VLOOKUP("Colza",AlimentsRationBovinsFemelles,3,FALSE),0)+(IF(QualitéAlimentsTaureaux=MAUVAISE,VLOOKUP("Colza",AlimentsRationBovinsMâles,2,FALSE),0)+(IF(QualitéAlimentsVaches=MAUVAISE,VLOOKUP("Colza",AlimentsRationBovinsFemelles,2,FALSE),0))))))))))))))))</f>
        <v>0</v>
      </c>
      <c r="DS348" s="276"/>
      <c r="GG348" s="276" t="s">
        <v>955</v>
      </c>
      <c r="GH348" s="276" t="s">
        <v>955</v>
      </c>
      <c r="GI348" s="276" t="s">
        <v>955</v>
      </c>
      <c r="GJ348" s="276" t="s">
        <v>955</v>
      </c>
      <c r="GK348" s="276" t="s">
        <v>955</v>
      </c>
      <c r="GL348" s="276" t="s">
        <v>955</v>
      </c>
      <c r="GM348" s="276" t="s">
        <v>955</v>
      </c>
      <c r="GN348" s="276" t="s">
        <v>955</v>
      </c>
      <c r="GO348" s="276" t="s">
        <v>955</v>
      </c>
      <c r="GP348" s="276" t="s">
        <v>955</v>
      </c>
      <c r="GQ348" s="276" t="s">
        <v>955</v>
      </c>
      <c r="GR348" s="276" t="s">
        <v>955</v>
      </c>
      <c r="GS348" s="276" t="s">
        <v>955</v>
      </c>
      <c r="GT348" s="276" t="s">
        <v>955</v>
      </c>
      <c r="GU348" s="276" t="s">
        <v>955</v>
      </c>
      <c r="GV348" s="276" t="s">
        <v>955</v>
      </c>
    </row>
    <row r="349" spans="1:204" ht="12.75" customHeight="1" x14ac:dyDescent="0.2">
      <c r="A349" s="276"/>
      <c r="B349" s="276"/>
      <c r="BB349" s="350" t="str">
        <f t="shared" si="74"/>
        <v>concentré jeunes bovins</v>
      </c>
      <c r="BC349" s="351">
        <f t="array" ref="BC349">SUM((IF(QualitéAlimentsVeauxMâles_0_3_mois=BONNE,VLOOKUP("concentré jeunes bovins",AlimentsRationBovinsMâles,8,FALSE),0)+(IF(QualitéAlimentsVeauxFemelles_0_3_mois=BONNE,VLOOKUP("concentré jeunes bovins",AlimentsRationBovinsFemelles,8,FALSE),0)+(IF(QualitéAlimentsVeauxMâles_3_6_mois=BONNE,VLOOKUP("concentré jeunes bovins",AlimentsRationBovinsMâles,7,FALSE),0)+(IF(QualitéAlimentsVeauxFemelles_3_6_mois=BONNE,VLOOKUP("concentré jeunes bovins",AlimentsRationBovinsFemelles,7,FALSE),0)+(IF(QualitéAlimentsVeauxMâles_6_12_mois=BONNE,VLOOKUP("concentré jeunes bovins",AlimentsRationBovinsMâles,6,FALSE),0)+(IF(QualitéAlimentsVeauxFemelles_6_12_mois=BONNE,VLOOKUP("concentré jeunes bovins",AlimentsRationBovinsFemelles,6,FALSE),0)+(IF(QualitéAlimentsTaurillons_12_18_mois=BONNE,VLOOKUP("concentré jeunes bovins",AlimentsRationBovinsMâles,5,FALSE),0)+(IF(QualitéAlimentsGénisses_12_18_mois=BONNE,VLOOKUP("concentré jeunes bovins",AlimentsRationBovinsFemelles,5,FALSE),0)+(IF(QualitéAlimentsTaurillons_18_24_mois=BONNE,VLOOKUP("concentré jeunes bovins",AlimentsRationBovinsMâles,4,FALSE),0)+(IF(QualitéAlimentsGénisses_18_24_mois=BONNE,VLOOKUP("concentré jeunes bovins",AlimentsRationBovinsFemelles,4,FALSE),0)+(IF(QualitéAlimentsTaurillons_24_36_mois=BONNE,VLOOKUP("concentré jeunes bovins",AlimentsRationBovinsMâles,3,FALSE),0)+(IF(QualitéAlimentsGénisses_24_36_mois=BONNE,VLOOKUP("concentré jeunes bovins",AlimentsRationBovinsFemelles,3,FALSE),0)+(IF(QualitéAlimentsTaureaux=BONNE,VLOOKUP("concentré jeunes bovins",AlimentsRationBovinsMâles,2,FALSE),0)+(IF(QualitéAlimentsVaches=BONNE,VLOOKUP("concentré jeunes bovins",AlimentsRationBovinsFemelles,2,FALSE),0))))))))))))))))</f>
        <v>0</v>
      </c>
      <c r="BD349" s="351">
        <f t="array" ref="BD349">SUM((IF(QualitéAlimentsVeauxMâles_0_3_mois=MOYENNE,VLOOKUP("concentré jeunes bovins",AlimentsRationBovinsMâles,8,FALSE),0)+(IF(QualitéAlimentsVeauxFemelles_0_3_mois=MOYENNE,VLOOKUP("concentré jeunes bovins",AlimentsRationBovinsFemelles,8,FALSE),0)+(IF(QualitéAlimentsVeauxMâles_3_6_mois=MOYENNE,VLOOKUP("concentré jeunes bovins",AlimentsRationBovinsMâles,7,FALSE),0)+(IF(QualitéAlimentsVeauxFemelles_3_6_mois=MOYENNE,VLOOKUP("concentré jeunes bovins",AlimentsRationBovinsFemelles,7,FALSE),0)+(IF(QualitéAlimentsVeauxMâles_6_12_mois=MOYENNE,VLOOKUP("concentré jeunes bovins",AlimentsRationBovinsMâles,6,FALSE),0)+(IF(QualitéAlimentsVeauxFemelles_6_12_mois=MOYENNE,VLOOKUP("concentré jeunes bovins",AlimentsRationBovinsFemelles,6,FALSE),0)+(IF(QualitéAlimentsTaurillons_12_18_mois=MOYENNE,VLOOKUP("concentré jeunes bovins",AlimentsRationBovinsMâles,5,FALSE),0)+(IF(QualitéAlimentsGénisses_12_18_mois=MOYENNE,VLOOKUP("concentré jeunes bovins",AlimentsRationBovinsFemelles,5,FALSE),0)+(IF(QualitéAlimentsTaurillons_18_24_mois=MOYENNE,VLOOKUP("concentré jeunes bovins",AlimentsRationBovinsMâles,4,FALSE),0)+(IF(QualitéAlimentsGénisses_18_24_mois=MOYENNE,VLOOKUP("concentré jeunes bovins",AlimentsRationBovinsFemelles,4,FALSE),0)+(IF(QualitéAlimentsTaurillons_24_36_mois=MOYENNE,VLOOKUP("concentré jeunes bovins",AlimentsRationBovinsMâles,3,FALSE),0)+(IF(QualitéAlimentsGénisses_24_36_mois=MOYENNE,VLOOKUP("concentré jeunes bovins",AlimentsRationBovinsFemelles,3,FALSE),0)+(IF(QualitéAlimentsTaureaux=MOYENNE,VLOOKUP("concentré jeunes bovins",AlimentsRationBovinsMâles,2,FALSE),0)+(IF(QualitéAlimentsVaches=MOYENNE,VLOOKUP("concentré jeunes bovins",AlimentsRationBovinsFemelles,2,FALSE),0))))))))))))))))</f>
        <v>0</v>
      </c>
      <c r="BE349" s="351">
        <f t="array" ref="BE349">SUM((IF(QualitéAlimentsVeauxMâles_0_3_mois=MAUVAISE,VLOOKUP("concentré jeunes bovins",AlimentsRationBovinsMâles,8,FALSE),0)+(IF(QualitéAlimentsVeauxFemelles_0_3_mois=MAUVAISE,VLOOKUP("concentré jeunes bovins",AlimentsRationBovinsFemelles,8,FALSE),0)+(IF(QualitéAlimentsVeauxMâles_3_6_mois=MAUVAISE,VLOOKUP("concentré jeunes bovins",AlimentsRationBovinsMâles,7,FALSE),0)+(IF(QualitéAlimentsVeauxFemelles_3_6_mois=MAUVAISE,VLOOKUP("concentré jeunes bovins",AlimentsRationBovinsFemelles,7,FALSE),0)+(IF(QualitéAlimentsVeauxMâles_6_12_mois=MAUVAISE,VLOOKUP("concentré jeunes bovins",AlimentsRationBovinsMâles,6,FALSE),0)+(IF(QualitéAlimentsVeauxFemelles_6_12_mois=MAUVAISE,VLOOKUP("concentré jeunes bovins",AlimentsRationBovinsFemelles,6,FALSE),0)+(IF(QualitéAlimentsTaurillons_12_18_mois=MAUVAISE,VLOOKUP("concentré jeunes bovins",AlimentsRationBovinsMâles,5,FALSE),0)+(IF(QualitéAlimentsGénisses_12_18_mois=MAUVAISE,VLOOKUP("concentré jeunes bovins",AlimentsRationBovinsFemelles,5,FALSE),0)+(IF(QualitéAlimentsTaurillons_18_24_mois=MAUVAISE,VLOOKUP("concentré jeunes bovins",AlimentsRationBovinsMâles,4,FALSE),0)+(IF(QualitéAlimentsGénisses_18_24_mois=MAUVAISE,VLOOKUP("concentré jeunes bovins",AlimentsRationBovinsFemelles,4,FALSE),0)+(IF(QualitéAlimentsTaurillons_24_36_mois=MAUVAISE,VLOOKUP("concentré jeunes bovins",AlimentsRationBovinsMâles,3,FALSE),0)+(IF(QualitéAlimentsGénisses_24_36_mois=MAUVAISE,VLOOKUP("concentré jeunes bovins",AlimentsRationBovinsFemelles,3,FALSE),0)+(IF(QualitéAlimentsTaureaux=MAUVAISE,VLOOKUP("concentré jeunes bovins",AlimentsRationBovinsMâles,2,FALSE),0)+(IF(QualitéAlimentsVaches=MAUVAISE,VLOOKUP("concentré jeunes bovins",AlimentsRationBovinsFemelles,2,FALSE),0))))))))))))))))</f>
        <v>0</v>
      </c>
      <c r="DS349" s="276"/>
      <c r="GG349" s="276" t="s">
        <v>955</v>
      </c>
      <c r="GH349" s="276" t="s">
        <v>955</v>
      </c>
      <c r="GI349" s="276" t="s">
        <v>955</v>
      </c>
      <c r="GJ349" s="276" t="s">
        <v>955</v>
      </c>
      <c r="GK349" s="276" t="s">
        <v>955</v>
      </c>
      <c r="GL349" s="276" t="s">
        <v>955</v>
      </c>
      <c r="GM349" s="276" t="s">
        <v>955</v>
      </c>
      <c r="GN349" s="276" t="s">
        <v>955</v>
      </c>
      <c r="GO349" s="276" t="s">
        <v>955</v>
      </c>
      <c r="GP349" s="276" t="s">
        <v>955</v>
      </c>
      <c r="GQ349" s="276" t="s">
        <v>955</v>
      </c>
      <c r="GR349" s="276" t="s">
        <v>955</v>
      </c>
      <c r="GS349" s="276" t="s">
        <v>955</v>
      </c>
      <c r="GT349" s="276" t="s">
        <v>955</v>
      </c>
      <c r="GU349" s="276" t="s">
        <v>955</v>
      </c>
      <c r="GV349" s="276" t="s">
        <v>955</v>
      </c>
    </row>
    <row r="350" spans="1:204" ht="12.75" customHeight="1" x14ac:dyDescent="0.2">
      <c r="A350" s="276"/>
      <c r="B350" s="276"/>
      <c r="BB350" s="350" t="str">
        <f t="shared" si="74"/>
        <v>concentré jeunes lapins</v>
      </c>
      <c r="BC350" s="351">
        <f t="array" ref="BC350">SUM((IF(QualitéAlimentsVeauxMâles_0_3_mois=BONNE,VLOOKUP("concentré jeunes lapins",AlimentsRationBovinsMâles,8,FALSE),0)+(IF(QualitéAlimentsVeauxFemelles_0_3_mois=BONNE,VLOOKUP("concentré jeunes lapins",AlimentsRationBovinsFemelles,8,FALSE),0)+(IF(QualitéAlimentsVeauxMâles_3_6_mois=BONNE,VLOOKUP("concentré jeunes lapins",AlimentsRationBovinsMâles,7,FALSE),0)+(IF(QualitéAlimentsVeauxFemelles_3_6_mois=BONNE,VLOOKUP("concentré jeunes lapins",AlimentsRationBovinsFemelles,7,FALSE),0)+(IF(QualitéAlimentsVeauxMâles_6_12_mois=BONNE,VLOOKUP("concentré jeunes lapins",AlimentsRationBovinsMâles,6,FALSE),0)+(IF(QualitéAlimentsVeauxFemelles_6_12_mois=BONNE,VLOOKUP("concentré jeunes lapins",AlimentsRationBovinsFemelles,6,FALSE),0)+(IF(QualitéAlimentsTaurillons_12_18_mois=BONNE,VLOOKUP("concentré jeunes lapins",AlimentsRationBovinsMâles,5,FALSE),0)+(IF(QualitéAlimentsGénisses_12_18_mois=BONNE,VLOOKUP("concentré jeunes lapins",AlimentsRationBovinsFemelles,5,FALSE),0)+(IF(QualitéAlimentsTaurillons_18_24_mois=BONNE,VLOOKUP("concentré jeunes lapins",AlimentsRationBovinsMâles,4,FALSE),0)+(IF(QualitéAlimentsGénisses_18_24_mois=BONNE,VLOOKUP("concentré jeunes lapins",AlimentsRationBovinsFemelles,4,FALSE),0)+(IF(QualitéAlimentsTaurillons_24_36_mois=BONNE,VLOOKUP("concentré jeunes lapins",AlimentsRationBovinsMâles,3,FALSE),0)+(IF(QualitéAlimentsGénisses_24_36_mois=BONNE,VLOOKUP("concentré jeunes lapins",AlimentsRationBovinsFemelles,3,FALSE),0)+(IF(QualitéAlimentsTaureaux=BONNE,VLOOKUP("concentré jeunes lapins",AlimentsRationBovinsMâles,2,FALSE),0)+(IF(QualitéAlimentsVaches=BONNE,VLOOKUP("concentré jeunes lapins",AlimentsRationBovinsFemelles,2,FALSE),0))))))))))))))))</f>
        <v>0</v>
      </c>
      <c r="BD350" s="351">
        <f t="array" ref="BD350">SUM((IF(QualitéAlimentsVeauxMâles_0_3_mois=MOYENNE,VLOOKUP("concentré jeunes lapins",AlimentsRationBovinsMâles,8,FALSE),0)+(IF(QualitéAlimentsVeauxFemelles_0_3_mois=MOYENNE,VLOOKUP("concentré jeunes lapins",AlimentsRationBovinsFemelles,8,FALSE),0)+(IF(QualitéAlimentsVeauxMâles_3_6_mois=MOYENNE,VLOOKUP("concentré jeunes lapins",AlimentsRationBovinsMâles,7,FALSE),0)+(IF(QualitéAlimentsVeauxFemelles_3_6_mois=MOYENNE,VLOOKUP("concentré jeunes lapins",AlimentsRationBovinsFemelles,7,FALSE),0)+(IF(QualitéAlimentsVeauxMâles_6_12_mois=MOYENNE,VLOOKUP("concentré jeunes lapins",AlimentsRationBovinsMâles,6,FALSE),0)+(IF(QualitéAlimentsVeauxFemelles_6_12_mois=MOYENNE,VLOOKUP("concentré jeunes lapins",AlimentsRationBovinsFemelles,6,FALSE),0)+(IF(QualitéAlimentsTaurillons_12_18_mois=MOYENNE,VLOOKUP("concentré jeunes lapins",AlimentsRationBovinsMâles,5,FALSE),0)+(IF(QualitéAlimentsGénisses_12_18_mois=MOYENNE,VLOOKUP("concentré jeunes lapins",AlimentsRationBovinsFemelles,5,FALSE),0)+(IF(QualitéAlimentsTaurillons_18_24_mois=MOYENNE,VLOOKUP("concentré jeunes lapins",AlimentsRationBovinsMâles,4,FALSE),0)+(IF(QualitéAlimentsGénisses_18_24_mois=MOYENNE,VLOOKUP("concentré jeunes lapins",AlimentsRationBovinsFemelles,4,FALSE),0)+(IF(QualitéAlimentsTaurillons_24_36_mois=MOYENNE,VLOOKUP("concentré jeunes lapins",AlimentsRationBovinsMâles,3,FALSE),0)+(IF(QualitéAlimentsGénisses_24_36_mois=MOYENNE,VLOOKUP("concentré jeunes lapins",AlimentsRationBovinsFemelles,3,FALSE),0)+(IF(QualitéAlimentsTaureaux=MOYENNE,VLOOKUP("concentré jeunes lapins",AlimentsRationBovinsMâles,2,FALSE),0)+(IF(QualitéAlimentsVaches=MOYENNE,VLOOKUP("concentré jeunes lapins",AlimentsRationBovinsFemelles,2,FALSE),0))))))))))))))))</f>
        <v>0</v>
      </c>
      <c r="BE350" s="351">
        <f t="array" ref="BE350">SUM((IF(QualitéAlimentsVeauxMâles_0_3_mois=MAUVAISE,VLOOKUP("concentré jeunes lapins",AlimentsRationBovinsMâles,8,FALSE),0)+(IF(QualitéAlimentsVeauxFemelles_0_3_mois=MAUVAISE,VLOOKUP("concentré jeunes lapins",AlimentsRationBovinsFemelles,8,FALSE),0)+(IF(QualitéAlimentsVeauxMâles_3_6_mois=MAUVAISE,VLOOKUP("concentré jeunes lapins",AlimentsRationBovinsMâles,7,FALSE),0)+(IF(QualitéAlimentsVeauxFemelles_3_6_mois=MAUVAISE,VLOOKUP("concentré jeunes lapins",AlimentsRationBovinsFemelles,7,FALSE),0)+(IF(QualitéAlimentsVeauxMâles_6_12_mois=MAUVAISE,VLOOKUP("concentré jeunes lapins",AlimentsRationBovinsMâles,6,FALSE),0)+(IF(QualitéAlimentsVeauxFemelles_6_12_mois=MAUVAISE,VLOOKUP("concentré jeunes lapins",AlimentsRationBovinsFemelles,6,FALSE),0)+(IF(QualitéAlimentsTaurillons_12_18_mois=MAUVAISE,VLOOKUP("concentré jeunes lapins",AlimentsRationBovinsMâles,5,FALSE),0)+(IF(QualitéAlimentsGénisses_12_18_mois=MAUVAISE,VLOOKUP("concentré jeunes lapins",AlimentsRationBovinsFemelles,5,FALSE),0)+(IF(QualitéAlimentsTaurillons_18_24_mois=MAUVAISE,VLOOKUP("concentré jeunes lapins",AlimentsRationBovinsMâles,4,FALSE),0)+(IF(QualitéAlimentsGénisses_18_24_mois=MAUVAISE,VLOOKUP("concentré jeunes lapins",AlimentsRationBovinsFemelles,4,FALSE),0)+(IF(QualitéAlimentsTaurillons_24_36_mois=MAUVAISE,VLOOKUP("concentré jeunes lapins",AlimentsRationBovinsMâles,3,FALSE),0)+(IF(QualitéAlimentsGénisses_24_36_mois=MAUVAISE,VLOOKUP("concentré jeunes lapins",AlimentsRationBovinsFemelles,3,FALSE),0)+(IF(QualitéAlimentsTaureaux=MAUVAISE,VLOOKUP("concentré jeunes lapins",AlimentsRationBovinsMâles,2,FALSE),0)+(IF(QualitéAlimentsVaches=MAUVAISE,VLOOKUP("concentré jeunes lapins",AlimentsRationBovinsFemelles,2,FALSE),0))))))))))))))))</f>
        <v>0</v>
      </c>
      <c r="DS350" s="276"/>
      <c r="GG350" s="276" t="s">
        <v>955</v>
      </c>
      <c r="GH350" s="276" t="s">
        <v>955</v>
      </c>
      <c r="GI350" s="276" t="s">
        <v>955</v>
      </c>
      <c r="GJ350" s="276" t="s">
        <v>955</v>
      </c>
      <c r="GK350" s="276" t="s">
        <v>955</v>
      </c>
      <c r="GL350" s="276" t="s">
        <v>955</v>
      </c>
      <c r="GM350" s="276" t="s">
        <v>955</v>
      </c>
      <c r="GN350" s="276" t="s">
        <v>955</v>
      </c>
      <c r="GO350" s="276" t="s">
        <v>955</v>
      </c>
      <c r="GP350" s="276" t="s">
        <v>955</v>
      </c>
      <c r="GQ350" s="276" t="s">
        <v>955</v>
      </c>
      <c r="GR350" s="276" t="s">
        <v>955</v>
      </c>
      <c r="GS350" s="276" t="s">
        <v>955</v>
      </c>
      <c r="GT350" s="276" t="s">
        <v>955</v>
      </c>
      <c r="GU350" s="276" t="s">
        <v>955</v>
      </c>
      <c r="GV350" s="276" t="s">
        <v>955</v>
      </c>
    </row>
    <row r="351" spans="1:204" ht="12.75" customHeight="1" x14ac:dyDescent="0.2">
      <c r="A351" s="276"/>
      <c r="B351" s="276"/>
      <c r="BB351" s="350" t="str">
        <f t="shared" si="74"/>
        <v>concentré jeunes porcins</v>
      </c>
      <c r="BC351" s="351">
        <f t="array" ref="BC351">SUM((IF(QualitéAlimentsVeauxMâles_0_3_mois=BONNE,VLOOKUP("concentré jeunes porcins",AlimentsRationBovinsMâles,8,FALSE),0)+(IF(QualitéAlimentsVeauxFemelles_0_3_mois=BONNE,VLOOKUP("concentré jeunes porcins",AlimentsRationBovinsFemelles,8,FALSE),0)+(IF(QualitéAlimentsVeauxMâles_3_6_mois=BONNE,VLOOKUP("concentré jeunes porcins",AlimentsRationBovinsMâles,7,FALSE),0)+(IF(QualitéAlimentsVeauxFemelles_3_6_mois=BONNE,VLOOKUP("concentré jeunes porcins",AlimentsRationBovinsFemelles,7,FALSE),0)+(IF(QualitéAlimentsVeauxMâles_6_12_mois=BONNE,VLOOKUP("concentré jeunes porcins",AlimentsRationBovinsMâles,6,FALSE),0)+(IF(QualitéAlimentsVeauxFemelles_6_12_mois=BONNE,VLOOKUP("concentré jeunes porcins",AlimentsRationBovinsFemelles,6,FALSE),0)+(IF(QualitéAlimentsTaurillons_12_18_mois=BONNE,VLOOKUP("concentré jeunes porcins",AlimentsRationBovinsMâles,5,FALSE),0)+(IF(QualitéAlimentsGénisses_12_18_mois=BONNE,VLOOKUP("concentré jeunes porcins",AlimentsRationBovinsFemelles,5,FALSE),0)+(IF(QualitéAlimentsTaurillons_18_24_mois=BONNE,VLOOKUP("concentré jeunes porcins",AlimentsRationBovinsMâles,4,FALSE),0)+(IF(QualitéAlimentsGénisses_18_24_mois=BONNE,VLOOKUP("concentré jeunes porcins",AlimentsRationBovinsFemelles,4,FALSE),0)+(IF(QualitéAlimentsTaurillons_24_36_mois=BONNE,VLOOKUP("concentré jeunes porcins",AlimentsRationBovinsMâles,3,FALSE),0)+(IF(QualitéAlimentsGénisses_24_36_mois=BONNE,VLOOKUP("concentré jeunes porcins",AlimentsRationBovinsFemelles,3,FALSE),0)+(IF(QualitéAlimentsTaureaux=BONNE,VLOOKUP("concentré jeunes porcins",AlimentsRationBovinsMâles,2,FALSE),0)+(IF(QualitéAlimentsVaches=BONNE,VLOOKUP("concentré jeunes porcins",AlimentsRationBovinsFemelles,2,FALSE),0))))))))))))))))</f>
        <v>0</v>
      </c>
      <c r="BD351" s="351">
        <f t="array" ref="BD351">SUM((IF(QualitéAlimentsVeauxMâles_0_3_mois=MOYENNE,VLOOKUP("concentré jeunes porcins",AlimentsRationBovinsMâles,8,FALSE),0)+(IF(QualitéAlimentsVeauxFemelles_0_3_mois=MOYENNE,VLOOKUP("concentré jeunes porcins",AlimentsRationBovinsFemelles,8,FALSE),0)+(IF(QualitéAlimentsVeauxMâles_3_6_mois=MOYENNE,VLOOKUP("concentré jeunes porcins",AlimentsRationBovinsMâles,7,FALSE),0)+(IF(QualitéAlimentsVeauxFemelles_3_6_mois=MOYENNE,VLOOKUP("concentré jeunes porcins",AlimentsRationBovinsFemelles,7,FALSE),0)+(IF(QualitéAlimentsVeauxMâles_6_12_mois=MOYENNE,VLOOKUP("concentré jeunes porcins",AlimentsRationBovinsMâles,6,FALSE),0)+(IF(QualitéAlimentsVeauxFemelles_6_12_mois=MOYENNE,VLOOKUP("concentré jeunes porcins",AlimentsRationBovinsFemelles,6,FALSE),0)+(IF(QualitéAlimentsTaurillons_12_18_mois=MOYENNE,VLOOKUP("concentré jeunes porcins",AlimentsRationBovinsMâles,5,FALSE),0)+(IF(QualitéAlimentsGénisses_12_18_mois=MOYENNE,VLOOKUP("concentré jeunes porcins",AlimentsRationBovinsFemelles,5,FALSE),0)+(IF(QualitéAlimentsTaurillons_18_24_mois=MOYENNE,VLOOKUP("concentré jeunes porcins",AlimentsRationBovinsMâles,4,FALSE),0)+(IF(QualitéAlimentsGénisses_18_24_mois=MOYENNE,VLOOKUP("concentré jeunes porcins",AlimentsRationBovinsFemelles,4,FALSE),0)+(IF(QualitéAlimentsTaurillons_24_36_mois=MOYENNE,VLOOKUP("concentré jeunes porcins",AlimentsRationBovinsMâles,3,FALSE),0)+(IF(QualitéAlimentsGénisses_24_36_mois=MOYENNE,VLOOKUP("concentré jeunes porcins",AlimentsRationBovinsFemelles,3,FALSE),0)+(IF(QualitéAlimentsTaureaux=MOYENNE,VLOOKUP("concentré jeunes porcins",AlimentsRationBovinsMâles,2,FALSE),0)+(IF(QualitéAlimentsVaches=MOYENNE,VLOOKUP("concentré jeunes porcins",AlimentsRationBovinsFemelles,2,FALSE),0))))))))))))))))</f>
        <v>0</v>
      </c>
      <c r="BE351" s="351">
        <f t="array" ref="BE351">SUM((IF(QualitéAlimentsVeauxMâles_0_3_mois=MAUVAISE,VLOOKUP("concentré jeunes porcins",AlimentsRationBovinsMâles,8,FALSE),0)+(IF(QualitéAlimentsVeauxFemelles_0_3_mois=MAUVAISE,VLOOKUP("concentré jeunes porcins",AlimentsRationBovinsFemelles,8,FALSE),0)+(IF(QualitéAlimentsVeauxMâles_3_6_mois=MAUVAISE,VLOOKUP("concentré jeunes porcins",AlimentsRationBovinsMâles,7,FALSE),0)+(IF(QualitéAlimentsVeauxFemelles_3_6_mois=MAUVAISE,VLOOKUP("concentré jeunes porcins",AlimentsRationBovinsFemelles,7,FALSE),0)+(IF(QualitéAlimentsVeauxMâles_6_12_mois=MAUVAISE,VLOOKUP("concentré jeunes porcins",AlimentsRationBovinsMâles,6,FALSE),0)+(IF(QualitéAlimentsVeauxFemelles_6_12_mois=MAUVAISE,VLOOKUP("concentré jeunes porcins",AlimentsRationBovinsFemelles,6,FALSE),0)+(IF(QualitéAlimentsTaurillons_12_18_mois=MAUVAISE,VLOOKUP("concentré jeunes porcins",AlimentsRationBovinsMâles,5,FALSE),0)+(IF(QualitéAlimentsGénisses_12_18_mois=MAUVAISE,VLOOKUP("concentré jeunes porcins",AlimentsRationBovinsFemelles,5,FALSE),0)+(IF(QualitéAlimentsTaurillons_18_24_mois=MAUVAISE,VLOOKUP("concentré jeunes porcins",AlimentsRationBovinsMâles,4,FALSE),0)+(IF(QualitéAlimentsGénisses_18_24_mois=MAUVAISE,VLOOKUP("concentré jeunes porcins",AlimentsRationBovinsFemelles,4,FALSE),0)+(IF(QualitéAlimentsTaurillons_24_36_mois=MAUVAISE,VLOOKUP("concentré jeunes porcins",AlimentsRationBovinsMâles,3,FALSE),0)+(IF(QualitéAlimentsGénisses_24_36_mois=MAUVAISE,VLOOKUP("concentré jeunes porcins",AlimentsRationBovinsFemelles,3,FALSE),0)+(IF(QualitéAlimentsTaureaux=MAUVAISE,VLOOKUP("concentré jeunes porcins",AlimentsRationBovinsMâles,2,FALSE),0)+(IF(QualitéAlimentsVaches=MAUVAISE,VLOOKUP("concentré jeunes porcins",AlimentsRationBovinsFemelles,2,FALSE),0))))))))))))))))</f>
        <v>0</v>
      </c>
      <c r="DS351" s="276"/>
      <c r="GG351" s="276" t="s">
        <v>955</v>
      </c>
      <c r="GH351" s="276" t="s">
        <v>955</v>
      </c>
      <c r="GI351" s="276" t="s">
        <v>955</v>
      </c>
      <c r="GJ351" s="276" t="s">
        <v>955</v>
      </c>
      <c r="GK351" s="276" t="s">
        <v>955</v>
      </c>
      <c r="GL351" s="276" t="s">
        <v>955</v>
      </c>
      <c r="GM351" s="276" t="s">
        <v>955</v>
      </c>
      <c r="GN351" s="276" t="s">
        <v>955</v>
      </c>
      <c r="GO351" s="276" t="s">
        <v>955</v>
      </c>
      <c r="GP351" s="276" t="s">
        <v>955</v>
      </c>
      <c r="GQ351" s="276" t="s">
        <v>955</v>
      </c>
      <c r="GR351" s="276" t="s">
        <v>955</v>
      </c>
      <c r="GS351" s="276" t="s">
        <v>955</v>
      </c>
      <c r="GT351" s="276" t="s">
        <v>955</v>
      </c>
      <c r="GU351" s="276" t="s">
        <v>955</v>
      </c>
      <c r="GV351" s="276" t="s">
        <v>955</v>
      </c>
    </row>
    <row r="352" spans="1:204" ht="12.75" customHeight="1" x14ac:dyDescent="0.2">
      <c r="A352" s="276"/>
      <c r="B352" s="276"/>
      <c r="BB352" s="350" t="str">
        <f t="shared" si="74"/>
        <v>Ensilage d'herbe</v>
      </c>
      <c r="BC352" s="351">
        <f t="array" ref="BC352">SUM((IF(QualitéAlimentsVeauxMâles_0_3_mois=BONNE,VLOOKUP("Ensilage d'herbe",AlimentsRationBovinsMâles,8,FALSE),0)+(IF(QualitéAlimentsVeauxFemelles_0_3_mois=BONNE,VLOOKUP("Ensilage d'herbe",AlimentsRationBovinsFemelles,8,FALSE),0)+(IF(QualitéAlimentsVeauxMâles_3_6_mois=BONNE,VLOOKUP("Ensilage d'herbe",AlimentsRationBovinsMâles,7,FALSE),0)+(IF(QualitéAlimentsVeauxFemelles_3_6_mois=BONNE,VLOOKUP("Ensilage d'herbe",AlimentsRationBovinsFemelles,7,FALSE),0)+(IF(QualitéAlimentsVeauxMâles_6_12_mois=BONNE,VLOOKUP("Ensilage d'herbe",AlimentsRationBovinsMâles,6,FALSE),0)+(IF(QualitéAlimentsVeauxFemelles_6_12_mois=BONNE,VLOOKUP("Ensilage d'herbe",AlimentsRationBovinsFemelles,6,FALSE),0)+(IF(QualitéAlimentsTaurillons_12_18_mois=BONNE,VLOOKUP("Ensilage d'herbe",AlimentsRationBovinsMâles,5,FALSE),0)+(IF(QualitéAlimentsGénisses_12_18_mois=BONNE,VLOOKUP("Ensilage d'herbe",AlimentsRationBovinsFemelles,5,FALSE),0)+(IF(QualitéAlimentsTaurillons_18_24_mois=BONNE,VLOOKUP("Ensilage d'herbe",AlimentsRationBovinsMâles,4,FALSE),0)+(IF(QualitéAlimentsGénisses_18_24_mois=BONNE,VLOOKUP("Ensilage d'herbe",AlimentsRationBovinsFemelles,4,FALSE),0)+(IF(QualitéAlimentsTaurillons_24_36_mois=BONNE,VLOOKUP("Ensilage d'herbe",AlimentsRationBovinsMâles,3,FALSE),0)+(IF(QualitéAlimentsGénisses_24_36_mois=BONNE,VLOOKUP("Ensilage d'herbe",AlimentsRationBovinsFemelles,3,FALSE),0)+(IF(QualitéAlimentsTaureaux=BONNE,VLOOKUP("Ensilage d'herbe",AlimentsRationBovinsMâles,2,FALSE),0)+(IF(QualitéAlimentsVaches=BONNE,VLOOKUP("Ensilage d'herbe",AlimentsRationBovinsFemelles,2,FALSE),0))))))))))))))))</f>
        <v>0</v>
      </c>
      <c r="BD352" s="351">
        <f t="array" ref="BD352">SUM((IF(QualitéAlimentsVeauxMâles_0_3_mois=MOYENNE,VLOOKUP("Ensilage d'herbe",AlimentsRationBovinsMâles,8,FALSE),0)+(IF(QualitéAlimentsVeauxFemelles_0_3_mois=MOYENNE,VLOOKUP("Ensilage d'herbe",AlimentsRationBovinsFemelles,8,FALSE),0)+(IF(QualitéAlimentsVeauxMâles_3_6_mois=MOYENNE,VLOOKUP("Ensilage d'herbe",AlimentsRationBovinsMâles,7,FALSE),0)+(IF(QualitéAlimentsVeauxFemelles_3_6_mois=MOYENNE,VLOOKUP("Ensilage d'herbe",AlimentsRationBovinsFemelles,7,FALSE),0)+(IF(QualitéAlimentsVeauxMâles_6_12_mois=MOYENNE,VLOOKUP("Ensilage d'herbe",AlimentsRationBovinsMâles,6,FALSE),0)+(IF(QualitéAlimentsVeauxFemelles_6_12_mois=MOYENNE,VLOOKUP("Ensilage d'herbe",AlimentsRationBovinsFemelles,6,FALSE),0)+(IF(QualitéAlimentsTaurillons_12_18_mois=MOYENNE,VLOOKUP("Ensilage d'herbe",AlimentsRationBovinsMâles,5,FALSE),0)+(IF(QualitéAlimentsGénisses_12_18_mois=MOYENNE,VLOOKUP("Ensilage d'herbe",AlimentsRationBovinsFemelles,5,FALSE),0)+(IF(QualitéAlimentsTaurillons_18_24_mois=MOYENNE,VLOOKUP("Ensilage d'herbe",AlimentsRationBovinsMâles,4,FALSE),0)+(IF(QualitéAlimentsGénisses_18_24_mois=MOYENNE,VLOOKUP("Ensilage d'herbe",AlimentsRationBovinsFemelles,4,FALSE),0)+(IF(QualitéAlimentsTaurillons_24_36_mois=MOYENNE,VLOOKUP("Ensilage d'herbe",AlimentsRationBovinsMâles,3,FALSE),0)+(IF(QualitéAlimentsGénisses_24_36_mois=MOYENNE,VLOOKUP("Ensilage d'herbe",AlimentsRationBovinsFemelles,3,FALSE),0)+(IF(QualitéAlimentsTaureaux=MOYENNE,VLOOKUP("Ensilage d'herbe",AlimentsRationBovinsMâles,2,FALSE),0)+(IF(QualitéAlimentsVaches=MOYENNE,VLOOKUP("Ensilage d'herbe",AlimentsRationBovinsFemelles,2,FALSE),0))))))))))))))))</f>
        <v>0</v>
      </c>
      <c r="BE352" s="351">
        <f t="array" ref="BE352">SUM((IF(QualitéAlimentsVeauxMâles_0_3_mois=MAUVAISE,VLOOKUP("Ensilage d'herbe",AlimentsRationBovinsMâles,8,FALSE),0)+(IF(QualitéAlimentsVeauxFemelles_0_3_mois=MAUVAISE,VLOOKUP("Ensilage d'herbe",AlimentsRationBovinsFemelles,8,FALSE),0)+(IF(QualitéAlimentsVeauxMâles_3_6_mois=MAUVAISE,VLOOKUP("Ensilage d'herbe",AlimentsRationBovinsMâles,7,FALSE),0)+(IF(QualitéAlimentsVeauxFemelles_3_6_mois=MAUVAISE,VLOOKUP("Ensilage d'herbe",AlimentsRationBovinsFemelles,7,FALSE),0)+(IF(QualitéAlimentsVeauxMâles_6_12_mois=MAUVAISE,VLOOKUP("Ensilage d'herbe",AlimentsRationBovinsMâles,6,FALSE),0)+(IF(QualitéAlimentsVeauxFemelles_6_12_mois=MAUVAISE,VLOOKUP("Ensilage d'herbe",AlimentsRationBovinsFemelles,6,FALSE),0)+(IF(QualitéAlimentsTaurillons_12_18_mois=MAUVAISE,VLOOKUP("Ensilage d'herbe",AlimentsRationBovinsMâles,5,FALSE),0)+(IF(QualitéAlimentsGénisses_12_18_mois=MAUVAISE,VLOOKUP("Ensilage d'herbe",AlimentsRationBovinsFemelles,5,FALSE),0)+(IF(QualitéAlimentsTaurillons_18_24_mois=MAUVAISE,VLOOKUP("Ensilage d'herbe",AlimentsRationBovinsMâles,4,FALSE),0)+(IF(QualitéAlimentsGénisses_18_24_mois=MAUVAISE,VLOOKUP("Ensilage d'herbe",AlimentsRationBovinsFemelles,4,FALSE),0)+(IF(QualitéAlimentsTaurillons_24_36_mois=MAUVAISE,VLOOKUP("Ensilage d'herbe",AlimentsRationBovinsMâles,3,FALSE),0)+(IF(QualitéAlimentsGénisses_24_36_mois=MAUVAISE,VLOOKUP("Ensilage d'herbe",AlimentsRationBovinsFemelles,3,FALSE),0)+(IF(QualitéAlimentsTaureaux=MAUVAISE,VLOOKUP("Ensilage d'herbe",AlimentsRationBovinsMâles,2,FALSE),0)+(IF(QualitéAlimentsVaches=MAUVAISE,VLOOKUP("Ensilage d'herbe",AlimentsRationBovinsFemelles,2,FALSE),0))))))))))))))))</f>
        <v>0</v>
      </c>
      <c r="DS352" s="276"/>
      <c r="GG352" s="276" t="s">
        <v>955</v>
      </c>
      <c r="GH352" s="276" t="s">
        <v>955</v>
      </c>
      <c r="GI352" s="276" t="s">
        <v>955</v>
      </c>
      <c r="GJ352" s="276" t="s">
        <v>955</v>
      </c>
      <c r="GK352" s="276" t="s">
        <v>955</v>
      </c>
      <c r="GL352" s="276" t="s">
        <v>955</v>
      </c>
      <c r="GM352" s="276" t="s">
        <v>955</v>
      </c>
      <c r="GN352" s="276" t="s">
        <v>955</v>
      </c>
      <c r="GO352" s="276" t="s">
        <v>955</v>
      </c>
      <c r="GP352" s="276" t="s">
        <v>955</v>
      </c>
      <c r="GQ352" s="276" t="s">
        <v>955</v>
      </c>
      <c r="GR352" s="276" t="s">
        <v>955</v>
      </c>
      <c r="GS352" s="276" t="s">
        <v>955</v>
      </c>
      <c r="GT352" s="276" t="s">
        <v>955</v>
      </c>
      <c r="GU352" s="276" t="s">
        <v>955</v>
      </c>
      <c r="GV352" s="276" t="s">
        <v>955</v>
      </c>
    </row>
    <row r="353" spans="1:204" ht="12.75" customHeight="1" x14ac:dyDescent="0.2">
      <c r="A353" s="276"/>
      <c r="B353" s="276"/>
      <c r="BB353" s="350" t="str">
        <f t="shared" si="74"/>
        <v>Eau</v>
      </c>
      <c r="BC353" s="351">
        <f t="array" ref="BC353">SUM((IF(QualitéAlimentsVeauxMâles_0_3_mois=BONNE,VLOOKUP("Eau",AlimentsRationBovinsMâles,8,FALSE),0)+(IF(QualitéAlimentsVeauxFemelles_0_3_mois=BONNE,VLOOKUP("Eau",AlimentsRationBovinsFemelles,8,FALSE),0)+(IF(QualitéAlimentsVeauxMâles_3_6_mois=BONNE,VLOOKUP("Eau",AlimentsRationBovinsMâles,7,FALSE),0)+(IF(QualitéAlimentsVeauxFemelles_3_6_mois=BONNE,VLOOKUP("Eau",AlimentsRationBovinsFemelles,7,FALSE),0)+(IF(QualitéAlimentsVeauxMâles_6_12_mois=BONNE,VLOOKUP("Eau",AlimentsRationBovinsMâles,6,FALSE),0)+(IF(QualitéAlimentsVeauxFemelles_6_12_mois=BONNE,VLOOKUP("Eau",AlimentsRationBovinsFemelles,6,FALSE),0)+(IF(QualitéAlimentsTaurillons_12_18_mois=BONNE,VLOOKUP("Eau",AlimentsRationBovinsMâles,5,FALSE),0)+(IF(QualitéAlimentsGénisses_12_18_mois=BONNE,VLOOKUP("Eau",AlimentsRationBovinsFemelles,5,FALSE),0)+(IF(QualitéAlimentsTaurillons_18_24_mois=BONNE,VLOOKUP("Eau",AlimentsRationBovinsMâles,4,FALSE),0)+(IF(QualitéAlimentsGénisses_18_24_mois=BONNE,VLOOKUP("Eau",AlimentsRationBovinsFemelles,4,FALSE),0)+(IF(QualitéAlimentsTaurillons_24_36_mois=BONNE,VLOOKUP("Eau",AlimentsRationBovinsMâles,3,FALSE),0)+(IF(QualitéAlimentsGénisses_24_36_mois=BONNE,VLOOKUP("Eau",AlimentsRationBovinsFemelles,3,FALSE),0)+(IF(QualitéAlimentsTaureaux=BONNE,VLOOKUP("Eau",AlimentsRationBovinsMâles,2,FALSE),0)+(IF(QualitéAlimentsVaches=BONNE,VLOOKUP("Eau",AlimentsRationBovinsFemelles,2,FALSE),0))))))))))))))))</f>
        <v>0</v>
      </c>
      <c r="BD353" s="351">
        <f t="array" ref="BD353">SUM((IF(QualitéAlimentsVeauxMâles_0_3_mois=MOYENNE,VLOOKUP("Eau",AlimentsRationBovinsMâles,8,FALSE),0)+(IF(QualitéAlimentsVeauxFemelles_0_3_mois=MOYENNE,VLOOKUP("Eau",AlimentsRationBovinsFemelles,8,FALSE),0)+(IF(QualitéAlimentsVeauxMâles_3_6_mois=MOYENNE,VLOOKUP("Eau",AlimentsRationBovinsMâles,7,FALSE),0)+(IF(QualitéAlimentsVeauxFemelles_3_6_mois=MOYENNE,VLOOKUP("Eau",AlimentsRationBovinsFemelles,7,FALSE),0)+(IF(QualitéAlimentsVeauxMâles_6_12_mois=MOYENNE,VLOOKUP("Eau",AlimentsRationBovinsMâles,6,FALSE),0)+(IF(QualitéAlimentsVeauxFemelles_6_12_mois=MOYENNE,VLOOKUP("Eau",AlimentsRationBovinsFemelles,6,FALSE),0)+(IF(QualitéAlimentsTaurillons_12_18_mois=MOYENNE,VLOOKUP("Eau",AlimentsRationBovinsMâles,5,FALSE),0)+(IF(QualitéAlimentsGénisses_12_18_mois=MOYENNE,VLOOKUP("Eau",AlimentsRationBovinsFemelles,5,FALSE),0)+(IF(QualitéAlimentsTaurillons_18_24_mois=MOYENNE,VLOOKUP("Eau",AlimentsRationBovinsMâles,4,FALSE),0)+(IF(QualitéAlimentsGénisses_18_24_mois=MOYENNE,VLOOKUP("Eau",AlimentsRationBovinsFemelles,4,FALSE),0)+(IF(QualitéAlimentsTaurillons_24_36_mois=MOYENNE,VLOOKUP("Eau",AlimentsRationBovinsMâles,3,FALSE),0)+(IF(QualitéAlimentsGénisses_24_36_mois=MOYENNE,VLOOKUP("Eau",AlimentsRationBovinsFemelles,3,FALSE),0)+(IF(QualitéAlimentsTaureaux=MOYENNE,VLOOKUP("Eau",AlimentsRationBovinsMâles,2,FALSE),0)+(IF(QualitéAlimentsVaches=MOYENNE,VLOOKUP("Eau",AlimentsRationBovinsFemelles,2,FALSE),0))))))))))))))))</f>
        <v>0</v>
      </c>
      <c r="BE353" s="351">
        <f t="array" ref="BE353">SUM((IF(QualitéAlimentsVeauxMâles_0_3_mois=MAUVAISE,VLOOKUP("Eau",AlimentsRationBovinsMâles,8,FALSE),0)+(IF(QualitéAlimentsVeauxFemelles_0_3_mois=MAUVAISE,VLOOKUP("Eau",AlimentsRationBovinsFemelles,8,FALSE),0)+(IF(QualitéAlimentsVeauxMâles_3_6_mois=MAUVAISE,VLOOKUP("Eau",AlimentsRationBovinsMâles,7,FALSE),0)+(IF(QualitéAlimentsVeauxFemelles_3_6_mois=MAUVAISE,VLOOKUP("Eau",AlimentsRationBovinsFemelles,7,FALSE),0)+(IF(QualitéAlimentsVeauxMâles_6_12_mois=MAUVAISE,VLOOKUP("Eau",AlimentsRationBovinsMâles,6,FALSE),0)+(IF(QualitéAlimentsVeauxFemelles_6_12_mois=MAUVAISE,VLOOKUP("Eau",AlimentsRationBovinsFemelles,6,FALSE),0)+(IF(QualitéAlimentsTaurillons_12_18_mois=MAUVAISE,VLOOKUP("Eau",AlimentsRationBovinsMâles,5,FALSE),0)+(IF(QualitéAlimentsGénisses_12_18_mois=MAUVAISE,VLOOKUP("Eau",AlimentsRationBovinsFemelles,5,FALSE),0)+(IF(QualitéAlimentsTaurillons_18_24_mois=MAUVAISE,VLOOKUP("Eau",AlimentsRationBovinsMâles,4,FALSE),0)+(IF(QualitéAlimentsGénisses_18_24_mois=MAUVAISE,VLOOKUP("Eau",AlimentsRationBovinsFemelles,4,FALSE),0)+(IF(QualitéAlimentsTaurillons_24_36_mois=MAUVAISE,VLOOKUP("Eau",AlimentsRationBovinsMâles,3,FALSE),0)+(IF(QualitéAlimentsGénisses_24_36_mois=MAUVAISE,VLOOKUP("Eau",AlimentsRationBovinsFemelles,3,FALSE),0)+(IF(QualitéAlimentsTaureaux=MAUVAISE,VLOOKUP("Eau",AlimentsRationBovinsMâles,2,FALSE),0)+(IF(QualitéAlimentsVaches=MAUVAISE,VLOOKUP("Eau",AlimentsRationBovinsFemelles,2,FALSE),0))))))))))))))))</f>
        <v>0</v>
      </c>
      <c r="DS353" s="276"/>
      <c r="GG353" s="276" t="s">
        <v>955</v>
      </c>
      <c r="GH353" s="276" t="s">
        <v>955</v>
      </c>
      <c r="GI353" s="276" t="s">
        <v>955</v>
      </c>
      <c r="GJ353" s="276" t="s">
        <v>955</v>
      </c>
      <c r="GK353" s="276" t="s">
        <v>955</v>
      </c>
      <c r="GL353" s="276" t="s">
        <v>955</v>
      </c>
      <c r="GM353" s="276" t="s">
        <v>955</v>
      </c>
      <c r="GN353" s="276" t="s">
        <v>955</v>
      </c>
      <c r="GO353" s="276" t="s">
        <v>955</v>
      </c>
      <c r="GP353" s="276" t="s">
        <v>955</v>
      </c>
      <c r="GQ353" s="276" t="s">
        <v>955</v>
      </c>
      <c r="GR353" s="276" t="s">
        <v>955</v>
      </c>
      <c r="GS353" s="276" t="s">
        <v>955</v>
      </c>
      <c r="GT353" s="276" t="s">
        <v>955</v>
      </c>
      <c r="GU353" s="276" t="s">
        <v>955</v>
      </c>
      <c r="GV353" s="276" t="s">
        <v>955</v>
      </c>
    </row>
    <row r="354" spans="1:204" ht="12.75" customHeight="1" x14ac:dyDescent="0.2">
      <c r="A354" s="276"/>
      <c r="B354" s="276"/>
      <c r="BB354" s="350" t="str">
        <f t="shared" si="74"/>
        <v>Epinard</v>
      </c>
      <c r="BC354" s="351">
        <f t="array" ref="BC354">SUM((IF(QualitéAlimentsVeauxMâles_0_3_mois=BONNE,VLOOKUP("Epinard",AlimentsRationBovinsMâles,8,FALSE),0)+(IF(QualitéAlimentsVeauxFemelles_0_3_mois=BONNE,VLOOKUP("Epinard",AlimentsRationBovinsFemelles,8,FALSE),0)+(IF(QualitéAlimentsVeauxMâles_3_6_mois=BONNE,VLOOKUP("Epinard",AlimentsRationBovinsMâles,7,FALSE),0)+(IF(QualitéAlimentsVeauxFemelles_3_6_mois=BONNE,VLOOKUP("Epinard",AlimentsRationBovinsFemelles,7,FALSE),0)+(IF(QualitéAlimentsVeauxMâles_6_12_mois=BONNE,VLOOKUP("Epinard",AlimentsRationBovinsMâles,6,FALSE),0)+(IF(QualitéAlimentsVeauxFemelles_6_12_mois=BONNE,VLOOKUP("Epinard",AlimentsRationBovinsFemelles,6,FALSE),0)+(IF(QualitéAlimentsTaurillons_12_18_mois=BONNE,VLOOKUP("Epinard",AlimentsRationBovinsMâles,5,FALSE),0)+(IF(QualitéAlimentsGénisses_12_18_mois=BONNE,VLOOKUP("Epinard",AlimentsRationBovinsFemelles,5,FALSE),0)+(IF(QualitéAlimentsTaurillons_18_24_mois=BONNE,VLOOKUP("Epinard",AlimentsRationBovinsMâles,4,FALSE),0)+(IF(QualitéAlimentsGénisses_18_24_mois=BONNE,VLOOKUP("Epinard",AlimentsRationBovinsFemelles,4,FALSE),0)+(IF(QualitéAlimentsTaurillons_24_36_mois=BONNE,VLOOKUP("Epinard",AlimentsRationBovinsMâles,3,FALSE),0)+(IF(QualitéAlimentsGénisses_24_36_mois=BONNE,VLOOKUP("Epinard",AlimentsRationBovinsFemelles,3,FALSE),0)+(IF(QualitéAlimentsTaureaux=BONNE,VLOOKUP("Epinard",AlimentsRationBovinsMâles,2,FALSE),0)+(IF(QualitéAlimentsVaches=BONNE,VLOOKUP("Epinard",AlimentsRationBovinsFemelles,2,FALSE),0))))))))))))))))</f>
        <v>0</v>
      </c>
      <c r="BD354" s="351">
        <f t="array" ref="BD354">SUM((IF(QualitéAlimentsVeauxMâles_0_3_mois=MOYENNE,VLOOKUP("Epinard",AlimentsRationBovinsMâles,8,FALSE),0)+(IF(QualitéAlimentsVeauxFemelles_0_3_mois=MOYENNE,VLOOKUP("Epinard",AlimentsRationBovinsFemelles,8,FALSE),0)+(IF(QualitéAlimentsVeauxMâles_3_6_mois=MOYENNE,VLOOKUP("Epinard",AlimentsRationBovinsMâles,7,FALSE),0)+(IF(QualitéAlimentsVeauxFemelles_3_6_mois=MOYENNE,VLOOKUP("Epinard",AlimentsRationBovinsFemelles,7,FALSE),0)+(IF(QualitéAlimentsVeauxMâles_6_12_mois=MOYENNE,VLOOKUP("Epinard",AlimentsRationBovinsMâles,6,FALSE),0)+(IF(QualitéAlimentsVeauxFemelles_6_12_mois=MOYENNE,VLOOKUP("Epinard",AlimentsRationBovinsFemelles,6,FALSE),0)+(IF(QualitéAlimentsTaurillons_12_18_mois=MOYENNE,VLOOKUP("Epinard",AlimentsRationBovinsMâles,5,FALSE),0)+(IF(QualitéAlimentsGénisses_12_18_mois=MOYENNE,VLOOKUP("Epinard",AlimentsRationBovinsFemelles,5,FALSE),0)+(IF(QualitéAlimentsTaurillons_18_24_mois=MOYENNE,VLOOKUP("Epinard",AlimentsRationBovinsMâles,4,FALSE),0)+(IF(QualitéAlimentsGénisses_18_24_mois=MOYENNE,VLOOKUP("Epinard",AlimentsRationBovinsFemelles,4,FALSE),0)+(IF(QualitéAlimentsTaurillons_24_36_mois=MOYENNE,VLOOKUP("Epinard",AlimentsRationBovinsMâles,3,FALSE),0)+(IF(QualitéAlimentsGénisses_24_36_mois=MOYENNE,VLOOKUP("Epinard",AlimentsRationBovinsFemelles,3,FALSE),0)+(IF(QualitéAlimentsTaureaux=MOYENNE,VLOOKUP("Epinard",AlimentsRationBovinsMâles,2,FALSE),0)+(IF(QualitéAlimentsVaches=MOYENNE,VLOOKUP("Epinard",AlimentsRationBovinsFemelles,2,FALSE),0))))))))))))))))</f>
        <v>0</v>
      </c>
      <c r="BE354" s="351">
        <f t="array" ref="BE354">SUM((IF(QualitéAlimentsVeauxMâles_0_3_mois=MAUVAISE,VLOOKUP("Epinard",AlimentsRationBovinsMâles,8,FALSE),0)+(IF(QualitéAlimentsVeauxFemelles_0_3_mois=MAUVAISE,VLOOKUP("Epinard",AlimentsRationBovinsFemelles,8,FALSE),0)+(IF(QualitéAlimentsVeauxMâles_3_6_mois=MAUVAISE,VLOOKUP("Epinard",AlimentsRationBovinsMâles,7,FALSE),0)+(IF(QualitéAlimentsVeauxFemelles_3_6_mois=MAUVAISE,VLOOKUP("Epinard",AlimentsRationBovinsFemelles,7,FALSE),0)+(IF(QualitéAlimentsVeauxMâles_6_12_mois=MAUVAISE,VLOOKUP("Epinard",AlimentsRationBovinsMâles,6,FALSE),0)+(IF(QualitéAlimentsVeauxFemelles_6_12_mois=MAUVAISE,VLOOKUP("Epinard",AlimentsRationBovinsFemelles,6,FALSE),0)+(IF(QualitéAlimentsTaurillons_12_18_mois=MAUVAISE,VLOOKUP("Epinard",AlimentsRationBovinsMâles,5,FALSE),0)+(IF(QualitéAlimentsGénisses_12_18_mois=MAUVAISE,VLOOKUP("Epinard",AlimentsRationBovinsFemelles,5,FALSE),0)+(IF(QualitéAlimentsTaurillons_18_24_mois=MAUVAISE,VLOOKUP("Epinard",AlimentsRationBovinsMâles,4,FALSE),0)+(IF(QualitéAlimentsGénisses_18_24_mois=MAUVAISE,VLOOKUP("Epinard",AlimentsRationBovinsFemelles,4,FALSE),0)+(IF(QualitéAlimentsTaurillons_24_36_mois=MAUVAISE,VLOOKUP("Epinard",AlimentsRationBovinsMâles,3,FALSE),0)+(IF(QualitéAlimentsGénisses_24_36_mois=MAUVAISE,VLOOKUP("Epinard",AlimentsRationBovinsFemelles,3,FALSE),0)+(IF(QualitéAlimentsTaureaux=MAUVAISE,VLOOKUP("Epinard",AlimentsRationBovinsMâles,2,FALSE),0)+(IF(QualitéAlimentsVaches=MAUVAISE,VLOOKUP("Epinard",AlimentsRationBovinsFemelles,2,FALSE),0))))))))))))))))</f>
        <v>0</v>
      </c>
      <c r="DS354" s="276"/>
      <c r="GG354" s="276" t="s">
        <v>955</v>
      </c>
      <c r="GH354" s="276" t="s">
        <v>955</v>
      </c>
      <c r="GI354" s="276" t="s">
        <v>955</v>
      </c>
      <c r="GJ354" s="276" t="s">
        <v>955</v>
      </c>
      <c r="GK354" s="276" t="s">
        <v>955</v>
      </c>
      <c r="GL354" s="276" t="s">
        <v>955</v>
      </c>
      <c r="GM354" s="276" t="s">
        <v>955</v>
      </c>
      <c r="GN354" s="276" t="s">
        <v>955</v>
      </c>
      <c r="GO354" s="276" t="s">
        <v>955</v>
      </c>
      <c r="GP354" s="276" t="s">
        <v>955</v>
      </c>
      <c r="GQ354" s="276" t="s">
        <v>955</v>
      </c>
      <c r="GR354" s="276" t="s">
        <v>955</v>
      </c>
      <c r="GS354" s="276" t="s">
        <v>955</v>
      </c>
      <c r="GT354" s="276" t="s">
        <v>955</v>
      </c>
      <c r="GU354" s="276" t="s">
        <v>955</v>
      </c>
      <c r="GV354" s="276" t="s">
        <v>955</v>
      </c>
    </row>
    <row r="355" spans="1:204" ht="12.75" customHeight="1" x14ac:dyDescent="0.2">
      <c r="A355" s="276"/>
      <c r="B355" s="276"/>
      <c r="BB355" s="350" t="str">
        <f t="shared" si="74"/>
        <v>Féverole</v>
      </c>
      <c r="BC355" s="351">
        <f t="array" ref="BC355">SUM((IF(QualitéAlimentsVeauxMâles_0_3_mois=BONNE,VLOOKUP("Féverole",AlimentsRationBovinsMâles,8,FALSE),0)+(IF(QualitéAlimentsVeauxFemelles_0_3_mois=BONNE,VLOOKUP("Féverole",AlimentsRationBovinsFemelles,8,FALSE),0)+(IF(QualitéAlimentsVeauxMâles_3_6_mois=BONNE,VLOOKUP("Féverole",AlimentsRationBovinsMâles,7,FALSE),0)+(IF(QualitéAlimentsVeauxFemelles_3_6_mois=BONNE,VLOOKUP("Féverole",AlimentsRationBovinsFemelles,7,FALSE),0)+(IF(QualitéAlimentsVeauxMâles_6_12_mois=BONNE,VLOOKUP("Féverole",AlimentsRationBovinsMâles,6,FALSE),0)+(IF(QualitéAlimentsVeauxFemelles_6_12_mois=BONNE,VLOOKUP("Féverole",AlimentsRationBovinsFemelles,6,FALSE),0)+(IF(QualitéAlimentsTaurillons_12_18_mois=BONNE,VLOOKUP("Féverole",AlimentsRationBovinsMâles,5,FALSE),0)+(IF(QualitéAlimentsGénisses_12_18_mois=BONNE,VLOOKUP("Féverole",AlimentsRationBovinsFemelles,5,FALSE),0)+(IF(QualitéAlimentsTaurillons_18_24_mois=BONNE,VLOOKUP("Féverole",AlimentsRationBovinsMâles,4,FALSE),0)+(IF(QualitéAlimentsGénisses_18_24_mois=BONNE,VLOOKUP("Féverole",AlimentsRationBovinsFemelles,4,FALSE),0)+(IF(QualitéAlimentsTaurillons_24_36_mois=BONNE,VLOOKUP("Féverole",AlimentsRationBovinsMâles,3,FALSE),0)+(IF(QualitéAlimentsGénisses_24_36_mois=BONNE,VLOOKUP("Féverole",AlimentsRationBovinsFemelles,3,FALSE),0)+(IF(QualitéAlimentsTaureaux=BONNE,VLOOKUP("Féverole",AlimentsRationBovinsMâles,2,FALSE),0)+(IF(QualitéAlimentsVaches=BONNE,VLOOKUP("Féverole",AlimentsRationBovinsFemelles,2,FALSE),0))))))))))))))))</f>
        <v>0</v>
      </c>
      <c r="BD355" s="351">
        <f t="array" ref="BD355">SUM((IF(QualitéAlimentsVeauxMâles_0_3_mois=MOYENNE,VLOOKUP("Féverole",AlimentsRationBovinsMâles,8,FALSE),0)+(IF(QualitéAlimentsVeauxFemelles_0_3_mois=MOYENNE,VLOOKUP("Féverole",AlimentsRationBovinsFemelles,8,FALSE),0)+(IF(QualitéAlimentsVeauxMâles_3_6_mois=MOYENNE,VLOOKUP("Féverole",AlimentsRationBovinsMâles,7,FALSE),0)+(IF(QualitéAlimentsVeauxFemelles_3_6_mois=MOYENNE,VLOOKUP("Féverole",AlimentsRationBovinsFemelles,7,FALSE),0)+(IF(QualitéAlimentsVeauxMâles_6_12_mois=MOYENNE,VLOOKUP("Féverole",AlimentsRationBovinsMâles,6,FALSE),0)+(IF(QualitéAlimentsVeauxFemelles_6_12_mois=MOYENNE,VLOOKUP("Féverole",AlimentsRationBovinsFemelles,6,FALSE),0)+(IF(QualitéAlimentsTaurillons_12_18_mois=MOYENNE,VLOOKUP("Féverole",AlimentsRationBovinsMâles,5,FALSE),0)+(IF(QualitéAlimentsGénisses_12_18_mois=MOYENNE,VLOOKUP("Féverole",AlimentsRationBovinsFemelles,5,FALSE),0)+(IF(QualitéAlimentsTaurillons_18_24_mois=MOYENNE,VLOOKUP("Féverole",AlimentsRationBovinsMâles,4,FALSE),0)+(IF(QualitéAlimentsGénisses_18_24_mois=MOYENNE,VLOOKUP("Féverole",AlimentsRationBovinsFemelles,4,FALSE),0)+(IF(QualitéAlimentsTaurillons_24_36_mois=MOYENNE,VLOOKUP("Féverole",AlimentsRationBovinsMâles,3,FALSE),0)+(IF(QualitéAlimentsGénisses_24_36_mois=MOYENNE,VLOOKUP("Féverole",AlimentsRationBovinsFemelles,3,FALSE),0)+(IF(QualitéAlimentsTaureaux=MOYENNE,VLOOKUP("Féverole",AlimentsRationBovinsMâles,2,FALSE),0)+(IF(QualitéAlimentsVaches=MOYENNE,VLOOKUP("Féverole",AlimentsRationBovinsFemelles,2,FALSE),0))))))))))))))))</f>
        <v>0</v>
      </c>
      <c r="BE355" s="351">
        <f t="array" ref="BE355">SUM((IF(QualitéAlimentsVeauxMâles_0_3_mois=MAUVAISE,VLOOKUP("Féverole",AlimentsRationBovinsMâles,8,FALSE),0)+(IF(QualitéAlimentsVeauxFemelles_0_3_mois=MAUVAISE,VLOOKUP("Féverole",AlimentsRationBovinsFemelles,8,FALSE),0)+(IF(QualitéAlimentsVeauxMâles_3_6_mois=MAUVAISE,VLOOKUP("Féverole",AlimentsRationBovinsMâles,7,FALSE),0)+(IF(QualitéAlimentsVeauxFemelles_3_6_mois=MAUVAISE,VLOOKUP("Féverole",AlimentsRationBovinsFemelles,7,FALSE),0)+(IF(QualitéAlimentsVeauxMâles_6_12_mois=MAUVAISE,VLOOKUP("Féverole",AlimentsRationBovinsMâles,6,FALSE),0)+(IF(QualitéAlimentsVeauxFemelles_6_12_mois=MAUVAISE,VLOOKUP("Féverole",AlimentsRationBovinsFemelles,6,FALSE),0)+(IF(QualitéAlimentsTaurillons_12_18_mois=MAUVAISE,VLOOKUP("Féverole",AlimentsRationBovinsMâles,5,FALSE),0)+(IF(QualitéAlimentsGénisses_12_18_mois=MAUVAISE,VLOOKUP("Féverole",AlimentsRationBovinsFemelles,5,FALSE),0)+(IF(QualitéAlimentsTaurillons_18_24_mois=MAUVAISE,VLOOKUP("Féverole",AlimentsRationBovinsMâles,4,FALSE),0)+(IF(QualitéAlimentsGénisses_18_24_mois=MAUVAISE,VLOOKUP("Féverole",AlimentsRationBovinsFemelles,4,FALSE),0)+(IF(QualitéAlimentsTaurillons_24_36_mois=MAUVAISE,VLOOKUP("Féverole",AlimentsRationBovinsMâles,3,FALSE),0)+(IF(QualitéAlimentsGénisses_24_36_mois=MAUVAISE,VLOOKUP("Féverole",AlimentsRationBovinsFemelles,3,FALSE),0)+(IF(QualitéAlimentsTaureaux=MAUVAISE,VLOOKUP("Féverole",AlimentsRationBovinsMâles,2,FALSE),0)+(IF(QualitéAlimentsVaches=MAUVAISE,VLOOKUP("Féverole",AlimentsRationBovinsFemelles,2,FALSE),0))))))))))))))))</f>
        <v>0</v>
      </c>
      <c r="CC355" s="281"/>
      <c r="CH355" s="276"/>
      <c r="CI355" s="277"/>
      <c r="DS355" s="276"/>
      <c r="DU355" s="276"/>
      <c r="EC355" s="281"/>
      <c r="EE355" s="276"/>
      <c r="EL355" s="276"/>
      <c r="ES355" s="276"/>
      <c r="FB355" s="276"/>
      <c r="FL355" s="276"/>
      <c r="FV355" s="276"/>
      <c r="FZ355" s="281"/>
      <c r="GA355" s="276"/>
      <c r="GF355" s="276" t="s">
        <v>955</v>
      </c>
      <c r="GG355" s="276" t="s">
        <v>955</v>
      </c>
      <c r="GH355" s="276" t="s">
        <v>955</v>
      </c>
      <c r="GI355" s="276" t="s">
        <v>955</v>
      </c>
      <c r="GJ355" s="276" t="s">
        <v>955</v>
      </c>
      <c r="GK355" s="276" t="s">
        <v>955</v>
      </c>
      <c r="GL355" s="276" t="s">
        <v>955</v>
      </c>
      <c r="GM355" s="276" t="s">
        <v>955</v>
      </c>
      <c r="GN355" s="276" t="s">
        <v>955</v>
      </c>
      <c r="GO355" s="276" t="s">
        <v>955</v>
      </c>
      <c r="GP355" s="276" t="s">
        <v>955</v>
      </c>
      <c r="GQ355" s="276" t="s">
        <v>955</v>
      </c>
      <c r="GR355" s="276" t="s">
        <v>955</v>
      </c>
      <c r="GS355" s="276" t="s">
        <v>955</v>
      </c>
      <c r="GT355" s="276" t="s">
        <v>955</v>
      </c>
      <c r="GU355" s="276" t="s">
        <v>955</v>
      </c>
    </row>
    <row r="356" spans="1:204" ht="12.75" customHeight="1" x14ac:dyDescent="0.2">
      <c r="A356" s="276"/>
      <c r="B356" s="276"/>
      <c r="BB356" s="350" t="str">
        <f t="shared" si="74"/>
        <v>Foin</v>
      </c>
      <c r="BC356" s="351">
        <f t="array" ref="BC356">SUM((IF(QualitéAlimentsVeauxMâles_0_3_mois=BONNE,VLOOKUP("Foin",AlimentsRationBovinsMâles,8,FALSE),0)+(IF(QualitéAlimentsVeauxFemelles_0_3_mois=BONNE,VLOOKUP("Foin",AlimentsRationBovinsFemelles,8,FALSE),0)+(IF(QualitéAlimentsVeauxMâles_3_6_mois=BONNE,VLOOKUP("Foin",AlimentsRationBovinsMâles,7,FALSE),0)+(IF(QualitéAlimentsVeauxFemelles_3_6_mois=BONNE,VLOOKUP("Foin",AlimentsRationBovinsFemelles,7,FALSE),0)+(IF(QualitéAlimentsVeauxMâles_6_12_mois=BONNE,VLOOKUP("Foin",AlimentsRationBovinsMâles,6,FALSE),0)+(IF(QualitéAlimentsVeauxFemelles_6_12_mois=BONNE,VLOOKUP("Foin",AlimentsRationBovinsFemelles,6,FALSE),0)+(IF(QualitéAlimentsTaurillons_12_18_mois=BONNE,VLOOKUP("Foin",AlimentsRationBovinsMâles,5,FALSE),0)+(IF(QualitéAlimentsGénisses_12_18_mois=BONNE,VLOOKUP("Foin",AlimentsRationBovinsFemelles,5,FALSE),0)+(IF(QualitéAlimentsTaurillons_18_24_mois=BONNE,VLOOKUP("Foin",AlimentsRationBovinsMâles,4,FALSE),0)+(IF(QualitéAlimentsGénisses_18_24_mois=BONNE,VLOOKUP("Foin",AlimentsRationBovinsFemelles,4,FALSE),0)+(IF(QualitéAlimentsTaurillons_24_36_mois=BONNE,VLOOKUP("Foin",AlimentsRationBovinsMâles,3,FALSE),0)+(IF(QualitéAlimentsGénisses_24_36_mois=BONNE,VLOOKUP("Foin",AlimentsRationBovinsFemelles,3,FALSE),0)+(IF(QualitéAlimentsTaureaux=BONNE,VLOOKUP("Foin",AlimentsRationBovinsMâles,2,FALSE),0)+(IF(QualitéAlimentsVaches=BONNE,VLOOKUP("Foin",AlimentsRationBovinsFemelles,2,FALSE),0))))))))))))))))</f>
        <v>0</v>
      </c>
      <c r="BD356" s="351">
        <f t="array" ref="BD356">SUM((IF(QualitéAlimentsVeauxMâles_0_3_mois=MOYENNE,VLOOKUP("Foin",AlimentsRationBovinsMâles,8,FALSE),0)+(IF(QualitéAlimentsVeauxFemelles_0_3_mois=MOYENNE,VLOOKUP("Foin",AlimentsRationBovinsFemelles,8,FALSE),0)+(IF(QualitéAlimentsVeauxMâles_3_6_mois=MOYENNE,VLOOKUP("Foin",AlimentsRationBovinsMâles,7,FALSE),0)+(IF(QualitéAlimentsVeauxFemelles_3_6_mois=MOYENNE,VLOOKUP("Foin",AlimentsRationBovinsFemelles,7,FALSE),0)+(IF(QualitéAlimentsVeauxMâles_6_12_mois=MOYENNE,VLOOKUP("Foin",AlimentsRationBovinsMâles,6,FALSE),0)+(IF(QualitéAlimentsVeauxFemelles_6_12_mois=MOYENNE,VLOOKUP("Foin",AlimentsRationBovinsFemelles,6,FALSE),0)+(IF(QualitéAlimentsTaurillons_12_18_mois=MOYENNE,VLOOKUP("Foin",AlimentsRationBovinsMâles,5,FALSE),0)+(IF(QualitéAlimentsGénisses_12_18_mois=MOYENNE,VLOOKUP("Foin",AlimentsRationBovinsFemelles,5,FALSE),0)+(IF(QualitéAlimentsTaurillons_18_24_mois=MOYENNE,VLOOKUP("Foin",AlimentsRationBovinsMâles,4,FALSE),0)+(IF(QualitéAlimentsGénisses_18_24_mois=MOYENNE,VLOOKUP("Foin",AlimentsRationBovinsFemelles,4,FALSE),0)+(IF(QualitéAlimentsTaurillons_24_36_mois=MOYENNE,VLOOKUP("Foin",AlimentsRationBovinsMâles,3,FALSE),0)+(IF(QualitéAlimentsGénisses_24_36_mois=MOYENNE,VLOOKUP("Foin",AlimentsRationBovinsFemelles,3,FALSE),0)+(IF(QualitéAlimentsTaureaux=MOYENNE,VLOOKUP("Foin",AlimentsRationBovinsMâles,2,FALSE),0)+(IF(QualitéAlimentsVaches=MOYENNE,VLOOKUP("Foin",AlimentsRationBovinsFemelles,2,FALSE),0))))))))))))))))</f>
        <v>0</v>
      </c>
      <c r="BE356" s="351">
        <f t="array" ref="BE356">SUM((IF(QualitéAlimentsVeauxMâles_0_3_mois=MAUVAISE,VLOOKUP("Foin",AlimentsRationBovinsMâles,8,FALSE),0)+(IF(QualitéAlimentsVeauxFemelles_0_3_mois=MAUVAISE,VLOOKUP("Foin",AlimentsRationBovinsFemelles,8,FALSE),0)+(IF(QualitéAlimentsVeauxMâles_3_6_mois=MAUVAISE,VLOOKUP("Foin",AlimentsRationBovinsMâles,7,FALSE),0)+(IF(QualitéAlimentsVeauxFemelles_3_6_mois=MAUVAISE,VLOOKUP("Foin",AlimentsRationBovinsFemelles,7,FALSE),0)+(IF(QualitéAlimentsVeauxMâles_6_12_mois=MAUVAISE,VLOOKUP("Foin",AlimentsRationBovinsMâles,6,FALSE),0)+(IF(QualitéAlimentsVeauxFemelles_6_12_mois=MAUVAISE,VLOOKUP("Foin",AlimentsRationBovinsFemelles,6,FALSE),0)+(IF(QualitéAlimentsTaurillons_12_18_mois=MAUVAISE,VLOOKUP("Foin",AlimentsRationBovinsMâles,5,FALSE),0)+(IF(QualitéAlimentsGénisses_12_18_mois=MAUVAISE,VLOOKUP("Foin",AlimentsRationBovinsFemelles,5,FALSE),0)+(IF(QualitéAlimentsTaurillons_18_24_mois=MAUVAISE,VLOOKUP("Foin",AlimentsRationBovinsMâles,4,FALSE),0)+(IF(QualitéAlimentsGénisses_18_24_mois=MAUVAISE,VLOOKUP("Foin",AlimentsRationBovinsFemelles,4,FALSE),0)+(IF(QualitéAlimentsTaurillons_24_36_mois=MAUVAISE,VLOOKUP("Foin",AlimentsRationBovinsMâles,3,FALSE),0)+(IF(QualitéAlimentsGénisses_24_36_mois=MAUVAISE,VLOOKUP("Foin",AlimentsRationBovinsFemelles,3,FALSE),0)+(IF(QualitéAlimentsTaureaux=MAUVAISE,VLOOKUP("Foin",AlimentsRationBovinsMâles,2,FALSE),0)+(IF(QualitéAlimentsVaches=MAUVAISE,VLOOKUP("Foin",AlimentsRationBovinsFemelles,2,FALSE),0))))))))))))))))</f>
        <v>0</v>
      </c>
      <c r="CC356" s="281"/>
      <c r="CH356" s="276"/>
      <c r="CI356" s="277"/>
      <c r="DS356" s="276"/>
      <c r="DU356" s="276"/>
      <c r="EC356" s="281"/>
      <c r="EE356" s="276"/>
      <c r="EL356" s="276"/>
      <c r="ES356" s="276"/>
      <c r="FB356" s="276"/>
      <c r="FL356" s="276"/>
      <c r="FV356" s="276"/>
      <c r="FZ356" s="281"/>
      <c r="GA356" s="276"/>
      <c r="GF356" s="276" t="s">
        <v>955</v>
      </c>
      <c r="GG356" s="276" t="s">
        <v>955</v>
      </c>
      <c r="GH356" s="276" t="s">
        <v>955</v>
      </c>
      <c r="GI356" s="276" t="s">
        <v>955</v>
      </c>
      <c r="GJ356" s="276" t="s">
        <v>955</v>
      </c>
      <c r="GK356" s="276" t="s">
        <v>955</v>
      </c>
      <c r="GL356" s="276" t="s">
        <v>955</v>
      </c>
      <c r="GM356" s="276" t="s">
        <v>955</v>
      </c>
      <c r="GN356" s="276" t="s">
        <v>955</v>
      </c>
      <c r="GO356" s="276" t="s">
        <v>955</v>
      </c>
      <c r="GP356" s="276" t="s">
        <v>955</v>
      </c>
      <c r="GQ356" s="276" t="s">
        <v>955</v>
      </c>
      <c r="GR356" s="276" t="s">
        <v>955</v>
      </c>
      <c r="GS356" s="276" t="s">
        <v>955</v>
      </c>
      <c r="GT356" s="276" t="s">
        <v>955</v>
      </c>
      <c r="GU356" s="276" t="s">
        <v>955</v>
      </c>
    </row>
    <row r="357" spans="1:204" ht="12.75" customHeight="1" x14ac:dyDescent="0.2">
      <c r="A357" s="276"/>
      <c r="B357" s="276"/>
      <c r="BB357" s="350" t="str">
        <f t="shared" si="74"/>
        <v>Haricot vert</v>
      </c>
      <c r="BC357" s="351">
        <f t="array" ref="BC357">SUM((IF(QualitéAlimentsVeauxMâles_0_3_mois=BONNE,VLOOKUP("Haricot vert",AlimentsRationBovinsMâles,8,FALSE),0)+(IF(QualitéAlimentsVeauxFemelles_0_3_mois=BONNE,VLOOKUP("Haricot vert",AlimentsRationBovinsFemelles,8,FALSE),0)+(IF(QualitéAlimentsVeauxMâles_3_6_mois=BONNE,VLOOKUP("Haricot vert",AlimentsRationBovinsMâles,7,FALSE),0)+(IF(QualitéAlimentsVeauxFemelles_3_6_mois=BONNE,VLOOKUP("Haricot vert",AlimentsRationBovinsFemelles,7,FALSE),0)+(IF(QualitéAlimentsVeauxMâles_6_12_mois=BONNE,VLOOKUP("Haricot vert",AlimentsRationBovinsMâles,6,FALSE),0)+(IF(QualitéAlimentsVeauxFemelles_6_12_mois=BONNE,VLOOKUP("Haricot vert",AlimentsRationBovinsFemelles,6,FALSE),0)+(IF(QualitéAlimentsTaurillons_12_18_mois=BONNE,VLOOKUP("Haricot vert",AlimentsRationBovinsMâles,5,FALSE),0)+(IF(QualitéAlimentsGénisses_12_18_mois=BONNE,VLOOKUP("Haricot vert",AlimentsRationBovinsFemelles,5,FALSE),0)+(IF(QualitéAlimentsTaurillons_18_24_mois=BONNE,VLOOKUP("Haricot vert",AlimentsRationBovinsMâles,4,FALSE),0)+(IF(QualitéAlimentsGénisses_18_24_mois=BONNE,VLOOKUP("Haricot vert",AlimentsRationBovinsFemelles,4,FALSE),0)+(IF(QualitéAlimentsTaurillons_24_36_mois=BONNE,VLOOKUP("Haricot vert",AlimentsRationBovinsMâles,3,FALSE),0)+(IF(QualitéAlimentsGénisses_24_36_mois=BONNE,VLOOKUP("Haricot vert",AlimentsRationBovinsFemelles,3,FALSE),0)+(IF(QualitéAlimentsTaureaux=BONNE,VLOOKUP("Haricot vert",AlimentsRationBovinsMâles,2,FALSE),0)+(IF(QualitéAlimentsVaches=BONNE,VLOOKUP("Haricot vert",AlimentsRationBovinsFemelles,2,FALSE),0))))))))))))))))</f>
        <v>0</v>
      </c>
      <c r="BD357" s="351">
        <f t="array" ref="BD357">SUM((IF(QualitéAlimentsVeauxMâles_0_3_mois=MOYENNE,VLOOKUP("Haricot vert",AlimentsRationBovinsMâles,8,FALSE),0)+(IF(QualitéAlimentsVeauxFemelles_0_3_mois=MOYENNE,VLOOKUP("Haricot vert",AlimentsRationBovinsFemelles,8,FALSE),0)+(IF(QualitéAlimentsVeauxMâles_3_6_mois=MOYENNE,VLOOKUP("Haricot vert",AlimentsRationBovinsMâles,7,FALSE),0)+(IF(QualitéAlimentsVeauxFemelles_3_6_mois=MOYENNE,VLOOKUP("Haricot vert",AlimentsRationBovinsFemelles,7,FALSE),0)+(IF(QualitéAlimentsVeauxMâles_6_12_mois=MOYENNE,VLOOKUP("Haricot vert",AlimentsRationBovinsMâles,6,FALSE),0)+(IF(QualitéAlimentsVeauxFemelles_6_12_mois=MOYENNE,VLOOKUP("Haricot vert",AlimentsRationBovinsFemelles,6,FALSE),0)+(IF(QualitéAlimentsTaurillons_12_18_mois=MOYENNE,VLOOKUP("Haricot vert",AlimentsRationBovinsMâles,5,FALSE),0)+(IF(QualitéAlimentsGénisses_12_18_mois=MOYENNE,VLOOKUP("Haricot vert",AlimentsRationBovinsFemelles,5,FALSE),0)+(IF(QualitéAlimentsTaurillons_18_24_mois=MOYENNE,VLOOKUP("Haricot vert",AlimentsRationBovinsMâles,4,FALSE),0)+(IF(QualitéAlimentsGénisses_18_24_mois=MOYENNE,VLOOKUP("Haricot vert",AlimentsRationBovinsFemelles,4,FALSE),0)+(IF(QualitéAlimentsTaurillons_24_36_mois=MOYENNE,VLOOKUP("Haricot vert",AlimentsRationBovinsMâles,3,FALSE),0)+(IF(QualitéAlimentsGénisses_24_36_mois=MOYENNE,VLOOKUP("Haricot vert",AlimentsRationBovinsFemelles,3,FALSE),0)+(IF(QualitéAlimentsTaureaux=MOYENNE,VLOOKUP("Haricot vert",AlimentsRationBovinsMâles,2,FALSE),0)+(IF(QualitéAlimentsVaches=MOYENNE,VLOOKUP("Haricot vert",AlimentsRationBovinsFemelles,2,FALSE),0))))))))))))))))</f>
        <v>0</v>
      </c>
      <c r="BE357" s="351">
        <f t="array" ref="BE357">SUM((IF(QualitéAlimentsVeauxMâles_0_3_mois=MAUVAISE,VLOOKUP("Haricot vert",AlimentsRationBovinsMâles,8,FALSE),0)+(IF(QualitéAlimentsVeauxFemelles_0_3_mois=MAUVAISE,VLOOKUP("Haricot vert",AlimentsRationBovinsFemelles,8,FALSE),0)+(IF(QualitéAlimentsVeauxMâles_3_6_mois=MAUVAISE,VLOOKUP("Haricot vert",AlimentsRationBovinsMâles,7,FALSE),0)+(IF(QualitéAlimentsVeauxFemelles_3_6_mois=MAUVAISE,VLOOKUP("Haricot vert",AlimentsRationBovinsFemelles,7,FALSE),0)+(IF(QualitéAlimentsVeauxMâles_6_12_mois=MAUVAISE,VLOOKUP("Haricot vert",AlimentsRationBovinsMâles,6,FALSE),0)+(IF(QualitéAlimentsVeauxFemelles_6_12_mois=MAUVAISE,VLOOKUP("Haricot vert",AlimentsRationBovinsFemelles,6,FALSE),0)+(IF(QualitéAlimentsTaurillons_12_18_mois=MAUVAISE,VLOOKUP("Haricot vert",AlimentsRationBovinsMâles,5,FALSE),0)+(IF(QualitéAlimentsGénisses_12_18_mois=MAUVAISE,VLOOKUP("Haricot vert",AlimentsRationBovinsFemelles,5,FALSE),0)+(IF(QualitéAlimentsTaurillons_18_24_mois=MAUVAISE,VLOOKUP("Haricot vert",AlimentsRationBovinsMâles,4,FALSE),0)+(IF(QualitéAlimentsGénisses_18_24_mois=MAUVAISE,VLOOKUP("Haricot vert",AlimentsRationBovinsFemelles,4,FALSE),0)+(IF(QualitéAlimentsTaurillons_24_36_mois=MAUVAISE,VLOOKUP("Haricot vert",AlimentsRationBovinsMâles,3,FALSE),0)+(IF(QualitéAlimentsGénisses_24_36_mois=MAUVAISE,VLOOKUP("Haricot vert",AlimentsRationBovinsFemelles,3,FALSE),0)+(IF(QualitéAlimentsTaureaux=MAUVAISE,VLOOKUP("Haricot vert",AlimentsRationBovinsMâles,2,FALSE),0)+(IF(QualitéAlimentsVaches=MAUVAISE,VLOOKUP("Haricot vert",AlimentsRationBovinsFemelles,2,FALSE),0))))))))))))))))</f>
        <v>0</v>
      </c>
      <c r="CC357" s="281"/>
      <c r="CH357" s="276"/>
      <c r="CI357" s="277"/>
      <c r="DS357" s="276"/>
      <c r="DU357" s="276"/>
      <c r="EC357" s="281"/>
      <c r="EE357" s="276"/>
      <c r="EL357" s="276"/>
      <c r="ES357" s="276"/>
      <c r="FB357" s="276"/>
      <c r="FL357" s="276"/>
      <c r="FV357" s="276"/>
      <c r="FZ357" s="281"/>
      <c r="GA357" s="276"/>
      <c r="GF357" s="276" t="s">
        <v>955</v>
      </c>
      <c r="GG357" s="276" t="s">
        <v>955</v>
      </c>
      <c r="GH357" s="276" t="s">
        <v>955</v>
      </c>
      <c r="GI357" s="276" t="s">
        <v>955</v>
      </c>
      <c r="GJ357" s="276" t="s">
        <v>955</v>
      </c>
      <c r="GK357" s="276" t="s">
        <v>955</v>
      </c>
      <c r="GL357" s="276" t="s">
        <v>955</v>
      </c>
      <c r="GM357" s="276" t="s">
        <v>955</v>
      </c>
      <c r="GN357" s="276" t="s">
        <v>955</v>
      </c>
      <c r="GO357" s="276" t="s">
        <v>955</v>
      </c>
      <c r="GP357" s="276" t="s">
        <v>955</v>
      </c>
      <c r="GQ357" s="276" t="s">
        <v>955</v>
      </c>
      <c r="GR357" s="276" t="s">
        <v>955</v>
      </c>
      <c r="GS357" s="276" t="s">
        <v>955</v>
      </c>
      <c r="GT357" s="276" t="s">
        <v>955</v>
      </c>
      <c r="GU357" s="276" t="s">
        <v>955</v>
      </c>
    </row>
    <row r="358" spans="1:204" ht="12.75" customHeight="1" x14ac:dyDescent="0.2">
      <c r="A358" s="276"/>
      <c r="B358" s="276"/>
      <c r="BB358" s="350" t="str">
        <f t="shared" si="74"/>
        <v>Lentille</v>
      </c>
      <c r="BC358" s="351">
        <f t="array" ref="BC358">SUM((IF(QualitéAlimentsVeauxMâles_0_3_mois=BONNE,VLOOKUP("Lentille",AlimentsRationBovinsMâles,8,FALSE),0)+(IF(QualitéAlimentsVeauxFemelles_0_3_mois=BONNE,VLOOKUP("Lentille",AlimentsRationBovinsFemelles,8,FALSE),0)+(IF(QualitéAlimentsVeauxMâles_3_6_mois=BONNE,VLOOKUP("Lentille",AlimentsRationBovinsMâles,7,FALSE),0)+(IF(QualitéAlimentsVeauxFemelles_3_6_mois=BONNE,VLOOKUP("Lentille",AlimentsRationBovinsFemelles,7,FALSE),0)+(IF(QualitéAlimentsVeauxMâles_6_12_mois=BONNE,VLOOKUP("Lentille",AlimentsRationBovinsMâles,6,FALSE),0)+(IF(QualitéAlimentsVeauxFemelles_6_12_mois=BONNE,VLOOKUP("Lentille",AlimentsRationBovinsFemelles,6,FALSE),0)+(IF(QualitéAlimentsTaurillons_12_18_mois=BONNE,VLOOKUP("Lentille",AlimentsRationBovinsMâles,5,FALSE),0)+(IF(QualitéAlimentsGénisses_12_18_mois=BONNE,VLOOKUP("Lentille",AlimentsRationBovinsFemelles,5,FALSE),0)+(IF(QualitéAlimentsTaurillons_18_24_mois=BONNE,VLOOKUP("Lentille",AlimentsRationBovinsMâles,4,FALSE),0)+(IF(QualitéAlimentsGénisses_18_24_mois=BONNE,VLOOKUP("Lentille",AlimentsRationBovinsFemelles,4,FALSE),0)+(IF(QualitéAlimentsTaurillons_24_36_mois=BONNE,VLOOKUP("Lentille",AlimentsRationBovinsMâles,3,FALSE),0)+(IF(QualitéAlimentsGénisses_24_36_mois=BONNE,VLOOKUP("Lentille",AlimentsRationBovinsFemelles,3,FALSE),0)+(IF(QualitéAlimentsTaureaux=BONNE,VLOOKUP("Lentille",AlimentsRationBovinsMâles,2,FALSE),0)+(IF(QualitéAlimentsVaches=BONNE,VLOOKUP("Lentille",AlimentsRationBovinsFemelles,2,FALSE),0))))))))))))))))</f>
        <v>0</v>
      </c>
      <c r="BD358" s="351">
        <f t="array" ref="BD358">SUM((IF(QualitéAlimentsVeauxMâles_0_3_mois=MOYENNE,VLOOKUP("Lentille",AlimentsRationBovinsMâles,8,FALSE),0)+(IF(QualitéAlimentsVeauxFemelles_0_3_mois=MOYENNE,VLOOKUP("Lentille",AlimentsRationBovinsFemelles,8,FALSE),0)+(IF(QualitéAlimentsVeauxMâles_3_6_mois=MOYENNE,VLOOKUP("Lentille",AlimentsRationBovinsMâles,7,FALSE),0)+(IF(QualitéAlimentsVeauxFemelles_3_6_mois=MOYENNE,VLOOKUP("Lentille",AlimentsRationBovinsFemelles,7,FALSE),0)+(IF(QualitéAlimentsVeauxMâles_6_12_mois=MOYENNE,VLOOKUP("Lentille",AlimentsRationBovinsMâles,6,FALSE),0)+(IF(QualitéAlimentsVeauxFemelles_6_12_mois=MOYENNE,VLOOKUP("Lentille",AlimentsRationBovinsFemelles,6,FALSE),0)+(IF(QualitéAlimentsTaurillons_12_18_mois=MOYENNE,VLOOKUP("Lentille",AlimentsRationBovinsMâles,5,FALSE),0)+(IF(QualitéAlimentsGénisses_12_18_mois=MOYENNE,VLOOKUP("Lentille",AlimentsRationBovinsFemelles,5,FALSE),0)+(IF(QualitéAlimentsTaurillons_18_24_mois=MOYENNE,VLOOKUP("Lentille",AlimentsRationBovinsMâles,4,FALSE),0)+(IF(QualitéAlimentsGénisses_18_24_mois=MOYENNE,VLOOKUP("Lentille",AlimentsRationBovinsFemelles,4,FALSE),0)+(IF(QualitéAlimentsTaurillons_24_36_mois=MOYENNE,VLOOKUP("Lentille",AlimentsRationBovinsMâles,3,FALSE),0)+(IF(QualitéAlimentsGénisses_24_36_mois=MOYENNE,VLOOKUP("Lentille",AlimentsRationBovinsFemelles,3,FALSE),0)+(IF(QualitéAlimentsTaureaux=MOYENNE,VLOOKUP("Lentille",AlimentsRationBovinsMâles,2,FALSE),0)+(IF(QualitéAlimentsVaches=MOYENNE,VLOOKUP("Lentille",AlimentsRationBovinsFemelles,2,FALSE),0))))))))))))))))</f>
        <v>0</v>
      </c>
      <c r="BE358" s="351">
        <f t="array" ref="BE358">SUM((IF(QualitéAlimentsVeauxMâles_0_3_mois=MAUVAISE,VLOOKUP("Lentille",AlimentsRationBovinsMâles,8,FALSE),0)+(IF(QualitéAlimentsVeauxFemelles_0_3_mois=MAUVAISE,VLOOKUP("Lentille",AlimentsRationBovinsFemelles,8,FALSE),0)+(IF(QualitéAlimentsVeauxMâles_3_6_mois=MAUVAISE,VLOOKUP("Lentille",AlimentsRationBovinsMâles,7,FALSE),0)+(IF(QualitéAlimentsVeauxFemelles_3_6_mois=MAUVAISE,VLOOKUP("Lentille",AlimentsRationBovinsFemelles,7,FALSE),0)+(IF(QualitéAlimentsVeauxMâles_6_12_mois=MAUVAISE,VLOOKUP("Lentille",AlimentsRationBovinsMâles,6,FALSE),0)+(IF(QualitéAlimentsVeauxFemelles_6_12_mois=MAUVAISE,VLOOKUP("Lentille",AlimentsRationBovinsFemelles,6,FALSE),0)+(IF(QualitéAlimentsTaurillons_12_18_mois=MAUVAISE,VLOOKUP("Lentille",AlimentsRationBovinsMâles,5,FALSE),0)+(IF(QualitéAlimentsGénisses_12_18_mois=MAUVAISE,VLOOKUP("Lentille",AlimentsRationBovinsFemelles,5,FALSE),0)+(IF(QualitéAlimentsTaurillons_18_24_mois=MAUVAISE,VLOOKUP("Lentille",AlimentsRationBovinsMâles,4,FALSE),0)+(IF(QualitéAlimentsGénisses_18_24_mois=MAUVAISE,VLOOKUP("Lentille",AlimentsRationBovinsFemelles,4,FALSE),0)+(IF(QualitéAlimentsTaurillons_24_36_mois=MAUVAISE,VLOOKUP("Lentille",AlimentsRationBovinsMâles,3,FALSE),0)+(IF(QualitéAlimentsGénisses_24_36_mois=MAUVAISE,VLOOKUP("Lentille",AlimentsRationBovinsFemelles,3,FALSE),0)+(IF(QualitéAlimentsTaureaux=MAUVAISE,VLOOKUP("Lentille",AlimentsRationBovinsMâles,2,FALSE),0)+(IF(QualitéAlimentsVaches=MAUVAISE,VLOOKUP("Lentille",AlimentsRationBovinsFemelles,2,FALSE),0))))))))))))))))</f>
        <v>0</v>
      </c>
      <c r="CC358" s="281"/>
      <c r="CG358" s="276"/>
      <c r="CH358" s="277"/>
      <c r="DS358" s="276"/>
      <c r="DT358" s="276"/>
      <c r="DU358" s="276"/>
      <c r="EB358" s="281"/>
      <c r="EC358" s="281"/>
      <c r="ED358" s="276"/>
      <c r="EE358" s="276"/>
      <c r="EL358" s="276"/>
      <c r="ES358" s="276"/>
      <c r="FA358" s="276"/>
      <c r="FB358" s="276"/>
      <c r="FK358" s="276"/>
      <c r="FL358" s="276"/>
      <c r="FU358" s="276"/>
      <c r="FV358" s="276"/>
      <c r="FY358" s="281"/>
      <c r="GA358" s="276"/>
      <c r="GE358" s="276" t="s">
        <v>955</v>
      </c>
      <c r="GF358" s="276" t="s">
        <v>955</v>
      </c>
      <c r="GG358" s="276" t="s">
        <v>955</v>
      </c>
      <c r="GH358" s="276" t="s">
        <v>955</v>
      </c>
      <c r="GI358" s="276" t="s">
        <v>955</v>
      </c>
      <c r="GJ358" s="276" t="s">
        <v>955</v>
      </c>
      <c r="GK358" s="276" t="s">
        <v>955</v>
      </c>
      <c r="GL358" s="276" t="s">
        <v>955</v>
      </c>
      <c r="GM358" s="276" t="s">
        <v>955</v>
      </c>
      <c r="GN358" s="276" t="s">
        <v>955</v>
      </c>
      <c r="GO358" s="276" t="s">
        <v>955</v>
      </c>
      <c r="GP358" s="276" t="s">
        <v>955</v>
      </c>
      <c r="GQ358" s="276" t="s">
        <v>955</v>
      </c>
      <c r="GR358" s="276" t="s">
        <v>955</v>
      </c>
      <c r="GS358" s="276" t="s">
        <v>955</v>
      </c>
      <c r="GT358" s="276" t="s">
        <v>955</v>
      </c>
    </row>
    <row r="359" spans="1:204" ht="12.75" customHeight="1" x14ac:dyDescent="0.2">
      <c r="A359" s="276"/>
      <c r="B359" s="276"/>
      <c r="BB359" s="350" t="str">
        <f t="shared" si="74"/>
        <v>Maïs ensilé</v>
      </c>
      <c r="BC359" s="351">
        <f t="array" ref="BC359">SUM((IF(QualitéAlimentsVeauxMâles_0_3_mois=BONNE,VLOOKUP("Maïs ensilé",AlimentsRationBovinsMâles,8,FALSE),0)+(IF(QualitéAlimentsVeauxFemelles_0_3_mois=BONNE,VLOOKUP("Maïs ensilé",AlimentsRationBovinsFemelles,8,FALSE),0)+(IF(QualitéAlimentsVeauxMâles_3_6_mois=BONNE,VLOOKUP("Maïs ensilé",AlimentsRationBovinsMâles,7,FALSE),0)+(IF(QualitéAlimentsVeauxFemelles_3_6_mois=BONNE,VLOOKUP("Maïs ensilé",AlimentsRationBovinsFemelles,7,FALSE),0)+(IF(QualitéAlimentsVeauxMâles_6_12_mois=BONNE,VLOOKUP("Maïs ensilé",AlimentsRationBovinsMâles,6,FALSE),0)+(IF(QualitéAlimentsVeauxFemelles_6_12_mois=BONNE,VLOOKUP("Maïs ensilé",AlimentsRationBovinsFemelles,6,FALSE),0)+(IF(QualitéAlimentsTaurillons_12_18_mois=BONNE,VLOOKUP("Maïs ensilé",AlimentsRationBovinsMâles,5,FALSE),0)+(IF(QualitéAlimentsGénisses_12_18_mois=BONNE,VLOOKUP("Maïs ensilé",AlimentsRationBovinsFemelles,5,FALSE),0)+(IF(QualitéAlimentsTaurillons_18_24_mois=BONNE,VLOOKUP("Maïs ensilé",AlimentsRationBovinsMâles,4,FALSE),0)+(IF(QualitéAlimentsGénisses_18_24_mois=BONNE,VLOOKUP("Maïs ensilé",AlimentsRationBovinsFemelles,4,FALSE),0)+(IF(QualitéAlimentsTaurillons_24_36_mois=BONNE,VLOOKUP("Maïs ensilé",AlimentsRationBovinsMâles,3,FALSE),0)+(IF(QualitéAlimentsGénisses_24_36_mois=BONNE,VLOOKUP("Maïs ensilé",AlimentsRationBovinsFemelles,3,FALSE),0)+(IF(QualitéAlimentsTaureaux=BONNE,VLOOKUP("Maïs ensilé",AlimentsRationBovinsMâles,2,FALSE),0)+(IF(QualitéAlimentsVaches=BONNE,VLOOKUP("Maïs ensilé",AlimentsRationBovinsFemelles,2,FALSE),0))))))))))))))))</f>
        <v>0</v>
      </c>
      <c r="BD359" s="351">
        <f t="array" ref="BD359">SUM((IF(QualitéAlimentsVeauxMâles_0_3_mois=MOYENNE,VLOOKUP("Maïs ensilé",AlimentsRationBovinsMâles,8,FALSE),0)+(IF(QualitéAlimentsVeauxFemelles_0_3_mois=MOYENNE,VLOOKUP("Maïs ensilé",AlimentsRationBovinsFemelles,8,FALSE),0)+(IF(QualitéAlimentsVeauxMâles_3_6_mois=MOYENNE,VLOOKUP("Maïs ensilé",AlimentsRationBovinsMâles,7,FALSE),0)+(IF(QualitéAlimentsVeauxFemelles_3_6_mois=MOYENNE,VLOOKUP("Maïs ensilé",AlimentsRationBovinsFemelles,7,FALSE),0)+(IF(QualitéAlimentsVeauxMâles_6_12_mois=MOYENNE,VLOOKUP("Maïs ensilé",AlimentsRationBovinsMâles,6,FALSE),0)+(IF(QualitéAlimentsVeauxFemelles_6_12_mois=MOYENNE,VLOOKUP("Maïs ensilé",AlimentsRationBovinsFemelles,6,FALSE),0)+(IF(QualitéAlimentsTaurillons_12_18_mois=MOYENNE,VLOOKUP("Maïs ensilé",AlimentsRationBovinsMâles,5,FALSE),0)+(IF(QualitéAlimentsGénisses_12_18_mois=MOYENNE,VLOOKUP("Maïs ensilé",AlimentsRationBovinsFemelles,5,FALSE),0)+(IF(QualitéAlimentsTaurillons_18_24_mois=MOYENNE,VLOOKUP("Maïs ensilé",AlimentsRationBovinsMâles,4,FALSE),0)+(IF(QualitéAlimentsGénisses_18_24_mois=MOYENNE,VLOOKUP("Maïs ensilé",AlimentsRationBovinsFemelles,4,FALSE),0)+(IF(QualitéAlimentsTaurillons_24_36_mois=MOYENNE,VLOOKUP("Maïs ensilé",AlimentsRationBovinsMâles,3,FALSE),0)+(IF(QualitéAlimentsGénisses_24_36_mois=MOYENNE,VLOOKUP("Maïs ensilé",AlimentsRationBovinsFemelles,3,FALSE),0)+(IF(QualitéAlimentsTaureaux=MOYENNE,VLOOKUP("Maïs ensilé",AlimentsRationBovinsMâles,2,FALSE),0)+(IF(QualitéAlimentsVaches=MOYENNE,VLOOKUP("Maïs ensilé",AlimentsRationBovinsFemelles,2,FALSE),0))))))))))))))))</f>
        <v>0</v>
      </c>
      <c r="BE359" s="351">
        <f t="array" ref="BE359">SUM((IF(QualitéAlimentsVeauxMâles_0_3_mois=MAUVAISE,VLOOKUP("Maïs ensilé",AlimentsRationBovinsMâles,8,FALSE),0)+(IF(QualitéAlimentsVeauxFemelles_0_3_mois=MAUVAISE,VLOOKUP("Maïs ensilé",AlimentsRationBovinsFemelles,8,FALSE),0)+(IF(QualitéAlimentsVeauxMâles_3_6_mois=MAUVAISE,VLOOKUP("Maïs ensilé",AlimentsRationBovinsMâles,7,FALSE),0)+(IF(QualitéAlimentsVeauxFemelles_3_6_mois=MAUVAISE,VLOOKUP("Maïs ensilé",AlimentsRationBovinsFemelles,7,FALSE),0)+(IF(QualitéAlimentsVeauxMâles_6_12_mois=MAUVAISE,VLOOKUP("Maïs ensilé",AlimentsRationBovinsMâles,6,FALSE),0)+(IF(QualitéAlimentsVeauxFemelles_6_12_mois=MAUVAISE,VLOOKUP("Maïs ensilé",AlimentsRationBovinsFemelles,6,FALSE),0)+(IF(QualitéAlimentsTaurillons_12_18_mois=MAUVAISE,VLOOKUP("Maïs ensilé",AlimentsRationBovinsMâles,5,FALSE),0)+(IF(QualitéAlimentsGénisses_12_18_mois=MAUVAISE,VLOOKUP("Maïs ensilé",AlimentsRationBovinsFemelles,5,FALSE),0)+(IF(QualitéAlimentsTaurillons_18_24_mois=MAUVAISE,VLOOKUP("Maïs ensilé",AlimentsRationBovinsMâles,4,FALSE),0)+(IF(QualitéAlimentsGénisses_18_24_mois=MAUVAISE,VLOOKUP("Maïs ensilé",AlimentsRationBovinsFemelles,4,FALSE),0)+(IF(QualitéAlimentsTaurillons_24_36_mois=MAUVAISE,VLOOKUP("Maïs ensilé",AlimentsRationBovinsMâles,3,FALSE),0)+(IF(QualitéAlimentsGénisses_24_36_mois=MAUVAISE,VLOOKUP("Maïs ensilé",AlimentsRationBovinsFemelles,3,FALSE),0)+(IF(QualitéAlimentsTaureaux=MAUVAISE,VLOOKUP("Maïs ensilé",AlimentsRationBovinsMâles,2,FALSE),0)+(IF(QualitéAlimentsVaches=MAUVAISE,VLOOKUP("Maïs ensilé",AlimentsRationBovinsFemelles,2,FALSE),0))))))))))))))))</f>
        <v>0</v>
      </c>
      <c r="CF359" s="277"/>
      <c r="CG359" s="276"/>
      <c r="CH359" s="276"/>
      <c r="DS359" s="276"/>
      <c r="DT359" s="276"/>
      <c r="DU359" s="276"/>
      <c r="DZ359" s="281"/>
      <c r="EA359" s="281"/>
      <c r="ED359" s="276"/>
      <c r="EE359" s="276"/>
      <c r="EL359" s="276"/>
      <c r="ES359" s="276"/>
      <c r="FA359" s="276"/>
      <c r="FB359" s="276"/>
      <c r="FJ359" s="276"/>
      <c r="FK359" s="276"/>
      <c r="FL359" s="276"/>
      <c r="FT359" s="276"/>
      <c r="FU359" s="276"/>
      <c r="FV359" s="276"/>
      <c r="FW359" s="281"/>
      <c r="GA359" s="276"/>
      <c r="GC359" s="276" t="s">
        <v>955</v>
      </c>
      <c r="GD359" s="276" t="s">
        <v>955</v>
      </c>
      <c r="GE359" s="276" t="s">
        <v>955</v>
      </c>
      <c r="GF359" s="276" t="s">
        <v>955</v>
      </c>
      <c r="GG359" s="276" t="s">
        <v>955</v>
      </c>
      <c r="GH359" s="276" t="s">
        <v>955</v>
      </c>
      <c r="GI359" s="276" t="s">
        <v>955</v>
      </c>
      <c r="GJ359" s="276" t="s">
        <v>955</v>
      </c>
      <c r="GK359" s="276" t="s">
        <v>955</v>
      </c>
      <c r="GL359" s="276" t="s">
        <v>955</v>
      </c>
      <c r="GM359" s="276" t="s">
        <v>955</v>
      </c>
      <c r="GN359" s="276" t="s">
        <v>955</v>
      </c>
      <c r="GO359" s="276" t="s">
        <v>955</v>
      </c>
      <c r="GP359" s="276" t="s">
        <v>955</v>
      </c>
      <c r="GQ359" s="276" t="s">
        <v>955</v>
      </c>
      <c r="GR359" s="276" t="s">
        <v>955</v>
      </c>
    </row>
    <row r="360" spans="1:204" ht="12.75" customHeight="1" x14ac:dyDescent="0.2">
      <c r="A360" s="276"/>
      <c r="B360" s="276"/>
      <c r="BB360" s="350" t="str">
        <f t="shared" si="74"/>
        <v>Maïs grain</v>
      </c>
      <c r="BC360" s="351">
        <f t="array" ref="BC360">SUM((IF(QualitéAlimentsVeauxMâles_0_3_mois=BONNE,VLOOKUP("Maïs grain",AlimentsRationBovinsMâles,8,FALSE),0)+(IF(QualitéAlimentsVeauxFemelles_0_3_mois=BONNE,VLOOKUP("Maïs grain",AlimentsRationBovinsFemelles,8,FALSE),0)+(IF(QualitéAlimentsVeauxMâles_3_6_mois=BONNE,VLOOKUP("Maïs grain",AlimentsRationBovinsMâles,7,FALSE),0)+(IF(QualitéAlimentsVeauxFemelles_3_6_mois=BONNE,VLOOKUP("Maïs grain",AlimentsRationBovinsFemelles,7,FALSE),0)+(IF(QualitéAlimentsVeauxMâles_6_12_mois=BONNE,VLOOKUP("Maïs grain",AlimentsRationBovinsMâles,6,FALSE),0)+(IF(QualitéAlimentsVeauxFemelles_6_12_mois=BONNE,VLOOKUP("Maïs grain",AlimentsRationBovinsFemelles,6,FALSE),0)+(IF(QualitéAlimentsTaurillons_12_18_mois=BONNE,VLOOKUP("Maïs grain",AlimentsRationBovinsMâles,5,FALSE),0)+(IF(QualitéAlimentsGénisses_12_18_mois=BONNE,VLOOKUP("Maïs grain",AlimentsRationBovinsFemelles,5,FALSE),0)+(IF(QualitéAlimentsTaurillons_18_24_mois=BONNE,VLOOKUP("Maïs grain",AlimentsRationBovinsMâles,4,FALSE),0)+(IF(QualitéAlimentsGénisses_18_24_mois=BONNE,VLOOKUP("Maïs grain",AlimentsRationBovinsFemelles,4,FALSE),0)+(IF(QualitéAlimentsTaurillons_24_36_mois=BONNE,VLOOKUP("Maïs grain",AlimentsRationBovinsMâles,3,FALSE),0)+(IF(QualitéAlimentsGénisses_24_36_mois=BONNE,VLOOKUP("Maïs grain",AlimentsRationBovinsFemelles,3,FALSE),0)+(IF(QualitéAlimentsTaureaux=BONNE,VLOOKUP("Maïs grain",AlimentsRationBovinsMâles,2,FALSE),0)+(IF(QualitéAlimentsVaches=BONNE,VLOOKUP("Maïs grain",AlimentsRationBovinsFemelles,2,FALSE),0))))))))))))))))</f>
        <v>0</v>
      </c>
      <c r="BD360" s="351">
        <f t="array" ref="BD360">SUM((IF(QualitéAlimentsVeauxMâles_0_3_mois=MOYENNE,VLOOKUP("Maïs grain",AlimentsRationBovinsMâles,8,FALSE),0)+(IF(QualitéAlimentsVeauxFemelles_0_3_mois=MOYENNE,VLOOKUP("Maïs grain",AlimentsRationBovinsFemelles,8,FALSE),0)+(IF(QualitéAlimentsVeauxMâles_3_6_mois=MOYENNE,VLOOKUP("Maïs grain",AlimentsRationBovinsMâles,7,FALSE),0)+(IF(QualitéAlimentsVeauxFemelles_3_6_mois=MOYENNE,VLOOKUP("Maïs grain",AlimentsRationBovinsFemelles,7,FALSE),0)+(IF(QualitéAlimentsVeauxMâles_6_12_mois=MOYENNE,VLOOKUP("Maïs grain",AlimentsRationBovinsMâles,6,FALSE),0)+(IF(QualitéAlimentsVeauxFemelles_6_12_mois=MOYENNE,VLOOKUP("Maïs grain",AlimentsRationBovinsFemelles,6,FALSE),0)+(IF(QualitéAlimentsTaurillons_12_18_mois=MOYENNE,VLOOKUP("Maïs grain",AlimentsRationBovinsMâles,5,FALSE),0)+(IF(QualitéAlimentsGénisses_12_18_mois=MOYENNE,VLOOKUP("Maïs grain",AlimentsRationBovinsFemelles,5,FALSE),0)+(IF(QualitéAlimentsTaurillons_18_24_mois=MOYENNE,VLOOKUP("Maïs grain",AlimentsRationBovinsMâles,4,FALSE),0)+(IF(QualitéAlimentsGénisses_18_24_mois=MOYENNE,VLOOKUP("Maïs grain",AlimentsRationBovinsFemelles,4,FALSE),0)+(IF(QualitéAlimentsTaurillons_24_36_mois=MOYENNE,VLOOKUP("Maïs grain",AlimentsRationBovinsMâles,3,FALSE),0)+(IF(QualitéAlimentsGénisses_24_36_mois=MOYENNE,VLOOKUP("Maïs grain",AlimentsRationBovinsFemelles,3,FALSE),0)+(IF(QualitéAlimentsTaureaux=MOYENNE,VLOOKUP("Maïs grain",AlimentsRationBovinsMâles,2,FALSE),0)+(IF(QualitéAlimentsVaches=MOYENNE,VLOOKUP("Maïs grain",AlimentsRationBovinsFemelles,2,FALSE),0))))))))))))))))</f>
        <v>0</v>
      </c>
      <c r="BE360" s="351">
        <f t="array" ref="BE360">SUM((IF(QualitéAlimentsVeauxMâles_0_3_mois=MAUVAISE,VLOOKUP("Maïs grain",AlimentsRationBovinsMâles,8,FALSE),0)+(IF(QualitéAlimentsVeauxFemelles_0_3_mois=MAUVAISE,VLOOKUP("Maïs grain",AlimentsRationBovinsFemelles,8,FALSE),0)+(IF(QualitéAlimentsVeauxMâles_3_6_mois=MAUVAISE,VLOOKUP("Maïs grain",AlimentsRationBovinsMâles,7,FALSE),0)+(IF(QualitéAlimentsVeauxFemelles_3_6_mois=MAUVAISE,VLOOKUP("Maïs grain",AlimentsRationBovinsFemelles,7,FALSE),0)+(IF(QualitéAlimentsVeauxMâles_6_12_mois=MAUVAISE,VLOOKUP("Maïs grain",AlimentsRationBovinsMâles,6,FALSE),0)+(IF(QualitéAlimentsVeauxFemelles_6_12_mois=MAUVAISE,VLOOKUP("Maïs grain",AlimentsRationBovinsFemelles,6,FALSE),0)+(IF(QualitéAlimentsTaurillons_12_18_mois=MAUVAISE,VLOOKUP("Maïs grain",AlimentsRationBovinsMâles,5,FALSE),0)+(IF(QualitéAlimentsGénisses_12_18_mois=MAUVAISE,VLOOKUP("Maïs grain",AlimentsRationBovinsFemelles,5,FALSE),0)+(IF(QualitéAlimentsTaurillons_18_24_mois=MAUVAISE,VLOOKUP("Maïs grain",AlimentsRationBovinsMâles,4,FALSE),0)+(IF(QualitéAlimentsGénisses_18_24_mois=MAUVAISE,VLOOKUP("Maïs grain",AlimentsRationBovinsFemelles,4,FALSE),0)+(IF(QualitéAlimentsTaurillons_24_36_mois=MAUVAISE,VLOOKUP("Maïs grain",AlimentsRationBovinsMâles,3,FALSE),0)+(IF(QualitéAlimentsGénisses_24_36_mois=MAUVAISE,VLOOKUP("Maïs grain",AlimentsRationBovinsFemelles,3,FALSE),0)+(IF(QualitéAlimentsTaureaux=MAUVAISE,VLOOKUP("Maïs grain",AlimentsRationBovinsMâles,2,FALSE),0)+(IF(QualitéAlimentsVaches=MAUVAISE,VLOOKUP("Maïs grain",AlimentsRationBovinsFemelles,2,FALSE),0))))))))))))))))</f>
        <v>0</v>
      </c>
      <c r="CF360" s="277"/>
      <c r="CG360" s="276"/>
      <c r="CH360" s="276"/>
      <c r="DS360" s="276"/>
      <c r="DT360" s="276"/>
      <c r="DU360" s="276"/>
      <c r="DZ360" s="281"/>
      <c r="EA360" s="281"/>
      <c r="ED360" s="276"/>
      <c r="EE360" s="276"/>
      <c r="EL360" s="276"/>
      <c r="ES360" s="276"/>
      <c r="FA360" s="276"/>
      <c r="FB360" s="276"/>
      <c r="FJ360" s="276"/>
      <c r="FK360" s="276"/>
      <c r="FL360" s="276"/>
      <c r="FT360" s="276"/>
      <c r="FU360" s="276"/>
      <c r="FV360" s="276"/>
      <c r="FW360" s="281"/>
      <c r="GA360" s="276"/>
      <c r="GC360" s="276" t="s">
        <v>955</v>
      </c>
      <c r="GD360" s="276" t="s">
        <v>955</v>
      </c>
      <c r="GE360" s="276" t="s">
        <v>955</v>
      </c>
      <c r="GF360" s="276" t="s">
        <v>955</v>
      </c>
      <c r="GG360" s="276" t="s">
        <v>955</v>
      </c>
      <c r="GH360" s="276" t="s">
        <v>955</v>
      </c>
      <c r="GI360" s="276" t="s">
        <v>955</v>
      </c>
      <c r="GJ360" s="276" t="s">
        <v>955</v>
      </c>
      <c r="GK360" s="276" t="s">
        <v>955</v>
      </c>
      <c r="GL360" s="276" t="s">
        <v>955</v>
      </c>
      <c r="GM360" s="276" t="s">
        <v>955</v>
      </c>
      <c r="GN360" s="276" t="s">
        <v>955</v>
      </c>
      <c r="GO360" s="276" t="s">
        <v>955</v>
      </c>
      <c r="GP360" s="276" t="s">
        <v>955</v>
      </c>
      <c r="GQ360" s="276" t="s">
        <v>955</v>
      </c>
      <c r="GR360" s="276" t="s">
        <v>955</v>
      </c>
    </row>
    <row r="361" spans="1:204" ht="12.75" customHeight="1" x14ac:dyDescent="0.2">
      <c r="A361" s="276"/>
      <c r="B361" s="276"/>
      <c r="BB361" s="350" t="str">
        <f t="shared" si="74"/>
        <v>Minéraux + vitamines</v>
      </c>
      <c r="BC361" s="351">
        <f t="array" ref="BC361">SUM((IF(QualitéAlimentsVeauxMâles_0_3_mois=BONNE,VLOOKUP("Minéraux + vitamines",AlimentsRationBovinsMâles,8,FALSE),0)+(IF(QualitéAlimentsVeauxFemelles_0_3_mois=BONNE,VLOOKUP("Minéraux + vitamines",AlimentsRationBovinsFemelles,8,FALSE),0)+(IF(QualitéAlimentsVeauxMâles_3_6_mois=BONNE,VLOOKUP("Minéraux + vitamines",AlimentsRationBovinsMâles,7,FALSE),0)+(IF(QualitéAlimentsVeauxFemelles_3_6_mois=BONNE,VLOOKUP("Minéraux + vitamines",AlimentsRationBovinsFemelles,7,FALSE),0)+(IF(QualitéAlimentsVeauxMâles_6_12_mois=BONNE,VLOOKUP("Minéraux + vitamines",AlimentsRationBovinsMâles,6,FALSE),0)+(IF(QualitéAlimentsVeauxFemelles_6_12_mois=BONNE,VLOOKUP("Minéraux + vitamines",AlimentsRationBovinsFemelles,6,FALSE),0)+(IF(QualitéAlimentsTaurillons_12_18_mois=BONNE,VLOOKUP("Minéraux + vitamines",AlimentsRationBovinsMâles,5,FALSE),0)+(IF(QualitéAlimentsGénisses_12_18_mois=BONNE,VLOOKUP("Minéraux + vitamines",AlimentsRationBovinsFemelles,5,FALSE),0)+(IF(QualitéAlimentsTaurillons_18_24_mois=BONNE,VLOOKUP("Minéraux + vitamines",AlimentsRationBovinsMâles,4,FALSE),0)+(IF(QualitéAlimentsGénisses_18_24_mois=BONNE,VLOOKUP("Minéraux + vitamines",AlimentsRationBovinsFemelles,4,FALSE),0)+(IF(QualitéAlimentsTaurillons_24_36_mois=BONNE,VLOOKUP("Minéraux + vitamines",AlimentsRationBovinsMâles,3,FALSE),0)+(IF(QualitéAlimentsGénisses_24_36_mois=BONNE,VLOOKUP("Minéraux + vitamines",AlimentsRationBovinsFemelles,3,FALSE),0)+(IF(QualitéAlimentsTaureaux=BONNE,VLOOKUP("Minéraux + vitamines",AlimentsRationBovinsMâles,2,FALSE),0)+(IF(QualitéAlimentsVaches=BONNE,VLOOKUP("Minéraux + vitamines",AlimentsRationBovinsFemelles,2,FALSE),0))))))))))))))))</f>
        <v>0</v>
      </c>
      <c r="BD361" s="351">
        <f t="array" ref="BD361">SUM((IF(QualitéAlimentsVeauxMâles_0_3_mois=MOYENNE,VLOOKUP("Minéraux + vitamines",AlimentsRationBovinsMâles,8,FALSE),0)+(IF(QualitéAlimentsVeauxFemelles_0_3_mois=MOYENNE,VLOOKUP("Minéraux + vitamines",AlimentsRationBovinsFemelles,8,FALSE),0)+(IF(QualitéAlimentsVeauxMâles_3_6_mois=MOYENNE,VLOOKUP("Minéraux + vitamines",AlimentsRationBovinsMâles,7,FALSE),0)+(IF(QualitéAlimentsVeauxFemelles_3_6_mois=MOYENNE,VLOOKUP("Minéraux + vitamines",AlimentsRationBovinsFemelles,7,FALSE),0)+(IF(QualitéAlimentsVeauxMâles_6_12_mois=MOYENNE,VLOOKUP("Minéraux + vitamines",AlimentsRationBovinsMâles,6,FALSE),0)+(IF(QualitéAlimentsVeauxFemelles_6_12_mois=MOYENNE,VLOOKUP("Minéraux + vitamines",AlimentsRationBovinsFemelles,6,FALSE),0)+(IF(QualitéAlimentsTaurillons_12_18_mois=MOYENNE,VLOOKUP("Minéraux + vitamines",AlimentsRationBovinsMâles,5,FALSE),0)+(IF(QualitéAlimentsGénisses_12_18_mois=MOYENNE,VLOOKUP("Minéraux + vitamines",AlimentsRationBovinsFemelles,5,FALSE),0)+(IF(QualitéAlimentsTaurillons_18_24_mois=MOYENNE,VLOOKUP("Minéraux + vitamines",AlimentsRationBovinsMâles,4,FALSE),0)+(IF(QualitéAlimentsGénisses_18_24_mois=MOYENNE,VLOOKUP("Minéraux + vitamines",AlimentsRationBovinsFemelles,4,FALSE),0)+(IF(QualitéAlimentsTaurillons_24_36_mois=MOYENNE,VLOOKUP("Minéraux + vitamines",AlimentsRationBovinsMâles,3,FALSE),0)+(IF(QualitéAlimentsGénisses_24_36_mois=MOYENNE,VLOOKUP("Minéraux + vitamines",AlimentsRationBovinsFemelles,3,FALSE),0)+(IF(QualitéAlimentsTaureaux=MOYENNE,VLOOKUP("Minéraux + vitamines",AlimentsRationBovinsMâles,2,FALSE),0)+(IF(QualitéAlimentsVaches=MOYENNE,VLOOKUP("Minéraux + vitamines",AlimentsRationBovinsFemelles,2,FALSE),0))))))))))))))))</f>
        <v>0</v>
      </c>
      <c r="BE361" s="351">
        <f t="array" ref="BE361">SUM((IF(QualitéAlimentsVeauxMâles_0_3_mois=MAUVAISE,VLOOKUP("Minéraux + vitamines",AlimentsRationBovinsMâles,8,FALSE),0)+(IF(QualitéAlimentsVeauxFemelles_0_3_mois=MAUVAISE,VLOOKUP("Minéraux + vitamines",AlimentsRationBovinsFemelles,8,FALSE),0)+(IF(QualitéAlimentsVeauxMâles_3_6_mois=MAUVAISE,VLOOKUP("Minéraux + vitamines",AlimentsRationBovinsMâles,7,FALSE),0)+(IF(QualitéAlimentsVeauxFemelles_3_6_mois=MAUVAISE,VLOOKUP("Minéraux + vitamines",AlimentsRationBovinsFemelles,7,FALSE),0)+(IF(QualitéAlimentsVeauxMâles_6_12_mois=MAUVAISE,VLOOKUP("Minéraux + vitamines",AlimentsRationBovinsMâles,6,FALSE),0)+(IF(QualitéAlimentsVeauxFemelles_6_12_mois=MAUVAISE,VLOOKUP("Minéraux + vitamines",AlimentsRationBovinsFemelles,6,FALSE),0)+(IF(QualitéAlimentsTaurillons_12_18_mois=MAUVAISE,VLOOKUP("Minéraux + vitamines",AlimentsRationBovinsMâles,5,FALSE),0)+(IF(QualitéAlimentsGénisses_12_18_mois=MAUVAISE,VLOOKUP("Minéraux + vitamines",AlimentsRationBovinsFemelles,5,FALSE),0)+(IF(QualitéAlimentsTaurillons_18_24_mois=MAUVAISE,VLOOKUP("Minéraux + vitamines",AlimentsRationBovinsMâles,4,FALSE),0)+(IF(QualitéAlimentsGénisses_18_24_mois=MAUVAISE,VLOOKUP("Minéraux + vitamines",AlimentsRationBovinsFemelles,4,FALSE),0)+(IF(QualitéAlimentsTaurillons_24_36_mois=MAUVAISE,VLOOKUP("Minéraux + vitamines",AlimentsRationBovinsMâles,3,FALSE),0)+(IF(QualitéAlimentsGénisses_24_36_mois=MAUVAISE,VLOOKUP("Minéraux + vitamines",AlimentsRationBovinsFemelles,3,FALSE),0)+(IF(QualitéAlimentsTaureaux=MAUVAISE,VLOOKUP("Minéraux + vitamines",AlimentsRationBovinsMâles,2,FALSE),0)+(IF(QualitéAlimentsVaches=MAUVAISE,VLOOKUP("Minéraux + vitamines",AlimentsRationBovinsFemelles,2,FALSE),0))))))))))))))))</f>
        <v>0</v>
      </c>
      <c r="CF361" s="277"/>
      <c r="CG361" s="276"/>
      <c r="CH361" s="276"/>
      <c r="DS361" s="276"/>
      <c r="DT361" s="276"/>
      <c r="DU361" s="276"/>
      <c r="DZ361" s="281"/>
      <c r="EA361" s="281"/>
      <c r="ED361" s="276"/>
      <c r="EE361" s="276"/>
      <c r="EL361" s="276"/>
      <c r="ES361" s="276"/>
      <c r="FA361" s="276"/>
      <c r="FB361" s="276"/>
      <c r="FJ361" s="276"/>
      <c r="FK361" s="276"/>
      <c r="FL361" s="276"/>
      <c r="FT361" s="276"/>
      <c r="FU361" s="276"/>
      <c r="FV361" s="276"/>
      <c r="FW361" s="281"/>
      <c r="GA361" s="276"/>
      <c r="GC361" s="276" t="s">
        <v>955</v>
      </c>
      <c r="GD361" s="276" t="s">
        <v>955</v>
      </c>
      <c r="GE361" s="276" t="s">
        <v>955</v>
      </c>
      <c r="GF361" s="276" t="s">
        <v>955</v>
      </c>
      <c r="GG361" s="276" t="s">
        <v>955</v>
      </c>
      <c r="GH361" s="276" t="s">
        <v>955</v>
      </c>
      <c r="GI361" s="276" t="s">
        <v>955</v>
      </c>
      <c r="GJ361" s="276" t="s">
        <v>955</v>
      </c>
      <c r="GK361" s="276" t="s">
        <v>955</v>
      </c>
      <c r="GL361" s="276" t="s">
        <v>955</v>
      </c>
      <c r="GM361" s="276" t="s">
        <v>955</v>
      </c>
      <c r="GN361" s="276" t="s">
        <v>955</v>
      </c>
      <c r="GO361" s="276" t="s">
        <v>955</v>
      </c>
      <c r="GP361" s="276" t="s">
        <v>955</v>
      </c>
      <c r="GQ361" s="276" t="s">
        <v>955</v>
      </c>
      <c r="GR361" s="276" t="s">
        <v>955</v>
      </c>
    </row>
    <row r="362" spans="1:204" ht="12.75" customHeight="1" x14ac:dyDescent="0.2">
      <c r="A362" s="276"/>
      <c r="B362" s="276"/>
      <c r="BB362" s="350" t="str">
        <f t="shared" si="74"/>
        <v>Orge</v>
      </c>
      <c r="BC362" s="351">
        <f t="array" ref="BC362">SUM((IF(QualitéAlimentsVeauxMâles_0_3_mois=BONNE,VLOOKUP("Orge",AlimentsRationBovinsMâles,8,FALSE),0)+(IF(QualitéAlimentsVeauxFemelles_0_3_mois=BONNE,VLOOKUP("Orge",AlimentsRationBovinsFemelles,8,FALSE),0)+(IF(QualitéAlimentsVeauxMâles_3_6_mois=BONNE,VLOOKUP("Orge",AlimentsRationBovinsMâles,7,FALSE),0)+(IF(QualitéAlimentsVeauxFemelles_3_6_mois=BONNE,VLOOKUP("Orge",AlimentsRationBovinsFemelles,7,FALSE),0)+(IF(QualitéAlimentsVeauxMâles_6_12_mois=BONNE,VLOOKUP("Orge",AlimentsRationBovinsMâles,6,FALSE),0)+(IF(QualitéAlimentsVeauxFemelles_6_12_mois=BONNE,VLOOKUP("Orge",AlimentsRationBovinsFemelles,6,FALSE),0)+(IF(QualitéAlimentsTaurillons_12_18_mois=BONNE,VLOOKUP("Orge",AlimentsRationBovinsMâles,5,FALSE),0)+(IF(QualitéAlimentsGénisses_12_18_mois=BONNE,VLOOKUP("Orge",AlimentsRationBovinsFemelles,5,FALSE),0)+(IF(QualitéAlimentsTaurillons_18_24_mois=BONNE,VLOOKUP("Orge",AlimentsRationBovinsMâles,4,FALSE),0)+(IF(QualitéAlimentsGénisses_18_24_mois=BONNE,VLOOKUP("Orge",AlimentsRationBovinsFemelles,4,FALSE),0)+(IF(QualitéAlimentsTaurillons_24_36_mois=BONNE,VLOOKUP("Orge",AlimentsRationBovinsMâles,3,FALSE),0)+(IF(QualitéAlimentsGénisses_24_36_mois=BONNE,VLOOKUP("Orge",AlimentsRationBovinsFemelles,3,FALSE),0)+(IF(QualitéAlimentsTaureaux=BONNE,VLOOKUP("Orge",AlimentsRationBovinsMâles,2,FALSE),0)+(IF(QualitéAlimentsVaches=BONNE,VLOOKUP("Orge",AlimentsRationBovinsFemelles,2,FALSE),0))))))))))))))))</f>
        <v>0</v>
      </c>
      <c r="BD362" s="351">
        <f t="array" ref="BD362">SUM((IF(QualitéAlimentsVeauxMâles_0_3_mois=MOYENNE,VLOOKUP("Orge",AlimentsRationBovinsMâles,8,FALSE),0)+(IF(QualitéAlimentsVeauxFemelles_0_3_mois=MOYENNE,VLOOKUP("Orge",AlimentsRationBovinsFemelles,8,FALSE),0)+(IF(QualitéAlimentsVeauxMâles_3_6_mois=MOYENNE,VLOOKUP("Orge",AlimentsRationBovinsMâles,7,FALSE),0)+(IF(QualitéAlimentsVeauxFemelles_3_6_mois=MOYENNE,VLOOKUP("Orge",AlimentsRationBovinsFemelles,7,FALSE),0)+(IF(QualitéAlimentsVeauxMâles_6_12_mois=MOYENNE,VLOOKUP("Orge",AlimentsRationBovinsMâles,6,FALSE),0)+(IF(QualitéAlimentsVeauxFemelles_6_12_mois=MOYENNE,VLOOKUP("Orge",AlimentsRationBovinsFemelles,6,FALSE),0)+(IF(QualitéAlimentsTaurillons_12_18_mois=MOYENNE,VLOOKUP("Orge",AlimentsRationBovinsMâles,5,FALSE),0)+(IF(QualitéAlimentsGénisses_12_18_mois=MOYENNE,VLOOKUP("Orge",AlimentsRationBovinsFemelles,5,FALSE),0)+(IF(QualitéAlimentsTaurillons_18_24_mois=MOYENNE,VLOOKUP("Orge",AlimentsRationBovinsMâles,4,FALSE),0)+(IF(QualitéAlimentsGénisses_18_24_mois=MOYENNE,VLOOKUP("Orge",AlimentsRationBovinsFemelles,4,FALSE),0)+(IF(QualitéAlimentsTaurillons_24_36_mois=MOYENNE,VLOOKUP("Orge",AlimentsRationBovinsMâles,3,FALSE),0)+(IF(QualitéAlimentsGénisses_24_36_mois=MOYENNE,VLOOKUP("Orge",AlimentsRationBovinsFemelles,3,FALSE),0)+(IF(QualitéAlimentsTaureaux=MOYENNE,VLOOKUP("Orge",AlimentsRationBovinsMâles,2,FALSE),0)+(IF(QualitéAlimentsVaches=MOYENNE,VLOOKUP("Orge",AlimentsRationBovinsFemelles,2,FALSE),0))))))))))))))))</f>
        <v>0</v>
      </c>
      <c r="BE362" s="351">
        <f t="array" ref="BE362">SUM((IF(QualitéAlimentsVeauxMâles_0_3_mois=MAUVAISE,VLOOKUP("Orge",AlimentsRationBovinsMâles,8,FALSE),0)+(IF(QualitéAlimentsVeauxFemelles_0_3_mois=MAUVAISE,VLOOKUP("Orge",AlimentsRationBovinsFemelles,8,FALSE),0)+(IF(QualitéAlimentsVeauxMâles_3_6_mois=MAUVAISE,VLOOKUP("Orge",AlimentsRationBovinsMâles,7,FALSE),0)+(IF(QualitéAlimentsVeauxFemelles_3_6_mois=MAUVAISE,VLOOKUP("Orge",AlimentsRationBovinsFemelles,7,FALSE),0)+(IF(QualitéAlimentsVeauxMâles_6_12_mois=MAUVAISE,VLOOKUP("Orge",AlimentsRationBovinsMâles,6,FALSE),0)+(IF(QualitéAlimentsVeauxFemelles_6_12_mois=MAUVAISE,VLOOKUP("Orge",AlimentsRationBovinsFemelles,6,FALSE),0)+(IF(QualitéAlimentsTaurillons_12_18_mois=MAUVAISE,VLOOKUP("Orge",AlimentsRationBovinsMâles,5,FALSE),0)+(IF(QualitéAlimentsGénisses_12_18_mois=MAUVAISE,VLOOKUP("Orge",AlimentsRationBovinsFemelles,5,FALSE),0)+(IF(QualitéAlimentsTaurillons_18_24_mois=MAUVAISE,VLOOKUP("Orge",AlimentsRationBovinsMâles,4,FALSE),0)+(IF(QualitéAlimentsGénisses_18_24_mois=MAUVAISE,VLOOKUP("Orge",AlimentsRationBovinsFemelles,4,FALSE),0)+(IF(QualitéAlimentsTaurillons_24_36_mois=MAUVAISE,VLOOKUP("Orge",AlimentsRationBovinsMâles,3,FALSE),0)+(IF(QualitéAlimentsGénisses_24_36_mois=MAUVAISE,VLOOKUP("Orge",AlimentsRationBovinsFemelles,3,FALSE),0)+(IF(QualitéAlimentsTaureaux=MAUVAISE,VLOOKUP("Orge",AlimentsRationBovinsMâles,2,FALSE),0)+(IF(QualitéAlimentsVaches=MAUVAISE,VLOOKUP("Orge",AlimentsRationBovinsFemelles,2,FALSE),0))))))))))))))))</f>
        <v>0</v>
      </c>
      <c r="CF362" s="277"/>
      <c r="CG362" s="276"/>
      <c r="CH362" s="276"/>
      <c r="DS362" s="276"/>
      <c r="DT362" s="276"/>
      <c r="DU362" s="276"/>
      <c r="DZ362" s="281"/>
      <c r="EA362" s="281"/>
      <c r="ED362" s="276"/>
      <c r="EE362" s="276"/>
      <c r="EL362" s="276"/>
      <c r="ES362" s="276"/>
      <c r="FA362" s="276"/>
      <c r="FB362" s="276"/>
      <c r="FJ362" s="276"/>
      <c r="FK362" s="276"/>
      <c r="FL362" s="276"/>
      <c r="FT362" s="276"/>
      <c r="FU362" s="276"/>
      <c r="FV362" s="276"/>
      <c r="FW362" s="281"/>
      <c r="GA362" s="276"/>
      <c r="GC362" s="276" t="s">
        <v>955</v>
      </c>
      <c r="GD362" s="276" t="s">
        <v>955</v>
      </c>
      <c r="GE362" s="276" t="s">
        <v>955</v>
      </c>
      <c r="GF362" s="276" t="s">
        <v>955</v>
      </c>
      <c r="GG362" s="276" t="s">
        <v>955</v>
      </c>
      <c r="GH362" s="276" t="s">
        <v>955</v>
      </c>
      <c r="GI362" s="276" t="s">
        <v>955</v>
      </c>
      <c r="GJ362" s="276" t="s">
        <v>955</v>
      </c>
      <c r="GK362" s="276" t="s">
        <v>955</v>
      </c>
      <c r="GL362" s="276" t="s">
        <v>955</v>
      </c>
      <c r="GM362" s="276" t="s">
        <v>955</v>
      </c>
      <c r="GN362" s="276" t="s">
        <v>955</v>
      </c>
      <c r="GO362" s="276" t="s">
        <v>955</v>
      </c>
      <c r="GP362" s="276" t="s">
        <v>955</v>
      </c>
      <c r="GQ362" s="276" t="s">
        <v>955</v>
      </c>
      <c r="GR362" s="276" t="s">
        <v>955</v>
      </c>
    </row>
    <row r="363" spans="1:204" ht="12.75" customHeight="1" x14ac:dyDescent="0.2">
      <c r="A363" s="276"/>
      <c r="B363" s="276"/>
      <c r="BB363" s="350" t="str">
        <f t="shared" si="74"/>
        <v>Paille</v>
      </c>
      <c r="BC363" s="351">
        <f t="array" ref="BC363">SUM((IF(QualitéAlimentsVeauxMâles_0_3_mois=BONNE,VLOOKUP("Paille",AlimentsRationBovinsMâles,8,FALSE),0)+(IF(QualitéAlimentsVeauxFemelles_0_3_mois=BONNE,VLOOKUP("Paille",AlimentsRationBovinsFemelles,8,FALSE),0)+(IF(QualitéAlimentsVeauxMâles_3_6_mois=BONNE,VLOOKUP("Paille",AlimentsRationBovinsMâles,7,FALSE),0)+(IF(QualitéAlimentsVeauxFemelles_3_6_mois=BONNE,VLOOKUP("Paille",AlimentsRationBovinsFemelles,7,FALSE),0)+(IF(QualitéAlimentsVeauxMâles_6_12_mois=BONNE,VLOOKUP("Paille",AlimentsRationBovinsMâles,6,FALSE),0)+(IF(QualitéAlimentsVeauxFemelles_6_12_mois=BONNE,VLOOKUP("Paille",AlimentsRationBovinsFemelles,6,FALSE),0)+(IF(QualitéAlimentsTaurillons_12_18_mois=BONNE,VLOOKUP("Paille",AlimentsRationBovinsMâles,5,FALSE),0)+(IF(QualitéAlimentsGénisses_12_18_mois=BONNE,VLOOKUP("Paille",AlimentsRationBovinsFemelles,5,FALSE),0)+(IF(QualitéAlimentsTaurillons_18_24_mois=BONNE,VLOOKUP("Paille",AlimentsRationBovinsMâles,4,FALSE),0)+(IF(QualitéAlimentsGénisses_18_24_mois=BONNE,VLOOKUP("Paille",AlimentsRationBovinsFemelles,4,FALSE),0)+(IF(QualitéAlimentsTaurillons_24_36_mois=BONNE,VLOOKUP("Paille",AlimentsRationBovinsMâles,3,FALSE),0)+(IF(QualitéAlimentsGénisses_24_36_mois=BONNE,VLOOKUP("Paille",AlimentsRationBovinsFemelles,3,FALSE),0)+(IF(QualitéAlimentsTaureaux=BONNE,VLOOKUP("Paille",AlimentsRationBovinsMâles,2,FALSE),0)+(IF(QualitéAlimentsVaches=BONNE,VLOOKUP("Paille",AlimentsRationBovinsFemelles,2,FALSE),0))))))))))))))))</f>
        <v>0</v>
      </c>
      <c r="BD363" s="351">
        <f t="array" ref="BD363">SUM((IF(QualitéAlimentsVeauxMâles_0_3_mois=MOYENNE,VLOOKUP("Paille",AlimentsRationBovinsMâles,8,FALSE),0)+(IF(QualitéAlimentsVeauxFemelles_0_3_mois=MOYENNE,VLOOKUP("Paille",AlimentsRationBovinsFemelles,8,FALSE),0)+(IF(QualitéAlimentsVeauxMâles_3_6_mois=MOYENNE,VLOOKUP("Paille",AlimentsRationBovinsMâles,7,FALSE),0)+(IF(QualitéAlimentsVeauxFemelles_3_6_mois=MOYENNE,VLOOKUP("Paille",AlimentsRationBovinsFemelles,7,FALSE),0)+(IF(QualitéAlimentsVeauxMâles_6_12_mois=MOYENNE,VLOOKUP("Paille",AlimentsRationBovinsMâles,6,FALSE),0)+(IF(QualitéAlimentsVeauxFemelles_6_12_mois=MOYENNE,VLOOKUP("Paille",AlimentsRationBovinsFemelles,6,FALSE),0)+(IF(QualitéAlimentsTaurillons_12_18_mois=MOYENNE,VLOOKUP("Paille",AlimentsRationBovinsMâles,5,FALSE),0)+(IF(QualitéAlimentsGénisses_12_18_mois=MOYENNE,VLOOKUP("Paille",AlimentsRationBovinsFemelles,5,FALSE),0)+(IF(QualitéAlimentsTaurillons_18_24_mois=MOYENNE,VLOOKUP("Paille",AlimentsRationBovinsMâles,4,FALSE),0)+(IF(QualitéAlimentsGénisses_18_24_mois=MOYENNE,VLOOKUP("Paille",AlimentsRationBovinsFemelles,4,FALSE),0)+(IF(QualitéAlimentsTaurillons_24_36_mois=MOYENNE,VLOOKUP("Paille",AlimentsRationBovinsMâles,3,FALSE),0)+(IF(QualitéAlimentsGénisses_24_36_mois=MOYENNE,VLOOKUP("Paille",AlimentsRationBovinsFemelles,3,FALSE),0)+(IF(QualitéAlimentsTaureaux=MOYENNE,VLOOKUP("Paille",AlimentsRationBovinsMâles,2,FALSE),0)+(IF(QualitéAlimentsVaches=MOYENNE,VLOOKUP("Paille",AlimentsRationBovinsFemelles,2,FALSE),0))))))))))))))))</f>
        <v>0</v>
      </c>
      <c r="BE363" s="351">
        <f t="array" ref="BE363">SUM((IF(QualitéAlimentsVeauxMâles_0_3_mois=MAUVAISE,VLOOKUP("Paille",AlimentsRationBovinsMâles,8,FALSE),0)+(IF(QualitéAlimentsVeauxFemelles_0_3_mois=MAUVAISE,VLOOKUP("Paille",AlimentsRationBovinsFemelles,8,FALSE),0)+(IF(QualitéAlimentsVeauxMâles_3_6_mois=MAUVAISE,VLOOKUP("Paille",AlimentsRationBovinsMâles,7,FALSE),0)+(IF(QualitéAlimentsVeauxFemelles_3_6_mois=MAUVAISE,VLOOKUP("Paille",AlimentsRationBovinsFemelles,7,FALSE),0)+(IF(QualitéAlimentsVeauxMâles_6_12_mois=MAUVAISE,VLOOKUP("Paille",AlimentsRationBovinsMâles,6,FALSE),0)+(IF(QualitéAlimentsVeauxFemelles_6_12_mois=MAUVAISE,VLOOKUP("Paille",AlimentsRationBovinsFemelles,6,FALSE),0)+(IF(QualitéAlimentsTaurillons_12_18_mois=MAUVAISE,VLOOKUP("Paille",AlimentsRationBovinsMâles,5,FALSE),0)+(IF(QualitéAlimentsGénisses_12_18_mois=MAUVAISE,VLOOKUP("Paille",AlimentsRationBovinsFemelles,5,FALSE),0)+(IF(QualitéAlimentsTaurillons_18_24_mois=MAUVAISE,VLOOKUP("Paille",AlimentsRationBovinsMâles,4,FALSE),0)+(IF(QualitéAlimentsGénisses_18_24_mois=MAUVAISE,VLOOKUP("Paille",AlimentsRationBovinsFemelles,4,FALSE),0)+(IF(QualitéAlimentsTaurillons_24_36_mois=MAUVAISE,VLOOKUP("Paille",AlimentsRationBovinsMâles,3,FALSE),0)+(IF(QualitéAlimentsGénisses_24_36_mois=MAUVAISE,VLOOKUP("Paille",AlimentsRationBovinsFemelles,3,FALSE),0)+(IF(QualitéAlimentsTaureaux=MAUVAISE,VLOOKUP("Paille",AlimentsRationBovinsMâles,2,FALSE),0)+(IF(QualitéAlimentsVaches=MAUVAISE,VLOOKUP("Paille",AlimentsRationBovinsFemelles,2,FALSE),0)+SUM(LitièreBovins[[#Totals],[Litière tout bovins]:[litière races laitières]]))))))))))))))))</f>
        <v>0</v>
      </c>
      <c r="CF363" s="277"/>
      <c r="CG363" s="276"/>
      <c r="CH363" s="276"/>
      <c r="DS363" s="276"/>
      <c r="DT363" s="276"/>
      <c r="DU363" s="276"/>
      <c r="DZ363" s="281"/>
      <c r="EA363" s="281"/>
      <c r="ED363" s="276"/>
      <c r="EE363" s="276"/>
      <c r="EL363" s="276"/>
      <c r="ES363" s="276"/>
      <c r="FA363" s="276"/>
      <c r="FB363" s="276"/>
      <c r="FJ363" s="276"/>
      <c r="FK363" s="276"/>
      <c r="FL363" s="276"/>
      <c r="FT363" s="276"/>
      <c r="FU363" s="276"/>
      <c r="FV363" s="276"/>
      <c r="FW363" s="281"/>
      <c r="GA363" s="276"/>
      <c r="GC363" s="276" t="s">
        <v>955</v>
      </c>
      <c r="GD363" s="276" t="s">
        <v>955</v>
      </c>
      <c r="GE363" s="276" t="s">
        <v>955</v>
      </c>
      <c r="GF363" s="276" t="s">
        <v>955</v>
      </c>
      <c r="GG363" s="276" t="s">
        <v>955</v>
      </c>
      <c r="GH363" s="276" t="s">
        <v>955</v>
      </c>
      <c r="GI363" s="276" t="s">
        <v>955</v>
      </c>
      <c r="GJ363" s="276" t="s">
        <v>955</v>
      </c>
      <c r="GK363" s="276" t="s">
        <v>955</v>
      </c>
      <c r="GL363" s="276" t="s">
        <v>955</v>
      </c>
      <c r="GM363" s="276" t="s">
        <v>955</v>
      </c>
      <c r="GN363" s="276" t="s">
        <v>955</v>
      </c>
      <c r="GO363" s="276" t="s">
        <v>955</v>
      </c>
      <c r="GP363" s="276" t="s">
        <v>955</v>
      </c>
      <c r="GQ363" s="276" t="s">
        <v>955</v>
      </c>
      <c r="GR363" s="276" t="s">
        <v>955</v>
      </c>
    </row>
    <row r="364" spans="1:204" ht="12.75" customHeight="1" x14ac:dyDescent="0.2">
      <c r="A364" s="276"/>
      <c r="B364" s="276"/>
      <c r="BB364" s="350" t="str">
        <f t="shared" si="74"/>
        <v>Pois</v>
      </c>
      <c r="BC364" s="351">
        <f t="array" ref="BC364">SUM((IF(QualitéAlimentsVeauxMâles_0_3_mois=BONNE,VLOOKUP("Pois",AlimentsRationBovinsMâles,8,FALSE),0)+(IF(QualitéAlimentsVeauxFemelles_0_3_mois=BONNE,VLOOKUP("Pois",AlimentsRationBovinsFemelles,8,FALSE),0)+(IF(QualitéAlimentsVeauxMâles_3_6_mois=BONNE,VLOOKUP("Pois",AlimentsRationBovinsMâles,7,FALSE),0)+(IF(QualitéAlimentsVeauxFemelles_3_6_mois=BONNE,VLOOKUP("Pois",AlimentsRationBovinsFemelles,7,FALSE),0)+(IF(QualitéAlimentsVeauxMâles_6_12_mois=BONNE,VLOOKUP("Pois",AlimentsRationBovinsMâles,6,FALSE),0)+(IF(QualitéAlimentsVeauxFemelles_6_12_mois=BONNE,VLOOKUP("Pois",AlimentsRationBovinsFemelles,6,FALSE),0)+(IF(QualitéAlimentsTaurillons_12_18_mois=BONNE,VLOOKUP("Pois",AlimentsRationBovinsMâles,5,FALSE),0)+(IF(QualitéAlimentsGénisses_12_18_mois=BONNE,VLOOKUP("Pois",AlimentsRationBovinsFemelles,5,FALSE),0)+(IF(QualitéAlimentsTaurillons_18_24_mois=BONNE,VLOOKUP("Pois",AlimentsRationBovinsMâles,4,FALSE),0)+(IF(QualitéAlimentsGénisses_18_24_mois=BONNE,VLOOKUP("Pois",AlimentsRationBovinsFemelles,4,FALSE),0)+(IF(QualitéAlimentsTaurillons_24_36_mois=BONNE,VLOOKUP("Pois",AlimentsRationBovinsMâles,3,FALSE),0)+(IF(QualitéAlimentsGénisses_24_36_mois=BONNE,VLOOKUP("Pois",AlimentsRationBovinsFemelles,3,FALSE),0)+(IF(QualitéAlimentsTaureaux=BONNE,VLOOKUP("Pois",AlimentsRationBovinsMâles,2,FALSE),0)+(IF(QualitéAlimentsVaches=BONNE,VLOOKUP("Pois",AlimentsRationBovinsFemelles,2,FALSE),0))))))))))))))))</f>
        <v>0</v>
      </c>
      <c r="BD364" s="351">
        <f t="array" ref="BD364">SUM((IF(QualitéAlimentsVeauxMâles_0_3_mois=MOYENNE,VLOOKUP("Pois",AlimentsRationBovinsMâles,8,FALSE),0)+(IF(QualitéAlimentsVeauxFemelles_0_3_mois=MOYENNE,VLOOKUP("Pois",AlimentsRationBovinsFemelles,8,FALSE),0)+(IF(QualitéAlimentsVeauxMâles_3_6_mois=MOYENNE,VLOOKUP("Pois",AlimentsRationBovinsMâles,7,FALSE),0)+(IF(QualitéAlimentsVeauxFemelles_3_6_mois=MOYENNE,VLOOKUP("Pois",AlimentsRationBovinsFemelles,7,FALSE),0)+(IF(QualitéAlimentsVeauxMâles_6_12_mois=MOYENNE,VLOOKUP("Pois",AlimentsRationBovinsMâles,6,FALSE),0)+(IF(QualitéAlimentsVeauxFemelles_6_12_mois=MOYENNE,VLOOKUP("Pois",AlimentsRationBovinsFemelles,6,FALSE),0)+(IF(QualitéAlimentsTaurillons_12_18_mois=MOYENNE,VLOOKUP("Pois",AlimentsRationBovinsMâles,5,FALSE),0)+(IF(QualitéAlimentsGénisses_12_18_mois=MOYENNE,VLOOKUP("Pois",AlimentsRationBovinsFemelles,5,FALSE),0)+(IF(QualitéAlimentsTaurillons_18_24_mois=MOYENNE,VLOOKUP("Pois",AlimentsRationBovinsMâles,4,FALSE),0)+(IF(QualitéAlimentsGénisses_18_24_mois=MOYENNE,VLOOKUP("Pois",AlimentsRationBovinsFemelles,4,FALSE),0)+(IF(QualitéAlimentsTaurillons_24_36_mois=MOYENNE,VLOOKUP("Pois",AlimentsRationBovinsMâles,3,FALSE),0)+(IF(QualitéAlimentsGénisses_24_36_mois=MOYENNE,VLOOKUP("Pois",AlimentsRationBovinsFemelles,3,FALSE),0)+(IF(QualitéAlimentsTaureaux=MOYENNE,VLOOKUP("Pois",AlimentsRationBovinsMâles,2,FALSE),0)+(IF(QualitéAlimentsVaches=MOYENNE,VLOOKUP("Pois",AlimentsRationBovinsFemelles,2,FALSE),0))))))))))))))))</f>
        <v>0</v>
      </c>
      <c r="BE364" s="351">
        <f t="array" ref="BE364">SUM((IF(QualitéAlimentsVeauxMâles_0_3_mois=MAUVAISE,VLOOKUP("Pois",AlimentsRationBovinsMâles,8,FALSE),0)+(IF(QualitéAlimentsVeauxFemelles_0_3_mois=MAUVAISE,VLOOKUP("Pois",AlimentsRationBovinsFemelles,8,FALSE),0)+(IF(QualitéAlimentsVeauxMâles_3_6_mois=MAUVAISE,VLOOKUP("Pois",AlimentsRationBovinsMâles,7,FALSE),0)+(IF(QualitéAlimentsVeauxFemelles_3_6_mois=MAUVAISE,VLOOKUP("Pois",AlimentsRationBovinsFemelles,7,FALSE),0)+(IF(QualitéAlimentsVeauxMâles_6_12_mois=MAUVAISE,VLOOKUP("Pois",AlimentsRationBovinsMâles,6,FALSE),0)+(IF(QualitéAlimentsVeauxFemelles_6_12_mois=MAUVAISE,VLOOKUP("Pois",AlimentsRationBovinsFemelles,6,FALSE),0)+(IF(QualitéAlimentsTaurillons_12_18_mois=MAUVAISE,VLOOKUP("Pois",AlimentsRationBovinsMâles,5,FALSE),0)+(IF(QualitéAlimentsGénisses_12_18_mois=MAUVAISE,VLOOKUP("Pois",AlimentsRationBovinsFemelles,5,FALSE),0)+(IF(QualitéAlimentsTaurillons_18_24_mois=MAUVAISE,VLOOKUP("Pois",AlimentsRationBovinsMâles,4,FALSE),0)+(IF(QualitéAlimentsGénisses_18_24_mois=MAUVAISE,VLOOKUP("Pois",AlimentsRationBovinsFemelles,4,FALSE),0)+(IF(QualitéAlimentsTaurillons_24_36_mois=MAUVAISE,VLOOKUP("Pois",AlimentsRationBovinsMâles,3,FALSE),0)+(IF(QualitéAlimentsGénisses_24_36_mois=MAUVAISE,VLOOKUP("Pois",AlimentsRationBovinsFemelles,3,FALSE),0)+(IF(QualitéAlimentsTaureaux=MAUVAISE,VLOOKUP("Pois",AlimentsRationBovinsMâles,2,FALSE),0)+(IF(QualitéAlimentsVaches=MAUVAISE,VLOOKUP("Pois",AlimentsRationBovinsFemelles,2,FALSE),0))))))))))))))))</f>
        <v>0</v>
      </c>
      <c r="CF364" s="277"/>
      <c r="CG364" s="276"/>
      <c r="CH364" s="276"/>
      <c r="DS364" s="276"/>
      <c r="DT364" s="276"/>
      <c r="DU364" s="276"/>
      <c r="DZ364" s="281"/>
      <c r="EA364" s="281"/>
      <c r="ED364" s="276"/>
      <c r="EE364" s="276"/>
      <c r="EL364" s="276"/>
      <c r="ES364" s="276"/>
      <c r="FA364" s="276"/>
      <c r="FB364" s="276"/>
      <c r="FJ364" s="276"/>
      <c r="FK364" s="276"/>
      <c r="FL364" s="276"/>
      <c r="FT364" s="276"/>
      <c r="FU364" s="276"/>
      <c r="FV364" s="276"/>
      <c r="FW364" s="281"/>
      <c r="GA364" s="276"/>
      <c r="GC364" s="276" t="s">
        <v>955</v>
      </c>
      <c r="GD364" s="276" t="s">
        <v>955</v>
      </c>
      <c r="GE364" s="276" t="s">
        <v>955</v>
      </c>
      <c r="GF364" s="276" t="s">
        <v>955</v>
      </c>
      <c r="GG364" s="276" t="s">
        <v>955</v>
      </c>
      <c r="GH364" s="276" t="s">
        <v>955</v>
      </c>
      <c r="GI364" s="276" t="s">
        <v>955</v>
      </c>
      <c r="GJ364" s="276" t="s">
        <v>955</v>
      </c>
      <c r="GK364" s="276" t="s">
        <v>955</v>
      </c>
      <c r="GL364" s="276" t="s">
        <v>955</v>
      </c>
      <c r="GM364" s="276" t="s">
        <v>955</v>
      </c>
      <c r="GN364" s="276" t="s">
        <v>955</v>
      </c>
      <c r="GO364" s="276" t="s">
        <v>955</v>
      </c>
      <c r="GP364" s="276" t="s">
        <v>955</v>
      </c>
      <c r="GQ364" s="276" t="s">
        <v>955</v>
      </c>
      <c r="GR364" s="276" t="s">
        <v>955</v>
      </c>
    </row>
    <row r="365" spans="1:204" ht="12.75" customHeight="1" x14ac:dyDescent="0.2">
      <c r="A365" s="276"/>
      <c r="B365" s="276"/>
      <c r="BB365" s="350" t="str">
        <f t="shared" si="74"/>
        <v>Pomme de terre</v>
      </c>
      <c r="BC365" s="351">
        <f t="array" ref="BC365">SUM((IF(QualitéAlimentsVeauxMâles_0_3_mois=BONNE,VLOOKUP("Pomme de terre",AlimentsRationBovinsMâles,8,FALSE),0)+(IF(QualitéAlimentsVeauxFemelles_0_3_mois=BONNE,VLOOKUP("Pomme de terre",AlimentsRationBovinsFemelles,8,FALSE),0)+(IF(QualitéAlimentsVeauxMâles_3_6_mois=BONNE,VLOOKUP("Pomme de terre",AlimentsRationBovinsMâles,7,FALSE),0)+(IF(QualitéAlimentsVeauxFemelles_3_6_mois=BONNE,VLOOKUP("Pomme de terre",AlimentsRationBovinsFemelles,7,FALSE),0)+(IF(QualitéAlimentsVeauxMâles_6_12_mois=BONNE,VLOOKUP("Pomme de terre",AlimentsRationBovinsMâles,6,FALSE),0)+(IF(QualitéAlimentsVeauxFemelles_6_12_mois=BONNE,VLOOKUP("Pomme de terre",AlimentsRationBovinsFemelles,6,FALSE),0)+(IF(QualitéAlimentsTaurillons_12_18_mois=BONNE,VLOOKUP("Pomme de terre",AlimentsRationBovinsMâles,5,FALSE),0)+(IF(QualitéAlimentsGénisses_12_18_mois=BONNE,VLOOKUP("Pomme de terre",AlimentsRationBovinsFemelles,5,FALSE),0)+(IF(QualitéAlimentsTaurillons_18_24_mois=BONNE,VLOOKUP("Pomme de terre",AlimentsRationBovinsMâles,4,FALSE),0)+(IF(QualitéAlimentsGénisses_18_24_mois=BONNE,VLOOKUP("Pomme de terre",AlimentsRationBovinsFemelles,4,FALSE),0)+(IF(QualitéAlimentsTaurillons_24_36_mois=BONNE,VLOOKUP("Pomme de terre",AlimentsRationBovinsMâles,3,FALSE),0)+(IF(QualitéAlimentsGénisses_24_36_mois=BONNE,VLOOKUP("Pomme de terre",AlimentsRationBovinsFemelles,3,FALSE),0)+(IF(QualitéAlimentsTaureaux=BONNE,VLOOKUP("Pomme de terre",AlimentsRationBovinsMâles,2,FALSE),0)+(IF(QualitéAlimentsVaches=BONNE,VLOOKUP("Pomme de terre",AlimentsRationBovinsFemelles,2,FALSE),0))))))))))))))))</f>
        <v>0</v>
      </c>
      <c r="BD365" s="351">
        <f t="array" ref="BD365">SUM((IF(QualitéAlimentsVeauxMâles_0_3_mois=MOYENNE,VLOOKUP("Pomme de terre",AlimentsRationBovinsMâles,8,FALSE),0)+(IF(QualitéAlimentsVeauxFemelles_0_3_mois=MOYENNE,VLOOKUP("Pomme de terre",AlimentsRationBovinsFemelles,8,FALSE),0)+(IF(QualitéAlimentsVeauxMâles_3_6_mois=MOYENNE,VLOOKUP("Pomme de terre",AlimentsRationBovinsMâles,7,FALSE),0)+(IF(QualitéAlimentsVeauxFemelles_3_6_mois=MOYENNE,VLOOKUP("Pomme de terre",AlimentsRationBovinsFemelles,7,FALSE),0)+(IF(QualitéAlimentsVeauxMâles_6_12_mois=MOYENNE,VLOOKUP("Pomme de terre",AlimentsRationBovinsMâles,6,FALSE),0)+(IF(QualitéAlimentsVeauxFemelles_6_12_mois=MOYENNE,VLOOKUP("Pomme de terre",AlimentsRationBovinsFemelles,6,FALSE),0)+(IF(QualitéAlimentsTaurillons_12_18_mois=MOYENNE,VLOOKUP("Pomme de terre",AlimentsRationBovinsMâles,5,FALSE),0)+(IF(QualitéAlimentsGénisses_12_18_mois=MOYENNE,VLOOKUP("Pomme de terre",AlimentsRationBovinsFemelles,5,FALSE),0)+(IF(QualitéAlimentsTaurillons_18_24_mois=MOYENNE,VLOOKUP("Pomme de terre",AlimentsRationBovinsMâles,4,FALSE),0)+(IF(QualitéAlimentsGénisses_18_24_mois=MOYENNE,VLOOKUP("Pomme de terre",AlimentsRationBovinsFemelles,4,FALSE),0)+(IF(QualitéAlimentsTaurillons_24_36_mois=MOYENNE,VLOOKUP("Pomme de terre",AlimentsRationBovinsMâles,3,FALSE),0)+(IF(QualitéAlimentsGénisses_24_36_mois=MOYENNE,VLOOKUP("Pomme de terre",AlimentsRationBovinsFemelles,3,FALSE),0)+(IF(QualitéAlimentsTaureaux=MOYENNE,VLOOKUP("Pomme de terre",AlimentsRationBovinsMâles,2,FALSE),0)+(IF(QualitéAlimentsVaches=MOYENNE,VLOOKUP("Pomme de terre",AlimentsRationBovinsFemelles,2,FALSE),0))))))))))))))))</f>
        <v>0</v>
      </c>
      <c r="BE365" s="351">
        <f t="array" ref="BE365">SUM((IF(QualitéAlimentsVeauxMâles_0_3_mois=MAUVAISE,VLOOKUP("Pomme de terre",AlimentsRationBovinsMâles,8,FALSE),0)+(IF(QualitéAlimentsVeauxFemelles_0_3_mois=MAUVAISE,VLOOKUP("Pomme de terre",AlimentsRationBovinsFemelles,8,FALSE),0)+(IF(QualitéAlimentsVeauxMâles_3_6_mois=MAUVAISE,VLOOKUP("Pomme de terre",AlimentsRationBovinsMâles,7,FALSE),0)+(IF(QualitéAlimentsVeauxFemelles_3_6_mois=MAUVAISE,VLOOKUP("Pomme de terre",AlimentsRationBovinsFemelles,7,FALSE),0)+(IF(QualitéAlimentsVeauxMâles_6_12_mois=MAUVAISE,VLOOKUP("Pomme de terre",AlimentsRationBovinsMâles,6,FALSE),0)+(IF(QualitéAlimentsVeauxFemelles_6_12_mois=MAUVAISE,VLOOKUP("Pomme de terre",AlimentsRationBovinsFemelles,6,FALSE),0)+(IF(QualitéAlimentsTaurillons_12_18_mois=MAUVAISE,VLOOKUP("Pomme de terre",AlimentsRationBovinsMâles,5,FALSE),0)+(IF(QualitéAlimentsGénisses_12_18_mois=MAUVAISE,VLOOKUP("Pomme de terre",AlimentsRationBovinsFemelles,5,FALSE),0)+(IF(QualitéAlimentsTaurillons_18_24_mois=MAUVAISE,VLOOKUP("Pomme de terre",AlimentsRationBovinsMâles,4,FALSE),0)+(IF(QualitéAlimentsGénisses_18_24_mois=MAUVAISE,VLOOKUP("Pomme de terre",AlimentsRationBovinsFemelles,4,FALSE),0)+(IF(QualitéAlimentsTaurillons_24_36_mois=MAUVAISE,VLOOKUP("Pomme de terre",AlimentsRationBovinsMâles,3,FALSE),0)+(IF(QualitéAlimentsGénisses_24_36_mois=MAUVAISE,VLOOKUP("Pomme de terre",AlimentsRationBovinsFemelles,3,FALSE),0)+(IF(QualitéAlimentsTaureaux=MAUVAISE,VLOOKUP("Pomme de terre",AlimentsRationBovinsMâles,2,FALSE),0)+(IF(QualitéAlimentsVaches=MAUVAISE,VLOOKUP("Pomme de terre",AlimentsRationBovinsFemelles,2,FALSE),0))))))))))))))))</f>
        <v>0</v>
      </c>
      <c r="CF365" s="277"/>
      <c r="CG365" s="276"/>
      <c r="CH365" s="276"/>
      <c r="DS365" s="276"/>
      <c r="DT365" s="276"/>
      <c r="DU365" s="276"/>
      <c r="DZ365" s="281"/>
      <c r="EA365" s="281"/>
      <c r="ED365" s="276"/>
      <c r="EE365" s="276"/>
      <c r="EL365" s="276"/>
      <c r="ES365" s="276"/>
      <c r="FA365" s="276"/>
      <c r="FB365" s="276"/>
      <c r="FJ365" s="276"/>
      <c r="FK365" s="276"/>
      <c r="FL365" s="276"/>
      <c r="FT365" s="276"/>
      <c r="FU365" s="276"/>
      <c r="FV365" s="276"/>
      <c r="FW365" s="281"/>
      <c r="GA365" s="276"/>
      <c r="GC365" s="276" t="s">
        <v>955</v>
      </c>
      <c r="GD365" s="276" t="s">
        <v>955</v>
      </c>
      <c r="GE365" s="276" t="s">
        <v>955</v>
      </c>
      <c r="GF365" s="276" t="s">
        <v>955</v>
      </c>
      <c r="GG365" s="276" t="s">
        <v>955</v>
      </c>
      <c r="GH365" s="276" t="s">
        <v>955</v>
      </c>
      <c r="GI365" s="276" t="s">
        <v>955</v>
      </c>
      <c r="GJ365" s="276" t="s">
        <v>955</v>
      </c>
      <c r="GK365" s="276" t="s">
        <v>955</v>
      </c>
      <c r="GL365" s="276" t="s">
        <v>955</v>
      </c>
      <c r="GM365" s="276" t="s">
        <v>955</v>
      </c>
      <c r="GN365" s="276" t="s">
        <v>955</v>
      </c>
      <c r="GO365" s="276" t="s">
        <v>955</v>
      </c>
      <c r="GP365" s="276" t="s">
        <v>955</v>
      </c>
      <c r="GQ365" s="276" t="s">
        <v>955</v>
      </c>
      <c r="GR365" s="276" t="s">
        <v>955</v>
      </c>
    </row>
    <row r="366" spans="1:204" ht="12.75" customHeight="1" x14ac:dyDescent="0.2">
      <c r="A366" s="276"/>
      <c r="B366" s="276"/>
      <c r="BB366" s="350" t="str">
        <f t="shared" si="74"/>
        <v>Pulpe déshydratée de betterave</v>
      </c>
      <c r="BC366" s="351">
        <f t="array" ref="BC366">SUM((IF(QualitéAlimentsVeauxMâles_0_3_mois=BONNE,VLOOKUP("Pulpe déshydratée de betterave",AlimentsRationBovinsMâles,8,FALSE),0)+(IF(QualitéAlimentsVeauxFemelles_0_3_mois=BONNE,VLOOKUP("Pulpe déshydratée de betterave",AlimentsRationBovinsFemelles,8,FALSE),0)+(IF(QualitéAlimentsVeauxMâles_3_6_mois=BONNE,VLOOKUP("Pulpe déshydratée de betterave",AlimentsRationBovinsMâles,7,FALSE),0)+(IF(QualitéAlimentsVeauxFemelles_3_6_mois=BONNE,VLOOKUP("Pulpe déshydratée de betterave",AlimentsRationBovinsFemelles,7,FALSE),0)+(IF(QualitéAlimentsVeauxMâles_6_12_mois=BONNE,VLOOKUP("Pulpe déshydratée de betterave",AlimentsRationBovinsMâles,6,FALSE),0)+(IF(QualitéAlimentsVeauxFemelles_6_12_mois=BONNE,VLOOKUP("Pulpe déshydratée de betterave",AlimentsRationBovinsFemelles,6,FALSE),0)+(IF(QualitéAlimentsTaurillons_12_18_mois=BONNE,VLOOKUP("Pulpe déshydratée de betterave",AlimentsRationBovinsMâles,5,FALSE),0)+(IF(QualitéAlimentsGénisses_12_18_mois=BONNE,VLOOKUP("Pulpe déshydratée de betterave",AlimentsRationBovinsFemelles,5,FALSE),0)+(IF(QualitéAlimentsTaurillons_18_24_mois=BONNE,VLOOKUP("Pulpe déshydratée de betterave",AlimentsRationBovinsMâles,4,FALSE),0)+(IF(QualitéAlimentsGénisses_18_24_mois=BONNE,VLOOKUP("Pulpe déshydratée de betterave",AlimentsRationBovinsFemelles,4,FALSE),0)+(IF(QualitéAlimentsTaurillons_24_36_mois=BONNE,VLOOKUP("Pulpe déshydratée de betterave",AlimentsRationBovinsMâles,3,FALSE),0)+(IF(QualitéAlimentsGénisses_24_36_mois=BONNE,VLOOKUP("Pulpe déshydratée de betterave",AlimentsRationBovinsFemelles,3,FALSE),0)+(IF(QualitéAlimentsTaureaux=BONNE,VLOOKUP("Pulpe déshydratée de betterave",AlimentsRationBovinsMâles,2,FALSE),0)+(IF(QualitéAlimentsVaches=BONNE,VLOOKUP("Pulpe déshydratée de betterave",AlimentsRationBovinsFemelles,2,FALSE),0))))))))))))))))</f>
        <v>0</v>
      </c>
      <c r="BD366" s="351">
        <f t="array" ref="BD366">SUM((IF(QualitéAlimentsVeauxMâles_0_3_mois=MOYENNE,VLOOKUP("Pulpe déshydratée de betterave",AlimentsRationBovinsMâles,8,FALSE),0)+(IF(QualitéAlimentsVeauxFemelles_0_3_mois=MOYENNE,VLOOKUP("Pulpe déshydratée de betterave",AlimentsRationBovinsFemelles,8,FALSE),0)+(IF(QualitéAlimentsVeauxMâles_3_6_mois=MOYENNE,VLOOKUP("Pulpe déshydratée de betterave",AlimentsRationBovinsMâles,7,FALSE),0)+(IF(QualitéAlimentsVeauxFemelles_3_6_mois=MOYENNE,VLOOKUP("Pulpe déshydratée de betterave",AlimentsRationBovinsFemelles,7,FALSE),0)+(IF(QualitéAlimentsVeauxMâles_6_12_mois=MOYENNE,VLOOKUP("Pulpe déshydratée de betterave",AlimentsRationBovinsMâles,6,FALSE),0)+(IF(QualitéAlimentsVeauxFemelles_6_12_mois=MOYENNE,VLOOKUP("Pulpe déshydratée de betterave",AlimentsRationBovinsFemelles,6,FALSE),0)+(IF(QualitéAlimentsTaurillons_12_18_mois=MOYENNE,VLOOKUP("Pulpe déshydratée de betterave",AlimentsRationBovinsMâles,5,FALSE),0)+(IF(QualitéAlimentsGénisses_12_18_mois=MOYENNE,VLOOKUP("Pulpe déshydratée de betterave",AlimentsRationBovinsFemelles,5,FALSE),0)+(IF(QualitéAlimentsTaurillons_18_24_mois=MOYENNE,VLOOKUP("Pulpe déshydratée de betterave",AlimentsRationBovinsMâles,4,FALSE),0)+(IF(QualitéAlimentsGénisses_18_24_mois=MOYENNE,VLOOKUP("Pulpe déshydratée de betterave",AlimentsRationBovinsFemelles,4,FALSE),0)+(IF(QualitéAlimentsTaurillons_24_36_mois=MOYENNE,VLOOKUP("Pulpe déshydratée de betterave",AlimentsRationBovinsMâles,3,FALSE),0)+(IF(QualitéAlimentsGénisses_24_36_mois=MOYENNE,VLOOKUP("Pulpe déshydratée de betterave",AlimentsRationBovinsFemelles,3,FALSE),0)+(IF(QualitéAlimentsTaureaux=MOYENNE,VLOOKUP("Pulpe déshydratée de betterave",AlimentsRationBovinsMâles,2,FALSE),0)+(IF(QualitéAlimentsVaches=MOYENNE,VLOOKUP("Pulpe déshydratée de betterave",AlimentsRationBovinsFemelles,2,FALSE),0))))))))))))))))</f>
        <v>0</v>
      </c>
      <c r="BE366" s="351">
        <f t="array" ref="BE366">SUM((IF(QualitéAlimentsVeauxMâles_0_3_mois=MAUVAISE,VLOOKUP("Pulpe déshydratée de betterave",AlimentsRationBovinsMâles,8,FALSE),0)+(IF(QualitéAlimentsVeauxFemelles_0_3_mois=MAUVAISE,VLOOKUP("Pulpe déshydratée de betterave",AlimentsRationBovinsFemelles,8,FALSE),0)+(IF(QualitéAlimentsVeauxMâles_3_6_mois=MAUVAISE,VLOOKUP("Pulpe déshydratée de betterave",AlimentsRationBovinsMâles,7,FALSE),0)+(IF(QualitéAlimentsVeauxFemelles_3_6_mois=MAUVAISE,VLOOKUP("Pulpe déshydratée de betterave",AlimentsRationBovinsFemelles,7,FALSE),0)+(IF(QualitéAlimentsVeauxMâles_6_12_mois=MAUVAISE,VLOOKUP("Pulpe déshydratée de betterave",AlimentsRationBovinsMâles,6,FALSE),0)+(IF(QualitéAlimentsVeauxFemelles_6_12_mois=MAUVAISE,VLOOKUP("Pulpe déshydratée de betterave",AlimentsRationBovinsFemelles,6,FALSE),0)+(IF(QualitéAlimentsTaurillons_12_18_mois=MAUVAISE,VLOOKUP("Pulpe déshydratée de betterave",AlimentsRationBovinsMâles,5,FALSE),0)+(IF(QualitéAlimentsGénisses_12_18_mois=MAUVAISE,VLOOKUP("Pulpe déshydratée de betterave",AlimentsRationBovinsFemelles,5,FALSE),0)+(IF(QualitéAlimentsTaurillons_18_24_mois=MAUVAISE,VLOOKUP("Pulpe déshydratée de betterave",AlimentsRationBovinsMâles,4,FALSE),0)+(IF(QualitéAlimentsGénisses_18_24_mois=MAUVAISE,VLOOKUP("Pulpe déshydratée de betterave",AlimentsRationBovinsFemelles,4,FALSE),0)+(IF(QualitéAlimentsTaurillons_24_36_mois=MAUVAISE,VLOOKUP("Pulpe déshydratée de betterave",AlimentsRationBovinsMâles,3,FALSE),0)+(IF(QualitéAlimentsGénisses_24_36_mois=MAUVAISE,VLOOKUP("Pulpe déshydratée de betterave",AlimentsRationBovinsFemelles,3,FALSE),0)+(IF(QualitéAlimentsTaureaux=MAUVAISE,VLOOKUP("Pulpe déshydratée de betterave",AlimentsRationBovinsMâles,2,FALSE),0)+(IF(QualitéAlimentsVaches=MAUVAISE,VLOOKUP("Pulpe déshydratée de betterave",AlimentsRationBovinsFemelles,2,FALSE),0))))))))))))))))</f>
        <v>0</v>
      </c>
      <c r="CF366" s="277"/>
      <c r="CG366" s="276"/>
      <c r="CH366" s="276"/>
      <c r="DS366" s="276"/>
      <c r="DT366" s="276"/>
      <c r="DU366" s="276"/>
      <c r="DZ366" s="281"/>
      <c r="EA366" s="281"/>
      <c r="ED366" s="276"/>
      <c r="EE366" s="276"/>
      <c r="EL366" s="276"/>
      <c r="ES366" s="276"/>
      <c r="FA366" s="276"/>
      <c r="FB366" s="276"/>
      <c r="FJ366" s="276"/>
      <c r="FK366" s="276"/>
      <c r="FL366" s="276"/>
      <c r="FT366" s="276"/>
      <c r="FU366" s="276"/>
      <c r="FV366" s="276"/>
      <c r="FW366" s="281"/>
      <c r="GA366" s="276"/>
      <c r="GC366" s="276" t="s">
        <v>955</v>
      </c>
      <c r="GD366" s="276" t="s">
        <v>955</v>
      </c>
      <c r="GE366" s="276" t="s">
        <v>955</v>
      </c>
      <c r="GF366" s="276" t="s">
        <v>955</v>
      </c>
      <c r="GG366" s="276" t="s">
        <v>955</v>
      </c>
      <c r="GH366" s="276" t="s">
        <v>955</v>
      </c>
      <c r="GI366" s="276" t="s">
        <v>955</v>
      </c>
      <c r="GJ366" s="276" t="s">
        <v>955</v>
      </c>
      <c r="GK366" s="276" t="s">
        <v>955</v>
      </c>
      <c r="GL366" s="276" t="s">
        <v>955</v>
      </c>
      <c r="GM366" s="276" t="s">
        <v>955</v>
      </c>
      <c r="GN366" s="276" t="s">
        <v>955</v>
      </c>
      <c r="GO366" s="276" t="s">
        <v>955</v>
      </c>
      <c r="GP366" s="276" t="s">
        <v>955</v>
      </c>
      <c r="GQ366" s="276" t="s">
        <v>955</v>
      </c>
      <c r="GR366" s="276" t="s">
        <v>955</v>
      </c>
    </row>
    <row r="367" spans="1:204" ht="12.75" customHeight="1" x14ac:dyDescent="0.2">
      <c r="A367" s="276"/>
      <c r="B367" s="276"/>
      <c r="BB367" s="350" t="str">
        <f t="shared" si="74"/>
        <v>Ration complète</v>
      </c>
      <c r="BC367" s="351">
        <f t="array" ref="BC367">SUM((IF(QualitéAlimentsVeauxMâles_0_3_mois=BONNE,VLOOKUP("Ration complète",AlimentsRationBovinsMâles,8,FALSE),0)+(IF(QualitéAlimentsVeauxFemelles_0_3_mois=BONNE,VLOOKUP("Ration complète",AlimentsRationBovinsFemelles,8,FALSE),0)+(IF(QualitéAlimentsVeauxMâles_3_6_mois=BONNE,VLOOKUP("Ration complète",AlimentsRationBovinsMâles,7,FALSE),0)+(IF(QualitéAlimentsVeauxFemelles_3_6_mois=BONNE,VLOOKUP("Ration complète",AlimentsRationBovinsFemelles,7,FALSE),0)+(IF(QualitéAlimentsVeauxMâles_6_12_mois=BONNE,VLOOKUP("Ration complète",AlimentsRationBovinsMâles,6,FALSE),0)+(IF(QualitéAlimentsVeauxFemelles_6_12_mois=BONNE,VLOOKUP("Ration complète",AlimentsRationBovinsFemelles,6,FALSE),0)+(IF(QualitéAlimentsTaurillons_12_18_mois=BONNE,VLOOKUP("Ration complète",AlimentsRationBovinsMâles,5,FALSE),0)+(IF(QualitéAlimentsGénisses_12_18_mois=BONNE,VLOOKUP("Ration complète",AlimentsRationBovinsFemelles,5,FALSE),0)+(IF(QualitéAlimentsTaurillons_18_24_mois=BONNE,VLOOKUP("Ration complète",AlimentsRationBovinsMâles,4,FALSE),0)+(IF(QualitéAlimentsGénisses_18_24_mois=BONNE,VLOOKUP("Ration complète",AlimentsRationBovinsFemelles,4,FALSE),0)+(IF(QualitéAlimentsTaurillons_24_36_mois=BONNE,VLOOKUP("Ration complète",AlimentsRationBovinsMâles,3,FALSE),0)+(IF(QualitéAlimentsGénisses_24_36_mois=BONNE,VLOOKUP("Ration complète",AlimentsRationBovinsFemelles,3,FALSE),0)+(IF(QualitéAlimentsTaureaux=BONNE,VLOOKUP("Ration complète",AlimentsRationBovinsMâles,2,FALSE),0)+(IF(QualitéAlimentsVaches=BONNE,VLOOKUP("Ration complète",AlimentsRationBovinsFemelles,2,FALSE),0))))))))))))))))</f>
        <v>0</v>
      </c>
      <c r="BD367" s="351">
        <f t="array" ref="BD367">SUM((IF(QualitéAlimentsVeauxMâles_0_3_mois=MOYENNE,VLOOKUP("Ration complète",AlimentsRationBovinsMâles,8,FALSE),0)+(IF(QualitéAlimentsVeauxFemelles_0_3_mois=MOYENNE,VLOOKUP("Ration complète",AlimentsRationBovinsFemelles,8,FALSE),0)+(IF(QualitéAlimentsVeauxMâles_3_6_mois=MOYENNE,VLOOKUP("Ration complète",AlimentsRationBovinsMâles,7,FALSE),0)+(IF(QualitéAlimentsVeauxFemelles_3_6_mois=MOYENNE,VLOOKUP("Ration complète",AlimentsRationBovinsFemelles,7,FALSE),0)+(IF(QualitéAlimentsVeauxMâles_6_12_mois=MOYENNE,VLOOKUP("Ration complète",AlimentsRationBovinsMâles,6,FALSE),0)+(IF(QualitéAlimentsVeauxFemelles_6_12_mois=MOYENNE,VLOOKUP("Ration complète",AlimentsRationBovinsFemelles,6,FALSE),0)+(IF(QualitéAlimentsTaurillons_12_18_mois=MOYENNE,VLOOKUP("Ration complète",AlimentsRationBovinsMâles,5,FALSE),0)+(IF(QualitéAlimentsGénisses_12_18_mois=MOYENNE,VLOOKUP("Ration complète",AlimentsRationBovinsFemelles,5,FALSE),0)+(IF(QualitéAlimentsTaurillons_18_24_mois=MOYENNE,VLOOKUP("Ration complète",AlimentsRationBovinsMâles,4,FALSE),0)+(IF(QualitéAlimentsGénisses_18_24_mois=MOYENNE,VLOOKUP("Ration complète",AlimentsRationBovinsFemelles,4,FALSE),0)+(IF(QualitéAlimentsTaurillons_24_36_mois=MOYENNE,VLOOKUP("Ration complète",AlimentsRationBovinsMâles,3,FALSE),0)+(IF(QualitéAlimentsGénisses_24_36_mois=MOYENNE,VLOOKUP("Ration complète",AlimentsRationBovinsFemelles,3,FALSE),0)+(IF(QualitéAlimentsTaureaux=MOYENNE,VLOOKUP("Ration complète",AlimentsRationBovinsMâles,2,FALSE),0)+(IF(QualitéAlimentsVaches=MOYENNE,VLOOKUP("Ration complète",AlimentsRationBovinsFemelles,2,FALSE),0))))))))))))))))</f>
        <v>0</v>
      </c>
      <c r="BE367" s="351">
        <f t="array" ref="BE367">SUM((IF(QualitéAlimentsVeauxMâles_0_3_mois=MAUVAISE,VLOOKUP("Ration complète",AlimentsRationBovinsMâles,8,FALSE),0)+(IF(QualitéAlimentsVeauxFemelles_0_3_mois=MAUVAISE,VLOOKUP("Ration complète",AlimentsRationBovinsFemelles,8,FALSE),0)+(IF(QualitéAlimentsVeauxMâles_3_6_mois=MAUVAISE,VLOOKUP("Ration complète",AlimentsRationBovinsMâles,7,FALSE),0)+(IF(QualitéAlimentsVeauxFemelles_3_6_mois=MAUVAISE,VLOOKUP("Ration complète",AlimentsRationBovinsFemelles,7,FALSE),0)+(IF(QualitéAlimentsVeauxMâles_6_12_mois=MAUVAISE,VLOOKUP("Ration complète",AlimentsRationBovinsMâles,6,FALSE),0)+(IF(QualitéAlimentsVeauxFemelles_6_12_mois=MAUVAISE,VLOOKUP("Ration complète",AlimentsRationBovinsFemelles,6,FALSE),0)+(IF(QualitéAlimentsTaurillons_12_18_mois=MAUVAISE,VLOOKUP("Ration complète",AlimentsRationBovinsMâles,5,FALSE),0)+(IF(QualitéAlimentsGénisses_12_18_mois=MAUVAISE,VLOOKUP("Ration complète",AlimentsRationBovinsFemelles,5,FALSE),0)+(IF(QualitéAlimentsTaurillons_18_24_mois=MAUVAISE,VLOOKUP("Ration complète",AlimentsRationBovinsMâles,4,FALSE),0)+(IF(QualitéAlimentsGénisses_18_24_mois=MAUVAISE,VLOOKUP("Ration complète",AlimentsRationBovinsFemelles,4,FALSE),0)+(IF(QualitéAlimentsTaurillons_24_36_mois=MAUVAISE,VLOOKUP("Ration complète",AlimentsRationBovinsMâles,3,FALSE),0)+(IF(QualitéAlimentsGénisses_24_36_mois=MAUVAISE,VLOOKUP("Ration complète",AlimentsRationBovinsFemelles,3,FALSE),0)+(IF(QualitéAlimentsTaureaux=MAUVAISE,VLOOKUP("Ration complète",AlimentsRationBovinsMâles,2,FALSE),0)+(IF(QualitéAlimentsVaches=MAUVAISE,VLOOKUP("Ration complète",AlimentsRationBovinsFemelles,2,FALSE),0))))))))))))))))</f>
        <v>0</v>
      </c>
      <c r="CF367" s="277"/>
      <c r="CG367" s="276"/>
      <c r="CH367" s="276"/>
      <c r="DS367" s="276"/>
      <c r="DT367" s="276"/>
      <c r="DU367" s="276"/>
      <c r="DZ367" s="281"/>
      <c r="EA367" s="281"/>
      <c r="ED367" s="276"/>
      <c r="EE367" s="276"/>
      <c r="EL367" s="276"/>
      <c r="ES367" s="276"/>
      <c r="FA367" s="276"/>
      <c r="FB367" s="276"/>
      <c r="FJ367" s="276"/>
      <c r="FK367" s="276"/>
      <c r="FL367" s="276"/>
      <c r="FT367" s="276"/>
      <c r="FU367" s="276"/>
      <c r="FV367" s="276"/>
      <c r="FW367" s="281"/>
      <c r="GA367" s="276"/>
      <c r="GC367" s="276" t="s">
        <v>955</v>
      </c>
      <c r="GD367" s="276" t="s">
        <v>955</v>
      </c>
      <c r="GE367" s="276" t="s">
        <v>955</v>
      </c>
      <c r="GF367" s="276" t="s">
        <v>955</v>
      </c>
      <c r="GG367" s="276" t="s">
        <v>955</v>
      </c>
      <c r="GH367" s="276" t="s">
        <v>955</v>
      </c>
      <c r="GI367" s="276" t="s">
        <v>955</v>
      </c>
      <c r="GJ367" s="276" t="s">
        <v>955</v>
      </c>
      <c r="GK367" s="276" t="s">
        <v>955</v>
      </c>
      <c r="GL367" s="276" t="s">
        <v>955</v>
      </c>
      <c r="GM367" s="276" t="s">
        <v>955</v>
      </c>
      <c r="GN367" s="276" t="s">
        <v>955</v>
      </c>
      <c r="GO367" s="276" t="s">
        <v>955</v>
      </c>
      <c r="GP367" s="276" t="s">
        <v>955</v>
      </c>
      <c r="GQ367" s="276" t="s">
        <v>955</v>
      </c>
      <c r="GR367" s="276" t="s">
        <v>955</v>
      </c>
    </row>
    <row r="368" spans="1:204" ht="12.75" customHeight="1" x14ac:dyDescent="0.2">
      <c r="A368" s="276"/>
      <c r="B368" s="276"/>
      <c r="BB368" s="350" t="str">
        <f t="shared" si="74"/>
        <v>Seigle</v>
      </c>
      <c r="BC368" s="351">
        <f t="array" ref="BC368">SUM((IF(QualitéAlimentsVeauxMâles_0_3_mois=BONNE,VLOOKUP("Seigle",AlimentsRationBovinsMâles,8,FALSE),0)+(IF(QualitéAlimentsVeauxFemelles_0_3_mois=BONNE,VLOOKUP("Seigle",AlimentsRationBovinsFemelles,8,FALSE),0)+(IF(QualitéAlimentsVeauxMâles_3_6_mois=BONNE,VLOOKUP("Seigle",AlimentsRationBovinsMâles,7,FALSE),0)+(IF(QualitéAlimentsVeauxFemelles_3_6_mois=BONNE,VLOOKUP("Seigle",AlimentsRationBovinsFemelles,7,FALSE),0)+(IF(QualitéAlimentsVeauxMâles_6_12_mois=BONNE,VLOOKUP("Seigle",AlimentsRationBovinsMâles,6,FALSE),0)+(IF(QualitéAlimentsVeauxFemelles_6_12_mois=BONNE,VLOOKUP("Seigle",AlimentsRationBovinsFemelles,6,FALSE),0)+(IF(QualitéAlimentsTaurillons_12_18_mois=BONNE,VLOOKUP("Seigle",AlimentsRationBovinsMâles,5,FALSE),0)+(IF(QualitéAlimentsGénisses_12_18_mois=BONNE,VLOOKUP("Seigle",AlimentsRationBovinsFemelles,5,FALSE),0)+(IF(QualitéAlimentsTaurillons_18_24_mois=BONNE,VLOOKUP("Seigle",AlimentsRationBovinsMâles,4,FALSE),0)+(IF(QualitéAlimentsGénisses_18_24_mois=BONNE,VLOOKUP("Seigle",AlimentsRationBovinsFemelles,4,FALSE),0)+(IF(QualitéAlimentsTaurillons_24_36_mois=BONNE,VLOOKUP("Seigle",AlimentsRationBovinsMâles,3,FALSE),0)+(IF(QualitéAlimentsGénisses_24_36_mois=BONNE,VLOOKUP("Seigle",AlimentsRationBovinsFemelles,3,FALSE),0)+(IF(QualitéAlimentsTaureaux=BONNE,VLOOKUP("Seigle",AlimentsRationBovinsMâles,2,FALSE),0)+(IF(QualitéAlimentsVaches=BONNE,VLOOKUP("Seigle",AlimentsRationBovinsFemelles,2,FALSE),0))))))))))))))))</f>
        <v>0</v>
      </c>
      <c r="BD368" s="351">
        <f t="array" ref="BD368">SUM((IF(QualitéAlimentsVeauxMâles_0_3_mois=MOYENNE,VLOOKUP("Seigle",AlimentsRationBovinsMâles,8,FALSE),0)+(IF(QualitéAlimentsVeauxFemelles_0_3_mois=MOYENNE,VLOOKUP("Seigle",AlimentsRationBovinsFemelles,8,FALSE),0)+(IF(QualitéAlimentsVeauxMâles_3_6_mois=MOYENNE,VLOOKUP("Seigle",AlimentsRationBovinsMâles,7,FALSE),0)+(IF(QualitéAlimentsVeauxFemelles_3_6_mois=MOYENNE,VLOOKUP("Seigle",AlimentsRationBovinsFemelles,7,FALSE),0)+(IF(QualitéAlimentsVeauxMâles_6_12_mois=MOYENNE,VLOOKUP("Seigle",AlimentsRationBovinsMâles,6,FALSE),0)+(IF(QualitéAlimentsVeauxFemelles_6_12_mois=MOYENNE,VLOOKUP("Seigle",AlimentsRationBovinsFemelles,6,FALSE),0)+(IF(QualitéAlimentsTaurillons_12_18_mois=MOYENNE,VLOOKUP("Seigle",AlimentsRationBovinsMâles,5,FALSE),0)+(IF(QualitéAlimentsGénisses_12_18_mois=MOYENNE,VLOOKUP("Seigle",AlimentsRationBovinsFemelles,5,FALSE),0)+(IF(QualitéAlimentsTaurillons_18_24_mois=MOYENNE,VLOOKUP("Seigle",AlimentsRationBovinsMâles,4,FALSE),0)+(IF(QualitéAlimentsGénisses_18_24_mois=MOYENNE,VLOOKUP("Seigle",AlimentsRationBovinsFemelles,4,FALSE),0)+(IF(QualitéAlimentsTaurillons_24_36_mois=MOYENNE,VLOOKUP("Seigle",AlimentsRationBovinsMâles,3,FALSE),0)+(IF(QualitéAlimentsGénisses_24_36_mois=MOYENNE,VLOOKUP("Seigle",AlimentsRationBovinsFemelles,3,FALSE),0)+(IF(QualitéAlimentsTaureaux=MOYENNE,VLOOKUP("Seigle",AlimentsRationBovinsMâles,2,FALSE),0)+(IF(QualitéAlimentsVaches=MOYENNE,VLOOKUP("Seigle",AlimentsRationBovinsFemelles,2,FALSE),0))))))))))))))))</f>
        <v>0</v>
      </c>
      <c r="BE368" s="351">
        <f t="array" ref="BE368">SUM((IF(QualitéAlimentsVeauxMâles_0_3_mois=MAUVAISE,VLOOKUP("Seigle",AlimentsRationBovinsMâles,8,FALSE),0)+(IF(QualitéAlimentsVeauxFemelles_0_3_mois=MAUVAISE,VLOOKUP("Seigle",AlimentsRationBovinsFemelles,8,FALSE),0)+(IF(QualitéAlimentsVeauxMâles_3_6_mois=MAUVAISE,VLOOKUP("Seigle",AlimentsRationBovinsMâles,7,FALSE),0)+(IF(QualitéAlimentsVeauxFemelles_3_6_mois=MAUVAISE,VLOOKUP("Seigle",AlimentsRationBovinsFemelles,7,FALSE),0)+(IF(QualitéAlimentsVeauxMâles_6_12_mois=MAUVAISE,VLOOKUP("Seigle",AlimentsRationBovinsMâles,6,FALSE),0)+(IF(QualitéAlimentsVeauxFemelles_6_12_mois=MAUVAISE,VLOOKUP("Seigle",AlimentsRationBovinsFemelles,6,FALSE),0)+(IF(QualitéAlimentsTaurillons_12_18_mois=MAUVAISE,VLOOKUP("Seigle",AlimentsRationBovinsMâles,5,FALSE),0)+(IF(QualitéAlimentsGénisses_12_18_mois=MAUVAISE,VLOOKUP("Seigle",AlimentsRationBovinsFemelles,5,FALSE),0)+(IF(QualitéAlimentsTaurillons_18_24_mois=MAUVAISE,VLOOKUP("Seigle",AlimentsRationBovinsMâles,4,FALSE),0)+(IF(QualitéAlimentsGénisses_18_24_mois=MAUVAISE,VLOOKUP("Seigle",AlimentsRationBovinsFemelles,4,FALSE),0)+(IF(QualitéAlimentsTaurillons_24_36_mois=MAUVAISE,VLOOKUP("Seigle",AlimentsRationBovinsMâles,3,FALSE),0)+(IF(QualitéAlimentsGénisses_24_36_mois=MAUVAISE,VLOOKUP("Seigle",AlimentsRationBovinsFemelles,3,FALSE),0)+(IF(QualitéAlimentsTaureaux=MAUVAISE,VLOOKUP("Seigle",AlimentsRationBovinsMâles,2,FALSE),0)+(IF(QualitéAlimentsVaches=MAUVAISE,VLOOKUP("Seigle",AlimentsRationBovinsFemelles,2,FALSE),0))))))))))))))))</f>
        <v>0</v>
      </c>
      <c r="CF368" s="277"/>
      <c r="CG368" s="276"/>
      <c r="CH368" s="276"/>
      <c r="DS368" s="276"/>
      <c r="DT368" s="276"/>
      <c r="DU368" s="276"/>
      <c r="DZ368" s="281"/>
      <c r="EA368" s="281"/>
      <c r="ED368" s="276"/>
      <c r="EE368" s="276"/>
      <c r="EL368" s="276"/>
      <c r="ES368" s="276"/>
      <c r="FA368" s="276"/>
      <c r="FB368" s="276"/>
      <c r="FJ368" s="276"/>
      <c r="FK368" s="276"/>
      <c r="FL368" s="276"/>
      <c r="FT368" s="276"/>
      <c r="FU368" s="276"/>
      <c r="FV368" s="276"/>
      <c r="FW368" s="281"/>
      <c r="GA368" s="276"/>
      <c r="GC368" s="276" t="s">
        <v>955</v>
      </c>
      <c r="GD368" s="276" t="s">
        <v>955</v>
      </c>
      <c r="GE368" s="276" t="s">
        <v>955</v>
      </c>
      <c r="GF368" s="276" t="s">
        <v>955</v>
      </c>
      <c r="GG368" s="276" t="s">
        <v>955</v>
      </c>
      <c r="GH368" s="276" t="s">
        <v>955</v>
      </c>
      <c r="GI368" s="276" t="s">
        <v>955</v>
      </c>
      <c r="GJ368" s="276" t="s">
        <v>955</v>
      </c>
      <c r="GK368" s="276" t="s">
        <v>955</v>
      </c>
      <c r="GL368" s="276" t="s">
        <v>955</v>
      </c>
      <c r="GM368" s="276" t="s">
        <v>955</v>
      </c>
      <c r="GN368" s="276" t="s">
        <v>955</v>
      </c>
      <c r="GO368" s="276" t="s">
        <v>955</v>
      </c>
      <c r="GP368" s="276" t="s">
        <v>955</v>
      </c>
      <c r="GQ368" s="276" t="s">
        <v>955</v>
      </c>
      <c r="GR368" s="276" t="s">
        <v>955</v>
      </c>
    </row>
    <row r="369" spans="1:200" ht="12.75" customHeight="1" x14ac:dyDescent="0.2">
      <c r="A369" s="276"/>
      <c r="B369" s="276"/>
      <c r="BB369" s="350" t="str">
        <f t="shared" si="74"/>
        <v>Soja</v>
      </c>
      <c r="BC369" s="351">
        <f t="array" ref="BC369">SUM((IF(QualitéAlimentsVeauxMâles_0_3_mois=BONNE,VLOOKUP("Soja",AlimentsRationBovinsMâles,8,FALSE),0)+(IF(QualitéAlimentsVeauxFemelles_0_3_mois=BONNE,VLOOKUP("Soja",AlimentsRationBovinsFemelles,8,FALSE),0)+(IF(QualitéAlimentsVeauxMâles_3_6_mois=BONNE,VLOOKUP("Soja",AlimentsRationBovinsMâles,7,FALSE),0)+(IF(QualitéAlimentsVeauxFemelles_3_6_mois=BONNE,VLOOKUP("Soja",AlimentsRationBovinsFemelles,7,FALSE),0)+(IF(QualitéAlimentsVeauxMâles_6_12_mois=BONNE,VLOOKUP("Soja",AlimentsRationBovinsMâles,6,FALSE),0)+(IF(QualitéAlimentsVeauxFemelles_6_12_mois=BONNE,VLOOKUP("Soja",AlimentsRationBovinsFemelles,6,FALSE),0)+(IF(QualitéAlimentsTaurillons_12_18_mois=BONNE,VLOOKUP("Soja",AlimentsRationBovinsMâles,5,FALSE),0)+(IF(QualitéAlimentsGénisses_12_18_mois=BONNE,VLOOKUP("Soja",AlimentsRationBovinsFemelles,5,FALSE),0)+(IF(QualitéAlimentsTaurillons_18_24_mois=BONNE,VLOOKUP("Soja",AlimentsRationBovinsMâles,4,FALSE),0)+(IF(QualitéAlimentsGénisses_18_24_mois=BONNE,VLOOKUP("Soja",AlimentsRationBovinsFemelles,4,FALSE),0)+(IF(QualitéAlimentsTaurillons_24_36_mois=BONNE,VLOOKUP("Soja",AlimentsRationBovinsMâles,3,FALSE),0)+(IF(QualitéAlimentsGénisses_24_36_mois=BONNE,VLOOKUP("Soja",AlimentsRationBovinsFemelles,3,FALSE),0)+(IF(QualitéAlimentsTaureaux=BONNE,VLOOKUP("Soja",AlimentsRationBovinsMâles,2,FALSE),0)+(IF(QualitéAlimentsVaches=BONNE,VLOOKUP("Soja",AlimentsRationBovinsFemelles,2,FALSE),0))))))))))))))))</f>
        <v>0</v>
      </c>
      <c r="BD369" s="351">
        <f t="array" ref="BD369">SUM((IF(QualitéAlimentsVeauxMâles_0_3_mois=MOYENNE,VLOOKUP("Soja",AlimentsRationBovinsMâles,8,FALSE),0)+(IF(QualitéAlimentsVeauxFemelles_0_3_mois=MOYENNE,VLOOKUP("Soja",AlimentsRationBovinsFemelles,8,FALSE),0)+(IF(QualitéAlimentsVeauxMâles_3_6_mois=MOYENNE,VLOOKUP("Soja",AlimentsRationBovinsMâles,7,FALSE),0)+(IF(QualitéAlimentsVeauxFemelles_3_6_mois=MOYENNE,VLOOKUP("Soja",AlimentsRationBovinsFemelles,7,FALSE),0)+(IF(QualitéAlimentsVeauxMâles_6_12_mois=MOYENNE,VLOOKUP("Soja",AlimentsRationBovinsMâles,6,FALSE),0)+(IF(QualitéAlimentsVeauxFemelles_6_12_mois=MOYENNE,VLOOKUP("Soja",AlimentsRationBovinsFemelles,6,FALSE),0)+(IF(QualitéAlimentsTaurillons_12_18_mois=MOYENNE,VLOOKUP("Soja",AlimentsRationBovinsMâles,5,FALSE),0)+(IF(QualitéAlimentsGénisses_12_18_mois=MOYENNE,VLOOKUP("Soja",AlimentsRationBovinsFemelles,5,FALSE),0)+(IF(QualitéAlimentsTaurillons_18_24_mois=MOYENNE,VLOOKUP("Soja",AlimentsRationBovinsMâles,4,FALSE),0)+(IF(QualitéAlimentsGénisses_18_24_mois=MOYENNE,VLOOKUP("Soja",AlimentsRationBovinsFemelles,4,FALSE),0)+(IF(QualitéAlimentsTaurillons_24_36_mois=MOYENNE,VLOOKUP("Soja",AlimentsRationBovinsMâles,3,FALSE),0)+(IF(QualitéAlimentsGénisses_24_36_mois=MOYENNE,VLOOKUP("Soja",AlimentsRationBovinsFemelles,3,FALSE),0)+(IF(QualitéAlimentsTaureaux=MOYENNE,VLOOKUP("Soja",AlimentsRationBovinsMâles,2,FALSE),0)+(IF(QualitéAlimentsVaches=MOYENNE,VLOOKUP("Soja",AlimentsRationBovinsFemelles,2,FALSE),0))))))))))))))))</f>
        <v>0</v>
      </c>
      <c r="BE369" s="351">
        <f t="array" ref="BE369">SUM((IF(QualitéAlimentsVeauxMâles_0_3_mois=MAUVAISE,VLOOKUP("Soja",AlimentsRationBovinsMâles,8,FALSE),0)+(IF(QualitéAlimentsVeauxFemelles_0_3_mois=MAUVAISE,VLOOKUP("Soja",AlimentsRationBovinsFemelles,8,FALSE),0)+(IF(QualitéAlimentsVeauxMâles_3_6_mois=MAUVAISE,VLOOKUP("Soja",AlimentsRationBovinsMâles,7,FALSE),0)+(IF(QualitéAlimentsVeauxFemelles_3_6_mois=MAUVAISE,VLOOKUP("Soja",AlimentsRationBovinsFemelles,7,FALSE),0)+(IF(QualitéAlimentsVeauxMâles_6_12_mois=MAUVAISE,VLOOKUP("Soja",AlimentsRationBovinsMâles,6,FALSE),0)+(IF(QualitéAlimentsVeauxFemelles_6_12_mois=MAUVAISE,VLOOKUP("Soja",AlimentsRationBovinsFemelles,6,FALSE),0)+(IF(QualitéAlimentsTaurillons_12_18_mois=MAUVAISE,VLOOKUP("Soja",AlimentsRationBovinsMâles,5,FALSE),0)+(IF(QualitéAlimentsGénisses_12_18_mois=MAUVAISE,VLOOKUP("Soja",AlimentsRationBovinsFemelles,5,FALSE),0)+(IF(QualitéAlimentsTaurillons_18_24_mois=MAUVAISE,VLOOKUP("Soja",AlimentsRationBovinsMâles,4,FALSE),0)+(IF(QualitéAlimentsGénisses_18_24_mois=MAUVAISE,VLOOKUP("Soja",AlimentsRationBovinsFemelles,4,FALSE),0)+(IF(QualitéAlimentsTaurillons_24_36_mois=MAUVAISE,VLOOKUP("Soja",AlimentsRationBovinsMâles,3,FALSE),0)+(IF(QualitéAlimentsGénisses_24_36_mois=MAUVAISE,VLOOKUP("Soja",AlimentsRationBovinsFemelles,3,FALSE),0)+(IF(QualitéAlimentsTaureaux=MAUVAISE,VLOOKUP("Soja",AlimentsRationBovinsMâles,2,FALSE),0)+(IF(QualitéAlimentsVaches=MAUVAISE,VLOOKUP("Soja",AlimentsRationBovinsFemelles,2,FALSE),0))))))))))))))))</f>
        <v>0</v>
      </c>
      <c r="CF369" s="277"/>
      <c r="CG369" s="276"/>
      <c r="CH369" s="276"/>
      <c r="DS369" s="276"/>
      <c r="DT369" s="276"/>
      <c r="DU369" s="276"/>
      <c r="DZ369" s="281"/>
      <c r="EA369" s="281"/>
      <c r="ED369" s="276"/>
      <c r="EE369" s="276"/>
      <c r="EL369" s="276"/>
      <c r="ES369" s="276"/>
      <c r="FA369" s="276"/>
      <c r="FB369" s="276"/>
      <c r="FJ369" s="276"/>
      <c r="FK369" s="276"/>
      <c r="FL369" s="276"/>
      <c r="FT369" s="276"/>
      <c r="FU369" s="276"/>
      <c r="FV369" s="276"/>
      <c r="FW369" s="281"/>
      <c r="GA369" s="276"/>
      <c r="GC369" s="276" t="s">
        <v>955</v>
      </c>
      <c r="GD369" s="276" t="s">
        <v>955</v>
      </c>
      <c r="GE369" s="276" t="s">
        <v>955</v>
      </c>
      <c r="GF369" s="276" t="s">
        <v>955</v>
      </c>
      <c r="GG369" s="276" t="s">
        <v>955</v>
      </c>
      <c r="GH369" s="276" t="s">
        <v>955</v>
      </c>
      <c r="GI369" s="276" t="s">
        <v>955</v>
      </c>
      <c r="GJ369" s="276" t="s">
        <v>955</v>
      </c>
      <c r="GK369" s="276" t="s">
        <v>955</v>
      </c>
      <c r="GL369" s="276" t="s">
        <v>955</v>
      </c>
      <c r="GM369" s="276" t="s">
        <v>955</v>
      </c>
      <c r="GN369" s="276" t="s">
        <v>955</v>
      </c>
      <c r="GO369" s="276" t="s">
        <v>955</v>
      </c>
      <c r="GP369" s="276" t="s">
        <v>955</v>
      </c>
      <c r="GQ369" s="276" t="s">
        <v>955</v>
      </c>
      <c r="GR369" s="276" t="s">
        <v>955</v>
      </c>
    </row>
    <row r="370" spans="1:200" ht="12.75" customHeight="1" x14ac:dyDescent="0.2">
      <c r="A370" s="276"/>
      <c r="B370" s="276"/>
      <c r="BB370" s="350" t="str">
        <f t="shared" si="74"/>
        <v>Sorgho ensilé</v>
      </c>
      <c r="BC370" s="351">
        <f t="array" ref="BC370">SUM((IF(QualitéAlimentsVeauxMâles_0_3_mois=BONNE,VLOOKUP("Sorgho ensilé",AlimentsRationBovinsMâles,8,FALSE),0)+(IF(QualitéAlimentsVeauxFemelles_0_3_mois=BONNE,VLOOKUP("Sorgho ensilé",AlimentsRationBovinsFemelles,8,FALSE),0)+(IF(QualitéAlimentsVeauxMâles_3_6_mois=BONNE,VLOOKUP("Sorgho ensilé",AlimentsRationBovinsMâles,7,FALSE),0)+(IF(QualitéAlimentsVeauxFemelles_3_6_mois=BONNE,VLOOKUP("Sorgho ensilé",AlimentsRationBovinsFemelles,7,FALSE),0)+(IF(QualitéAlimentsVeauxMâles_6_12_mois=BONNE,VLOOKUP("Sorgho ensilé",AlimentsRationBovinsMâles,6,FALSE),0)+(IF(QualitéAlimentsVeauxFemelles_6_12_mois=BONNE,VLOOKUP("Sorgho ensilé",AlimentsRationBovinsFemelles,6,FALSE),0)+(IF(QualitéAlimentsTaurillons_12_18_mois=BONNE,VLOOKUP("Sorgho ensilé",AlimentsRationBovinsMâles,5,FALSE),0)+(IF(QualitéAlimentsGénisses_12_18_mois=BONNE,VLOOKUP("Sorgho ensilé",AlimentsRationBovinsFemelles,5,FALSE),0)+(IF(QualitéAlimentsTaurillons_18_24_mois=BONNE,VLOOKUP("Sorgho ensilé",AlimentsRationBovinsMâles,4,FALSE),0)+(IF(QualitéAlimentsGénisses_18_24_mois=BONNE,VLOOKUP("Sorgho ensilé",AlimentsRationBovinsFemelles,4,FALSE),0)+(IF(QualitéAlimentsTaurillons_24_36_mois=BONNE,VLOOKUP("Sorgho ensilé",AlimentsRationBovinsMâles,3,FALSE),0)+(IF(QualitéAlimentsGénisses_24_36_mois=BONNE,VLOOKUP("Sorgho ensilé",AlimentsRationBovinsFemelles,3,FALSE),0)+(IF(QualitéAlimentsTaureaux=BONNE,VLOOKUP("Sorgho ensilé",AlimentsRationBovinsMâles,2,FALSE),0)+(IF(QualitéAlimentsVaches=BONNE,VLOOKUP("Sorgho ensilé",AlimentsRationBovinsFemelles,2,FALSE),0))))))))))))))))</f>
        <v>0</v>
      </c>
      <c r="BD370" s="351">
        <f t="array" ref="BD370">SUM((IF(QualitéAlimentsVeauxMâles_0_3_mois=MOYENNE,VLOOKUP("Sorgho ensilé",AlimentsRationBovinsMâles,8,FALSE),0)+(IF(QualitéAlimentsVeauxFemelles_0_3_mois=MOYENNE,VLOOKUP("Sorgho ensilé",AlimentsRationBovinsFemelles,8,FALSE),0)+(IF(QualitéAlimentsVeauxMâles_3_6_mois=MOYENNE,VLOOKUP("Sorgho ensilé",AlimentsRationBovinsMâles,7,FALSE),0)+(IF(QualitéAlimentsVeauxFemelles_3_6_mois=MOYENNE,VLOOKUP("Sorgho ensilé",AlimentsRationBovinsFemelles,7,FALSE),0)+(IF(QualitéAlimentsVeauxMâles_6_12_mois=MOYENNE,VLOOKUP("Sorgho ensilé",AlimentsRationBovinsMâles,6,FALSE),0)+(IF(QualitéAlimentsVeauxFemelles_6_12_mois=MOYENNE,VLOOKUP("Sorgho ensilé",AlimentsRationBovinsFemelles,6,FALSE),0)+(IF(QualitéAlimentsTaurillons_12_18_mois=MOYENNE,VLOOKUP("Sorgho ensilé",AlimentsRationBovinsMâles,5,FALSE),0)+(IF(QualitéAlimentsGénisses_12_18_mois=MOYENNE,VLOOKUP("Sorgho ensilé",AlimentsRationBovinsFemelles,5,FALSE),0)+(IF(QualitéAlimentsTaurillons_18_24_mois=MOYENNE,VLOOKUP("Sorgho ensilé",AlimentsRationBovinsMâles,4,FALSE),0)+(IF(QualitéAlimentsGénisses_18_24_mois=MOYENNE,VLOOKUP("Sorgho ensilé",AlimentsRationBovinsFemelles,4,FALSE),0)+(IF(QualitéAlimentsTaurillons_24_36_mois=MOYENNE,VLOOKUP("Sorgho ensilé",AlimentsRationBovinsMâles,3,FALSE),0)+(IF(QualitéAlimentsGénisses_24_36_mois=MOYENNE,VLOOKUP("Sorgho ensilé",AlimentsRationBovinsFemelles,3,FALSE),0)+(IF(QualitéAlimentsTaureaux=MOYENNE,VLOOKUP("Sorgho ensilé",AlimentsRationBovinsMâles,2,FALSE),0)+(IF(QualitéAlimentsVaches=MOYENNE,VLOOKUP("Sorgho ensilé",AlimentsRationBovinsFemelles,2,FALSE),0))))))))))))))))</f>
        <v>0</v>
      </c>
      <c r="BE370" s="351">
        <f t="array" ref="BE370">SUM((IF(QualitéAlimentsVeauxMâles_0_3_mois=MAUVAISE,VLOOKUP("Sorgho ensilé",AlimentsRationBovinsMâles,8,FALSE),0)+(IF(QualitéAlimentsVeauxFemelles_0_3_mois=MAUVAISE,VLOOKUP("Sorgho ensilé",AlimentsRationBovinsFemelles,8,FALSE),0)+(IF(QualitéAlimentsVeauxMâles_3_6_mois=MAUVAISE,VLOOKUP("Sorgho ensilé",AlimentsRationBovinsMâles,7,FALSE),0)+(IF(QualitéAlimentsVeauxFemelles_3_6_mois=MAUVAISE,VLOOKUP("Sorgho ensilé",AlimentsRationBovinsFemelles,7,FALSE),0)+(IF(QualitéAlimentsVeauxMâles_6_12_mois=MAUVAISE,VLOOKUP("Sorgho ensilé",AlimentsRationBovinsMâles,6,FALSE),0)+(IF(QualitéAlimentsVeauxFemelles_6_12_mois=MAUVAISE,VLOOKUP("Sorgho ensilé",AlimentsRationBovinsFemelles,6,FALSE),0)+(IF(QualitéAlimentsTaurillons_12_18_mois=MAUVAISE,VLOOKUP("Sorgho ensilé",AlimentsRationBovinsMâles,5,FALSE),0)+(IF(QualitéAlimentsGénisses_12_18_mois=MAUVAISE,VLOOKUP("Sorgho ensilé",AlimentsRationBovinsFemelles,5,FALSE),0)+(IF(QualitéAlimentsTaurillons_18_24_mois=MAUVAISE,VLOOKUP("Sorgho ensilé",AlimentsRationBovinsMâles,4,FALSE),0)+(IF(QualitéAlimentsGénisses_18_24_mois=MAUVAISE,VLOOKUP("Sorgho ensilé",AlimentsRationBovinsFemelles,4,FALSE),0)+(IF(QualitéAlimentsTaurillons_24_36_mois=MAUVAISE,VLOOKUP("Sorgho ensilé",AlimentsRationBovinsMâles,3,FALSE),0)+(IF(QualitéAlimentsGénisses_24_36_mois=MAUVAISE,VLOOKUP("Sorgho ensilé",AlimentsRationBovinsFemelles,3,FALSE),0)+(IF(QualitéAlimentsTaureaux=MAUVAISE,VLOOKUP("Sorgho ensilé",AlimentsRationBovinsMâles,2,FALSE),0)+(IF(QualitéAlimentsVaches=MAUVAISE,VLOOKUP("Sorgho ensilé",AlimentsRationBovinsFemelles,2,FALSE),0))))))))))))))))</f>
        <v>0</v>
      </c>
      <c r="CF370" s="277"/>
      <c r="CG370" s="276"/>
      <c r="CH370" s="276"/>
      <c r="DS370" s="276"/>
      <c r="DT370" s="276"/>
      <c r="DU370" s="276"/>
      <c r="DZ370" s="281"/>
      <c r="EA370" s="281"/>
      <c r="ED370" s="276"/>
      <c r="EE370" s="276"/>
      <c r="EL370" s="276"/>
      <c r="ES370" s="276"/>
      <c r="FA370" s="276"/>
      <c r="FB370" s="276"/>
      <c r="FJ370" s="276"/>
      <c r="FK370" s="276"/>
      <c r="FL370" s="276"/>
      <c r="FT370" s="276"/>
      <c r="FU370" s="276"/>
      <c r="FV370" s="276"/>
      <c r="FW370" s="281"/>
      <c r="GA370" s="276"/>
      <c r="GC370" s="276" t="s">
        <v>955</v>
      </c>
      <c r="GD370" s="276" t="s">
        <v>955</v>
      </c>
      <c r="GE370" s="276" t="s">
        <v>955</v>
      </c>
      <c r="GF370" s="276" t="s">
        <v>955</v>
      </c>
      <c r="GG370" s="276" t="s">
        <v>955</v>
      </c>
      <c r="GH370" s="276" t="s">
        <v>955</v>
      </c>
      <c r="GI370" s="276" t="s">
        <v>955</v>
      </c>
      <c r="GJ370" s="276" t="s">
        <v>955</v>
      </c>
      <c r="GK370" s="276" t="s">
        <v>955</v>
      </c>
      <c r="GL370" s="276" t="s">
        <v>955</v>
      </c>
      <c r="GM370" s="276" t="s">
        <v>955</v>
      </c>
      <c r="GN370" s="276" t="s">
        <v>955</v>
      </c>
      <c r="GO370" s="276" t="s">
        <v>955</v>
      </c>
      <c r="GP370" s="276" t="s">
        <v>955</v>
      </c>
      <c r="GQ370" s="276" t="s">
        <v>955</v>
      </c>
      <c r="GR370" s="276" t="s">
        <v>955</v>
      </c>
    </row>
    <row r="371" spans="1:200" ht="12.75" customHeight="1" x14ac:dyDescent="0.2">
      <c r="A371" s="276"/>
      <c r="B371" s="276"/>
      <c r="BB371" s="350" t="str">
        <f t="shared" si="74"/>
        <v>Tournesol</v>
      </c>
      <c r="BC371" s="351">
        <f t="array" ref="BC371">SUM((IF(QualitéAlimentsVeauxMâles_0_3_mois=BONNE,VLOOKUP("Tournesol",AlimentsRationBovinsMâles,8,FALSE),0)+(IF(QualitéAlimentsVeauxFemelles_0_3_mois=BONNE,VLOOKUP("Tournesol",AlimentsRationBovinsFemelles,8,FALSE),0)+(IF(QualitéAlimentsVeauxMâles_3_6_mois=BONNE,VLOOKUP("Tournesol",AlimentsRationBovinsMâles,7,FALSE),0)+(IF(QualitéAlimentsVeauxFemelles_3_6_mois=BONNE,VLOOKUP("Tournesol",AlimentsRationBovinsFemelles,7,FALSE),0)+(IF(QualitéAlimentsVeauxMâles_6_12_mois=BONNE,VLOOKUP("Tournesol",AlimentsRationBovinsMâles,6,FALSE),0)+(IF(QualitéAlimentsVeauxFemelles_6_12_mois=BONNE,VLOOKUP("Tournesol",AlimentsRationBovinsFemelles,6,FALSE),0)+(IF(QualitéAlimentsTaurillons_12_18_mois=BONNE,VLOOKUP("Tournesol",AlimentsRationBovinsMâles,5,FALSE),0)+(IF(QualitéAlimentsGénisses_12_18_mois=BONNE,VLOOKUP("Tournesol",AlimentsRationBovinsFemelles,5,FALSE),0)+(IF(QualitéAlimentsTaurillons_18_24_mois=BONNE,VLOOKUP("Tournesol",AlimentsRationBovinsMâles,4,FALSE),0)+(IF(QualitéAlimentsGénisses_18_24_mois=BONNE,VLOOKUP("Tournesol",AlimentsRationBovinsFemelles,4,FALSE),0)+(IF(QualitéAlimentsTaurillons_24_36_mois=BONNE,VLOOKUP("Tournesol",AlimentsRationBovinsMâles,3,FALSE),0)+(IF(QualitéAlimentsGénisses_24_36_mois=BONNE,VLOOKUP("Tournesol",AlimentsRationBovinsFemelles,3,FALSE),0)+(IF(QualitéAlimentsTaureaux=BONNE,VLOOKUP("Tournesol",AlimentsRationBovinsMâles,2,FALSE),0)+(IF(QualitéAlimentsVaches=BONNE,VLOOKUP("Tournesol",AlimentsRationBovinsFemelles,2,FALSE),0))))))))))))))))</f>
        <v>0</v>
      </c>
      <c r="BD371" s="351">
        <f t="array" ref="BD371">SUM((IF(QualitéAlimentsVeauxMâles_0_3_mois=MOYENNE,VLOOKUP("Tournesol",AlimentsRationBovinsMâles,8,FALSE),0)+(IF(QualitéAlimentsVeauxFemelles_0_3_mois=MOYENNE,VLOOKUP("Tournesol",AlimentsRationBovinsFemelles,8,FALSE),0)+(IF(QualitéAlimentsVeauxMâles_3_6_mois=MOYENNE,VLOOKUP("Tournesol",AlimentsRationBovinsMâles,7,FALSE),0)+(IF(QualitéAlimentsVeauxFemelles_3_6_mois=MOYENNE,VLOOKUP("Tournesol",AlimentsRationBovinsFemelles,7,FALSE),0)+(IF(QualitéAlimentsVeauxMâles_6_12_mois=MOYENNE,VLOOKUP("Tournesol",AlimentsRationBovinsMâles,6,FALSE),0)+(IF(QualitéAlimentsVeauxFemelles_6_12_mois=MOYENNE,VLOOKUP("Tournesol",AlimentsRationBovinsFemelles,6,FALSE),0)+(IF(QualitéAlimentsTaurillons_12_18_mois=MOYENNE,VLOOKUP("Tournesol",AlimentsRationBovinsMâles,5,FALSE),0)+(IF(QualitéAlimentsGénisses_12_18_mois=MOYENNE,VLOOKUP("Tournesol",AlimentsRationBovinsFemelles,5,FALSE),0)+(IF(QualitéAlimentsTaurillons_18_24_mois=MOYENNE,VLOOKUP("Tournesol",AlimentsRationBovinsMâles,4,FALSE),0)+(IF(QualitéAlimentsGénisses_18_24_mois=MOYENNE,VLOOKUP("Tournesol",AlimentsRationBovinsFemelles,4,FALSE),0)+(IF(QualitéAlimentsTaurillons_24_36_mois=MOYENNE,VLOOKUP("Tournesol",AlimentsRationBovinsMâles,3,FALSE),0)+(IF(QualitéAlimentsGénisses_24_36_mois=MOYENNE,VLOOKUP("Tournesol",AlimentsRationBovinsFemelles,3,FALSE),0)+(IF(QualitéAlimentsTaureaux=MOYENNE,VLOOKUP("Tournesol",AlimentsRationBovinsMâles,2,FALSE),0)+(IF(QualitéAlimentsVaches=MOYENNE,VLOOKUP("Tournesol",AlimentsRationBovinsFemelles,2,FALSE),0))))))))))))))))</f>
        <v>0</v>
      </c>
      <c r="BE371" s="351">
        <f t="array" ref="BE371">SUM((IF(QualitéAlimentsVeauxMâles_0_3_mois=MAUVAISE,VLOOKUP("Tournesol",AlimentsRationBovinsMâles,8,FALSE),0)+(IF(QualitéAlimentsVeauxFemelles_0_3_mois=MAUVAISE,VLOOKUP("Tournesol",AlimentsRationBovinsFemelles,8,FALSE),0)+(IF(QualitéAlimentsVeauxMâles_3_6_mois=MAUVAISE,VLOOKUP("Tournesol",AlimentsRationBovinsMâles,7,FALSE),0)+(IF(QualitéAlimentsVeauxFemelles_3_6_mois=MAUVAISE,VLOOKUP("Tournesol",AlimentsRationBovinsFemelles,7,FALSE),0)+(IF(QualitéAlimentsVeauxMâles_6_12_mois=MAUVAISE,VLOOKUP("Tournesol",AlimentsRationBovinsMâles,6,FALSE),0)+(IF(QualitéAlimentsVeauxFemelles_6_12_mois=MAUVAISE,VLOOKUP("Tournesol",AlimentsRationBovinsFemelles,6,FALSE),0)+(IF(QualitéAlimentsTaurillons_12_18_mois=MAUVAISE,VLOOKUP("Tournesol",AlimentsRationBovinsMâles,5,FALSE),0)+(IF(QualitéAlimentsGénisses_12_18_mois=MAUVAISE,VLOOKUP("Tournesol",AlimentsRationBovinsFemelles,5,FALSE),0)+(IF(QualitéAlimentsTaurillons_18_24_mois=MAUVAISE,VLOOKUP("Tournesol",AlimentsRationBovinsMâles,4,FALSE),0)+(IF(QualitéAlimentsGénisses_18_24_mois=MAUVAISE,VLOOKUP("Tournesol",AlimentsRationBovinsFemelles,4,FALSE),0)+(IF(QualitéAlimentsTaurillons_24_36_mois=MAUVAISE,VLOOKUP("Tournesol",AlimentsRationBovinsMâles,3,FALSE),0)+(IF(QualitéAlimentsGénisses_24_36_mois=MAUVAISE,VLOOKUP("Tournesol",AlimentsRationBovinsFemelles,3,FALSE),0)+(IF(QualitéAlimentsTaureaux=MAUVAISE,VLOOKUP("Tournesol",AlimentsRationBovinsMâles,2,FALSE),0)+(IF(QualitéAlimentsVaches=MAUVAISE,VLOOKUP("Tournesol",AlimentsRationBovinsFemelles,2,FALSE),0))))))))))))))))</f>
        <v>0</v>
      </c>
      <c r="CF371" s="277"/>
      <c r="CG371" s="276"/>
      <c r="CH371" s="276"/>
      <c r="DS371" s="276"/>
      <c r="DT371" s="276"/>
      <c r="DU371" s="276"/>
      <c r="DZ371" s="281"/>
      <c r="EA371" s="281"/>
      <c r="ED371" s="276"/>
      <c r="EE371" s="276"/>
      <c r="EL371" s="276"/>
      <c r="ES371" s="276"/>
      <c r="FA371" s="276"/>
      <c r="FB371" s="276"/>
      <c r="FJ371" s="276"/>
      <c r="FK371" s="276"/>
      <c r="FL371" s="276"/>
      <c r="FT371" s="276"/>
      <c r="FU371" s="276"/>
      <c r="FV371" s="276"/>
      <c r="FW371" s="281"/>
      <c r="GA371" s="276"/>
      <c r="GC371" s="276" t="s">
        <v>955</v>
      </c>
      <c r="GD371" s="276" t="s">
        <v>955</v>
      </c>
      <c r="GE371" s="276" t="s">
        <v>955</v>
      </c>
      <c r="GF371" s="276" t="s">
        <v>955</v>
      </c>
      <c r="GG371" s="276" t="s">
        <v>955</v>
      </c>
      <c r="GH371" s="276" t="s">
        <v>955</v>
      </c>
      <c r="GI371" s="276" t="s">
        <v>955</v>
      </c>
      <c r="GJ371" s="276" t="s">
        <v>955</v>
      </c>
      <c r="GK371" s="276" t="s">
        <v>955</v>
      </c>
      <c r="GL371" s="276" t="s">
        <v>955</v>
      </c>
      <c r="GM371" s="276" t="s">
        <v>955</v>
      </c>
      <c r="GN371" s="276" t="s">
        <v>955</v>
      </c>
      <c r="GO371" s="276" t="s">
        <v>955</v>
      </c>
      <c r="GP371" s="276" t="s">
        <v>955</v>
      </c>
      <c r="GQ371" s="276" t="s">
        <v>955</v>
      </c>
      <c r="GR371" s="276" t="s">
        <v>955</v>
      </c>
    </row>
    <row r="372" spans="1:200" ht="12.75" customHeight="1" x14ac:dyDescent="0.2">
      <c r="A372" s="276"/>
      <c r="B372" s="276"/>
      <c r="BB372" s="350" t="str">
        <f t="shared" si="74"/>
        <v>Tourteau de colza</v>
      </c>
      <c r="BC372" s="351">
        <f t="array" ref="BC372">SUM((IF(QualitéAlimentsVeauxMâles_0_3_mois=BONNE,VLOOKUP("Tourteau de colza",AlimentsRationBovinsMâles,8,FALSE),0)+(IF(QualitéAlimentsVeauxFemelles_0_3_mois=BONNE,VLOOKUP("Tourteau de colza",AlimentsRationBovinsFemelles,8,FALSE),0)+(IF(QualitéAlimentsVeauxMâles_3_6_mois=BONNE,VLOOKUP("Tourteau de colza",AlimentsRationBovinsMâles,7,FALSE),0)+(IF(QualitéAlimentsVeauxFemelles_3_6_mois=BONNE,VLOOKUP("Tourteau de colza",AlimentsRationBovinsFemelles,7,FALSE),0)+(IF(QualitéAlimentsVeauxMâles_6_12_mois=BONNE,VLOOKUP("Tourteau de colza",AlimentsRationBovinsMâles,6,FALSE),0)+(IF(QualitéAlimentsVeauxFemelles_6_12_mois=BONNE,VLOOKUP("Tourteau de colza",AlimentsRationBovinsFemelles,6,FALSE),0)+(IF(QualitéAlimentsTaurillons_12_18_mois=BONNE,VLOOKUP("Tourteau de colza",AlimentsRationBovinsMâles,5,FALSE),0)+(IF(QualitéAlimentsGénisses_12_18_mois=BONNE,VLOOKUP("Tourteau de colza",AlimentsRationBovinsFemelles,5,FALSE),0)+(IF(QualitéAlimentsTaurillons_18_24_mois=BONNE,VLOOKUP("Tourteau de colza",AlimentsRationBovinsMâles,4,FALSE),0)+(IF(QualitéAlimentsGénisses_18_24_mois=BONNE,VLOOKUP("Tourteau de colza",AlimentsRationBovinsFemelles,4,FALSE),0)+(IF(QualitéAlimentsTaurillons_24_36_mois=BONNE,VLOOKUP("Tourteau de colza",AlimentsRationBovinsMâles,3,FALSE),0)+(IF(QualitéAlimentsGénisses_24_36_mois=BONNE,VLOOKUP("Tourteau de colza",AlimentsRationBovinsFemelles,3,FALSE),0)+(IF(QualitéAlimentsTaureaux=BONNE,VLOOKUP("Tourteau de colza",AlimentsRationBovinsMâles,2,FALSE),0)+(IF(QualitéAlimentsVaches=BONNE,VLOOKUP("Tourteau de colza",AlimentsRationBovinsFemelles,2,FALSE),0))))))))))))))))</f>
        <v>0</v>
      </c>
      <c r="BD372" s="351">
        <f t="array" ref="BD372">SUM((IF(QualitéAlimentsVeauxMâles_0_3_mois=MOYENNE,VLOOKUP("Tourteau de colza",AlimentsRationBovinsMâles,8,FALSE),0)+(IF(QualitéAlimentsVeauxFemelles_0_3_mois=MOYENNE,VLOOKUP("Tourteau de colza",AlimentsRationBovinsFemelles,8,FALSE),0)+(IF(QualitéAlimentsVeauxMâles_3_6_mois=MOYENNE,VLOOKUP("Tourteau de colza",AlimentsRationBovinsMâles,7,FALSE),0)+(IF(QualitéAlimentsVeauxFemelles_3_6_mois=MOYENNE,VLOOKUP("Tourteau de colza",AlimentsRationBovinsFemelles,7,FALSE),0)+(IF(QualitéAlimentsVeauxMâles_6_12_mois=MOYENNE,VLOOKUP("Tourteau de colza",AlimentsRationBovinsMâles,6,FALSE),0)+(IF(QualitéAlimentsVeauxFemelles_6_12_mois=MOYENNE,VLOOKUP("Tourteau de colza",AlimentsRationBovinsFemelles,6,FALSE),0)+(IF(QualitéAlimentsTaurillons_12_18_mois=MOYENNE,VLOOKUP("Tourteau de colza",AlimentsRationBovinsMâles,5,FALSE),0)+(IF(QualitéAlimentsGénisses_12_18_mois=MOYENNE,VLOOKUP("Tourteau de colza",AlimentsRationBovinsFemelles,5,FALSE),0)+(IF(QualitéAlimentsTaurillons_18_24_mois=MOYENNE,VLOOKUP("Tourteau de colza",AlimentsRationBovinsMâles,4,FALSE),0)+(IF(QualitéAlimentsGénisses_18_24_mois=MOYENNE,VLOOKUP("Tourteau de colza",AlimentsRationBovinsFemelles,4,FALSE),0)+(IF(QualitéAlimentsTaurillons_24_36_mois=MOYENNE,VLOOKUP("Tourteau de colza",AlimentsRationBovinsMâles,3,FALSE),0)+(IF(QualitéAlimentsGénisses_24_36_mois=MOYENNE,VLOOKUP("Tourteau de colza",AlimentsRationBovinsFemelles,3,FALSE),0)+(IF(QualitéAlimentsTaureaux=MOYENNE,VLOOKUP("Tourteau de colza",AlimentsRationBovinsMâles,2,FALSE),0)+(IF(QualitéAlimentsVaches=MOYENNE,VLOOKUP("Tourteau de colza",AlimentsRationBovinsFemelles,2,FALSE),0))))))))))))))))</f>
        <v>0</v>
      </c>
      <c r="BE372" s="351">
        <f t="array" ref="BE372">SUM((IF(QualitéAlimentsVeauxMâles_0_3_mois=MAUVAISE,VLOOKUP("Tourteau de colza",AlimentsRationBovinsMâles,8,FALSE),0)+(IF(QualitéAlimentsVeauxFemelles_0_3_mois=MAUVAISE,VLOOKUP("Tourteau de colza",AlimentsRationBovinsFemelles,8,FALSE),0)+(IF(QualitéAlimentsVeauxMâles_3_6_mois=MAUVAISE,VLOOKUP("Tourteau de colza",AlimentsRationBovinsMâles,7,FALSE),0)+(IF(QualitéAlimentsVeauxFemelles_3_6_mois=MAUVAISE,VLOOKUP("Tourteau de colza",AlimentsRationBovinsFemelles,7,FALSE),0)+(IF(QualitéAlimentsVeauxMâles_6_12_mois=MAUVAISE,VLOOKUP("Tourteau de colza",AlimentsRationBovinsMâles,6,FALSE),0)+(IF(QualitéAlimentsVeauxFemelles_6_12_mois=MAUVAISE,VLOOKUP("Tourteau de colza",AlimentsRationBovinsFemelles,6,FALSE),0)+(IF(QualitéAlimentsTaurillons_12_18_mois=MAUVAISE,VLOOKUP("Tourteau de colza",AlimentsRationBovinsMâles,5,FALSE),0)+(IF(QualitéAlimentsGénisses_12_18_mois=MAUVAISE,VLOOKUP("Tourteau de colza",AlimentsRationBovinsFemelles,5,FALSE),0)+(IF(QualitéAlimentsTaurillons_18_24_mois=MAUVAISE,VLOOKUP("Tourteau de colza",AlimentsRationBovinsMâles,4,FALSE),0)+(IF(QualitéAlimentsGénisses_18_24_mois=MAUVAISE,VLOOKUP("Tourteau de colza",AlimentsRationBovinsFemelles,4,FALSE),0)+(IF(QualitéAlimentsTaurillons_24_36_mois=MAUVAISE,VLOOKUP("Tourteau de colza",AlimentsRationBovinsMâles,3,FALSE),0)+(IF(QualitéAlimentsGénisses_24_36_mois=MAUVAISE,VLOOKUP("Tourteau de colza",AlimentsRationBovinsFemelles,3,FALSE),0)+(IF(QualitéAlimentsTaureaux=MAUVAISE,VLOOKUP("Tourteau de colza",AlimentsRationBovinsMâles,2,FALSE),0)+(IF(QualitéAlimentsVaches=MAUVAISE,VLOOKUP("Tourteau de colza",AlimentsRationBovinsFemelles,2,FALSE),0))))))))))))))))</f>
        <v>0</v>
      </c>
      <c r="CF372" s="277"/>
      <c r="CG372" s="276"/>
      <c r="CH372" s="276"/>
      <c r="DS372" s="276"/>
      <c r="DT372" s="276"/>
      <c r="DU372" s="276"/>
      <c r="DZ372" s="281"/>
      <c r="EA372" s="281"/>
      <c r="ED372" s="276"/>
      <c r="EE372" s="276"/>
      <c r="EL372" s="276"/>
      <c r="ES372" s="276"/>
      <c r="FA372" s="276"/>
      <c r="FB372" s="276"/>
      <c r="FJ372" s="276"/>
      <c r="FK372" s="276"/>
      <c r="FL372" s="276"/>
      <c r="FT372" s="276"/>
      <c r="FU372" s="276"/>
      <c r="FV372" s="276"/>
      <c r="FW372" s="281"/>
      <c r="GA372" s="276"/>
      <c r="GC372" s="276" t="s">
        <v>955</v>
      </c>
      <c r="GD372" s="276" t="s">
        <v>955</v>
      </c>
      <c r="GE372" s="276" t="s">
        <v>955</v>
      </c>
      <c r="GF372" s="276" t="s">
        <v>955</v>
      </c>
      <c r="GG372" s="276" t="s">
        <v>955</v>
      </c>
      <c r="GH372" s="276" t="s">
        <v>955</v>
      </c>
      <c r="GI372" s="276" t="s">
        <v>955</v>
      </c>
      <c r="GJ372" s="276" t="s">
        <v>955</v>
      </c>
      <c r="GK372" s="276" t="s">
        <v>955</v>
      </c>
      <c r="GL372" s="276" t="s">
        <v>955</v>
      </c>
      <c r="GM372" s="276" t="s">
        <v>955</v>
      </c>
      <c r="GN372" s="276" t="s">
        <v>955</v>
      </c>
      <c r="GO372" s="276" t="s">
        <v>955</v>
      </c>
      <c r="GP372" s="276" t="s">
        <v>955</v>
      </c>
      <c r="GQ372" s="276" t="s">
        <v>955</v>
      </c>
      <c r="GR372" s="276" t="s">
        <v>955</v>
      </c>
    </row>
    <row r="373" spans="1:200" ht="12.75" customHeight="1" x14ac:dyDescent="0.2">
      <c r="A373" s="276"/>
      <c r="B373" s="276"/>
      <c r="BB373" s="350" t="str">
        <f t="shared" si="74"/>
        <v>Tourteau de tournesol</v>
      </c>
      <c r="BC373" s="351">
        <f t="array" ref="BC373">SUM((IF(QualitéAlimentsVeauxMâles_0_3_mois=BONNE,VLOOKUP("Tourteau de tournesol",AlimentsRationBovinsMâles,8,FALSE),0)+(IF(QualitéAlimentsVeauxFemelles_0_3_mois=BONNE,VLOOKUP("Tourteau de tournesol",AlimentsRationBovinsFemelles,8,FALSE),0)+(IF(QualitéAlimentsVeauxMâles_3_6_mois=BONNE,VLOOKUP("Tourteau de tournesol",AlimentsRationBovinsMâles,7,FALSE),0)+(IF(QualitéAlimentsVeauxFemelles_3_6_mois=BONNE,VLOOKUP("Tourteau de tournesol",AlimentsRationBovinsFemelles,7,FALSE),0)+(IF(QualitéAlimentsVeauxMâles_6_12_mois=BONNE,VLOOKUP("Tourteau de tournesol",AlimentsRationBovinsMâles,6,FALSE),0)+(IF(QualitéAlimentsVeauxFemelles_6_12_mois=BONNE,VLOOKUP("Tourteau de tournesol",AlimentsRationBovinsFemelles,6,FALSE),0)+(IF(QualitéAlimentsTaurillons_12_18_mois=BONNE,VLOOKUP("Tourteau de tournesol",AlimentsRationBovinsMâles,5,FALSE),0)+(IF(QualitéAlimentsGénisses_12_18_mois=BONNE,VLOOKUP("Tourteau de tournesol",AlimentsRationBovinsFemelles,5,FALSE),0)+(IF(QualitéAlimentsTaurillons_18_24_mois=BONNE,VLOOKUP("Tourteau de tournesol",AlimentsRationBovinsMâles,4,FALSE),0)+(IF(QualitéAlimentsGénisses_18_24_mois=BONNE,VLOOKUP("Tourteau de tournesol",AlimentsRationBovinsFemelles,4,FALSE),0)+(IF(QualitéAlimentsTaurillons_24_36_mois=BONNE,VLOOKUP("Tourteau de tournesol",AlimentsRationBovinsMâles,3,FALSE),0)+(IF(QualitéAlimentsGénisses_24_36_mois=BONNE,VLOOKUP("Tourteau de tournesol",AlimentsRationBovinsFemelles,3,FALSE),0)+(IF(QualitéAlimentsTaureaux=BONNE,VLOOKUP("Tourteau de tournesol",AlimentsRationBovinsMâles,2,FALSE),0)+(IF(QualitéAlimentsVaches=BONNE,VLOOKUP("Tourteau de tournesol",AlimentsRationBovinsFemelles,2,FALSE),0))))))))))))))))</f>
        <v>0</v>
      </c>
      <c r="BD373" s="351">
        <f t="array" ref="BD373">SUM((IF(QualitéAlimentsVeauxMâles_0_3_mois=MOYENNE,VLOOKUP("Tourteau de tournesol",AlimentsRationBovinsMâles,8,FALSE),0)+(IF(QualitéAlimentsVeauxFemelles_0_3_mois=MOYENNE,VLOOKUP("Tourteau de tournesol",AlimentsRationBovinsFemelles,8,FALSE),0)+(IF(QualitéAlimentsVeauxMâles_3_6_mois=MOYENNE,VLOOKUP("Tourteau de tournesol",AlimentsRationBovinsMâles,7,FALSE),0)+(IF(QualitéAlimentsVeauxFemelles_3_6_mois=MOYENNE,VLOOKUP("Tourteau de tournesol",AlimentsRationBovinsFemelles,7,FALSE),0)+(IF(QualitéAlimentsVeauxMâles_6_12_mois=MOYENNE,VLOOKUP("Tourteau de tournesol",AlimentsRationBovinsMâles,6,FALSE),0)+(IF(QualitéAlimentsVeauxFemelles_6_12_mois=MOYENNE,VLOOKUP("Tourteau de tournesol",AlimentsRationBovinsFemelles,6,FALSE),0)+(IF(QualitéAlimentsTaurillons_12_18_mois=MOYENNE,VLOOKUP("Tourteau de tournesol",AlimentsRationBovinsMâles,5,FALSE),0)+(IF(QualitéAlimentsGénisses_12_18_mois=MOYENNE,VLOOKUP("Tourteau de tournesol",AlimentsRationBovinsFemelles,5,FALSE),0)+(IF(QualitéAlimentsTaurillons_18_24_mois=MOYENNE,VLOOKUP("Tourteau de tournesol",AlimentsRationBovinsMâles,4,FALSE),0)+(IF(QualitéAlimentsGénisses_18_24_mois=MOYENNE,VLOOKUP("Tourteau de tournesol",AlimentsRationBovinsFemelles,4,FALSE),0)+(IF(QualitéAlimentsTaurillons_24_36_mois=MOYENNE,VLOOKUP("Tourteau de tournesol",AlimentsRationBovinsMâles,3,FALSE),0)+(IF(QualitéAlimentsGénisses_24_36_mois=MOYENNE,VLOOKUP("Tourteau de tournesol",AlimentsRationBovinsFemelles,3,FALSE),0)+(IF(QualitéAlimentsTaureaux=MOYENNE,VLOOKUP("Tourteau de tournesol",AlimentsRationBovinsMâles,2,FALSE),0)+(IF(QualitéAlimentsVaches=MOYENNE,VLOOKUP("Tourteau de tournesol",AlimentsRationBovinsFemelles,2,FALSE),0))))))))))))))))</f>
        <v>0</v>
      </c>
      <c r="BE373" s="351">
        <f t="array" ref="BE373">SUM((IF(QualitéAlimentsVeauxMâles_0_3_mois=MAUVAISE,VLOOKUP("Tourteau de tournesol",AlimentsRationBovinsMâles,8,FALSE),0)+(IF(QualitéAlimentsVeauxFemelles_0_3_mois=MAUVAISE,VLOOKUP("Tourteau de tournesol",AlimentsRationBovinsFemelles,8,FALSE),0)+(IF(QualitéAlimentsVeauxMâles_3_6_mois=MAUVAISE,VLOOKUP("Tourteau de tournesol",AlimentsRationBovinsMâles,7,FALSE),0)+(IF(QualitéAlimentsVeauxFemelles_3_6_mois=MAUVAISE,VLOOKUP("Tourteau de tournesol",AlimentsRationBovinsFemelles,7,FALSE),0)+(IF(QualitéAlimentsVeauxMâles_6_12_mois=MAUVAISE,VLOOKUP("Tourteau de tournesol",AlimentsRationBovinsMâles,6,FALSE),0)+(IF(QualitéAlimentsVeauxFemelles_6_12_mois=MAUVAISE,VLOOKUP("Tourteau de tournesol",AlimentsRationBovinsFemelles,6,FALSE),0)+(IF(QualitéAlimentsTaurillons_12_18_mois=MAUVAISE,VLOOKUP("Tourteau de tournesol",AlimentsRationBovinsMâles,5,FALSE),0)+(IF(QualitéAlimentsGénisses_12_18_mois=MAUVAISE,VLOOKUP("Tourteau de tournesol",AlimentsRationBovinsFemelles,5,FALSE),0)+(IF(QualitéAlimentsTaurillons_18_24_mois=MAUVAISE,VLOOKUP("Tourteau de tournesol",AlimentsRationBovinsMâles,4,FALSE),0)+(IF(QualitéAlimentsGénisses_18_24_mois=MAUVAISE,VLOOKUP("Tourteau de tournesol",AlimentsRationBovinsFemelles,4,FALSE),0)+(IF(QualitéAlimentsTaurillons_24_36_mois=MAUVAISE,VLOOKUP("Tourteau de tournesol",AlimentsRationBovinsMâles,3,FALSE),0)+(IF(QualitéAlimentsGénisses_24_36_mois=MAUVAISE,VLOOKUP("Tourteau de tournesol",AlimentsRationBovinsFemelles,3,FALSE),0)+(IF(QualitéAlimentsTaureaux=MAUVAISE,VLOOKUP("Tourteau de tournesol",AlimentsRationBovinsMâles,2,FALSE),0)+(IF(QualitéAlimentsVaches=MAUVAISE,VLOOKUP("Tourteau de tournesol",AlimentsRationBovinsFemelles,2,FALSE),0))))))))))))))))</f>
        <v>0</v>
      </c>
      <c r="CF373" s="277"/>
      <c r="CG373" s="276"/>
      <c r="CH373" s="276"/>
      <c r="DS373" s="276"/>
      <c r="DT373" s="276"/>
      <c r="DU373" s="276"/>
      <c r="DZ373" s="281"/>
      <c r="EA373" s="281"/>
      <c r="ED373" s="276"/>
      <c r="EE373" s="276"/>
      <c r="EL373" s="276"/>
      <c r="ES373" s="276"/>
      <c r="FA373" s="276"/>
      <c r="FB373" s="276"/>
      <c r="FJ373" s="276"/>
      <c r="FK373" s="276"/>
      <c r="FL373" s="276"/>
      <c r="FT373" s="276"/>
      <c r="FU373" s="276"/>
      <c r="FV373" s="276"/>
      <c r="FW373" s="281"/>
      <c r="GA373" s="276"/>
      <c r="GC373" s="276" t="s">
        <v>955</v>
      </c>
      <c r="GD373" s="276" t="s">
        <v>955</v>
      </c>
      <c r="GE373" s="276" t="s">
        <v>955</v>
      </c>
      <c r="GF373" s="276" t="s">
        <v>955</v>
      </c>
      <c r="GG373" s="276" t="s">
        <v>955</v>
      </c>
      <c r="GH373" s="276" t="s">
        <v>955</v>
      </c>
      <c r="GI373" s="276" t="s">
        <v>955</v>
      </c>
      <c r="GJ373" s="276" t="s">
        <v>955</v>
      </c>
      <c r="GK373" s="276" t="s">
        <v>955</v>
      </c>
      <c r="GL373" s="276" t="s">
        <v>955</v>
      </c>
      <c r="GM373" s="276" t="s">
        <v>955</v>
      </c>
      <c r="GN373" s="276" t="s">
        <v>955</v>
      </c>
      <c r="GO373" s="276" t="s">
        <v>955</v>
      </c>
      <c r="GP373" s="276" t="s">
        <v>955</v>
      </c>
      <c r="GQ373" s="276" t="s">
        <v>955</v>
      </c>
      <c r="GR373" s="276" t="s">
        <v>955</v>
      </c>
    </row>
    <row r="374" spans="1:200" ht="12.75" customHeight="1" x14ac:dyDescent="0.2">
      <c r="A374" s="276"/>
      <c r="B374" s="276"/>
      <c r="BB374" s="350" t="str">
        <f t="shared" si="74"/>
        <v>Triticale</v>
      </c>
      <c r="BC374" s="351">
        <f t="array" ref="BC374">SUM((IF(QualitéAlimentsVeauxMâles_0_3_mois=BONNE,VLOOKUP("Triticale",AlimentsRationBovinsMâles,8,FALSE),0)+(IF(QualitéAlimentsVeauxFemelles_0_3_mois=BONNE,VLOOKUP("Triticale",AlimentsRationBovinsFemelles,8,FALSE),0)+(IF(QualitéAlimentsVeauxMâles_3_6_mois=BONNE,VLOOKUP("Triticale",AlimentsRationBovinsMâles,7,FALSE),0)+(IF(QualitéAlimentsVeauxFemelles_3_6_mois=BONNE,VLOOKUP("Triticale",AlimentsRationBovinsFemelles,7,FALSE),0)+(IF(QualitéAlimentsVeauxMâles_6_12_mois=BONNE,VLOOKUP("Triticale",AlimentsRationBovinsMâles,6,FALSE),0)+(IF(QualitéAlimentsVeauxFemelles_6_12_mois=BONNE,VLOOKUP("Triticale",AlimentsRationBovinsFemelles,6,FALSE),0)+(IF(QualitéAlimentsTaurillons_12_18_mois=BONNE,VLOOKUP("Triticale",AlimentsRationBovinsMâles,5,FALSE),0)+(IF(QualitéAlimentsGénisses_12_18_mois=BONNE,VLOOKUP("Triticale",AlimentsRationBovinsFemelles,5,FALSE),0)+(IF(QualitéAlimentsTaurillons_18_24_mois=BONNE,VLOOKUP("Triticale",AlimentsRationBovinsMâles,4,FALSE),0)+(IF(QualitéAlimentsGénisses_18_24_mois=BONNE,VLOOKUP("Triticale",AlimentsRationBovinsFemelles,4,FALSE),0)+(IF(QualitéAlimentsTaurillons_24_36_mois=BONNE,VLOOKUP("Triticale",AlimentsRationBovinsMâles,3,FALSE),0)+(IF(QualitéAlimentsGénisses_24_36_mois=BONNE,VLOOKUP("Triticale",AlimentsRationBovinsFemelles,3,FALSE),0)+(IF(QualitéAlimentsTaureaux=BONNE,VLOOKUP("Triticale",AlimentsRationBovinsMâles,2,FALSE),0)+(IF(QualitéAlimentsVaches=BONNE,VLOOKUP("Triticale",AlimentsRationBovinsFemelles,2,FALSE),0))))))))))))))))</f>
        <v>0</v>
      </c>
      <c r="BD374" s="351">
        <f t="array" ref="BD374">SUM((IF(QualitéAlimentsVeauxMâles_0_3_mois=MOYENNE,VLOOKUP("Triticale",AlimentsRationBovinsMâles,8,FALSE),0)+(IF(QualitéAlimentsVeauxFemelles_0_3_mois=MOYENNE,VLOOKUP("Triticale",AlimentsRationBovinsFemelles,8,FALSE),0)+(IF(QualitéAlimentsVeauxMâles_3_6_mois=MOYENNE,VLOOKUP("Triticale",AlimentsRationBovinsMâles,7,FALSE),0)+(IF(QualitéAlimentsVeauxFemelles_3_6_mois=MOYENNE,VLOOKUP("Triticale",AlimentsRationBovinsFemelles,7,FALSE),0)+(IF(QualitéAlimentsVeauxMâles_6_12_mois=MOYENNE,VLOOKUP("Triticale",AlimentsRationBovinsMâles,6,FALSE),0)+(IF(QualitéAlimentsVeauxFemelles_6_12_mois=MOYENNE,VLOOKUP("Triticale",AlimentsRationBovinsFemelles,6,FALSE),0)+(IF(QualitéAlimentsTaurillons_12_18_mois=MOYENNE,VLOOKUP("Triticale",AlimentsRationBovinsMâles,5,FALSE),0)+(IF(QualitéAlimentsGénisses_12_18_mois=MOYENNE,VLOOKUP("Triticale",AlimentsRationBovinsFemelles,5,FALSE),0)+(IF(QualitéAlimentsTaurillons_18_24_mois=MOYENNE,VLOOKUP("Triticale",AlimentsRationBovinsMâles,4,FALSE),0)+(IF(QualitéAlimentsGénisses_18_24_mois=MOYENNE,VLOOKUP("Triticale",AlimentsRationBovinsFemelles,4,FALSE),0)+(IF(QualitéAlimentsTaurillons_24_36_mois=MOYENNE,VLOOKUP("Triticale",AlimentsRationBovinsMâles,3,FALSE),0)+(IF(QualitéAlimentsGénisses_24_36_mois=MOYENNE,VLOOKUP("Triticale",AlimentsRationBovinsFemelles,3,FALSE),0)+(IF(QualitéAlimentsTaureaux=MOYENNE,VLOOKUP("Triticale",AlimentsRationBovinsMâles,2,FALSE),0)+(IF(QualitéAlimentsVaches=MOYENNE,VLOOKUP("Triticale",AlimentsRationBovinsFemelles,2,FALSE),0))))))))))))))))</f>
        <v>0</v>
      </c>
      <c r="BE374" s="351">
        <f t="array" ref="BE374">SUM((IF(QualitéAlimentsVeauxMâles_0_3_mois=MAUVAISE,VLOOKUP("Triticale",AlimentsRationBovinsMâles,8,FALSE),0)+(IF(QualitéAlimentsVeauxFemelles_0_3_mois=MAUVAISE,VLOOKUP("Triticale",AlimentsRationBovinsFemelles,8,FALSE),0)+(IF(QualitéAlimentsVeauxMâles_3_6_mois=MAUVAISE,VLOOKUP("Triticale",AlimentsRationBovinsMâles,7,FALSE),0)+(IF(QualitéAlimentsVeauxFemelles_3_6_mois=MAUVAISE,VLOOKUP("Triticale",AlimentsRationBovinsFemelles,7,FALSE),0)+(IF(QualitéAlimentsVeauxMâles_6_12_mois=MAUVAISE,VLOOKUP("Triticale",AlimentsRationBovinsMâles,6,FALSE),0)+(IF(QualitéAlimentsVeauxFemelles_6_12_mois=MAUVAISE,VLOOKUP("Triticale",AlimentsRationBovinsFemelles,6,FALSE),0)+(IF(QualitéAlimentsTaurillons_12_18_mois=MAUVAISE,VLOOKUP("Triticale",AlimentsRationBovinsMâles,5,FALSE),0)+(IF(QualitéAlimentsGénisses_12_18_mois=MAUVAISE,VLOOKUP("Triticale",AlimentsRationBovinsFemelles,5,FALSE),0)+(IF(QualitéAlimentsTaurillons_18_24_mois=MAUVAISE,VLOOKUP("Triticale",AlimentsRationBovinsMâles,4,FALSE),0)+(IF(QualitéAlimentsGénisses_18_24_mois=MAUVAISE,VLOOKUP("Triticale",AlimentsRationBovinsFemelles,4,FALSE),0)+(IF(QualitéAlimentsTaurillons_24_36_mois=MAUVAISE,VLOOKUP("Triticale",AlimentsRationBovinsMâles,3,FALSE),0)+(IF(QualitéAlimentsGénisses_24_36_mois=MAUVAISE,VLOOKUP("Triticale",AlimentsRationBovinsFemelles,3,FALSE),0)+(IF(QualitéAlimentsTaureaux=MAUVAISE,VLOOKUP("Triticale",AlimentsRationBovinsMâles,2,FALSE),0)+(IF(QualitéAlimentsVaches=MAUVAISE,VLOOKUP("Triticale",AlimentsRationBovinsFemelles,2,FALSE),0))))))))))))))))</f>
        <v>0</v>
      </c>
      <c r="CF374" s="277"/>
      <c r="CG374" s="276"/>
      <c r="CH374" s="276"/>
      <c r="DS374" s="276"/>
      <c r="DT374" s="276"/>
      <c r="DU374" s="276"/>
      <c r="DZ374" s="281"/>
      <c r="EA374" s="281"/>
      <c r="ED374" s="276"/>
      <c r="EE374" s="276"/>
      <c r="EL374" s="276"/>
      <c r="ES374" s="276"/>
      <c r="FA374" s="276"/>
      <c r="FB374" s="276"/>
      <c r="FJ374" s="276"/>
      <c r="FK374" s="276"/>
      <c r="FL374" s="276"/>
      <c r="FT374" s="276"/>
      <c r="FU374" s="276"/>
      <c r="FV374" s="276"/>
      <c r="FW374" s="281"/>
      <c r="GA374" s="276"/>
      <c r="GC374" s="276" t="s">
        <v>955</v>
      </c>
      <c r="GD374" s="276" t="s">
        <v>955</v>
      </c>
      <c r="GE374" s="276" t="s">
        <v>955</v>
      </c>
      <c r="GF374" s="276" t="s">
        <v>955</v>
      </c>
      <c r="GG374" s="276" t="s">
        <v>955</v>
      </c>
      <c r="GH374" s="276" t="s">
        <v>955</v>
      </c>
      <c r="GI374" s="276" t="s">
        <v>955</v>
      </c>
      <c r="GJ374" s="276" t="s">
        <v>955</v>
      </c>
      <c r="GK374" s="276" t="s">
        <v>955</v>
      </c>
      <c r="GL374" s="276" t="s">
        <v>955</v>
      </c>
      <c r="GM374" s="276" t="s">
        <v>955</v>
      </c>
      <c r="GN374" s="276" t="s">
        <v>955</v>
      </c>
      <c r="GO374" s="276" t="s">
        <v>955</v>
      </c>
      <c r="GP374" s="276" t="s">
        <v>955</v>
      </c>
      <c r="GQ374" s="276" t="s">
        <v>955</v>
      </c>
      <c r="GR374" s="276" t="s">
        <v>955</v>
      </c>
    </row>
    <row r="375" spans="1:200" ht="12.75" customHeight="1" x14ac:dyDescent="0.2">
      <c r="A375" s="276"/>
      <c r="B375" s="276"/>
      <c r="BB375" s="350">
        <f t="shared" si="74"/>
        <v>0</v>
      </c>
      <c r="BC375" s="351"/>
      <c r="BD375" s="351"/>
      <c r="BE375" s="351"/>
      <c r="CF375" s="277"/>
      <c r="CG375" s="276"/>
      <c r="CH375" s="276"/>
      <c r="DS375" s="276"/>
      <c r="DT375" s="276"/>
      <c r="DU375" s="276"/>
      <c r="DZ375" s="281"/>
      <c r="EA375" s="281"/>
      <c r="ED375" s="276"/>
      <c r="EE375" s="276"/>
      <c r="EL375" s="276"/>
      <c r="ES375" s="276"/>
      <c r="FA375" s="276"/>
      <c r="FB375" s="276"/>
      <c r="FJ375" s="276"/>
      <c r="FK375" s="276"/>
      <c r="FL375" s="276"/>
      <c r="FT375" s="276"/>
      <c r="FU375" s="276"/>
      <c r="FV375" s="276"/>
      <c r="FW375" s="281"/>
      <c r="GA375" s="276"/>
      <c r="GC375" s="276" t="s">
        <v>955</v>
      </c>
      <c r="GD375" s="276" t="s">
        <v>955</v>
      </c>
      <c r="GE375" s="276" t="s">
        <v>955</v>
      </c>
      <c r="GF375" s="276" t="s">
        <v>955</v>
      </c>
      <c r="GG375" s="276" t="s">
        <v>955</v>
      </c>
      <c r="GH375" s="276" t="s">
        <v>955</v>
      </c>
      <c r="GI375" s="276" t="s">
        <v>955</v>
      </c>
      <c r="GJ375" s="276" t="s">
        <v>955</v>
      </c>
      <c r="GK375" s="276" t="s">
        <v>955</v>
      </c>
      <c r="GL375" s="276" t="s">
        <v>955</v>
      </c>
      <c r="GM375" s="276" t="s">
        <v>955</v>
      </c>
      <c r="GN375" s="276" t="s">
        <v>955</v>
      </c>
      <c r="GO375" s="276" t="s">
        <v>955</v>
      </c>
      <c r="GP375" s="276" t="s">
        <v>955</v>
      </c>
      <c r="GQ375" s="276" t="s">
        <v>955</v>
      </c>
      <c r="GR375" s="276" t="s">
        <v>955</v>
      </c>
    </row>
    <row r="376" spans="1:200" ht="12.75" customHeight="1" x14ac:dyDescent="0.2">
      <c r="A376" s="276"/>
      <c r="B376" s="276"/>
      <c r="BB376" s="350">
        <f t="shared" si="74"/>
        <v>0</v>
      </c>
      <c r="BC376" s="351"/>
      <c r="BD376" s="351"/>
      <c r="BE376" s="351"/>
      <c r="CF376" s="277"/>
      <c r="CG376" s="276"/>
      <c r="CH376" s="276"/>
      <c r="DS376" s="276"/>
      <c r="DT376" s="276"/>
      <c r="DU376" s="276"/>
      <c r="DZ376" s="281"/>
      <c r="EA376" s="281"/>
      <c r="ED376" s="276"/>
      <c r="EE376" s="276"/>
      <c r="EL376" s="276"/>
      <c r="ES376" s="276"/>
      <c r="FA376" s="276"/>
      <c r="FB376" s="276"/>
      <c r="FJ376" s="276"/>
      <c r="FK376" s="276"/>
      <c r="FL376" s="276"/>
      <c r="FT376" s="276"/>
      <c r="FU376" s="276"/>
      <c r="FV376" s="276"/>
      <c r="FW376" s="281"/>
      <c r="GA376" s="276"/>
      <c r="GC376" s="276" t="s">
        <v>955</v>
      </c>
      <c r="GD376" s="276" t="s">
        <v>955</v>
      </c>
      <c r="GE376" s="276" t="s">
        <v>955</v>
      </c>
      <c r="GF376" s="276" t="s">
        <v>955</v>
      </c>
      <c r="GG376" s="276" t="s">
        <v>955</v>
      </c>
      <c r="GH376" s="276" t="s">
        <v>955</v>
      </c>
      <c r="GI376" s="276" t="s">
        <v>955</v>
      </c>
      <c r="GJ376" s="276" t="s">
        <v>955</v>
      </c>
      <c r="GK376" s="276" t="s">
        <v>955</v>
      </c>
      <c r="GL376" s="276" t="s">
        <v>955</v>
      </c>
      <c r="GM376" s="276" t="s">
        <v>955</v>
      </c>
      <c r="GN376" s="276" t="s">
        <v>955</v>
      </c>
      <c r="GO376" s="276" t="s">
        <v>955</v>
      </c>
      <c r="GP376" s="276" t="s">
        <v>955</v>
      </c>
      <c r="GQ376" s="276" t="s">
        <v>955</v>
      </c>
      <c r="GR376" s="276" t="s">
        <v>955</v>
      </c>
    </row>
    <row r="377" spans="1:200" ht="12.75" customHeight="1" x14ac:dyDescent="0.2">
      <c r="A377" s="276"/>
      <c r="B377" s="276"/>
      <c r="BB377" s="350">
        <f t="shared" si="74"/>
        <v>0</v>
      </c>
      <c r="BC377" s="351"/>
      <c r="BD377" s="351"/>
      <c r="BE377" s="351"/>
      <c r="CF377" s="277"/>
      <c r="CG377" s="276"/>
      <c r="CH377" s="276"/>
      <c r="DS377" s="276"/>
      <c r="DT377" s="276"/>
      <c r="DU377" s="276"/>
      <c r="DZ377" s="281"/>
      <c r="EA377" s="281"/>
      <c r="ED377" s="276"/>
      <c r="EE377" s="276"/>
      <c r="EL377" s="276"/>
      <c r="ES377" s="276"/>
      <c r="FA377" s="276"/>
      <c r="FB377" s="276"/>
      <c r="FJ377" s="276"/>
      <c r="FK377" s="276"/>
      <c r="FL377" s="276"/>
      <c r="FT377" s="276"/>
      <c r="FU377" s="276"/>
      <c r="FV377" s="276"/>
      <c r="FW377" s="281"/>
      <c r="GA377" s="276"/>
      <c r="GC377" s="276" t="s">
        <v>955</v>
      </c>
      <c r="GD377" s="276" t="s">
        <v>955</v>
      </c>
      <c r="GE377" s="276" t="s">
        <v>955</v>
      </c>
      <c r="GF377" s="276" t="s">
        <v>955</v>
      </c>
      <c r="GG377" s="276" t="s">
        <v>955</v>
      </c>
      <c r="GH377" s="276" t="s">
        <v>955</v>
      </c>
      <c r="GI377" s="276" t="s">
        <v>955</v>
      </c>
      <c r="GJ377" s="276" t="s">
        <v>955</v>
      </c>
      <c r="GK377" s="276" t="s">
        <v>955</v>
      </c>
      <c r="GL377" s="276" t="s">
        <v>955</v>
      </c>
      <c r="GM377" s="276" t="s">
        <v>955</v>
      </c>
      <c r="GN377" s="276" t="s">
        <v>955</v>
      </c>
      <c r="GO377" s="276" t="s">
        <v>955</v>
      </c>
      <c r="GP377" s="276" t="s">
        <v>955</v>
      </c>
      <c r="GQ377" s="276" t="s">
        <v>955</v>
      </c>
      <c r="GR377" s="276" t="s">
        <v>955</v>
      </c>
    </row>
    <row r="378" spans="1:200" ht="12.75" customHeight="1" x14ac:dyDescent="0.2">
      <c r="A378" s="276"/>
      <c r="B378" s="276"/>
      <c r="BB378" s="350">
        <f t="shared" si="74"/>
        <v>0</v>
      </c>
      <c r="BC378" s="351"/>
      <c r="BD378" s="351"/>
      <c r="BE378" s="351"/>
      <c r="CF378" s="277"/>
      <c r="CG378" s="276"/>
      <c r="CH378" s="276"/>
      <c r="DS378" s="276"/>
      <c r="DT378" s="276"/>
      <c r="DU378" s="276"/>
      <c r="DZ378" s="281"/>
      <c r="EA378" s="281"/>
      <c r="ED378" s="276"/>
      <c r="EE378" s="276"/>
      <c r="EL378" s="276"/>
      <c r="ES378" s="276"/>
      <c r="FA378" s="276"/>
      <c r="FB378" s="276"/>
      <c r="FJ378" s="276"/>
      <c r="FK378" s="276"/>
      <c r="FL378" s="276"/>
      <c r="FT378" s="276"/>
      <c r="FU378" s="276"/>
      <c r="FV378" s="276"/>
      <c r="FW378" s="281"/>
      <c r="GA378" s="276"/>
      <c r="GC378" s="276" t="s">
        <v>955</v>
      </c>
      <c r="GD378" s="276" t="s">
        <v>955</v>
      </c>
      <c r="GE378" s="276" t="s">
        <v>955</v>
      </c>
      <c r="GF378" s="276" t="s">
        <v>955</v>
      </c>
      <c r="GG378" s="276" t="s">
        <v>955</v>
      </c>
      <c r="GH378" s="276" t="s">
        <v>955</v>
      </c>
      <c r="GI378" s="276" t="s">
        <v>955</v>
      </c>
      <c r="GJ378" s="276" t="s">
        <v>955</v>
      </c>
      <c r="GK378" s="276" t="s">
        <v>955</v>
      </c>
      <c r="GL378" s="276" t="s">
        <v>955</v>
      </c>
      <c r="GM378" s="276" t="s">
        <v>955</v>
      </c>
      <c r="GN378" s="276" t="s">
        <v>955</v>
      </c>
      <c r="GO378" s="276" t="s">
        <v>955</v>
      </c>
      <c r="GP378" s="276" t="s">
        <v>955</v>
      </c>
      <c r="GQ378" s="276" t="s">
        <v>955</v>
      </c>
      <c r="GR378" s="276" t="s">
        <v>955</v>
      </c>
    </row>
    <row r="379" spans="1:200" ht="12.75" customHeight="1" x14ac:dyDescent="0.2">
      <c r="A379" s="276"/>
      <c r="B379" s="276"/>
      <c r="BB379" s="350">
        <f t="shared" si="74"/>
        <v>0</v>
      </c>
      <c r="BC379" s="351"/>
      <c r="BD379" s="351"/>
      <c r="BE379" s="351"/>
      <c r="CF379" s="277"/>
      <c r="CG379" s="276"/>
      <c r="CH379" s="276"/>
      <c r="DS379" s="276"/>
      <c r="DT379" s="276"/>
      <c r="DU379" s="276"/>
      <c r="DZ379" s="281"/>
      <c r="EA379" s="281"/>
      <c r="ED379" s="276"/>
      <c r="EE379" s="276"/>
      <c r="EL379" s="276"/>
      <c r="ES379" s="276"/>
      <c r="FA379" s="276"/>
      <c r="FB379" s="276"/>
      <c r="FJ379" s="276"/>
      <c r="FK379" s="276"/>
      <c r="FL379" s="276"/>
      <c r="FT379" s="276"/>
      <c r="FU379" s="276"/>
      <c r="FV379" s="276"/>
      <c r="FW379" s="281"/>
      <c r="GA379" s="276"/>
      <c r="GC379" s="276" t="s">
        <v>955</v>
      </c>
      <c r="GD379" s="276" t="s">
        <v>955</v>
      </c>
      <c r="GE379" s="276" t="s">
        <v>955</v>
      </c>
      <c r="GF379" s="276" t="s">
        <v>955</v>
      </c>
      <c r="GG379" s="276" t="s">
        <v>955</v>
      </c>
      <c r="GH379" s="276" t="s">
        <v>955</v>
      </c>
      <c r="GI379" s="276" t="s">
        <v>955</v>
      </c>
      <c r="GJ379" s="276" t="s">
        <v>955</v>
      </c>
      <c r="GK379" s="276" t="s">
        <v>955</v>
      </c>
      <c r="GL379" s="276" t="s">
        <v>955</v>
      </c>
      <c r="GM379" s="276" t="s">
        <v>955</v>
      </c>
      <c r="GN379" s="276" t="s">
        <v>955</v>
      </c>
      <c r="GO379" s="276" t="s">
        <v>955</v>
      </c>
      <c r="GP379" s="276" t="s">
        <v>955</v>
      </c>
      <c r="GQ379" s="276" t="s">
        <v>955</v>
      </c>
      <c r="GR379" s="276" t="s">
        <v>955</v>
      </c>
    </row>
    <row r="380" spans="1:200" ht="12.75" customHeight="1" x14ac:dyDescent="0.2">
      <c r="A380" s="276"/>
      <c r="B380" s="276"/>
      <c r="BB380" s="350">
        <f t="shared" si="74"/>
        <v>0</v>
      </c>
      <c r="BC380" s="351"/>
      <c r="BD380" s="351"/>
      <c r="BE380" s="351"/>
      <c r="CF380" s="277"/>
      <c r="CG380" s="276"/>
      <c r="CH380" s="276"/>
      <c r="DS380" s="276"/>
      <c r="DT380" s="276"/>
      <c r="DU380" s="276"/>
      <c r="DZ380" s="281"/>
      <c r="EA380" s="281"/>
      <c r="ED380" s="276"/>
      <c r="EE380" s="276"/>
      <c r="EL380" s="276"/>
      <c r="ES380" s="276"/>
      <c r="FA380" s="276"/>
      <c r="FB380" s="276"/>
      <c r="FJ380" s="276"/>
      <c r="FK380" s="276"/>
      <c r="FL380" s="276"/>
      <c r="FT380" s="276"/>
      <c r="FU380" s="276"/>
      <c r="FV380" s="276"/>
      <c r="FW380" s="281"/>
      <c r="GA380" s="276"/>
      <c r="GC380" s="276" t="s">
        <v>955</v>
      </c>
      <c r="GD380" s="276" t="s">
        <v>955</v>
      </c>
      <c r="GE380" s="276" t="s">
        <v>955</v>
      </c>
      <c r="GF380" s="276" t="s">
        <v>955</v>
      </c>
      <c r="GG380" s="276" t="s">
        <v>955</v>
      </c>
      <c r="GH380" s="276" t="s">
        <v>955</v>
      </c>
      <c r="GI380" s="276" t="s">
        <v>955</v>
      </c>
      <c r="GJ380" s="276" t="s">
        <v>955</v>
      </c>
      <c r="GK380" s="276" t="s">
        <v>955</v>
      </c>
      <c r="GL380" s="276" t="s">
        <v>955</v>
      </c>
      <c r="GM380" s="276" t="s">
        <v>955</v>
      </c>
      <c r="GN380" s="276" t="s">
        <v>955</v>
      </c>
      <c r="GO380" s="276" t="s">
        <v>955</v>
      </c>
      <c r="GP380" s="276" t="s">
        <v>955</v>
      </c>
      <c r="GQ380" s="276" t="s">
        <v>955</v>
      </c>
      <c r="GR380" s="276" t="s">
        <v>955</v>
      </c>
    </row>
    <row r="381" spans="1:200" ht="12.75" customHeight="1" x14ac:dyDescent="0.2">
      <c r="A381" s="276"/>
      <c r="B381" s="276"/>
      <c r="BC381" s="278"/>
      <c r="BD381" s="279"/>
      <c r="CF381" s="277"/>
      <c r="CG381" s="276"/>
      <c r="CH381" s="276"/>
      <c r="DS381" s="276"/>
      <c r="DT381" s="276"/>
      <c r="DU381" s="276"/>
      <c r="DZ381" s="281"/>
      <c r="EA381" s="281"/>
      <c r="ED381" s="276"/>
      <c r="EE381" s="276"/>
      <c r="EL381" s="276"/>
      <c r="ES381" s="276"/>
      <c r="FA381" s="276"/>
      <c r="FB381" s="276"/>
      <c r="FJ381" s="276"/>
      <c r="FK381" s="276"/>
      <c r="FL381" s="276"/>
      <c r="FT381" s="276"/>
      <c r="FU381" s="276"/>
      <c r="FV381" s="276"/>
      <c r="FW381" s="281"/>
      <c r="GA381" s="276"/>
      <c r="GC381" s="276" t="s">
        <v>955</v>
      </c>
      <c r="GD381" s="276" t="s">
        <v>955</v>
      </c>
      <c r="GE381" s="276" t="s">
        <v>955</v>
      </c>
      <c r="GF381" s="276" t="s">
        <v>955</v>
      </c>
      <c r="GG381" s="276" t="s">
        <v>955</v>
      </c>
      <c r="GH381" s="276" t="s">
        <v>955</v>
      </c>
      <c r="GI381" s="276" t="s">
        <v>955</v>
      </c>
      <c r="GJ381" s="276" t="s">
        <v>955</v>
      </c>
      <c r="GK381" s="276" t="s">
        <v>955</v>
      </c>
      <c r="GL381" s="276" t="s">
        <v>955</v>
      </c>
      <c r="GM381" s="276" t="s">
        <v>955</v>
      </c>
      <c r="GN381" s="276" t="s">
        <v>955</v>
      </c>
      <c r="GO381" s="276" t="s">
        <v>955</v>
      </c>
      <c r="GP381" s="276" t="s">
        <v>955</v>
      </c>
      <c r="GQ381" s="276" t="s">
        <v>955</v>
      </c>
      <c r="GR381" s="276" t="s">
        <v>955</v>
      </c>
    </row>
    <row r="382" spans="1:200" ht="12.75" customHeight="1" x14ac:dyDescent="0.2">
      <c r="A382" s="276"/>
      <c r="B382" s="276"/>
      <c r="BC382" s="278"/>
      <c r="BD382" s="279"/>
      <c r="CF382" s="277"/>
      <c r="CG382" s="276"/>
      <c r="CH382" s="276"/>
      <c r="DS382" s="276"/>
      <c r="DT382" s="276"/>
      <c r="DU382" s="276"/>
      <c r="DZ382" s="281"/>
      <c r="EA382" s="281"/>
      <c r="ED382" s="276"/>
      <c r="EE382" s="276"/>
      <c r="EL382" s="276"/>
      <c r="ES382" s="276"/>
      <c r="FA382" s="276"/>
      <c r="FB382" s="276"/>
      <c r="FJ382" s="276"/>
      <c r="FK382" s="276"/>
      <c r="FL382" s="276"/>
      <c r="FT382" s="276"/>
      <c r="FU382" s="276"/>
      <c r="FV382" s="276"/>
      <c r="FW382" s="281"/>
      <c r="GA382" s="276"/>
      <c r="GC382" s="276" t="s">
        <v>955</v>
      </c>
      <c r="GD382" s="276" t="s">
        <v>955</v>
      </c>
      <c r="GE382" s="276" t="s">
        <v>955</v>
      </c>
      <c r="GF382" s="276" t="s">
        <v>955</v>
      </c>
      <c r="GG382" s="276" t="s">
        <v>955</v>
      </c>
      <c r="GH382" s="276" t="s">
        <v>955</v>
      </c>
      <c r="GI382" s="276" t="s">
        <v>955</v>
      </c>
      <c r="GJ382" s="276" t="s">
        <v>955</v>
      </c>
      <c r="GK382" s="276" t="s">
        <v>955</v>
      </c>
      <c r="GL382" s="276" t="s">
        <v>955</v>
      </c>
      <c r="GM382" s="276" t="s">
        <v>955</v>
      </c>
      <c r="GN382" s="276" t="s">
        <v>955</v>
      </c>
      <c r="GO382" s="276" t="s">
        <v>955</v>
      </c>
      <c r="GP382" s="276" t="s">
        <v>955</v>
      </c>
      <c r="GQ382" s="276" t="s">
        <v>955</v>
      </c>
      <c r="GR382" s="276" t="s">
        <v>955</v>
      </c>
    </row>
    <row r="383" spans="1:200" ht="12.75" customHeight="1" x14ac:dyDescent="0.2">
      <c r="A383" s="276"/>
      <c r="B383" s="276"/>
      <c r="BC383" s="278"/>
      <c r="BD383" s="279"/>
      <c r="CF383" s="277"/>
      <c r="CG383" s="276"/>
      <c r="CH383" s="276"/>
      <c r="DS383" s="276"/>
      <c r="DT383" s="276"/>
      <c r="DU383" s="276"/>
      <c r="DZ383" s="281"/>
      <c r="EA383" s="281"/>
      <c r="ED383" s="276"/>
      <c r="EE383" s="276"/>
      <c r="EL383" s="276"/>
      <c r="ES383" s="276"/>
      <c r="FA383" s="276"/>
      <c r="FB383" s="276"/>
      <c r="FJ383" s="276"/>
      <c r="FK383" s="276"/>
      <c r="FL383" s="276"/>
      <c r="FT383" s="276"/>
      <c r="FU383" s="276"/>
      <c r="FV383" s="276"/>
      <c r="FW383" s="281"/>
      <c r="GA383" s="276"/>
      <c r="GC383" s="276" t="s">
        <v>955</v>
      </c>
      <c r="GD383" s="276" t="s">
        <v>955</v>
      </c>
      <c r="GE383" s="276" t="s">
        <v>955</v>
      </c>
      <c r="GF383" s="276" t="s">
        <v>955</v>
      </c>
      <c r="GG383" s="276" t="s">
        <v>955</v>
      </c>
      <c r="GH383" s="276" t="s">
        <v>955</v>
      </c>
      <c r="GI383" s="276" t="s">
        <v>955</v>
      </c>
      <c r="GJ383" s="276" t="s">
        <v>955</v>
      </c>
      <c r="GK383" s="276" t="s">
        <v>955</v>
      </c>
      <c r="GL383" s="276" t="s">
        <v>955</v>
      </c>
      <c r="GM383" s="276" t="s">
        <v>955</v>
      </c>
      <c r="GN383" s="276" t="s">
        <v>955</v>
      </c>
      <c r="GO383" s="276" t="s">
        <v>955</v>
      </c>
      <c r="GP383" s="276" t="s">
        <v>955</v>
      </c>
      <c r="GQ383" s="276" t="s">
        <v>955</v>
      </c>
      <c r="GR383" s="276" t="s">
        <v>955</v>
      </c>
    </row>
    <row r="384" spans="1:200" ht="12.75" customHeight="1" x14ac:dyDescent="0.2">
      <c r="A384" s="276"/>
      <c r="B384" s="276"/>
      <c r="BC384" s="278"/>
      <c r="BD384" s="279"/>
      <c r="CF384" s="277"/>
      <c r="CG384" s="276"/>
      <c r="CH384" s="276"/>
      <c r="DS384" s="276"/>
      <c r="DT384" s="276"/>
      <c r="DU384" s="276"/>
      <c r="DZ384" s="281"/>
      <c r="EA384" s="281"/>
      <c r="ED384" s="276"/>
      <c r="EE384" s="276"/>
      <c r="EL384" s="276"/>
      <c r="ES384" s="276"/>
      <c r="FA384" s="276"/>
      <c r="FB384" s="276"/>
      <c r="FJ384" s="276"/>
      <c r="FK384" s="276"/>
      <c r="FL384" s="276"/>
      <c r="FT384" s="276"/>
      <c r="FU384" s="276"/>
      <c r="FV384" s="276"/>
      <c r="FW384" s="281"/>
      <c r="GA384" s="276"/>
      <c r="GC384" s="276" t="s">
        <v>955</v>
      </c>
      <c r="GD384" s="276" t="s">
        <v>955</v>
      </c>
      <c r="GE384" s="276" t="s">
        <v>955</v>
      </c>
      <c r="GF384" s="276" t="s">
        <v>955</v>
      </c>
      <c r="GG384" s="276" t="s">
        <v>955</v>
      </c>
      <c r="GH384" s="276" t="s">
        <v>955</v>
      </c>
      <c r="GI384" s="276" t="s">
        <v>955</v>
      </c>
      <c r="GJ384" s="276" t="s">
        <v>955</v>
      </c>
      <c r="GK384" s="276" t="s">
        <v>955</v>
      </c>
      <c r="GL384" s="276" t="s">
        <v>955</v>
      </c>
      <c r="GM384" s="276" t="s">
        <v>955</v>
      </c>
      <c r="GN384" s="276" t="s">
        <v>955</v>
      </c>
      <c r="GO384" s="276" t="s">
        <v>955</v>
      </c>
      <c r="GP384" s="276" t="s">
        <v>955</v>
      </c>
      <c r="GQ384" s="276" t="s">
        <v>955</v>
      </c>
      <c r="GR384" s="276" t="s">
        <v>955</v>
      </c>
    </row>
    <row r="385" spans="1:200" ht="12.75" customHeight="1" x14ac:dyDescent="0.2">
      <c r="A385" s="276"/>
      <c r="B385" s="276"/>
      <c r="BC385" s="278"/>
      <c r="BD385" s="279"/>
      <c r="CF385" s="277"/>
      <c r="CG385" s="276"/>
      <c r="CH385" s="276"/>
      <c r="DS385" s="276"/>
      <c r="DT385" s="276"/>
      <c r="DU385" s="276"/>
      <c r="DZ385" s="281"/>
      <c r="EA385" s="281"/>
      <c r="ED385" s="276"/>
      <c r="EE385" s="276"/>
      <c r="EL385" s="276"/>
      <c r="ES385" s="276"/>
      <c r="FA385" s="276"/>
      <c r="FB385" s="276"/>
      <c r="FJ385" s="276"/>
      <c r="FK385" s="276"/>
      <c r="FL385" s="276"/>
      <c r="FT385" s="276"/>
      <c r="FU385" s="276"/>
      <c r="FV385" s="276"/>
      <c r="FW385" s="281"/>
      <c r="GA385" s="276"/>
      <c r="GC385" s="276" t="s">
        <v>955</v>
      </c>
      <c r="GD385" s="276" t="s">
        <v>955</v>
      </c>
      <c r="GE385" s="276" t="s">
        <v>955</v>
      </c>
      <c r="GF385" s="276" t="s">
        <v>955</v>
      </c>
      <c r="GG385" s="276" t="s">
        <v>955</v>
      </c>
      <c r="GH385" s="276" t="s">
        <v>955</v>
      </c>
      <c r="GI385" s="276" t="s">
        <v>955</v>
      </c>
      <c r="GJ385" s="276" t="s">
        <v>955</v>
      </c>
      <c r="GK385" s="276" t="s">
        <v>955</v>
      </c>
      <c r="GL385" s="276" t="s">
        <v>955</v>
      </c>
      <c r="GM385" s="276" t="s">
        <v>955</v>
      </c>
      <c r="GN385" s="276" t="s">
        <v>955</v>
      </c>
      <c r="GO385" s="276" t="s">
        <v>955</v>
      </c>
      <c r="GP385" s="276" t="s">
        <v>955</v>
      </c>
      <c r="GQ385" s="276" t="s">
        <v>955</v>
      </c>
      <c r="GR385" s="276" t="s">
        <v>955</v>
      </c>
    </row>
    <row r="386" spans="1:200" ht="12.75" customHeight="1" x14ac:dyDescent="0.2">
      <c r="A386" s="276"/>
      <c r="B386" s="276"/>
      <c r="BC386" s="278"/>
      <c r="BD386" s="279"/>
      <c r="CF386" s="277"/>
      <c r="CG386" s="276"/>
      <c r="CH386" s="276"/>
      <c r="DS386" s="276"/>
      <c r="DT386" s="276"/>
      <c r="DU386" s="276"/>
      <c r="DZ386" s="281"/>
      <c r="EA386" s="281"/>
      <c r="ED386" s="276"/>
      <c r="EE386" s="276"/>
      <c r="EL386" s="276"/>
      <c r="ES386" s="276"/>
      <c r="FA386" s="276"/>
      <c r="FB386" s="276"/>
      <c r="FJ386" s="276"/>
      <c r="FK386" s="276"/>
      <c r="FL386" s="276"/>
      <c r="FT386" s="276"/>
      <c r="FU386" s="276"/>
      <c r="FV386" s="276"/>
      <c r="FW386" s="281"/>
      <c r="GA386" s="276"/>
      <c r="GC386" s="276" t="s">
        <v>955</v>
      </c>
      <c r="GD386" s="276" t="s">
        <v>955</v>
      </c>
      <c r="GE386" s="276" t="s">
        <v>955</v>
      </c>
      <c r="GF386" s="276" t="s">
        <v>955</v>
      </c>
      <c r="GG386" s="276" t="s">
        <v>955</v>
      </c>
      <c r="GH386" s="276" t="s">
        <v>955</v>
      </c>
      <c r="GI386" s="276" t="s">
        <v>955</v>
      </c>
      <c r="GJ386" s="276" t="s">
        <v>955</v>
      </c>
      <c r="GK386" s="276" t="s">
        <v>955</v>
      </c>
      <c r="GL386" s="276" t="s">
        <v>955</v>
      </c>
      <c r="GM386" s="276" t="s">
        <v>955</v>
      </c>
      <c r="GN386" s="276" t="s">
        <v>955</v>
      </c>
      <c r="GO386" s="276" t="s">
        <v>955</v>
      </c>
      <c r="GP386" s="276" t="s">
        <v>955</v>
      </c>
      <c r="GQ386" s="276" t="s">
        <v>955</v>
      </c>
      <c r="GR386" s="276" t="s">
        <v>955</v>
      </c>
    </row>
    <row r="387" spans="1:200" ht="12.75" customHeight="1" x14ac:dyDescent="0.2">
      <c r="A387" s="276"/>
      <c r="B387" s="276"/>
      <c r="BC387" s="278"/>
      <c r="BD387" s="279"/>
      <c r="CF387" s="277"/>
      <c r="CG387" s="276"/>
      <c r="CH387" s="276"/>
      <c r="DS387" s="276"/>
      <c r="DT387" s="276"/>
      <c r="DU387" s="276"/>
      <c r="DZ387" s="281"/>
      <c r="EA387" s="281"/>
      <c r="ED387" s="276"/>
      <c r="EE387" s="276"/>
      <c r="EL387" s="276"/>
      <c r="ES387" s="276"/>
      <c r="FA387" s="276"/>
      <c r="FB387" s="276"/>
      <c r="FJ387" s="276"/>
      <c r="FK387" s="276"/>
      <c r="FL387" s="276"/>
      <c r="FT387" s="276"/>
      <c r="FU387" s="276"/>
      <c r="FV387" s="276"/>
      <c r="FW387" s="281"/>
      <c r="GA387" s="276"/>
      <c r="GC387" s="276" t="s">
        <v>955</v>
      </c>
      <c r="GD387" s="276" t="s">
        <v>955</v>
      </c>
      <c r="GE387" s="276" t="s">
        <v>955</v>
      </c>
      <c r="GF387" s="276" t="s">
        <v>955</v>
      </c>
      <c r="GG387" s="276" t="s">
        <v>955</v>
      </c>
      <c r="GH387" s="276" t="s">
        <v>955</v>
      </c>
      <c r="GI387" s="276" t="s">
        <v>955</v>
      </c>
      <c r="GJ387" s="276" t="s">
        <v>955</v>
      </c>
      <c r="GK387" s="276" t="s">
        <v>955</v>
      </c>
      <c r="GL387" s="276" t="s">
        <v>955</v>
      </c>
      <c r="GM387" s="276" t="s">
        <v>955</v>
      </c>
      <c r="GN387" s="276" t="s">
        <v>955</v>
      </c>
      <c r="GO387" s="276" t="s">
        <v>955</v>
      </c>
      <c r="GP387" s="276" t="s">
        <v>955</v>
      </c>
      <c r="GQ387" s="276" t="s">
        <v>955</v>
      </c>
      <c r="GR387" s="276" t="s">
        <v>955</v>
      </c>
    </row>
    <row r="388" spans="1:200" ht="12.75" customHeight="1" x14ac:dyDescent="0.2">
      <c r="A388" s="276"/>
      <c r="B388" s="276"/>
      <c r="BC388" s="278"/>
      <c r="BD388" s="279"/>
      <c r="CF388" s="277"/>
      <c r="CG388" s="276"/>
      <c r="CH388" s="276"/>
      <c r="DS388" s="276"/>
      <c r="DT388" s="276"/>
      <c r="DU388" s="276"/>
      <c r="DZ388" s="281"/>
      <c r="EA388" s="281"/>
      <c r="ED388" s="276"/>
      <c r="EE388" s="276"/>
      <c r="EL388" s="276"/>
      <c r="ES388" s="276"/>
      <c r="FA388" s="276"/>
      <c r="FB388" s="276"/>
      <c r="FJ388" s="276"/>
      <c r="FK388" s="276"/>
      <c r="FL388" s="276"/>
      <c r="FT388" s="276"/>
      <c r="FU388" s="276"/>
      <c r="FV388" s="276"/>
      <c r="FW388" s="281"/>
      <c r="GA388" s="276"/>
      <c r="GC388" s="276" t="s">
        <v>955</v>
      </c>
      <c r="GD388" s="276" t="s">
        <v>955</v>
      </c>
      <c r="GE388" s="276" t="s">
        <v>955</v>
      </c>
      <c r="GF388" s="276" t="s">
        <v>955</v>
      </c>
      <c r="GG388" s="276" t="s">
        <v>955</v>
      </c>
      <c r="GH388" s="276" t="s">
        <v>955</v>
      </c>
      <c r="GI388" s="276" t="s">
        <v>955</v>
      </c>
      <c r="GJ388" s="276" t="s">
        <v>955</v>
      </c>
      <c r="GK388" s="276" t="s">
        <v>955</v>
      </c>
      <c r="GL388" s="276" t="s">
        <v>955</v>
      </c>
      <c r="GM388" s="276" t="s">
        <v>955</v>
      </c>
      <c r="GN388" s="276" t="s">
        <v>955</v>
      </c>
      <c r="GO388" s="276" t="s">
        <v>955</v>
      </c>
      <c r="GP388" s="276" t="s">
        <v>955</v>
      </c>
      <c r="GQ388" s="276" t="s">
        <v>955</v>
      </c>
      <c r="GR388" s="276" t="s">
        <v>955</v>
      </c>
    </row>
    <row r="389" spans="1:200" x14ac:dyDescent="0.2">
      <c r="A389" s="276"/>
      <c r="B389" s="276"/>
      <c r="BC389" s="278"/>
      <c r="BD389" s="279"/>
      <c r="CF389" s="277"/>
      <c r="CG389" s="276"/>
      <c r="CH389" s="276"/>
      <c r="DS389" s="276"/>
      <c r="DT389" s="276"/>
      <c r="DU389" s="276"/>
      <c r="DZ389" s="281"/>
      <c r="EA389" s="281"/>
      <c r="ED389" s="276"/>
      <c r="EE389" s="276"/>
      <c r="EL389" s="276"/>
      <c r="ES389" s="276"/>
      <c r="FA389" s="276"/>
      <c r="FB389" s="276"/>
      <c r="FJ389" s="276"/>
      <c r="FK389" s="276"/>
      <c r="FL389" s="276"/>
      <c r="FT389" s="276"/>
      <c r="FU389" s="276"/>
      <c r="FV389" s="276"/>
      <c r="FW389" s="281"/>
      <c r="GA389" s="276"/>
      <c r="GC389" s="276" t="s">
        <v>955</v>
      </c>
      <c r="GD389" s="276" t="s">
        <v>955</v>
      </c>
      <c r="GE389" s="276" t="s">
        <v>955</v>
      </c>
      <c r="GF389" s="276" t="s">
        <v>955</v>
      </c>
      <c r="GG389" s="276" t="s">
        <v>955</v>
      </c>
      <c r="GH389" s="276" t="s">
        <v>955</v>
      </c>
      <c r="GI389" s="276" t="s">
        <v>955</v>
      </c>
      <c r="GJ389" s="276" t="s">
        <v>955</v>
      </c>
      <c r="GK389" s="276" t="s">
        <v>955</v>
      </c>
      <c r="GL389" s="276" t="s">
        <v>955</v>
      </c>
      <c r="GM389" s="276" t="s">
        <v>955</v>
      </c>
      <c r="GN389" s="276" t="s">
        <v>955</v>
      </c>
      <c r="GO389" s="276" t="s">
        <v>955</v>
      </c>
      <c r="GP389" s="276" t="s">
        <v>955</v>
      </c>
      <c r="GQ389" s="276" t="s">
        <v>955</v>
      </c>
      <c r="GR389" s="276" t="s">
        <v>955</v>
      </c>
    </row>
    <row r="390" spans="1:200" x14ac:dyDescent="0.2">
      <c r="A390" s="276"/>
      <c r="B390" s="276"/>
      <c r="BC390" s="278"/>
      <c r="BD390" s="279"/>
      <c r="CF390" s="277"/>
      <c r="CG390" s="276"/>
      <c r="CH390" s="276"/>
      <c r="DS390" s="276"/>
      <c r="DT390" s="276"/>
      <c r="DU390" s="276"/>
      <c r="DZ390" s="281"/>
      <c r="EA390" s="281"/>
      <c r="ED390" s="276"/>
      <c r="EE390" s="276"/>
      <c r="EL390" s="276"/>
      <c r="ES390" s="276"/>
      <c r="FA390" s="276"/>
      <c r="FB390" s="276"/>
      <c r="FJ390" s="276"/>
      <c r="FK390" s="276"/>
      <c r="FL390" s="276"/>
      <c r="FT390" s="276"/>
      <c r="FU390" s="276"/>
      <c r="FV390" s="276"/>
      <c r="FW390" s="281"/>
      <c r="GA390" s="276"/>
      <c r="GC390" s="276" t="s">
        <v>955</v>
      </c>
      <c r="GD390" s="276" t="s">
        <v>955</v>
      </c>
      <c r="GE390" s="276" t="s">
        <v>955</v>
      </c>
      <c r="GF390" s="276" t="s">
        <v>955</v>
      </c>
      <c r="GG390" s="276" t="s">
        <v>955</v>
      </c>
      <c r="GH390" s="276" t="s">
        <v>955</v>
      </c>
      <c r="GI390" s="276" t="s">
        <v>955</v>
      </c>
      <c r="GJ390" s="276" t="s">
        <v>955</v>
      </c>
      <c r="GK390" s="276" t="s">
        <v>955</v>
      </c>
      <c r="GL390" s="276" t="s">
        <v>955</v>
      </c>
      <c r="GM390" s="276" t="s">
        <v>955</v>
      </c>
      <c r="GN390" s="276" t="s">
        <v>955</v>
      </c>
      <c r="GO390" s="276" t="s">
        <v>955</v>
      </c>
      <c r="GP390" s="276" t="s">
        <v>955</v>
      </c>
      <c r="GQ390" s="276" t="s">
        <v>955</v>
      </c>
      <c r="GR390" s="276" t="s">
        <v>955</v>
      </c>
    </row>
    <row r="391" spans="1:200" x14ac:dyDescent="0.2">
      <c r="A391" s="276"/>
      <c r="B391" s="276"/>
      <c r="BC391" s="278"/>
      <c r="BD391" s="279"/>
      <c r="CF391" s="277"/>
      <c r="CG391" s="276"/>
      <c r="CH391" s="276"/>
      <c r="DS391" s="276"/>
      <c r="DT391" s="276"/>
      <c r="DU391" s="276"/>
      <c r="DZ391" s="281"/>
      <c r="EA391" s="281"/>
      <c r="ED391" s="276"/>
      <c r="EE391" s="276"/>
      <c r="EL391" s="276"/>
      <c r="ES391" s="276"/>
      <c r="FA391" s="276"/>
      <c r="FB391" s="276"/>
      <c r="FJ391" s="276"/>
      <c r="FK391" s="276"/>
      <c r="FL391" s="276"/>
      <c r="FT391" s="276"/>
      <c r="FU391" s="276"/>
      <c r="FV391" s="276"/>
      <c r="FW391" s="281"/>
      <c r="GA391" s="276"/>
      <c r="GC391" s="276" t="s">
        <v>955</v>
      </c>
      <c r="GD391" s="276" t="s">
        <v>955</v>
      </c>
      <c r="GE391" s="276" t="s">
        <v>955</v>
      </c>
      <c r="GF391" s="276" t="s">
        <v>955</v>
      </c>
      <c r="GG391" s="276" t="s">
        <v>955</v>
      </c>
      <c r="GH391" s="276" t="s">
        <v>955</v>
      </c>
      <c r="GI391" s="276" t="s">
        <v>955</v>
      </c>
      <c r="GJ391" s="276" t="s">
        <v>955</v>
      </c>
      <c r="GK391" s="276" t="s">
        <v>955</v>
      </c>
      <c r="GL391" s="276" t="s">
        <v>955</v>
      </c>
      <c r="GM391" s="276" t="s">
        <v>955</v>
      </c>
      <c r="GN391" s="276" t="s">
        <v>955</v>
      </c>
      <c r="GO391" s="276" t="s">
        <v>955</v>
      </c>
      <c r="GP391" s="276" t="s">
        <v>955</v>
      </c>
      <c r="GQ391" s="276" t="s">
        <v>955</v>
      </c>
      <c r="GR391" s="276" t="s">
        <v>955</v>
      </c>
    </row>
    <row r="392" spans="1:200" x14ac:dyDescent="0.2">
      <c r="A392" s="276"/>
      <c r="B392" s="276"/>
      <c r="BC392" s="278"/>
      <c r="BD392" s="279"/>
      <c r="CF392" s="277"/>
      <c r="CG392" s="276"/>
      <c r="CH392" s="276"/>
      <c r="DS392" s="276"/>
      <c r="DT392" s="276"/>
      <c r="DU392" s="276"/>
      <c r="DZ392" s="281"/>
      <c r="EA392" s="281"/>
      <c r="ED392" s="276"/>
      <c r="EE392" s="276"/>
      <c r="EL392" s="276"/>
      <c r="ES392" s="276"/>
      <c r="FA392" s="276"/>
      <c r="FB392" s="276"/>
      <c r="FJ392" s="276"/>
      <c r="FK392" s="276"/>
      <c r="FL392" s="276"/>
      <c r="FT392" s="276"/>
      <c r="FU392" s="276"/>
      <c r="FV392" s="276"/>
      <c r="FW392" s="281"/>
      <c r="GA392" s="276"/>
      <c r="GC392" s="276" t="s">
        <v>955</v>
      </c>
      <c r="GD392" s="276" t="s">
        <v>955</v>
      </c>
      <c r="GE392" s="276" t="s">
        <v>955</v>
      </c>
      <c r="GF392" s="276" t="s">
        <v>955</v>
      </c>
      <c r="GG392" s="276" t="s">
        <v>955</v>
      </c>
      <c r="GH392" s="276" t="s">
        <v>955</v>
      </c>
      <c r="GI392" s="276" t="s">
        <v>955</v>
      </c>
      <c r="GJ392" s="276" t="s">
        <v>955</v>
      </c>
      <c r="GK392" s="276" t="s">
        <v>955</v>
      </c>
      <c r="GL392" s="276" t="s">
        <v>955</v>
      </c>
      <c r="GM392" s="276" t="s">
        <v>955</v>
      </c>
      <c r="GN392" s="276" t="s">
        <v>955</v>
      </c>
      <c r="GO392" s="276" t="s">
        <v>955</v>
      </c>
      <c r="GP392" s="276" t="s">
        <v>955</v>
      </c>
      <c r="GQ392" s="276" t="s">
        <v>955</v>
      </c>
      <c r="GR392" s="276" t="s">
        <v>955</v>
      </c>
    </row>
    <row r="393" spans="1:200" x14ac:dyDescent="0.2">
      <c r="A393" s="276"/>
      <c r="B393" s="276"/>
      <c r="BC393" s="278"/>
      <c r="BD393" s="279"/>
      <c r="CF393" s="277"/>
      <c r="CG393" s="276"/>
      <c r="CH393" s="276"/>
      <c r="CJ393" s="276"/>
      <c r="DS393" s="276"/>
      <c r="DT393" s="276"/>
      <c r="DU393" s="276"/>
      <c r="DZ393" s="281"/>
      <c r="EA393" s="281"/>
      <c r="ED393" s="276"/>
      <c r="EE393" s="276"/>
      <c r="EL393" s="276"/>
      <c r="ES393" s="276"/>
      <c r="FA393" s="276"/>
      <c r="FB393" s="276"/>
      <c r="FJ393" s="276"/>
      <c r="FK393" s="276"/>
      <c r="FL393" s="276"/>
      <c r="FT393" s="276"/>
      <c r="FU393" s="276"/>
      <c r="FV393" s="276"/>
      <c r="FW393" s="281"/>
      <c r="GA393" s="276"/>
      <c r="GC393" s="276" t="s">
        <v>955</v>
      </c>
      <c r="GD393" s="276" t="s">
        <v>955</v>
      </c>
      <c r="GE393" s="276" t="s">
        <v>955</v>
      </c>
      <c r="GF393" s="276" t="s">
        <v>955</v>
      </c>
      <c r="GG393" s="276" t="s">
        <v>955</v>
      </c>
      <c r="GH393" s="276" t="s">
        <v>955</v>
      </c>
      <c r="GI393" s="276" t="s">
        <v>955</v>
      </c>
      <c r="GJ393" s="276" t="s">
        <v>955</v>
      </c>
      <c r="GK393" s="276" t="s">
        <v>955</v>
      </c>
      <c r="GL393" s="276" t="s">
        <v>955</v>
      </c>
      <c r="GM393" s="276" t="s">
        <v>955</v>
      </c>
      <c r="GN393" s="276" t="s">
        <v>955</v>
      </c>
      <c r="GO393" s="276" t="s">
        <v>955</v>
      </c>
      <c r="GP393" s="276" t="s">
        <v>955</v>
      </c>
      <c r="GQ393" s="276" t="s">
        <v>955</v>
      </c>
      <c r="GR393" s="276" t="s">
        <v>955</v>
      </c>
    </row>
    <row r="394" spans="1:200" x14ac:dyDescent="0.2">
      <c r="A394" s="276"/>
      <c r="B394" s="276"/>
      <c r="BC394" s="278"/>
      <c r="BD394" s="279"/>
      <c r="CF394" s="277"/>
      <c r="CG394" s="276"/>
      <c r="CH394" s="276"/>
      <c r="CJ394" s="276"/>
      <c r="DS394" s="276"/>
      <c r="DT394" s="276"/>
      <c r="DU394" s="276"/>
      <c r="DZ394" s="281"/>
      <c r="EA394" s="281"/>
      <c r="ED394" s="276"/>
      <c r="EE394" s="276"/>
      <c r="EL394" s="276"/>
      <c r="ES394" s="276"/>
      <c r="FA394" s="276"/>
      <c r="FB394" s="276"/>
      <c r="FJ394" s="276"/>
      <c r="FK394" s="276"/>
      <c r="FL394" s="276"/>
      <c r="FT394" s="276"/>
      <c r="FU394" s="276"/>
      <c r="FV394" s="276"/>
      <c r="FW394" s="281"/>
      <c r="GA394" s="276"/>
      <c r="GC394" s="276" t="s">
        <v>955</v>
      </c>
      <c r="GD394" s="276" t="s">
        <v>955</v>
      </c>
      <c r="GE394" s="276" t="s">
        <v>955</v>
      </c>
      <c r="GF394" s="276" t="s">
        <v>955</v>
      </c>
      <c r="GG394" s="276" t="s">
        <v>955</v>
      </c>
      <c r="GH394" s="276" t="s">
        <v>955</v>
      </c>
      <c r="GI394" s="276" t="s">
        <v>955</v>
      </c>
      <c r="GJ394" s="276" t="s">
        <v>955</v>
      </c>
      <c r="GK394" s="276" t="s">
        <v>955</v>
      </c>
      <c r="GL394" s="276" t="s">
        <v>955</v>
      </c>
      <c r="GM394" s="276" t="s">
        <v>955</v>
      </c>
      <c r="GN394" s="276" t="s">
        <v>955</v>
      </c>
      <c r="GO394" s="276" t="s">
        <v>955</v>
      </c>
      <c r="GP394" s="276" t="s">
        <v>955</v>
      </c>
      <c r="GQ394" s="276" t="s">
        <v>955</v>
      </c>
      <c r="GR394" s="276" t="s">
        <v>955</v>
      </c>
    </row>
    <row r="395" spans="1:200" x14ac:dyDescent="0.2">
      <c r="A395" s="276"/>
      <c r="B395" s="276"/>
      <c r="BC395" s="278"/>
      <c r="BD395" s="279"/>
      <c r="CF395" s="277"/>
      <c r="CG395" s="276"/>
      <c r="CH395" s="276"/>
      <c r="CJ395" s="276"/>
      <c r="DS395" s="276"/>
      <c r="DT395" s="276"/>
      <c r="DU395" s="276"/>
      <c r="DZ395" s="281"/>
      <c r="EA395" s="281"/>
      <c r="ED395" s="276"/>
      <c r="EE395" s="276"/>
      <c r="EL395" s="276"/>
      <c r="ES395" s="276"/>
      <c r="FA395" s="276"/>
      <c r="FB395" s="276"/>
      <c r="FJ395" s="276"/>
      <c r="FK395" s="276"/>
      <c r="FL395" s="276"/>
      <c r="FT395" s="276"/>
      <c r="FU395" s="276"/>
      <c r="FV395" s="276"/>
      <c r="FW395" s="281"/>
      <c r="GA395" s="276"/>
      <c r="GC395" s="276" t="s">
        <v>955</v>
      </c>
      <c r="GD395" s="276" t="s">
        <v>955</v>
      </c>
      <c r="GE395" s="276" t="s">
        <v>955</v>
      </c>
      <c r="GF395" s="276" t="s">
        <v>955</v>
      </c>
      <c r="GG395" s="276" t="s">
        <v>955</v>
      </c>
      <c r="GH395" s="276" t="s">
        <v>955</v>
      </c>
      <c r="GI395" s="276" t="s">
        <v>955</v>
      </c>
      <c r="GJ395" s="276" t="s">
        <v>955</v>
      </c>
      <c r="GK395" s="276" t="s">
        <v>955</v>
      </c>
      <c r="GL395" s="276" t="s">
        <v>955</v>
      </c>
      <c r="GM395" s="276" t="s">
        <v>955</v>
      </c>
      <c r="GN395" s="276" t="s">
        <v>955</v>
      </c>
      <c r="GO395" s="276" t="s">
        <v>955</v>
      </c>
      <c r="GP395" s="276" t="s">
        <v>955</v>
      </c>
      <c r="GQ395" s="276" t="s">
        <v>955</v>
      </c>
      <c r="GR395" s="276" t="s">
        <v>955</v>
      </c>
    </row>
    <row r="396" spans="1:200" x14ac:dyDescent="0.2">
      <c r="A396" s="276"/>
      <c r="B396" s="276"/>
      <c r="BC396" s="278"/>
      <c r="BD396" s="279"/>
      <c r="CF396" s="277"/>
      <c r="CG396" s="276"/>
      <c r="CH396" s="276"/>
      <c r="CJ396" s="276"/>
      <c r="DS396" s="276"/>
      <c r="DT396" s="276"/>
      <c r="DU396" s="276"/>
      <c r="DZ396" s="281"/>
      <c r="EA396" s="281"/>
      <c r="ED396" s="276"/>
      <c r="EE396" s="276"/>
      <c r="EL396" s="276"/>
      <c r="ES396" s="276"/>
      <c r="FA396" s="276"/>
      <c r="FB396" s="276"/>
      <c r="FJ396" s="276"/>
      <c r="FK396" s="276"/>
      <c r="FL396" s="276"/>
      <c r="FT396" s="276"/>
      <c r="FU396" s="276"/>
      <c r="FV396" s="276"/>
      <c r="FW396" s="281"/>
      <c r="GA396" s="276"/>
      <c r="GC396" s="276" t="s">
        <v>955</v>
      </c>
      <c r="GD396" s="276" t="s">
        <v>955</v>
      </c>
      <c r="GE396" s="276" t="s">
        <v>955</v>
      </c>
      <c r="GF396" s="276" t="s">
        <v>955</v>
      </c>
      <c r="GG396" s="276" t="s">
        <v>955</v>
      </c>
      <c r="GH396" s="276" t="s">
        <v>955</v>
      </c>
      <c r="GI396" s="276" t="s">
        <v>955</v>
      </c>
      <c r="GJ396" s="276" t="s">
        <v>955</v>
      </c>
      <c r="GK396" s="276" t="s">
        <v>955</v>
      </c>
      <c r="GL396" s="276" t="s">
        <v>955</v>
      </c>
      <c r="GM396" s="276" t="s">
        <v>955</v>
      </c>
      <c r="GN396" s="276" t="s">
        <v>955</v>
      </c>
      <c r="GO396" s="276" t="s">
        <v>955</v>
      </c>
      <c r="GP396" s="276" t="s">
        <v>955</v>
      </c>
      <c r="GQ396" s="276" t="s">
        <v>955</v>
      </c>
      <c r="GR396" s="276" t="s">
        <v>955</v>
      </c>
    </row>
    <row r="397" spans="1:200" x14ac:dyDescent="0.2">
      <c r="A397" s="276"/>
      <c r="B397" s="276"/>
      <c r="BC397" s="278"/>
      <c r="BD397" s="279"/>
      <c r="CF397" s="277"/>
      <c r="CG397" s="276"/>
      <c r="CH397" s="276"/>
      <c r="CJ397" s="276"/>
      <c r="DS397" s="282"/>
      <c r="DT397" s="276"/>
      <c r="DU397" s="276"/>
      <c r="DZ397" s="281"/>
      <c r="EA397" s="281"/>
      <c r="ED397" s="276"/>
      <c r="EE397" s="276"/>
      <c r="EJ397" s="281"/>
      <c r="EL397" s="276"/>
      <c r="EQ397" s="281"/>
      <c r="ES397" s="276"/>
      <c r="EY397" s="281"/>
      <c r="FA397" s="276"/>
      <c r="FB397" s="276"/>
      <c r="FH397" s="281"/>
      <c r="FJ397" s="276"/>
      <c r="FK397" s="276"/>
      <c r="FL397" s="276"/>
      <c r="FR397" s="281"/>
      <c r="FT397" s="276"/>
      <c r="FU397" s="276"/>
      <c r="FV397" s="276"/>
      <c r="FW397" s="281"/>
      <c r="GA397" s="276"/>
      <c r="GC397" s="276" t="s">
        <v>955</v>
      </c>
      <c r="GD397" s="276" t="s">
        <v>955</v>
      </c>
      <c r="GE397" s="276" t="s">
        <v>955</v>
      </c>
      <c r="GF397" s="276" t="s">
        <v>955</v>
      </c>
      <c r="GG397" s="276" t="s">
        <v>955</v>
      </c>
      <c r="GH397" s="276" t="s">
        <v>955</v>
      </c>
      <c r="GI397" s="276" t="s">
        <v>955</v>
      </c>
      <c r="GJ397" s="276" t="s">
        <v>955</v>
      </c>
      <c r="GK397" s="276" t="s">
        <v>955</v>
      </c>
      <c r="GL397" s="276" t="s">
        <v>955</v>
      </c>
      <c r="GM397" s="276" t="s">
        <v>955</v>
      </c>
      <c r="GN397" s="276" t="s">
        <v>955</v>
      </c>
      <c r="GO397" s="276" t="s">
        <v>955</v>
      </c>
      <c r="GP397" s="276" t="s">
        <v>955</v>
      </c>
      <c r="GQ397" s="276" t="s">
        <v>955</v>
      </c>
      <c r="GR397" s="276" t="s">
        <v>955</v>
      </c>
    </row>
    <row r="398" spans="1:200" x14ac:dyDescent="0.2">
      <c r="A398" s="276"/>
      <c r="B398" s="276"/>
      <c r="BC398" s="278"/>
      <c r="BD398" s="279"/>
      <c r="CF398" s="277"/>
      <c r="CG398" s="276"/>
      <c r="CH398" s="276"/>
      <c r="CJ398" s="276"/>
      <c r="DS398" s="282"/>
      <c r="DT398" s="276"/>
      <c r="DU398" s="276"/>
      <c r="DZ398" s="281"/>
      <c r="EA398" s="281"/>
      <c r="ED398" s="276"/>
      <c r="EE398" s="276"/>
      <c r="EJ398" s="281"/>
      <c r="EL398" s="276"/>
      <c r="EQ398" s="281"/>
      <c r="ES398" s="276"/>
      <c r="EY398" s="281"/>
      <c r="FA398" s="276"/>
      <c r="FB398" s="276"/>
      <c r="FH398" s="281"/>
      <c r="FJ398" s="276"/>
      <c r="FK398" s="276"/>
      <c r="FL398" s="276"/>
      <c r="FR398" s="281"/>
      <c r="FT398" s="276"/>
      <c r="FU398" s="276"/>
      <c r="FV398" s="276"/>
      <c r="FW398" s="281"/>
      <c r="GA398" s="276"/>
      <c r="GC398" s="276" t="s">
        <v>955</v>
      </c>
      <c r="GD398" s="276" t="s">
        <v>955</v>
      </c>
      <c r="GE398" s="276" t="s">
        <v>955</v>
      </c>
      <c r="GF398" s="276" t="s">
        <v>955</v>
      </c>
      <c r="GG398" s="276" t="s">
        <v>955</v>
      </c>
      <c r="GH398" s="276" t="s">
        <v>955</v>
      </c>
      <c r="GI398" s="276" t="s">
        <v>955</v>
      </c>
      <c r="GJ398" s="276" t="s">
        <v>955</v>
      </c>
      <c r="GK398" s="276" t="s">
        <v>955</v>
      </c>
      <c r="GL398" s="276" t="s">
        <v>955</v>
      </c>
      <c r="GM398" s="276" t="s">
        <v>955</v>
      </c>
      <c r="GN398" s="276" t="s">
        <v>955</v>
      </c>
      <c r="GO398" s="276" t="s">
        <v>955</v>
      </c>
      <c r="GP398" s="276" t="s">
        <v>955</v>
      </c>
      <c r="GQ398" s="276" t="s">
        <v>955</v>
      </c>
      <c r="GR398" s="276" t="s">
        <v>955</v>
      </c>
    </row>
    <row r="399" spans="1:200" x14ac:dyDescent="0.2">
      <c r="A399" s="276"/>
      <c r="B399" s="276"/>
      <c r="BC399" s="278"/>
      <c r="BD399" s="279"/>
      <c r="CF399" s="277"/>
      <c r="CG399" s="276"/>
      <c r="CH399" s="276"/>
      <c r="CJ399" s="276"/>
      <c r="DS399" s="282"/>
      <c r="DT399" s="276"/>
      <c r="DU399" s="276"/>
      <c r="DZ399" s="281"/>
      <c r="EA399" s="281"/>
      <c r="ED399" s="276"/>
      <c r="EE399" s="276"/>
      <c r="EJ399" s="281"/>
      <c r="EL399" s="276"/>
      <c r="EQ399" s="281"/>
      <c r="ES399" s="276"/>
      <c r="EY399" s="281"/>
      <c r="FA399" s="276"/>
      <c r="FB399" s="276"/>
      <c r="FH399" s="281"/>
      <c r="FJ399" s="276"/>
      <c r="FK399" s="276"/>
      <c r="FL399" s="276"/>
      <c r="FR399" s="281"/>
      <c r="FT399" s="276"/>
      <c r="FU399" s="276"/>
      <c r="FV399" s="276"/>
      <c r="FW399" s="281"/>
      <c r="GA399" s="276"/>
      <c r="GC399" s="276" t="s">
        <v>955</v>
      </c>
      <c r="GD399" s="276" t="s">
        <v>955</v>
      </c>
      <c r="GE399" s="276" t="s">
        <v>955</v>
      </c>
      <c r="GF399" s="276" t="s">
        <v>955</v>
      </c>
      <c r="GG399" s="276" t="s">
        <v>955</v>
      </c>
      <c r="GH399" s="276" t="s">
        <v>955</v>
      </c>
      <c r="GI399" s="276" t="s">
        <v>955</v>
      </c>
      <c r="GJ399" s="276" t="s">
        <v>955</v>
      </c>
      <c r="GK399" s="276" t="s">
        <v>955</v>
      </c>
      <c r="GL399" s="276" t="s">
        <v>955</v>
      </c>
      <c r="GM399" s="276" t="s">
        <v>955</v>
      </c>
      <c r="GN399" s="276" t="s">
        <v>955</v>
      </c>
      <c r="GO399" s="276" t="s">
        <v>955</v>
      </c>
      <c r="GP399" s="276" t="s">
        <v>955</v>
      </c>
      <c r="GQ399" s="276" t="s">
        <v>955</v>
      </c>
      <c r="GR399" s="276" t="s">
        <v>955</v>
      </c>
    </row>
    <row r="400" spans="1:200" x14ac:dyDescent="0.2">
      <c r="A400" s="276"/>
      <c r="B400" s="276"/>
      <c r="BC400" s="278"/>
      <c r="BD400" s="279"/>
      <c r="CF400" s="277"/>
      <c r="CG400" s="276"/>
      <c r="CH400" s="276"/>
      <c r="CJ400" s="276"/>
      <c r="DR400" s="282"/>
      <c r="DS400" s="282"/>
      <c r="DT400" s="276"/>
      <c r="DU400" s="276"/>
      <c r="DZ400" s="281"/>
      <c r="EA400" s="281"/>
      <c r="ED400" s="276"/>
      <c r="EE400" s="276"/>
      <c r="EI400" s="281"/>
      <c r="EJ400" s="281"/>
      <c r="EK400" s="276"/>
      <c r="EL400" s="276"/>
      <c r="EP400" s="281"/>
      <c r="EQ400" s="281"/>
      <c r="ER400" s="276"/>
      <c r="ES400" s="276"/>
      <c r="EX400" s="281"/>
      <c r="EY400" s="281"/>
      <c r="FA400" s="276"/>
      <c r="FB400" s="276"/>
      <c r="FG400" s="281"/>
      <c r="FH400" s="281"/>
      <c r="FJ400" s="276"/>
      <c r="FK400" s="276"/>
      <c r="FL400" s="276"/>
      <c r="FQ400" s="281"/>
      <c r="FR400" s="281"/>
      <c r="FT400" s="276"/>
      <c r="FU400" s="276"/>
      <c r="FV400" s="276"/>
      <c r="FW400" s="281"/>
      <c r="GA400" s="276"/>
      <c r="GC400" s="276" t="s">
        <v>955</v>
      </c>
      <c r="GD400" s="276" t="s">
        <v>955</v>
      </c>
      <c r="GE400" s="276" t="s">
        <v>955</v>
      </c>
      <c r="GF400" s="276" t="s">
        <v>955</v>
      </c>
      <c r="GG400" s="276" t="s">
        <v>955</v>
      </c>
      <c r="GH400" s="276" t="s">
        <v>955</v>
      </c>
      <c r="GI400" s="276" t="s">
        <v>955</v>
      </c>
      <c r="GJ400" s="276" t="s">
        <v>955</v>
      </c>
      <c r="GK400" s="276" t="s">
        <v>955</v>
      </c>
      <c r="GL400" s="276" t="s">
        <v>955</v>
      </c>
      <c r="GM400" s="276" t="s">
        <v>955</v>
      </c>
      <c r="GN400" s="276" t="s">
        <v>955</v>
      </c>
      <c r="GO400" s="276" t="s">
        <v>955</v>
      </c>
      <c r="GP400" s="276" t="s">
        <v>955</v>
      </c>
      <c r="GQ400" s="276" t="s">
        <v>955</v>
      </c>
      <c r="GR400" s="276" t="s">
        <v>955</v>
      </c>
    </row>
    <row r="401" spans="1:200" x14ac:dyDescent="0.2">
      <c r="A401" s="276"/>
      <c r="B401" s="276"/>
      <c r="BC401" s="278"/>
      <c r="BD401" s="279"/>
      <c r="CF401" s="277"/>
      <c r="CG401" s="276"/>
      <c r="CH401" s="276"/>
      <c r="CJ401" s="276"/>
      <c r="DP401" s="282"/>
      <c r="DQ401" s="282"/>
      <c r="DS401" s="276"/>
      <c r="DT401" s="276"/>
      <c r="DU401" s="276"/>
      <c r="DZ401" s="281"/>
      <c r="EA401" s="281"/>
      <c r="ED401" s="276"/>
      <c r="EE401" s="276"/>
      <c r="EG401" s="281"/>
      <c r="EH401" s="281"/>
      <c r="EK401" s="276"/>
      <c r="EL401" s="276"/>
      <c r="EN401" s="281"/>
      <c r="EO401" s="281"/>
      <c r="ER401" s="276"/>
      <c r="ES401" s="276"/>
      <c r="EV401" s="281"/>
      <c r="EW401" s="281"/>
      <c r="EX401" s="281"/>
      <c r="EZ401" s="276"/>
      <c r="FA401" s="276"/>
      <c r="FB401" s="276"/>
      <c r="FE401" s="281"/>
      <c r="FF401" s="281"/>
      <c r="FG401" s="281"/>
      <c r="FH401" s="281"/>
      <c r="FI401" s="276"/>
      <c r="FJ401" s="276"/>
      <c r="FK401" s="276"/>
      <c r="FL401" s="276"/>
      <c r="FO401" s="281"/>
      <c r="FP401" s="281"/>
      <c r="FQ401" s="281"/>
      <c r="FR401" s="281"/>
      <c r="FS401" s="276"/>
      <c r="FT401" s="276"/>
      <c r="FU401" s="276"/>
      <c r="FV401" s="276"/>
      <c r="FW401" s="281"/>
      <c r="GA401" s="276"/>
      <c r="GC401" s="276" t="s">
        <v>955</v>
      </c>
      <c r="GD401" s="276" t="s">
        <v>955</v>
      </c>
      <c r="GE401" s="276" t="s">
        <v>955</v>
      </c>
      <c r="GF401" s="276" t="s">
        <v>955</v>
      </c>
      <c r="GG401" s="276" t="s">
        <v>955</v>
      </c>
      <c r="GH401" s="276" t="s">
        <v>955</v>
      </c>
      <c r="GI401" s="276" t="s">
        <v>955</v>
      </c>
      <c r="GJ401" s="276" t="s">
        <v>955</v>
      </c>
      <c r="GK401" s="276" t="s">
        <v>955</v>
      </c>
      <c r="GL401" s="276" t="s">
        <v>955</v>
      </c>
      <c r="GM401" s="276" t="s">
        <v>955</v>
      </c>
      <c r="GN401" s="276" t="s">
        <v>955</v>
      </c>
      <c r="GO401" s="276" t="s">
        <v>955</v>
      </c>
      <c r="GP401" s="276" t="s">
        <v>955</v>
      </c>
      <c r="GQ401" s="276" t="s">
        <v>955</v>
      </c>
      <c r="GR401" s="276" t="s">
        <v>955</v>
      </c>
    </row>
    <row r="402" spans="1:200" x14ac:dyDescent="0.2">
      <c r="A402" s="276"/>
      <c r="B402" s="276"/>
      <c r="BC402" s="278"/>
      <c r="BD402" s="279"/>
      <c r="CF402" s="277"/>
      <c r="CG402" s="276"/>
      <c r="CH402" s="276"/>
      <c r="CJ402" s="276"/>
      <c r="DP402" s="282"/>
      <c r="DQ402" s="282"/>
      <c r="DS402" s="276"/>
      <c r="DT402" s="276"/>
      <c r="DU402" s="276"/>
      <c r="DZ402" s="281"/>
      <c r="EA402" s="281"/>
      <c r="ED402" s="276"/>
      <c r="EE402" s="276"/>
      <c r="EG402" s="281"/>
      <c r="EH402" s="281"/>
      <c r="EK402" s="276"/>
      <c r="EL402" s="276"/>
      <c r="EN402" s="281"/>
      <c r="EO402" s="281"/>
      <c r="ER402" s="276"/>
      <c r="ES402" s="276"/>
      <c r="EV402" s="281"/>
      <c r="EW402" s="281"/>
      <c r="EX402" s="281"/>
      <c r="EZ402" s="276"/>
      <c r="FA402" s="276"/>
      <c r="FB402" s="276"/>
      <c r="FE402" s="281"/>
      <c r="FF402" s="281"/>
      <c r="FG402" s="281"/>
      <c r="FH402" s="281"/>
      <c r="FI402" s="276"/>
      <c r="FJ402" s="276"/>
      <c r="FK402" s="276"/>
      <c r="FL402" s="276"/>
      <c r="FO402" s="281"/>
      <c r="FP402" s="281"/>
      <c r="FQ402" s="281"/>
      <c r="FR402" s="281"/>
      <c r="FS402" s="276"/>
      <c r="FT402" s="276"/>
      <c r="FU402" s="276"/>
      <c r="FV402" s="276"/>
      <c r="FW402" s="281"/>
      <c r="GA402" s="276"/>
      <c r="GC402" s="276" t="s">
        <v>955</v>
      </c>
      <c r="GD402" s="276" t="s">
        <v>955</v>
      </c>
      <c r="GE402" s="276" t="s">
        <v>955</v>
      </c>
      <c r="GF402" s="276" t="s">
        <v>955</v>
      </c>
      <c r="GG402" s="276" t="s">
        <v>955</v>
      </c>
      <c r="GH402" s="276" t="s">
        <v>955</v>
      </c>
      <c r="GI402" s="276" t="s">
        <v>955</v>
      </c>
      <c r="GJ402" s="276" t="s">
        <v>955</v>
      </c>
      <c r="GK402" s="276" t="s">
        <v>955</v>
      </c>
      <c r="GL402" s="276" t="s">
        <v>955</v>
      </c>
      <c r="GM402" s="276" t="s">
        <v>955</v>
      </c>
      <c r="GN402" s="276" t="s">
        <v>955</v>
      </c>
      <c r="GO402" s="276" t="s">
        <v>955</v>
      </c>
      <c r="GP402" s="276" t="s">
        <v>955</v>
      </c>
      <c r="GQ402" s="276" t="s">
        <v>955</v>
      </c>
      <c r="GR402" s="276" t="s">
        <v>955</v>
      </c>
    </row>
    <row r="403" spans="1:200" x14ac:dyDescent="0.2">
      <c r="A403" s="276"/>
      <c r="B403" s="276"/>
      <c r="BC403" s="278"/>
      <c r="BD403" s="279"/>
      <c r="CF403" s="277"/>
      <c r="CG403" s="276"/>
      <c r="CH403" s="276"/>
      <c r="CJ403" s="276"/>
      <c r="DP403" s="282"/>
      <c r="DQ403" s="282"/>
      <c r="DS403" s="276"/>
      <c r="DT403" s="276"/>
      <c r="DU403" s="276"/>
      <c r="DZ403" s="281"/>
      <c r="EA403" s="281"/>
      <c r="ED403" s="276"/>
      <c r="EE403" s="276"/>
      <c r="EG403" s="281"/>
      <c r="EH403" s="281"/>
      <c r="EK403" s="276"/>
      <c r="EL403" s="276"/>
      <c r="EN403" s="281"/>
      <c r="EO403" s="281"/>
      <c r="ER403" s="276"/>
      <c r="ES403" s="276"/>
      <c r="EV403" s="281"/>
      <c r="EW403" s="281"/>
      <c r="EX403" s="281"/>
      <c r="EZ403" s="276"/>
      <c r="FA403" s="276"/>
      <c r="FB403" s="276"/>
      <c r="FE403" s="281"/>
      <c r="FF403" s="281"/>
      <c r="FG403" s="281"/>
      <c r="FH403" s="281"/>
      <c r="FI403" s="276"/>
      <c r="FJ403" s="276"/>
      <c r="FK403" s="276"/>
      <c r="FL403" s="276"/>
      <c r="FO403" s="281"/>
      <c r="FP403" s="281"/>
      <c r="FQ403" s="281"/>
      <c r="FR403" s="281"/>
      <c r="FS403" s="276"/>
      <c r="FT403" s="276"/>
      <c r="FU403" s="276"/>
      <c r="FV403" s="276"/>
      <c r="FW403" s="281"/>
      <c r="GA403" s="276"/>
      <c r="GC403" s="276" t="s">
        <v>955</v>
      </c>
      <c r="GD403" s="276" t="s">
        <v>955</v>
      </c>
      <c r="GE403" s="276" t="s">
        <v>955</v>
      </c>
      <c r="GF403" s="276" t="s">
        <v>955</v>
      </c>
      <c r="GG403" s="276" t="s">
        <v>955</v>
      </c>
      <c r="GH403" s="276" t="s">
        <v>955</v>
      </c>
      <c r="GI403" s="276" t="s">
        <v>955</v>
      </c>
      <c r="GJ403" s="276" t="s">
        <v>955</v>
      </c>
      <c r="GK403" s="276" t="s">
        <v>955</v>
      </c>
      <c r="GL403" s="276" t="s">
        <v>955</v>
      </c>
      <c r="GM403" s="276" t="s">
        <v>955</v>
      </c>
      <c r="GN403" s="276" t="s">
        <v>955</v>
      </c>
      <c r="GO403" s="276" t="s">
        <v>955</v>
      </c>
      <c r="GP403" s="276" t="s">
        <v>955</v>
      </c>
      <c r="GQ403" s="276" t="s">
        <v>955</v>
      </c>
      <c r="GR403" s="276" t="s">
        <v>955</v>
      </c>
    </row>
    <row r="404" spans="1:200" x14ac:dyDescent="0.2">
      <c r="A404" s="276"/>
      <c r="B404" s="276"/>
      <c r="BC404" s="278"/>
      <c r="BD404" s="279"/>
      <c r="CF404" s="277"/>
      <c r="CG404" s="276"/>
      <c r="CH404" s="276"/>
      <c r="CJ404" s="276"/>
      <c r="DP404" s="282"/>
      <c r="DQ404" s="282"/>
      <c r="DS404" s="276"/>
      <c r="DT404" s="276"/>
      <c r="DU404" s="276"/>
      <c r="DZ404" s="281"/>
      <c r="EA404" s="281"/>
      <c r="ED404" s="276"/>
      <c r="EE404" s="276"/>
      <c r="EG404" s="281"/>
      <c r="EH404" s="281"/>
      <c r="EK404" s="276"/>
      <c r="EL404" s="276"/>
      <c r="EN404" s="281"/>
      <c r="EO404" s="281"/>
      <c r="ER404" s="276"/>
      <c r="ES404" s="276"/>
      <c r="EV404" s="281"/>
      <c r="EW404" s="281"/>
      <c r="EX404" s="281"/>
      <c r="EZ404" s="276"/>
      <c r="FA404" s="276"/>
      <c r="FB404" s="276"/>
      <c r="FE404" s="281"/>
      <c r="FF404" s="281"/>
      <c r="FG404" s="281"/>
      <c r="FH404" s="281"/>
      <c r="FI404" s="276"/>
      <c r="FJ404" s="276"/>
      <c r="FK404" s="276"/>
      <c r="FL404" s="276"/>
      <c r="FO404" s="281"/>
      <c r="FP404" s="281"/>
      <c r="FQ404" s="281"/>
      <c r="FR404" s="281"/>
      <c r="FS404" s="276"/>
      <c r="FT404" s="276"/>
      <c r="FU404" s="276"/>
      <c r="FV404" s="276"/>
      <c r="FW404" s="281"/>
      <c r="GA404" s="276"/>
      <c r="GC404" s="276" t="s">
        <v>955</v>
      </c>
      <c r="GD404" s="276" t="s">
        <v>955</v>
      </c>
      <c r="GE404" s="276" t="s">
        <v>955</v>
      </c>
      <c r="GF404" s="276" t="s">
        <v>955</v>
      </c>
      <c r="GG404" s="276" t="s">
        <v>955</v>
      </c>
      <c r="GH404" s="276" t="s">
        <v>955</v>
      </c>
      <c r="GI404" s="276" t="s">
        <v>955</v>
      </c>
      <c r="GJ404" s="276" t="s">
        <v>955</v>
      </c>
      <c r="GK404" s="276" t="s">
        <v>955</v>
      </c>
      <c r="GL404" s="276" t="s">
        <v>955</v>
      </c>
      <c r="GM404" s="276" t="s">
        <v>955</v>
      </c>
      <c r="GN404" s="276" t="s">
        <v>955</v>
      </c>
      <c r="GO404" s="276" t="s">
        <v>955</v>
      </c>
      <c r="GP404" s="276" t="s">
        <v>955</v>
      </c>
      <c r="GQ404" s="276" t="s">
        <v>955</v>
      </c>
      <c r="GR404" s="276" t="s">
        <v>955</v>
      </c>
    </row>
    <row r="405" spans="1:200" x14ac:dyDescent="0.2">
      <c r="A405" s="276"/>
      <c r="B405" s="276"/>
      <c r="BC405" s="278"/>
      <c r="BD405" s="279"/>
      <c r="CF405" s="277"/>
      <c r="CG405" s="276"/>
      <c r="CH405" s="276"/>
      <c r="CJ405" s="276"/>
      <c r="DP405" s="282"/>
      <c r="DQ405" s="282"/>
      <c r="DS405" s="276"/>
      <c r="DT405" s="276"/>
      <c r="DU405" s="276"/>
      <c r="DZ405" s="281"/>
      <c r="EA405" s="281"/>
      <c r="ED405" s="276"/>
      <c r="EE405" s="276"/>
      <c r="EG405" s="281"/>
      <c r="EH405" s="281"/>
      <c r="EK405" s="276"/>
      <c r="EL405" s="276"/>
      <c r="EN405" s="281"/>
      <c r="EO405" s="281"/>
      <c r="ER405" s="276"/>
      <c r="ES405" s="276"/>
      <c r="EV405" s="281"/>
      <c r="EW405" s="281"/>
      <c r="EX405" s="281"/>
      <c r="EZ405" s="276"/>
      <c r="FA405" s="276"/>
      <c r="FB405" s="276"/>
      <c r="FE405" s="281"/>
      <c r="FF405" s="281"/>
      <c r="FG405" s="281"/>
      <c r="FH405" s="281"/>
      <c r="FI405" s="276"/>
      <c r="FJ405" s="276"/>
      <c r="FK405" s="276"/>
      <c r="FL405" s="276"/>
      <c r="FO405" s="281"/>
      <c r="FP405" s="281"/>
      <c r="FQ405" s="281"/>
      <c r="FR405" s="281"/>
      <c r="FS405" s="276"/>
      <c r="FT405" s="276"/>
      <c r="FU405" s="276"/>
      <c r="FV405" s="276"/>
      <c r="FW405" s="281"/>
      <c r="GA405" s="276"/>
      <c r="GC405" s="276" t="s">
        <v>955</v>
      </c>
      <c r="GD405" s="276" t="s">
        <v>955</v>
      </c>
      <c r="GE405" s="276" t="s">
        <v>955</v>
      </c>
      <c r="GF405" s="276" t="s">
        <v>955</v>
      </c>
      <c r="GG405" s="276" t="s">
        <v>955</v>
      </c>
      <c r="GH405" s="276" t="s">
        <v>955</v>
      </c>
      <c r="GI405" s="276" t="s">
        <v>955</v>
      </c>
      <c r="GJ405" s="276" t="s">
        <v>955</v>
      </c>
      <c r="GK405" s="276" t="s">
        <v>955</v>
      </c>
      <c r="GL405" s="276" t="s">
        <v>955</v>
      </c>
      <c r="GM405" s="276" t="s">
        <v>955</v>
      </c>
      <c r="GN405" s="276" t="s">
        <v>955</v>
      </c>
      <c r="GO405" s="276" t="s">
        <v>955</v>
      </c>
      <c r="GP405" s="276" t="s">
        <v>955</v>
      </c>
      <c r="GQ405" s="276" t="s">
        <v>955</v>
      </c>
      <c r="GR405" s="276" t="s">
        <v>955</v>
      </c>
    </row>
    <row r="406" spans="1:200" x14ac:dyDescent="0.2">
      <c r="A406" s="276"/>
      <c r="B406" s="276"/>
      <c r="BC406" s="278"/>
      <c r="BD406" s="279"/>
      <c r="CF406" s="277"/>
      <c r="CG406" s="276"/>
      <c r="CH406" s="276"/>
      <c r="CJ406" s="276"/>
      <c r="DP406" s="282"/>
      <c r="DQ406" s="282"/>
      <c r="DS406" s="276"/>
      <c r="DT406" s="276"/>
      <c r="DU406" s="276"/>
      <c r="DZ406" s="281"/>
      <c r="EA406" s="281"/>
      <c r="ED406" s="276"/>
      <c r="EE406" s="276"/>
      <c r="EG406" s="281"/>
      <c r="EH406" s="281"/>
      <c r="EK406" s="276"/>
      <c r="EL406" s="276"/>
      <c r="EN406" s="281"/>
      <c r="EO406" s="281"/>
      <c r="ER406" s="276"/>
      <c r="ES406" s="276"/>
      <c r="EV406" s="281"/>
      <c r="EW406" s="281"/>
      <c r="EX406" s="281"/>
      <c r="EZ406" s="276"/>
      <c r="FA406" s="276"/>
      <c r="FB406" s="276"/>
      <c r="FE406" s="281"/>
      <c r="FF406" s="281"/>
      <c r="FG406" s="281"/>
      <c r="FH406" s="281"/>
      <c r="FI406" s="276"/>
      <c r="FJ406" s="276"/>
      <c r="FK406" s="276"/>
      <c r="FL406" s="276"/>
      <c r="FO406" s="281"/>
      <c r="FP406" s="281"/>
      <c r="FQ406" s="281"/>
      <c r="FR406" s="281"/>
      <c r="FS406" s="276"/>
      <c r="FT406" s="276"/>
      <c r="FU406" s="276"/>
      <c r="FV406" s="276"/>
      <c r="FW406" s="281"/>
      <c r="GA406" s="276"/>
      <c r="GC406" s="276" t="s">
        <v>955</v>
      </c>
      <c r="GD406" s="276" t="s">
        <v>955</v>
      </c>
      <c r="GE406" s="276" t="s">
        <v>955</v>
      </c>
      <c r="GF406" s="276" t="s">
        <v>955</v>
      </c>
      <c r="GG406" s="276" t="s">
        <v>955</v>
      </c>
      <c r="GH406" s="276" t="s">
        <v>955</v>
      </c>
      <c r="GI406" s="276" t="s">
        <v>955</v>
      </c>
      <c r="GJ406" s="276" t="s">
        <v>955</v>
      </c>
      <c r="GK406" s="276" t="s">
        <v>955</v>
      </c>
      <c r="GL406" s="276" t="s">
        <v>955</v>
      </c>
      <c r="GM406" s="276" t="s">
        <v>955</v>
      </c>
      <c r="GN406" s="276" t="s">
        <v>955</v>
      </c>
      <c r="GO406" s="276" t="s">
        <v>955</v>
      </c>
      <c r="GP406" s="276" t="s">
        <v>955</v>
      </c>
      <c r="GQ406" s="276" t="s">
        <v>955</v>
      </c>
      <c r="GR406" s="276" t="s">
        <v>955</v>
      </c>
    </row>
    <row r="407" spans="1:200" x14ac:dyDescent="0.2">
      <c r="A407" s="276"/>
      <c r="B407" s="276"/>
      <c r="BC407" s="278"/>
      <c r="BD407" s="279"/>
      <c r="CF407" s="277"/>
      <c r="CG407" s="276"/>
      <c r="CH407" s="276"/>
      <c r="CJ407" s="276"/>
      <c r="DP407" s="282"/>
      <c r="DQ407" s="282"/>
      <c r="DS407" s="276"/>
      <c r="DT407" s="276"/>
      <c r="DU407" s="276"/>
      <c r="DZ407" s="281"/>
      <c r="EA407" s="281"/>
      <c r="ED407" s="276"/>
      <c r="EE407" s="276"/>
      <c r="EG407" s="281"/>
      <c r="EH407" s="281"/>
      <c r="EK407" s="276"/>
      <c r="EL407" s="276"/>
      <c r="EN407" s="281"/>
      <c r="EO407" s="281"/>
      <c r="ER407" s="276"/>
      <c r="ES407" s="276"/>
      <c r="EV407" s="281"/>
      <c r="EW407" s="281"/>
      <c r="EX407" s="281"/>
      <c r="EZ407" s="276"/>
      <c r="FA407" s="276"/>
      <c r="FB407" s="276"/>
      <c r="FE407" s="281"/>
      <c r="FF407" s="281"/>
      <c r="FG407" s="281"/>
      <c r="FH407" s="281"/>
      <c r="FI407" s="276"/>
      <c r="FJ407" s="276"/>
      <c r="FK407" s="276"/>
      <c r="FL407" s="276"/>
      <c r="FO407" s="281"/>
      <c r="FP407" s="281"/>
      <c r="FQ407" s="281"/>
      <c r="FR407" s="281"/>
      <c r="FS407" s="276"/>
      <c r="FT407" s="276"/>
      <c r="FU407" s="276"/>
      <c r="FV407" s="276"/>
      <c r="FW407" s="281"/>
      <c r="GA407" s="276"/>
      <c r="GC407" s="276" t="s">
        <v>955</v>
      </c>
      <c r="GD407" s="276" t="s">
        <v>955</v>
      </c>
      <c r="GE407" s="276" t="s">
        <v>955</v>
      </c>
      <c r="GF407" s="276" t="s">
        <v>955</v>
      </c>
      <c r="GG407" s="276" t="s">
        <v>955</v>
      </c>
      <c r="GH407" s="276" t="s">
        <v>955</v>
      </c>
      <c r="GI407" s="276" t="s">
        <v>955</v>
      </c>
      <c r="GJ407" s="276" t="s">
        <v>955</v>
      </c>
      <c r="GK407" s="276" t="s">
        <v>955</v>
      </c>
      <c r="GL407" s="276" t="s">
        <v>955</v>
      </c>
      <c r="GM407" s="276" t="s">
        <v>955</v>
      </c>
      <c r="GN407" s="276" t="s">
        <v>955</v>
      </c>
      <c r="GO407" s="276" t="s">
        <v>955</v>
      </c>
      <c r="GP407" s="276" t="s">
        <v>955</v>
      </c>
      <c r="GQ407" s="276" t="s">
        <v>955</v>
      </c>
      <c r="GR407" s="276" t="s">
        <v>955</v>
      </c>
    </row>
    <row r="408" spans="1:200" x14ac:dyDescent="0.2">
      <c r="A408" s="276"/>
      <c r="B408" s="276"/>
      <c r="BC408" s="278"/>
      <c r="BD408" s="290"/>
      <c r="CF408" s="277"/>
      <c r="CG408" s="276"/>
      <c r="CH408" s="276"/>
      <c r="CJ408" s="276"/>
      <c r="DP408" s="282"/>
      <c r="DQ408" s="282"/>
      <c r="DS408" s="276"/>
      <c r="DT408" s="276"/>
      <c r="DU408" s="276"/>
      <c r="DZ408" s="281"/>
      <c r="EA408" s="281"/>
      <c r="ED408" s="276"/>
      <c r="EE408" s="276"/>
      <c r="EG408" s="281"/>
      <c r="EH408" s="281"/>
      <c r="EK408" s="276"/>
      <c r="EL408" s="276"/>
      <c r="EN408" s="281"/>
      <c r="EO408" s="281"/>
      <c r="ER408" s="276"/>
      <c r="ES408" s="276"/>
      <c r="EV408" s="281"/>
      <c r="EW408" s="281"/>
      <c r="EX408" s="281"/>
      <c r="EZ408" s="276"/>
      <c r="FA408" s="276"/>
      <c r="FB408" s="276"/>
      <c r="FE408" s="281"/>
      <c r="FF408" s="281"/>
      <c r="FG408" s="281"/>
      <c r="FH408" s="281"/>
      <c r="FI408" s="276"/>
      <c r="FJ408" s="276"/>
      <c r="FK408" s="276"/>
      <c r="FL408" s="276"/>
      <c r="FO408" s="281"/>
      <c r="FP408" s="281"/>
      <c r="FQ408" s="281"/>
      <c r="FR408" s="281"/>
      <c r="FS408" s="276"/>
      <c r="FT408" s="276"/>
      <c r="FU408" s="276"/>
      <c r="FV408" s="276"/>
      <c r="FW408" s="281"/>
      <c r="GA408" s="276"/>
      <c r="GC408" s="276" t="s">
        <v>955</v>
      </c>
      <c r="GD408" s="276" t="s">
        <v>955</v>
      </c>
      <c r="GE408" s="276" t="s">
        <v>955</v>
      </c>
      <c r="GF408" s="276" t="s">
        <v>955</v>
      </c>
      <c r="GG408" s="276" t="s">
        <v>955</v>
      </c>
      <c r="GH408" s="276" t="s">
        <v>955</v>
      </c>
      <c r="GI408" s="276" t="s">
        <v>955</v>
      </c>
      <c r="GJ408" s="276" t="s">
        <v>955</v>
      </c>
      <c r="GK408" s="276" t="s">
        <v>955</v>
      </c>
      <c r="GL408" s="276" t="s">
        <v>955</v>
      </c>
      <c r="GM408" s="276" t="s">
        <v>955</v>
      </c>
      <c r="GN408" s="276" t="s">
        <v>955</v>
      </c>
      <c r="GO408" s="276" t="s">
        <v>955</v>
      </c>
      <c r="GP408" s="276" t="s">
        <v>955</v>
      </c>
      <c r="GQ408" s="276" t="s">
        <v>955</v>
      </c>
      <c r="GR408" s="276" t="s">
        <v>955</v>
      </c>
    </row>
    <row r="409" spans="1:200" x14ac:dyDescent="0.2">
      <c r="A409" s="276"/>
      <c r="B409" s="276"/>
      <c r="BC409" s="278"/>
      <c r="BD409" s="290"/>
      <c r="CF409" s="277"/>
      <c r="CG409" s="276"/>
      <c r="CH409" s="276"/>
      <c r="CJ409" s="276"/>
      <c r="DP409" s="282"/>
      <c r="DQ409" s="282"/>
      <c r="DS409" s="276"/>
      <c r="DT409" s="276"/>
      <c r="DU409" s="276"/>
      <c r="DZ409" s="281"/>
      <c r="EA409" s="281"/>
      <c r="ED409" s="276"/>
      <c r="EE409" s="276"/>
      <c r="EG409" s="281"/>
      <c r="EH409" s="281"/>
      <c r="EK409" s="276"/>
      <c r="EL409" s="276"/>
      <c r="EN409" s="281"/>
      <c r="EO409" s="281"/>
      <c r="ER409" s="276"/>
      <c r="ES409" s="276"/>
      <c r="EV409" s="281"/>
      <c r="EW409" s="281"/>
      <c r="EX409" s="281"/>
      <c r="EZ409" s="276"/>
      <c r="FA409" s="276"/>
      <c r="FB409" s="276"/>
      <c r="FE409" s="281"/>
      <c r="FF409" s="281"/>
      <c r="FG409" s="281"/>
      <c r="FH409" s="281"/>
      <c r="FI409" s="276"/>
      <c r="FJ409" s="276"/>
      <c r="FK409" s="276"/>
      <c r="FL409" s="276"/>
      <c r="FO409" s="281"/>
      <c r="FP409" s="281"/>
      <c r="FQ409" s="281"/>
      <c r="FR409" s="281"/>
      <c r="FS409" s="276"/>
      <c r="FT409" s="276"/>
      <c r="FU409" s="276"/>
      <c r="FV409" s="276"/>
      <c r="FW409" s="281"/>
      <c r="GA409" s="276"/>
      <c r="GC409" s="276" t="s">
        <v>955</v>
      </c>
      <c r="GD409" s="276" t="s">
        <v>955</v>
      </c>
      <c r="GE409" s="276" t="s">
        <v>955</v>
      </c>
      <c r="GF409" s="276" t="s">
        <v>955</v>
      </c>
      <c r="GG409" s="276" t="s">
        <v>955</v>
      </c>
      <c r="GH409" s="276" t="s">
        <v>955</v>
      </c>
      <c r="GI409" s="276" t="s">
        <v>955</v>
      </c>
      <c r="GJ409" s="276" t="s">
        <v>955</v>
      </c>
      <c r="GK409" s="276" t="s">
        <v>955</v>
      </c>
      <c r="GL409" s="276" t="s">
        <v>955</v>
      </c>
      <c r="GM409" s="276" t="s">
        <v>955</v>
      </c>
      <c r="GN409" s="276" t="s">
        <v>955</v>
      </c>
      <c r="GO409" s="276" t="s">
        <v>955</v>
      </c>
      <c r="GP409" s="276" t="s">
        <v>955</v>
      </c>
      <c r="GQ409" s="276" t="s">
        <v>955</v>
      </c>
      <c r="GR409" s="276" t="s">
        <v>955</v>
      </c>
    </row>
    <row r="410" spans="1:200" x14ac:dyDescent="0.2">
      <c r="A410" s="276"/>
      <c r="B410" s="276"/>
      <c r="BC410" s="278"/>
      <c r="BD410" s="290"/>
      <c r="CF410" s="277"/>
      <c r="CG410" s="276"/>
      <c r="CH410" s="276"/>
      <c r="CJ410" s="276"/>
      <c r="DP410" s="282"/>
      <c r="DQ410" s="282"/>
      <c r="DS410" s="276"/>
      <c r="DT410" s="276"/>
      <c r="DU410" s="276"/>
      <c r="DZ410" s="281"/>
      <c r="EA410" s="281"/>
      <c r="ED410" s="276"/>
      <c r="EE410" s="276"/>
      <c r="EG410" s="281"/>
      <c r="EH410" s="281"/>
      <c r="EK410" s="276"/>
      <c r="EL410" s="276"/>
      <c r="EN410" s="281"/>
      <c r="EO410" s="281"/>
      <c r="ER410" s="276"/>
      <c r="ES410" s="276"/>
      <c r="EV410" s="281"/>
      <c r="EW410" s="281"/>
      <c r="EX410" s="281"/>
      <c r="EZ410" s="276"/>
      <c r="FA410" s="276"/>
      <c r="FB410" s="276"/>
      <c r="FE410" s="281"/>
      <c r="FF410" s="281"/>
      <c r="FG410" s="281"/>
      <c r="FH410" s="281"/>
      <c r="FI410" s="276"/>
      <c r="FJ410" s="276"/>
      <c r="FK410" s="276"/>
      <c r="FL410" s="276"/>
      <c r="FO410" s="281"/>
      <c r="FP410" s="281"/>
      <c r="FQ410" s="281"/>
      <c r="FR410" s="281"/>
      <c r="FS410" s="276"/>
      <c r="FT410" s="276"/>
      <c r="FU410" s="276"/>
      <c r="FV410" s="276"/>
      <c r="FW410" s="281"/>
      <c r="GA410" s="276"/>
      <c r="GC410" s="276" t="s">
        <v>955</v>
      </c>
      <c r="GD410" s="276" t="s">
        <v>955</v>
      </c>
      <c r="GE410" s="276" t="s">
        <v>955</v>
      </c>
      <c r="GF410" s="276" t="s">
        <v>955</v>
      </c>
      <c r="GG410" s="276" t="s">
        <v>955</v>
      </c>
      <c r="GH410" s="276" t="s">
        <v>955</v>
      </c>
      <c r="GI410" s="276" t="s">
        <v>955</v>
      </c>
      <c r="GJ410" s="276" t="s">
        <v>955</v>
      </c>
      <c r="GK410" s="276" t="s">
        <v>955</v>
      </c>
      <c r="GL410" s="276" t="s">
        <v>955</v>
      </c>
      <c r="GM410" s="276" t="s">
        <v>955</v>
      </c>
      <c r="GN410" s="276" t="s">
        <v>955</v>
      </c>
      <c r="GO410" s="276" t="s">
        <v>955</v>
      </c>
      <c r="GP410" s="276" t="s">
        <v>955</v>
      </c>
      <c r="GQ410" s="276" t="s">
        <v>955</v>
      </c>
      <c r="GR410" s="276" t="s">
        <v>955</v>
      </c>
    </row>
    <row r="411" spans="1:200" x14ac:dyDescent="0.2">
      <c r="A411" s="276"/>
      <c r="B411" s="276"/>
      <c r="BC411" s="278"/>
      <c r="BD411" s="279"/>
      <c r="CF411" s="277"/>
      <c r="CG411" s="276"/>
      <c r="CH411" s="276"/>
      <c r="CJ411" s="276"/>
      <c r="DP411" s="282"/>
      <c r="DQ411" s="282"/>
      <c r="DS411" s="276"/>
      <c r="DT411" s="276"/>
      <c r="DU411" s="276"/>
      <c r="DZ411" s="281"/>
      <c r="EA411" s="281"/>
      <c r="ED411" s="276"/>
      <c r="EE411" s="276"/>
      <c r="EG411" s="281"/>
      <c r="EH411" s="281"/>
      <c r="EK411" s="276"/>
      <c r="EL411" s="276"/>
      <c r="EN411" s="281"/>
      <c r="EO411" s="281"/>
      <c r="ER411" s="276"/>
      <c r="ES411" s="276"/>
      <c r="EV411" s="281"/>
      <c r="EW411" s="281"/>
      <c r="EX411" s="281"/>
      <c r="EZ411" s="276"/>
      <c r="FA411" s="276"/>
      <c r="FB411" s="276"/>
      <c r="FE411" s="281"/>
      <c r="FF411" s="281"/>
      <c r="FG411" s="281"/>
      <c r="FH411" s="281"/>
      <c r="FI411" s="276"/>
      <c r="FJ411" s="276"/>
      <c r="FK411" s="276"/>
      <c r="FL411" s="276"/>
      <c r="FO411" s="281"/>
      <c r="FP411" s="281"/>
      <c r="FQ411" s="281"/>
      <c r="FR411" s="281"/>
      <c r="FS411" s="276"/>
      <c r="FT411" s="276"/>
      <c r="FU411" s="276"/>
      <c r="FV411" s="276"/>
      <c r="FW411" s="281"/>
      <c r="GA411" s="276"/>
      <c r="GC411" s="276" t="s">
        <v>955</v>
      </c>
      <c r="GD411" s="276" t="s">
        <v>955</v>
      </c>
      <c r="GE411" s="276" t="s">
        <v>955</v>
      </c>
      <c r="GF411" s="276" t="s">
        <v>955</v>
      </c>
      <c r="GG411" s="276" t="s">
        <v>955</v>
      </c>
      <c r="GH411" s="276" t="s">
        <v>955</v>
      </c>
      <c r="GI411" s="276" t="s">
        <v>955</v>
      </c>
      <c r="GJ411" s="276" t="s">
        <v>955</v>
      </c>
      <c r="GK411" s="276" t="s">
        <v>955</v>
      </c>
      <c r="GL411" s="276" t="s">
        <v>955</v>
      </c>
      <c r="GM411" s="276" t="s">
        <v>955</v>
      </c>
      <c r="GN411" s="276" t="s">
        <v>955</v>
      </c>
      <c r="GO411" s="276" t="s">
        <v>955</v>
      </c>
      <c r="GP411" s="276" t="s">
        <v>955</v>
      </c>
      <c r="GQ411" s="276" t="s">
        <v>955</v>
      </c>
      <c r="GR411" s="276" t="s">
        <v>955</v>
      </c>
    </row>
    <row r="412" spans="1:200" x14ac:dyDescent="0.2">
      <c r="A412" s="276"/>
      <c r="B412" s="276"/>
      <c r="BC412" s="278"/>
      <c r="BD412" s="279"/>
      <c r="CF412" s="277"/>
      <c r="CG412" s="276"/>
      <c r="CH412" s="276"/>
      <c r="CJ412" s="276"/>
      <c r="DP412" s="282"/>
      <c r="DQ412" s="282"/>
      <c r="DS412" s="276"/>
      <c r="DT412" s="276"/>
      <c r="DU412" s="276"/>
      <c r="DZ412" s="281"/>
      <c r="EA412" s="281"/>
      <c r="ED412" s="276"/>
      <c r="EE412" s="276"/>
      <c r="EG412" s="281"/>
      <c r="EH412" s="281"/>
      <c r="EK412" s="276"/>
      <c r="EL412" s="276"/>
      <c r="EN412" s="281"/>
      <c r="EO412" s="281"/>
      <c r="ER412" s="276"/>
      <c r="ES412" s="276"/>
      <c r="EV412" s="281"/>
      <c r="EW412" s="281"/>
      <c r="EX412" s="281"/>
      <c r="EZ412" s="276"/>
      <c r="FA412" s="276"/>
      <c r="FB412" s="276"/>
      <c r="FE412" s="281"/>
      <c r="FF412" s="281"/>
      <c r="FG412" s="281"/>
      <c r="FH412" s="281"/>
      <c r="FI412" s="276"/>
      <c r="FJ412" s="276"/>
      <c r="FK412" s="276"/>
      <c r="FL412" s="276"/>
      <c r="FO412" s="281"/>
      <c r="FP412" s="281"/>
      <c r="FQ412" s="281"/>
      <c r="FR412" s="281"/>
      <c r="FS412" s="276"/>
      <c r="FT412" s="276"/>
      <c r="FU412" s="276"/>
      <c r="FV412" s="276"/>
      <c r="FW412" s="281"/>
      <c r="GA412" s="276"/>
      <c r="GC412" s="276" t="s">
        <v>955</v>
      </c>
      <c r="GD412" s="276" t="s">
        <v>955</v>
      </c>
      <c r="GE412" s="276" t="s">
        <v>955</v>
      </c>
      <c r="GF412" s="276" t="s">
        <v>955</v>
      </c>
      <c r="GG412" s="276" t="s">
        <v>955</v>
      </c>
      <c r="GH412" s="276" t="s">
        <v>955</v>
      </c>
      <c r="GI412" s="276" t="s">
        <v>955</v>
      </c>
      <c r="GJ412" s="276" t="s">
        <v>955</v>
      </c>
      <c r="GK412" s="276" t="s">
        <v>955</v>
      </c>
      <c r="GL412" s="276" t="s">
        <v>955</v>
      </c>
      <c r="GM412" s="276" t="s">
        <v>955</v>
      </c>
      <c r="GN412" s="276" t="s">
        <v>955</v>
      </c>
      <c r="GO412" s="276" t="s">
        <v>955</v>
      </c>
      <c r="GP412" s="276" t="s">
        <v>955</v>
      </c>
      <c r="GQ412" s="276" t="s">
        <v>955</v>
      </c>
      <c r="GR412" s="276" t="s">
        <v>955</v>
      </c>
    </row>
    <row r="413" spans="1:200" x14ac:dyDescent="0.2">
      <c r="A413" s="276"/>
      <c r="B413" s="276"/>
      <c r="BC413" s="278"/>
      <c r="BD413" s="279"/>
      <c r="CF413" s="277"/>
      <c r="CG413" s="276"/>
      <c r="CH413" s="276"/>
      <c r="CJ413" s="276"/>
      <c r="DP413" s="282"/>
      <c r="DQ413" s="282"/>
      <c r="DS413" s="276"/>
      <c r="DT413" s="276"/>
      <c r="DU413" s="276"/>
      <c r="DZ413" s="281"/>
      <c r="EA413" s="281"/>
      <c r="ED413" s="276"/>
      <c r="EE413" s="276"/>
      <c r="EG413" s="281"/>
      <c r="EH413" s="281"/>
      <c r="EK413" s="276"/>
      <c r="EL413" s="276"/>
      <c r="EN413" s="281"/>
      <c r="EO413" s="281"/>
      <c r="ER413" s="276"/>
      <c r="ES413" s="276"/>
      <c r="EV413" s="281"/>
      <c r="EW413" s="281"/>
      <c r="EX413" s="281"/>
      <c r="EZ413" s="276"/>
      <c r="FA413" s="276"/>
      <c r="FB413" s="276"/>
      <c r="FE413" s="281"/>
      <c r="FF413" s="281"/>
      <c r="FG413" s="281"/>
      <c r="FH413" s="281"/>
      <c r="FI413" s="276"/>
      <c r="FJ413" s="276"/>
      <c r="FK413" s="276"/>
      <c r="FL413" s="276"/>
      <c r="FO413" s="281"/>
      <c r="FP413" s="281"/>
      <c r="FQ413" s="281"/>
      <c r="FR413" s="281"/>
      <c r="FS413" s="276"/>
      <c r="FT413" s="276"/>
      <c r="FU413" s="276"/>
      <c r="FV413" s="276"/>
      <c r="FW413" s="281"/>
      <c r="GA413" s="276"/>
      <c r="GC413" s="276" t="s">
        <v>955</v>
      </c>
      <c r="GD413" s="276" t="s">
        <v>955</v>
      </c>
      <c r="GE413" s="276" t="s">
        <v>955</v>
      </c>
      <c r="GF413" s="276" t="s">
        <v>955</v>
      </c>
      <c r="GG413" s="276" t="s">
        <v>955</v>
      </c>
      <c r="GH413" s="276" t="s">
        <v>955</v>
      </c>
      <c r="GI413" s="276" t="s">
        <v>955</v>
      </c>
      <c r="GJ413" s="276" t="s">
        <v>955</v>
      </c>
      <c r="GK413" s="276" t="s">
        <v>955</v>
      </c>
      <c r="GL413" s="276" t="s">
        <v>955</v>
      </c>
      <c r="GM413" s="276" t="s">
        <v>955</v>
      </c>
      <c r="GN413" s="276" t="s">
        <v>955</v>
      </c>
      <c r="GO413" s="276" t="s">
        <v>955</v>
      </c>
      <c r="GP413" s="276" t="s">
        <v>955</v>
      </c>
      <c r="GQ413" s="276" t="s">
        <v>955</v>
      </c>
      <c r="GR413" s="276" t="s">
        <v>955</v>
      </c>
    </row>
    <row r="414" spans="1:200" x14ac:dyDescent="0.2">
      <c r="A414" s="276"/>
      <c r="B414" s="276"/>
      <c r="BC414" s="278"/>
      <c r="BD414" s="279"/>
      <c r="CF414" s="277"/>
      <c r="CG414" s="276"/>
      <c r="CH414" s="276"/>
      <c r="CJ414" s="276"/>
      <c r="DP414" s="282"/>
      <c r="DQ414" s="282"/>
      <c r="DS414" s="276"/>
      <c r="DT414" s="276"/>
      <c r="DU414" s="276"/>
      <c r="DZ414" s="281"/>
      <c r="EA414" s="281"/>
      <c r="ED414" s="276"/>
      <c r="EE414" s="276"/>
      <c r="EG414" s="281"/>
      <c r="EH414" s="281"/>
      <c r="EK414" s="276"/>
      <c r="EL414" s="276"/>
      <c r="EN414" s="281"/>
      <c r="EO414" s="281"/>
      <c r="ER414" s="276"/>
      <c r="ES414" s="276"/>
      <c r="EV414" s="281"/>
      <c r="EW414" s="281"/>
      <c r="EX414" s="281"/>
      <c r="EZ414" s="276"/>
      <c r="FA414" s="276"/>
      <c r="FB414" s="276"/>
      <c r="FE414" s="281"/>
      <c r="FF414" s="281"/>
      <c r="FG414" s="281"/>
      <c r="FH414" s="281"/>
      <c r="FI414" s="276"/>
      <c r="FJ414" s="276"/>
      <c r="FK414" s="276"/>
      <c r="FL414" s="276"/>
      <c r="FO414" s="281"/>
      <c r="FP414" s="281"/>
      <c r="FQ414" s="281"/>
      <c r="FR414" s="281"/>
      <c r="FS414" s="276"/>
      <c r="FT414" s="276"/>
      <c r="FU414" s="276"/>
      <c r="FV414" s="276"/>
      <c r="FW414" s="281"/>
      <c r="GA414" s="276"/>
      <c r="GC414" s="276" t="s">
        <v>955</v>
      </c>
      <c r="GD414" s="276" t="s">
        <v>955</v>
      </c>
      <c r="GE414" s="276" t="s">
        <v>955</v>
      </c>
      <c r="GF414" s="276" t="s">
        <v>955</v>
      </c>
      <c r="GG414" s="276" t="s">
        <v>955</v>
      </c>
      <c r="GH414" s="276" t="s">
        <v>955</v>
      </c>
      <c r="GI414" s="276" t="s">
        <v>955</v>
      </c>
      <c r="GJ414" s="276" t="s">
        <v>955</v>
      </c>
      <c r="GK414" s="276" t="s">
        <v>955</v>
      </c>
      <c r="GL414" s="276" t="s">
        <v>955</v>
      </c>
      <c r="GM414" s="276" t="s">
        <v>955</v>
      </c>
      <c r="GN414" s="276" t="s">
        <v>955</v>
      </c>
      <c r="GO414" s="276" t="s">
        <v>955</v>
      </c>
      <c r="GP414" s="276" t="s">
        <v>955</v>
      </c>
      <c r="GQ414" s="276" t="s">
        <v>955</v>
      </c>
      <c r="GR414" s="276" t="s">
        <v>955</v>
      </c>
    </row>
    <row r="415" spans="1:200" x14ac:dyDescent="0.2">
      <c r="A415" s="276"/>
      <c r="B415" s="276"/>
      <c r="BC415" s="329"/>
      <c r="BD415" s="279"/>
      <c r="CF415" s="277"/>
      <c r="CG415" s="276"/>
      <c r="CH415" s="276"/>
      <c r="CJ415" s="276"/>
      <c r="DP415" s="282"/>
      <c r="DQ415" s="282"/>
      <c r="DS415" s="276"/>
      <c r="DT415" s="276"/>
      <c r="DU415" s="276"/>
      <c r="DZ415" s="281"/>
      <c r="EA415" s="281"/>
      <c r="ED415" s="276"/>
      <c r="EE415" s="276"/>
      <c r="EG415" s="281"/>
      <c r="EH415" s="281"/>
      <c r="EK415" s="276"/>
      <c r="EL415" s="276"/>
      <c r="EN415" s="281"/>
      <c r="EO415" s="281"/>
      <c r="ER415" s="276"/>
      <c r="ES415" s="276"/>
      <c r="EV415" s="281"/>
      <c r="EW415" s="281"/>
      <c r="EX415" s="281"/>
      <c r="EZ415" s="276"/>
      <c r="FA415" s="276"/>
      <c r="FB415" s="276"/>
      <c r="FE415" s="281"/>
      <c r="FF415" s="281"/>
      <c r="FG415" s="281"/>
      <c r="FH415" s="281"/>
      <c r="FI415" s="276"/>
      <c r="FJ415" s="276"/>
      <c r="FK415" s="276"/>
      <c r="FL415" s="276"/>
      <c r="FO415" s="281"/>
      <c r="FP415" s="281"/>
      <c r="FQ415" s="281"/>
      <c r="FR415" s="281"/>
      <c r="FS415" s="276"/>
      <c r="FT415" s="276"/>
      <c r="FU415" s="276"/>
      <c r="FV415" s="276"/>
      <c r="FW415" s="281"/>
      <c r="GA415" s="276"/>
      <c r="GC415" s="276" t="s">
        <v>955</v>
      </c>
      <c r="GD415" s="276" t="s">
        <v>955</v>
      </c>
      <c r="GE415" s="276" t="s">
        <v>955</v>
      </c>
      <c r="GF415" s="276" t="s">
        <v>955</v>
      </c>
      <c r="GG415" s="276" t="s">
        <v>955</v>
      </c>
      <c r="GH415" s="276" t="s">
        <v>955</v>
      </c>
      <c r="GI415" s="276" t="s">
        <v>955</v>
      </c>
      <c r="GJ415" s="276" t="s">
        <v>955</v>
      </c>
      <c r="GK415" s="276" t="s">
        <v>955</v>
      </c>
      <c r="GL415" s="276" t="s">
        <v>955</v>
      </c>
      <c r="GM415" s="276" t="s">
        <v>955</v>
      </c>
      <c r="GN415" s="276" t="s">
        <v>955</v>
      </c>
      <c r="GO415" s="276" t="s">
        <v>955</v>
      </c>
      <c r="GP415" s="276" t="s">
        <v>955</v>
      </c>
      <c r="GQ415" s="276" t="s">
        <v>955</v>
      </c>
      <c r="GR415" s="276" t="s">
        <v>955</v>
      </c>
    </row>
    <row r="416" spans="1:200" x14ac:dyDescent="0.2">
      <c r="A416" s="276"/>
      <c r="B416" s="276"/>
      <c r="BC416" s="329"/>
      <c r="BD416" s="279"/>
      <c r="CF416" s="277"/>
      <c r="CG416" s="276"/>
      <c r="CH416" s="276"/>
      <c r="CJ416" s="276"/>
      <c r="DP416" s="282"/>
      <c r="DQ416" s="282"/>
      <c r="DS416" s="276"/>
      <c r="DT416" s="276"/>
      <c r="DU416" s="276"/>
      <c r="DZ416" s="281"/>
      <c r="EA416" s="281"/>
      <c r="ED416" s="276"/>
      <c r="EE416" s="276"/>
      <c r="EG416" s="281"/>
      <c r="EH416" s="281"/>
      <c r="EK416" s="276"/>
      <c r="EL416" s="276"/>
      <c r="EN416" s="281"/>
      <c r="EO416" s="281"/>
      <c r="ER416" s="276"/>
      <c r="ES416" s="276"/>
      <c r="EV416" s="281"/>
      <c r="EW416" s="281"/>
      <c r="EX416" s="281"/>
      <c r="EZ416" s="276"/>
      <c r="FA416" s="276"/>
      <c r="FB416" s="276"/>
      <c r="FE416" s="281"/>
      <c r="FF416" s="281"/>
      <c r="FG416" s="281"/>
      <c r="FH416" s="281"/>
      <c r="FI416" s="276"/>
      <c r="FJ416" s="276"/>
      <c r="FK416" s="276"/>
      <c r="FL416" s="276"/>
      <c r="FO416" s="281"/>
      <c r="FP416" s="281"/>
      <c r="FQ416" s="281"/>
      <c r="FR416" s="281"/>
      <c r="FS416" s="276"/>
      <c r="FT416" s="276"/>
      <c r="FU416" s="276"/>
      <c r="FV416" s="276"/>
      <c r="FW416" s="281"/>
      <c r="GA416" s="276"/>
      <c r="GC416" s="276" t="s">
        <v>955</v>
      </c>
      <c r="GD416" s="276" t="s">
        <v>955</v>
      </c>
      <c r="GE416" s="276" t="s">
        <v>955</v>
      </c>
      <c r="GF416" s="276" t="s">
        <v>955</v>
      </c>
      <c r="GG416" s="276" t="s">
        <v>955</v>
      </c>
      <c r="GH416" s="276" t="s">
        <v>955</v>
      </c>
      <c r="GI416" s="276" t="s">
        <v>955</v>
      </c>
      <c r="GJ416" s="276" t="s">
        <v>955</v>
      </c>
      <c r="GK416" s="276" t="s">
        <v>955</v>
      </c>
      <c r="GL416" s="276" t="s">
        <v>955</v>
      </c>
      <c r="GM416" s="276" t="s">
        <v>955</v>
      </c>
      <c r="GN416" s="276" t="s">
        <v>955</v>
      </c>
      <c r="GO416" s="276" t="s">
        <v>955</v>
      </c>
      <c r="GP416" s="276" t="s">
        <v>955</v>
      </c>
      <c r="GQ416" s="276" t="s">
        <v>955</v>
      </c>
      <c r="GR416" s="276" t="s">
        <v>955</v>
      </c>
    </row>
    <row r="417" spans="1:200" x14ac:dyDescent="0.2">
      <c r="A417" s="276"/>
      <c r="B417" s="276"/>
      <c r="BC417" s="329"/>
      <c r="BD417" s="279"/>
      <c r="CF417" s="277"/>
      <c r="CG417" s="276"/>
      <c r="CH417" s="276"/>
      <c r="CJ417" s="276"/>
      <c r="DP417" s="282"/>
      <c r="DQ417" s="282"/>
      <c r="DS417" s="276"/>
      <c r="DT417" s="276"/>
      <c r="DU417" s="276"/>
      <c r="DZ417" s="281"/>
      <c r="EA417" s="281"/>
      <c r="ED417" s="276"/>
      <c r="EE417" s="276"/>
      <c r="EG417" s="281"/>
      <c r="EH417" s="281"/>
      <c r="EK417" s="276"/>
      <c r="EL417" s="276"/>
      <c r="EN417" s="281"/>
      <c r="EO417" s="281"/>
      <c r="ER417" s="276"/>
      <c r="ES417" s="276"/>
      <c r="EV417" s="281"/>
      <c r="EW417" s="281"/>
      <c r="EX417" s="281"/>
      <c r="EZ417" s="276"/>
      <c r="FA417" s="276"/>
      <c r="FB417" s="276"/>
      <c r="FE417" s="281"/>
      <c r="FF417" s="281"/>
      <c r="FG417" s="281"/>
      <c r="FH417" s="281"/>
      <c r="FI417" s="276"/>
      <c r="FJ417" s="276"/>
      <c r="FK417" s="276"/>
      <c r="FL417" s="276"/>
      <c r="FO417" s="281"/>
      <c r="FP417" s="281"/>
      <c r="FQ417" s="281"/>
      <c r="FR417" s="281"/>
      <c r="FS417" s="276"/>
      <c r="FT417" s="276"/>
      <c r="FU417" s="276"/>
      <c r="FV417" s="276"/>
      <c r="FW417" s="281"/>
      <c r="GA417" s="276"/>
      <c r="GC417" s="276" t="s">
        <v>955</v>
      </c>
      <c r="GD417" s="276" t="s">
        <v>955</v>
      </c>
      <c r="GE417" s="276" t="s">
        <v>955</v>
      </c>
      <c r="GF417" s="276" t="s">
        <v>955</v>
      </c>
      <c r="GG417" s="276" t="s">
        <v>955</v>
      </c>
      <c r="GH417" s="276" t="s">
        <v>955</v>
      </c>
      <c r="GI417" s="276" t="s">
        <v>955</v>
      </c>
      <c r="GJ417" s="276" t="s">
        <v>955</v>
      </c>
      <c r="GK417" s="276" t="s">
        <v>955</v>
      </c>
      <c r="GL417" s="276" t="s">
        <v>955</v>
      </c>
      <c r="GM417" s="276" t="s">
        <v>955</v>
      </c>
      <c r="GN417" s="276" t="s">
        <v>955</v>
      </c>
      <c r="GO417" s="276" t="s">
        <v>955</v>
      </c>
      <c r="GP417" s="276" t="s">
        <v>955</v>
      </c>
      <c r="GQ417" s="276" t="s">
        <v>955</v>
      </c>
      <c r="GR417" s="276" t="s">
        <v>955</v>
      </c>
    </row>
    <row r="418" spans="1:200" x14ac:dyDescent="0.2">
      <c r="A418" s="276"/>
      <c r="B418" s="276"/>
      <c r="BC418" s="329"/>
      <c r="BD418" s="279"/>
      <c r="CF418" s="277"/>
      <c r="CG418" s="276"/>
      <c r="CH418" s="276"/>
      <c r="CJ418" s="276"/>
      <c r="DP418" s="282"/>
      <c r="DQ418" s="282"/>
      <c r="DS418" s="276"/>
      <c r="DT418" s="276"/>
      <c r="DU418" s="276"/>
      <c r="DZ418" s="281"/>
      <c r="EA418" s="281"/>
      <c r="ED418" s="276"/>
      <c r="EE418" s="276"/>
      <c r="EG418" s="281"/>
      <c r="EH418" s="281"/>
      <c r="EK418" s="276"/>
      <c r="EL418" s="276"/>
      <c r="EN418" s="281"/>
      <c r="EO418" s="281"/>
      <c r="ER418" s="276"/>
      <c r="ES418" s="276"/>
      <c r="EV418" s="281"/>
      <c r="EW418" s="281"/>
      <c r="EX418" s="281"/>
      <c r="EZ418" s="276"/>
      <c r="FA418" s="276"/>
      <c r="FB418" s="276"/>
      <c r="FE418" s="281"/>
      <c r="FF418" s="281"/>
      <c r="FG418" s="281"/>
      <c r="FH418" s="281"/>
      <c r="FI418" s="276"/>
      <c r="FJ418" s="276"/>
      <c r="FK418" s="276"/>
      <c r="FL418" s="276"/>
      <c r="FO418" s="281"/>
      <c r="FP418" s="281"/>
      <c r="FQ418" s="281"/>
      <c r="FR418" s="281"/>
      <c r="FS418" s="276"/>
      <c r="FT418" s="276"/>
      <c r="FU418" s="276"/>
      <c r="FV418" s="276"/>
      <c r="FW418" s="281"/>
      <c r="GA418" s="276"/>
      <c r="GC418" s="276" t="s">
        <v>955</v>
      </c>
      <c r="GD418" s="276" t="s">
        <v>955</v>
      </c>
      <c r="GE418" s="276" t="s">
        <v>955</v>
      </c>
      <c r="GF418" s="276" t="s">
        <v>955</v>
      </c>
      <c r="GG418" s="276" t="s">
        <v>955</v>
      </c>
      <c r="GH418" s="276" t="s">
        <v>955</v>
      </c>
      <c r="GI418" s="276" t="s">
        <v>955</v>
      </c>
      <c r="GJ418" s="276" t="s">
        <v>955</v>
      </c>
      <c r="GK418" s="276" t="s">
        <v>955</v>
      </c>
      <c r="GL418" s="276" t="s">
        <v>955</v>
      </c>
      <c r="GM418" s="276" t="s">
        <v>955</v>
      </c>
      <c r="GN418" s="276" t="s">
        <v>955</v>
      </c>
      <c r="GO418" s="276" t="s">
        <v>955</v>
      </c>
      <c r="GP418" s="276" t="s">
        <v>955</v>
      </c>
      <c r="GQ418" s="276" t="s">
        <v>955</v>
      </c>
      <c r="GR418" s="276" t="s">
        <v>955</v>
      </c>
    </row>
    <row r="419" spans="1:200" x14ac:dyDescent="0.2">
      <c r="A419" s="276"/>
      <c r="B419" s="276"/>
      <c r="BC419" s="329"/>
      <c r="BD419" s="279"/>
      <c r="CF419" s="277"/>
      <c r="CG419" s="276"/>
      <c r="CH419" s="276"/>
      <c r="CJ419" s="276"/>
      <c r="DP419" s="282"/>
      <c r="DQ419" s="282"/>
      <c r="DS419" s="276"/>
      <c r="DT419" s="276"/>
      <c r="DU419" s="276"/>
      <c r="DZ419" s="281"/>
      <c r="EA419" s="281"/>
      <c r="ED419" s="276"/>
      <c r="EE419" s="276"/>
      <c r="EG419" s="281"/>
      <c r="EH419" s="281"/>
      <c r="EK419" s="276"/>
      <c r="EL419" s="276"/>
      <c r="EN419" s="281"/>
      <c r="EO419" s="281"/>
      <c r="ER419" s="276"/>
      <c r="ES419" s="276"/>
      <c r="EV419" s="281"/>
      <c r="EW419" s="281"/>
      <c r="EX419" s="281"/>
      <c r="EZ419" s="276"/>
      <c r="FA419" s="276"/>
      <c r="FB419" s="276"/>
      <c r="FE419" s="281"/>
      <c r="FF419" s="281"/>
      <c r="FG419" s="281"/>
      <c r="FH419" s="281"/>
      <c r="FI419" s="276"/>
      <c r="FJ419" s="276"/>
      <c r="FK419" s="276"/>
      <c r="FL419" s="276"/>
      <c r="FO419" s="281"/>
      <c r="FP419" s="281"/>
      <c r="FQ419" s="281"/>
      <c r="FR419" s="281"/>
      <c r="FS419" s="276"/>
      <c r="FT419" s="276"/>
      <c r="FU419" s="276"/>
      <c r="FV419" s="276"/>
      <c r="FW419" s="281"/>
      <c r="GA419" s="276"/>
      <c r="GC419" s="276" t="s">
        <v>955</v>
      </c>
      <c r="GD419" s="276" t="s">
        <v>955</v>
      </c>
      <c r="GE419" s="276" t="s">
        <v>955</v>
      </c>
      <c r="GF419" s="276" t="s">
        <v>955</v>
      </c>
      <c r="GG419" s="276" t="s">
        <v>955</v>
      </c>
      <c r="GH419" s="276" t="s">
        <v>955</v>
      </c>
      <c r="GI419" s="276" t="s">
        <v>955</v>
      </c>
      <c r="GJ419" s="276" t="s">
        <v>955</v>
      </c>
      <c r="GK419" s="276" t="s">
        <v>955</v>
      </c>
      <c r="GL419" s="276" t="s">
        <v>955</v>
      </c>
      <c r="GM419" s="276" t="s">
        <v>955</v>
      </c>
      <c r="GN419" s="276" t="s">
        <v>955</v>
      </c>
      <c r="GO419" s="276" t="s">
        <v>955</v>
      </c>
      <c r="GP419" s="276" t="s">
        <v>955</v>
      </c>
      <c r="GQ419" s="276" t="s">
        <v>955</v>
      </c>
      <c r="GR419" s="276" t="s">
        <v>955</v>
      </c>
    </row>
    <row r="420" spans="1:200" x14ac:dyDescent="0.2">
      <c r="A420" s="276"/>
      <c r="B420" s="276"/>
      <c r="BC420" s="329"/>
      <c r="BD420" s="279"/>
      <c r="CF420" s="277"/>
      <c r="CG420" s="276"/>
      <c r="CH420" s="276"/>
      <c r="CJ420" s="276"/>
      <c r="DP420" s="282"/>
      <c r="DQ420" s="282"/>
      <c r="DS420" s="276"/>
      <c r="DT420" s="276"/>
      <c r="DU420" s="276"/>
      <c r="DZ420" s="281"/>
      <c r="EA420" s="281"/>
      <c r="ED420" s="276"/>
      <c r="EE420" s="276"/>
      <c r="EG420" s="281"/>
      <c r="EH420" s="281"/>
      <c r="EK420" s="276"/>
      <c r="EL420" s="276"/>
      <c r="EN420" s="281"/>
      <c r="EO420" s="281"/>
      <c r="ER420" s="276"/>
      <c r="ES420" s="276"/>
      <c r="EV420" s="281"/>
      <c r="EW420" s="281"/>
      <c r="EX420" s="281"/>
      <c r="EZ420" s="276"/>
      <c r="FA420" s="276"/>
      <c r="FB420" s="276"/>
      <c r="FE420" s="281"/>
      <c r="FF420" s="281"/>
      <c r="FG420" s="281"/>
      <c r="FH420" s="281"/>
      <c r="FI420" s="276"/>
      <c r="FJ420" s="276"/>
      <c r="FK420" s="276"/>
      <c r="FL420" s="276"/>
      <c r="FO420" s="281"/>
      <c r="FP420" s="281"/>
      <c r="FQ420" s="281"/>
      <c r="FR420" s="281"/>
      <c r="FS420" s="276"/>
      <c r="FT420" s="276"/>
      <c r="FU420" s="276"/>
      <c r="FV420" s="276"/>
      <c r="FW420" s="281"/>
      <c r="GA420" s="276"/>
      <c r="GC420" s="276" t="s">
        <v>955</v>
      </c>
      <c r="GD420" s="276" t="s">
        <v>955</v>
      </c>
      <c r="GE420" s="276" t="s">
        <v>955</v>
      </c>
      <c r="GF420" s="276" t="s">
        <v>955</v>
      </c>
      <c r="GG420" s="276" t="s">
        <v>955</v>
      </c>
      <c r="GH420" s="276" t="s">
        <v>955</v>
      </c>
      <c r="GI420" s="276" t="s">
        <v>955</v>
      </c>
      <c r="GJ420" s="276" t="s">
        <v>955</v>
      </c>
      <c r="GK420" s="276" t="s">
        <v>955</v>
      </c>
      <c r="GL420" s="276" t="s">
        <v>955</v>
      </c>
      <c r="GM420" s="276" t="s">
        <v>955</v>
      </c>
      <c r="GN420" s="276" t="s">
        <v>955</v>
      </c>
      <c r="GO420" s="276" t="s">
        <v>955</v>
      </c>
      <c r="GP420" s="276" t="s">
        <v>955</v>
      </c>
      <c r="GQ420" s="276" t="s">
        <v>955</v>
      </c>
      <c r="GR420" s="276" t="s">
        <v>955</v>
      </c>
    </row>
    <row r="421" spans="1:200" x14ac:dyDescent="0.2">
      <c r="A421" s="276"/>
      <c r="B421" s="276"/>
      <c r="BC421" s="329"/>
      <c r="BD421" s="279"/>
      <c r="CF421" s="277"/>
      <c r="CG421" s="276"/>
      <c r="CH421" s="276"/>
      <c r="CJ421" s="276"/>
      <c r="DP421" s="282"/>
      <c r="DQ421" s="282"/>
      <c r="DS421" s="276"/>
      <c r="DT421" s="276"/>
      <c r="DU421" s="276"/>
      <c r="DZ421" s="281"/>
      <c r="EA421" s="281"/>
      <c r="ED421" s="276"/>
      <c r="EE421" s="276"/>
      <c r="EG421" s="281"/>
      <c r="EH421" s="281"/>
      <c r="EK421" s="276"/>
      <c r="EL421" s="276"/>
      <c r="EN421" s="281"/>
      <c r="EO421" s="281"/>
      <c r="ER421" s="276"/>
      <c r="ES421" s="276"/>
      <c r="EV421" s="281"/>
      <c r="EW421" s="281"/>
      <c r="EX421" s="281"/>
      <c r="EZ421" s="276"/>
      <c r="FA421" s="276"/>
      <c r="FB421" s="276"/>
      <c r="FE421" s="281"/>
      <c r="FF421" s="281"/>
      <c r="FG421" s="281"/>
      <c r="FH421" s="281"/>
      <c r="FI421" s="276"/>
      <c r="FJ421" s="276"/>
      <c r="FK421" s="276"/>
      <c r="FL421" s="276"/>
      <c r="FO421" s="281"/>
      <c r="FP421" s="281"/>
      <c r="FQ421" s="281"/>
      <c r="FR421" s="281"/>
      <c r="FS421" s="276"/>
      <c r="FT421" s="276"/>
      <c r="FU421" s="276"/>
      <c r="FV421" s="276"/>
      <c r="FW421" s="281"/>
      <c r="GA421" s="276"/>
      <c r="GC421" s="276" t="s">
        <v>955</v>
      </c>
      <c r="GD421" s="276" t="s">
        <v>955</v>
      </c>
      <c r="GE421" s="276" t="s">
        <v>955</v>
      </c>
      <c r="GF421" s="276" t="s">
        <v>955</v>
      </c>
      <c r="GG421" s="276" t="s">
        <v>955</v>
      </c>
      <c r="GH421" s="276" t="s">
        <v>955</v>
      </c>
      <c r="GI421" s="276" t="s">
        <v>955</v>
      </c>
      <c r="GJ421" s="276" t="s">
        <v>955</v>
      </c>
      <c r="GK421" s="276" t="s">
        <v>955</v>
      </c>
      <c r="GL421" s="276" t="s">
        <v>955</v>
      </c>
      <c r="GM421" s="276" t="s">
        <v>955</v>
      </c>
      <c r="GN421" s="276" t="s">
        <v>955</v>
      </c>
      <c r="GO421" s="276" t="s">
        <v>955</v>
      </c>
      <c r="GP421" s="276" t="s">
        <v>955</v>
      </c>
      <c r="GQ421" s="276" t="s">
        <v>955</v>
      </c>
      <c r="GR421" s="276" t="s">
        <v>955</v>
      </c>
    </row>
    <row r="422" spans="1:200" x14ac:dyDescent="0.2">
      <c r="A422" s="276"/>
      <c r="B422" s="276"/>
      <c r="BC422" s="329"/>
      <c r="BD422" s="279"/>
      <c r="CF422" s="277"/>
      <c r="CG422" s="276"/>
      <c r="CH422" s="276"/>
      <c r="CJ422" s="276"/>
      <c r="DP422" s="282"/>
      <c r="DQ422" s="282"/>
      <c r="DS422" s="276"/>
      <c r="DT422" s="276"/>
      <c r="DU422" s="276"/>
      <c r="DZ422" s="281"/>
      <c r="EA422" s="281"/>
      <c r="ED422" s="276"/>
      <c r="EE422" s="276"/>
      <c r="EG422" s="281"/>
      <c r="EH422" s="281"/>
      <c r="EK422" s="276"/>
      <c r="EL422" s="276"/>
      <c r="EN422" s="281"/>
      <c r="EO422" s="281"/>
      <c r="ER422" s="276"/>
      <c r="ES422" s="276"/>
      <c r="EV422" s="281"/>
      <c r="EW422" s="281"/>
      <c r="EX422" s="281"/>
      <c r="EZ422" s="276"/>
      <c r="FA422" s="276"/>
      <c r="FB422" s="276"/>
      <c r="FE422" s="281"/>
      <c r="FF422" s="281"/>
      <c r="FG422" s="281"/>
      <c r="FH422" s="281"/>
      <c r="FI422" s="276"/>
      <c r="FJ422" s="276"/>
      <c r="FK422" s="276"/>
      <c r="FL422" s="276"/>
      <c r="FO422" s="281"/>
      <c r="FP422" s="281"/>
      <c r="FQ422" s="281"/>
      <c r="FR422" s="281"/>
      <c r="FS422" s="276"/>
      <c r="FT422" s="276"/>
      <c r="FU422" s="276"/>
      <c r="FV422" s="276"/>
      <c r="FW422" s="281"/>
      <c r="GA422" s="276"/>
      <c r="GC422" s="276" t="s">
        <v>955</v>
      </c>
      <c r="GD422" s="276" t="s">
        <v>955</v>
      </c>
      <c r="GE422" s="276" t="s">
        <v>955</v>
      </c>
      <c r="GF422" s="276" t="s">
        <v>955</v>
      </c>
      <c r="GG422" s="276" t="s">
        <v>955</v>
      </c>
      <c r="GH422" s="276" t="s">
        <v>955</v>
      </c>
      <c r="GI422" s="276" t="s">
        <v>955</v>
      </c>
      <c r="GJ422" s="276" t="s">
        <v>955</v>
      </c>
      <c r="GK422" s="276" t="s">
        <v>955</v>
      </c>
      <c r="GL422" s="276" t="s">
        <v>955</v>
      </c>
      <c r="GM422" s="276" t="s">
        <v>955</v>
      </c>
      <c r="GN422" s="276" t="s">
        <v>955</v>
      </c>
      <c r="GO422" s="276" t="s">
        <v>955</v>
      </c>
      <c r="GP422" s="276" t="s">
        <v>955</v>
      </c>
      <c r="GQ422" s="276" t="s">
        <v>955</v>
      </c>
      <c r="GR422" s="276" t="s">
        <v>955</v>
      </c>
    </row>
    <row r="423" spans="1:200" x14ac:dyDescent="0.2">
      <c r="A423" s="276"/>
      <c r="B423" s="276"/>
      <c r="BC423" s="329"/>
      <c r="BD423" s="279"/>
      <c r="CF423" s="277"/>
      <c r="CG423" s="276"/>
      <c r="CH423" s="276"/>
      <c r="CJ423" s="276"/>
      <c r="DP423" s="282"/>
      <c r="DQ423" s="282"/>
      <c r="DS423" s="276"/>
      <c r="DT423" s="276"/>
      <c r="DU423" s="276"/>
      <c r="DZ423" s="281"/>
      <c r="EA423" s="281"/>
      <c r="ED423" s="276"/>
      <c r="EE423" s="276"/>
      <c r="EG423" s="281"/>
      <c r="EH423" s="281"/>
      <c r="EK423" s="276"/>
      <c r="EL423" s="276"/>
      <c r="EN423" s="281"/>
      <c r="EO423" s="281"/>
      <c r="ER423" s="276"/>
      <c r="ES423" s="276"/>
      <c r="EV423" s="281"/>
      <c r="EW423" s="281"/>
      <c r="EX423" s="281"/>
      <c r="EZ423" s="276"/>
      <c r="FA423" s="276"/>
      <c r="FB423" s="276"/>
      <c r="FE423" s="281"/>
      <c r="FF423" s="281"/>
      <c r="FG423" s="281"/>
      <c r="FH423" s="281"/>
      <c r="FI423" s="276"/>
      <c r="FJ423" s="276"/>
      <c r="FK423" s="276"/>
      <c r="FL423" s="276"/>
      <c r="FO423" s="281"/>
      <c r="FP423" s="281"/>
      <c r="FQ423" s="281"/>
      <c r="FR423" s="281"/>
      <c r="FS423" s="276"/>
      <c r="FT423" s="276"/>
      <c r="FU423" s="276"/>
      <c r="FV423" s="276"/>
      <c r="FW423" s="281"/>
      <c r="GA423" s="276"/>
      <c r="GC423" s="276" t="s">
        <v>955</v>
      </c>
      <c r="GD423" s="276" t="s">
        <v>955</v>
      </c>
      <c r="GE423" s="276" t="s">
        <v>955</v>
      </c>
      <c r="GF423" s="276" t="s">
        <v>955</v>
      </c>
      <c r="GG423" s="276" t="s">
        <v>955</v>
      </c>
      <c r="GH423" s="276" t="s">
        <v>955</v>
      </c>
      <c r="GI423" s="276" t="s">
        <v>955</v>
      </c>
      <c r="GJ423" s="276" t="s">
        <v>955</v>
      </c>
      <c r="GK423" s="276" t="s">
        <v>955</v>
      </c>
      <c r="GL423" s="276" t="s">
        <v>955</v>
      </c>
      <c r="GM423" s="276" t="s">
        <v>955</v>
      </c>
      <c r="GN423" s="276" t="s">
        <v>955</v>
      </c>
      <c r="GO423" s="276" t="s">
        <v>955</v>
      </c>
      <c r="GP423" s="276" t="s">
        <v>955</v>
      </c>
      <c r="GQ423" s="276" t="s">
        <v>955</v>
      </c>
      <c r="GR423" s="276" t="s">
        <v>955</v>
      </c>
    </row>
    <row r="424" spans="1:200" x14ac:dyDescent="0.2">
      <c r="A424" s="276"/>
      <c r="B424" s="276"/>
      <c r="BC424" s="329"/>
      <c r="BD424" s="279"/>
      <c r="CF424" s="277"/>
      <c r="CG424" s="276"/>
      <c r="CH424" s="276"/>
      <c r="CJ424" s="276"/>
      <c r="DP424" s="282"/>
      <c r="DQ424" s="282"/>
      <c r="DS424" s="276"/>
      <c r="DT424" s="276"/>
      <c r="DU424" s="276"/>
      <c r="DZ424" s="281"/>
      <c r="EA424" s="281"/>
      <c r="ED424" s="276"/>
      <c r="EE424" s="276"/>
      <c r="EG424" s="281"/>
      <c r="EH424" s="281"/>
      <c r="EK424" s="276"/>
      <c r="EL424" s="276"/>
      <c r="EN424" s="281"/>
      <c r="EO424" s="281"/>
      <c r="ER424" s="276"/>
      <c r="ES424" s="276"/>
      <c r="EV424" s="281"/>
      <c r="EW424" s="281"/>
      <c r="EX424" s="281"/>
      <c r="EZ424" s="276"/>
      <c r="FA424" s="276"/>
      <c r="FB424" s="276"/>
      <c r="FE424" s="281"/>
      <c r="FF424" s="281"/>
      <c r="FG424" s="281"/>
      <c r="FH424" s="281"/>
      <c r="FI424" s="276"/>
      <c r="FJ424" s="276"/>
      <c r="FK424" s="276"/>
      <c r="FL424" s="276"/>
      <c r="FO424" s="281"/>
      <c r="FP424" s="281"/>
      <c r="FQ424" s="281"/>
      <c r="FR424" s="281"/>
      <c r="FS424" s="276"/>
      <c r="FT424" s="276"/>
      <c r="FU424" s="276"/>
      <c r="FV424" s="276"/>
      <c r="FW424" s="281"/>
      <c r="GA424" s="276"/>
      <c r="GC424" s="276" t="s">
        <v>955</v>
      </c>
      <c r="GD424" s="276" t="s">
        <v>955</v>
      </c>
      <c r="GE424" s="276" t="s">
        <v>955</v>
      </c>
      <c r="GF424" s="276" t="s">
        <v>955</v>
      </c>
      <c r="GG424" s="276" t="s">
        <v>955</v>
      </c>
      <c r="GH424" s="276" t="s">
        <v>955</v>
      </c>
      <c r="GI424" s="276" t="s">
        <v>955</v>
      </c>
      <c r="GJ424" s="276" t="s">
        <v>955</v>
      </c>
      <c r="GK424" s="276" t="s">
        <v>955</v>
      </c>
      <c r="GL424" s="276" t="s">
        <v>955</v>
      </c>
      <c r="GM424" s="276" t="s">
        <v>955</v>
      </c>
      <c r="GN424" s="276" t="s">
        <v>955</v>
      </c>
      <c r="GO424" s="276" t="s">
        <v>955</v>
      </c>
      <c r="GP424" s="276" t="s">
        <v>955</v>
      </c>
      <c r="GQ424" s="276" t="s">
        <v>955</v>
      </c>
      <c r="GR424" s="276" t="s">
        <v>955</v>
      </c>
    </row>
    <row r="425" spans="1:200" x14ac:dyDescent="0.2">
      <c r="A425" s="276"/>
      <c r="B425" s="276"/>
      <c r="BC425" s="329"/>
      <c r="BD425" s="279"/>
      <c r="CF425" s="277"/>
      <c r="CG425" s="276"/>
      <c r="CH425" s="276"/>
      <c r="CJ425" s="276"/>
      <c r="DP425" s="282"/>
      <c r="DQ425" s="282"/>
      <c r="DS425" s="276"/>
      <c r="DT425" s="276"/>
      <c r="DU425" s="276"/>
      <c r="DZ425" s="281"/>
      <c r="EA425" s="281"/>
      <c r="ED425" s="276"/>
      <c r="EE425" s="276"/>
      <c r="EG425" s="281"/>
      <c r="EH425" s="281"/>
      <c r="EK425" s="276"/>
      <c r="EL425" s="276"/>
      <c r="EN425" s="281"/>
      <c r="EO425" s="281"/>
      <c r="ER425" s="276"/>
      <c r="ES425" s="276"/>
      <c r="EV425" s="281"/>
      <c r="EW425" s="281"/>
      <c r="EX425" s="281"/>
      <c r="EZ425" s="276"/>
      <c r="FA425" s="276"/>
      <c r="FB425" s="276"/>
      <c r="FE425" s="281"/>
      <c r="FF425" s="281"/>
      <c r="FG425" s="281"/>
      <c r="FH425" s="281"/>
      <c r="FI425" s="276"/>
      <c r="FJ425" s="276"/>
      <c r="FK425" s="276"/>
      <c r="FL425" s="276"/>
      <c r="FO425" s="281"/>
      <c r="FP425" s="281"/>
      <c r="FQ425" s="281"/>
      <c r="FR425" s="281"/>
      <c r="FS425" s="276"/>
      <c r="FT425" s="276"/>
      <c r="FU425" s="276"/>
      <c r="FV425" s="276"/>
      <c r="FW425" s="281"/>
      <c r="GA425" s="276"/>
      <c r="GC425" s="276" t="s">
        <v>955</v>
      </c>
      <c r="GD425" s="276" t="s">
        <v>955</v>
      </c>
      <c r="GE425" s="276" t="s">
        <v>955</v>
      </c>
      <c r="GF425" s="276" t="s">
        <v>955</v>
      </c>
      <c r="GG425" s="276" t="s">
        <v>955</v>
      </c>
      <c r="GH425" s="276" t="s">
        <v>955</v>
      </c>
      <c r="GI425" s="276" t="s">
        <v>955</v>
      </c>
      <c r="GJ425" s="276" t="s">
        <v>955</v>
      </c>
      <c r="GK425" s="276" t="s">
        <v>955</v>
      </c>
      <c r="GL425" s="276" t="s">
        <v>955</v>
      </c>
      <c r="GM425" s="276" t="s">
        <v>955</v>
      </c>
      <c r="GN425" s="276" t="s">
        <v>955</v>
      </c>
      <c r="GO425" s="276" t="s">
        <v>955</v>
      </c>
      <c r="GP425" s="276" t="s">
        <v>955</v>
      </c>
      <c r="GQ425" s="276" t="s">
        <v>955</v>
      </c>
      <c r="GR425" s="276" t="s">
        <v>955</v>
      </c>
    </row>
    <row r="426" spans="1:200" x14ac:dyDescent="0.2">
      <c r="A426" s="276"/>
      <c r="B426" s="276"/>
      <c r="BC426" s="329"/>
      <c r="BD426" s="279"/>
      <c r="CF426" s="277"/>
      <c r="CG426" s="276"/>
      <c r="CH426" s="276"/>
      <c r="CJ426" s="276"/>
      <c r="DP426" s="282"/>
      <c r="DQ426" s="282"/>
      <c r="DS426" s="276"/>
      <c r="DT426" s="276"/>
      <c r="DU426" s="276"/>
      <c r="DZ426" s="281"/>
      <c r="EA426" s="281"/>
      <c r="ED426" s="276"/>
      <c r="EE426" s="276"/>
      <c r="EG426" s="281"/>
      <c r="EH426" s="281"/>
      <c r="EK426" s="276"/>
      <c r="EL426" s="276"/>
      <c r="EN426" s="281"/>
      <c r="EO426" s="281"/>
      <c r="ER426" s="276"/>
      <c r="ES426" s="276"/>
      <c r="EV426" s="281"/>
      <c r="EW426" s="281"/>
      <c r="EX426" s="281"/>
      <c r="EZ426" s="276"/>
      <c r="FA426" s="276"/>
      <c r="FB426" s="276"/>
      <c r="FE426" s="281"/>
      <c r="FF426" s="281"/>
      <c r="FG426" s="281"/>
      <c r="FH426" s="281"/>
      <c r="FI426" s="276"/>
      <c r="FJ426" s="276"/>
      <c r="FK426" s="276"/>
      <c r="FL426" s="276"/>
      <c r="FO426" s="281"/>
      <c r="FP426" s="281"/>
      <c r="FQ426" s="281"/>
      <c r="FR426" s="281"/>
      <c r="FS426" s="276"/>
      <c r="FT426" s="276"/>
      <c r="FU426" s="276"/>
      <c r="FV426" s="276"/>
      <c r="FW426" s="281"/>
      <c r="GA426" s="276"/>
      <c r="GC426" s="276" t="s">
        <v>955</v>
      </c>
      <c r="GD426" s="276" t="s">
        <v>955</v>
      </c>
      <c r="GE426" s="276" t="s">
        <v>955</v>
      </c>
      <c r="GF426" s="276" t="s">
        <v>955</v>
      </c>
      <c r="GG426" s="276" t="s">
        <v>955</v>
      </c>
      <c r="GH426" s="276" t="s">
        <v>955</v>
      </c>
      <c r="GI426" s="276" t="s">
        <v>955</v>
      </c>
      <c r="GJ426" s="276" t="s">
        <v>955</v>
      </c>
      <c r="GK426" s="276" t="s">
        <v>955</v>
      </c>
      <c r="GL426" s="276" t="s">
        <v>955</v>
      </c>
      <c r="GM426" s="276" t="s">
        <v>955</v>
      </c>
      <c r="GN426" s="276" t="s">
        <v>955</v>
      </c>
      <c r="GO426" s="276" t="s">
        <v>955</v>
      </c>
      <c r="GP426" s="276" t="s">
        <v>955</v>
      </c>
      <c r="GQ426" s="276" t="s">
        <v>955</v>
      </c>
      <c r="GR426" s="276" t="s">
        <v>955</v>
      </c>
    </row>
    <row r="427" spans="1:200" x14ac:dyDescent="0.2">
      <c r="A427" s="276"/>
      <c r="B427" s="276"/>
      <c r="BC427" s="329"/>
      <c r="BD427" s="279"/>
      <c r="CF427" s="277"/>
      <c r="CG427" s="276"/>
      <c r="CH427" s="276"/>
      <c r="CJ427" s="276"/>
      <c r="DP427" s="282"/>
      <c r="DQ427" s="282"/>
      <c r="DS427" s="276"/>
      <c r="DT427" s="276"/>
      <c r="DU427" s="276"/>
      <c r="DZ427" s="281"/>
      <c r="EA427" s="281"/>
      <c r="ED427" s="276"/>
      <c r="EE427" s="276"/>
      <c r="EG427" s="281"/>
      <c r="EH427" s="281"/>
      <c r="EK427" s="276"/>
      <c r="EL427" s="276"/>
      <c r="EN427" s="281"/>
      <c r="EO427" s="281"/>
      <c r="ER427" s="276"/>
      <c r="ES427" s="276"/>
      <c r="EV427" s="281"/>
      <c r="EW427" s="281"/>
      <c r="EX427" s="281"/>
      <c r="EZ427" s="276"/>
      <c r="FA427" s="276"/>
      <c r="FB427" s="276"/>
      <c r="FE427" s="281"/>
      <c r="FF427" s="281"/>
      <c r="FG427" s="281"/>
      <c r="FH427" s="281"/>
      <c r="FI427" s="276"/>
      <c r="FJ427" s="276"/>
      <c r="FK427" s="276"/>
      <c r="FL427" s="276"/>
      <c r="FO427" s="281"/>
      <c r="FP427" s="281"/>
      <c r="FQ427" s="281"/>
      <c r="FR427" s="281"/>
      <c r="FS427" s="276"/>
      <c r="FT427" s="276"/>
      <c r="FU427" s="276"/>
      <c r="FV427" s="276"/>
      <c r="FW427" s="281"/>
      <c r="GA427" s="276"/>
      <c r="GC427" s="276" t="s">
        <v>955</v>
      </c>
      <c r="GD427" s="276" t="s">
        <v>955</v>
      </c>
      <c r="GE427" s="276" t="s">
        <v>955</v>
      </c>
      <c r="GF427" s="276" t="s">
        <v>955</v>
      </c>
      <c r="GG427" s="276" t="s">
        <v>955</v>
      </c>
      <c r="GH427" s="276" t="s">
        <v>955</v>
      </c>
      <c r="GI427" s="276" t="s">
        <v>955</v>
      </c>
      <c r="GJ427" s="276" t="s">
        <v>955</v>
      </c>
      <c r="GK427" s="276" t="s">
        <v>955</v>
      </c>
      <c r="GL427" s="276" t="s">
        <v>955</v>
      </c>
      <c r="GM427" s="276" t="s">
        <v>955</v>
      </c>
      <c r="GN427" s="276" t="s">
        <v>955</v>
      </c>
      <c r="GO427" s="276" t="s">
        <v>955</v>
      </c>
      <c r="GP427" s="276" t="s">
        <v>955</v>
      </c>
      <c r="GQ427" s="276" t="s">
        <v>955</v>
      </c>
      <c r="GR427" s="276" t="s">
        <v>955</v>
      </c>
    </row>
    <row r="428" spans="1:200" x14ac:dyDescent="0.2">
      <c r="A428" s="276"/>
      <c r="B428" s="276"/>
      <c r="BC428" s="329"/>
      <c r="BD428" s="279"/>
      <c r="CF428" s="277"/>
      <c r="CG428" s="276"/>
      <c r="CH428" s="276"/>
      <c r="CJ428" s="276"/>
      <c r="DP428" s="282"/>
      <c r="DQ428" s="282"/>
      <c r="DS428" s="276"/>
      <c r="DT428" s="276"/>
      <c r="DU428" s="276"/>
      <c r="DZ428" s="281"/>
      <c r="EA428" s="281"/>
      <c r="ED428" s="276"/>
      <c r="EE428" s="276"/>
      <c r="EG428" s="281"/>
      <c r="EH428" s="281"/>
      <c r="EK428" s="276"/>
      <c r="EL428" s="276"/>
      <c r="EN428" s="281"/>
      <c r="EO428" s="281"/>
      <c r="ER428" s="276"/>
      <c r="ES428" s="276"/>
      <c r="EV428" s="281"/>
      <c r="EW428" s="281"/>
      <c r="EX428" s="281"/>
      <c r="EZ428" s="276"/>
      <c r="FA428" s="276"/>
      <c r="FB428" s="276"/>
      <c r="FE428" s="281"/>
      <c r="FF428" s="281"/>
      <c r="FG428" s="281"/>
      <c r="FH428" s="281"/>
      <c r="FI428" s="276"/>
      <c r="FJ428" s="276"/>
      <c r="FK428" s="276"/>
      <c r="FL428" s="276"/>
      <c r="FO428" s="281"/>
      <c r="FP428" s="281"/>
      <c r="FQ428" s="281"/>
      <c r="FR428" s="281"/>
      <c r="FS428" s="276"/>
      <c r="FT428" s="276"/>
      <c r="FU428" s="276"/>
      <c r="FV428" s="276"/>
      <c r="FW428" s="281"/>
      <c r="GA428" s="276"/>
      <c r="GC428" s="276" t="s">
        <v>955</v>
      </c>
      <c r="GD428" s="276" t="s">
        <v>955</v>
      </c>
      <c r="GE428" s="276" t="s">
        <v>955</v>
      </c>
      <c r="GF428" s="276" t="s">
        <v>955</v>
      </c>
      <c r="GG428" s="276" t="s">
        <v>955</v>
      </c>
      <c r="GH428" s="276" t="s">
        <v>955</v>
      </c>
      <c r="GI428" s="276" t="s">
        <v>955</v>
      </c>
      <c r="GJ428" s="276" t="s">
        <v>955</v>
      </c>
      <c r="GK428" s="276" t="s">
        <v>955</v>
      </c>
      <c r="GL428" s="276" t="s">
        <v>955</v>
      </c>
      <c r="GM428" s="276" t="s">
        <v>955</v>
      </c>
      <c r="GN428" s="276" t="s">
        <v>955</v>
      </c>
      <c r="GO428" s="276" t="s">
        <v>955</v>
      </c>
      <c r="GP428" s="276" t="s">
        <v>955</v>
      </c>
      <c r="GQ428" s="276" t="s">
        <v>955</v>
      </c>
      <c r="GR428" s="276" t="s">
        <v>955</v>
      </c>
    </row>
    <row r="429" spans="1:200" x14ac:dyDescent="0.2">
      <c r="A429" s="276"/>
      <c r="B429" s="276"/>
      <c r="BC429" s="329"/>
      <c r="BD429" s="279"/>
      <c r="CF429" s="277"/>
      <c r="CG429" s="276"/>
      <c r="CH429" s="276"/>
      <c r="CJ429" s="276"/>
      <c r="DO429" s="281"/>
      <c r="DP429" s="282"/>
      <c r="DQ429" s="282"/>
      <c r="DS429" s="276"/>
      <c r="DT429" s="276"/>
      <c r="DU429" s="276"/>
      <c r="DZ429" s="281"/>
      <c r="EA429" s="281"/>
      <c r="ED429" s="276"/>
      <c r="EE429" s="276"/>
      <c r="EG429" s="281"/>
      <c r="EH429" s="281"/>
      <c r="EK429" s="276"/>
      <c r="EL429" s="276"/>
      <c r="EN429" s="281"/>
      <c r="EO429" s="281"/>
      <c r="ER429" s="276"/>
      <c r="ES429" s="276"/>
      <c r="EV429" s="281"/>
      <c r="EW429" s="281"/>
      <c r="EX429" s="281"/>
      <c r="EZ429" s="276"/>
      <c r="FA429" s="276"/>
      <c r="FB429" s="276"/>
      <c r="FE429" s="281"/>
      <c r="FF429" s="281"/>
      <c r="FG429" s="281"/>
      <c r="FH429" s="281"/>
      <c r="FI429" s="276"/>
      <c r="FJ429" s="276"/>
      <c r="FK429" s="276"/>
      <c r="FL429" s="276"/>
      <c r="FO429" s="281"/>
      <c r="FP429" s="281"/>
      <c r="FQ429" s="281"/>
      <c r="FR429" s="281"/>
      <c r="FS429" s="276"/>
      <c r="FT429" s="276"/>
      <c r="FU429" s="276"/>
      <c r="FV429" s="276"/>
      <c r="FW429" s="281"/>
      <c r="GA429" s="276"/>
      <c r="GC429" s="276" t="s">
        <v>955</v>
      </c>
      <c r="GD429" s="276" t="s">
        <v>955</v>
      </c>
      <c r="GE429" s="276" t="s">
        <v>955</v>
      </c>
      <c r="GF429" s="276" t="s">
        <v>955</v>
      </c>
      <c r="GG429" s="276" t="s">
        <v>955</v>
      </c>
      <c r="GH429" s="276" t="s">
        <v>955</v>
      </c>
      <c r="GI429" s="276" t="s">
        <v>955</v>
      </c>
      <c r="GJ429" s="276" t="s">
        <v>955</v>
      </c>
      <c r="GK429" s="276" t="s">
        <v>955</v>
      </c>
      <c r="GL429" s="276" t="s">
        <v>955</v>
      </c>
      <c r="GM429" s="276" t="s">
        <v>955</v>
      </c>
      <c r="GN429" s="276" t="s">
        <v>955</v>
      </c>
      <c r="GO429" s="276" t="s">
        <v>955</v>
      </c>
      <c r="GP429" s="276" t="s">
        <v>955</v>
      </c>
      <c r="GQ429" s="276" t="s">
        <v>955</v>
      </c>
      <c r="GR429" s="276" t="s">
        <v>955</v>
      </c>
    </row>
    <row r="430" spans="1:200" x14ac:dyDescent="0.2">
      <c r="A430" s="276"/>
      <c r="B430" s="276"/>
      <c r="BC430" s="329"/>
      <c r="BD430" s="279"/>
      <c r="CF430" s="277"/>
      <c r="CG430" s="276"/>
      <c r="CH430" s="276"/>
      <c r="CJ430" s="276"/>
      <c r="DO430" s="281"/>
      <c r="DP430" s="282"/>
      <c r="DQ430" s="282"/>
      <c r="DS430" s="276"/>
      <c r="DT430" s="276"/>
      <c r="DU430" s="276"/>
      <c r="DZ430" s="281"/>
      <c r="EA430" s="281"/>
      <c r="ED430" s="276"/>
      <c r="EE430" s="276"/>
      <c r="EG430" s="281"/>
      <c r="EH430" s="281"/>
      <c r="EK430" s="276"/>
      <c r="EL430" s="276"/>
      <c r="EN430" s="281"/>
      <c r="EO430" s="281"/>
      <c r="ER430" s="276"/>
      <c r="ES430" s="276"/>
      <c r="EV430" s="281"/>
      <c r="EW430" s="281"/>
      <c r="EX430" s="281"/>
      <c r="EZ430" s="276"/>
      <c r="FA430" s="276"/>
      <c r="FB430" s="276"/>
      <c r="FE430" s="281"/>
      <c r="FF430" s="281"/>
      <c r="FG430" s="281"/>
      <c r="FH430" s="281"/>
      <c r="FI430" s="276"/>
      <c r="FJ430" s="276"/>
      <c r="FK430" s="276"/>
      <c r="FL430" s="276"/>
      <c r="FO430" s="281"/>
      <c r="FP430" s="281"/>
      <c r="FQ430" s="281"/>
      <c r="FR430" s="281"/>
      <c r="FS430" s="276"/>
      <c r="FT430" s="276"/>
      <c r="FU430" s="276"/>
      <c r="FV430" s="276"/>
      <c r="FW430" s="281"/>
      <c r="GA430" s="276"/>
      <c r="GC430" s="276" t="s">
        <v>955</v>
      </c>
      <c r="GD430" s="276" t="s">
        <v>955</v>
      </c>
      <c r="GE430" s="276" t="s">
        <v>955</v>
      </c>
      <c r="GF430" s="276" t="s">
        <v>955</v>
      </c>
      <c r="GG430" s="276" t="s">
        <v>955</v>
      </c>
      <c r="GH430" s="276" t="s">
        <v>955</v>
      </c>
      <c r="GI430" s="276" t="s">
        <v>955</v>
      </c>
      <c r="GJ430" s="276" t="s">
        <v>955</v>
      </c>
      <c r="GK430" s="276" t="s">
        <v>955</v>
      </c>
      <c r="GL430" s="276" t="s">
        <v>955</v>
      </c>
      <c r="GM430" s="276" t="s">
        <v>955</v>
      </c>
      <c r="GN430" s="276" t="s">
        <v>955</v>
      </c>
      <c r="GO430" s="276" t="s">
        <v>955</v>
      </c>
      <c r="GP430" s="276" t="s">
        <v>955</v>
      </c>
      <c r="GQ430" s="276" t="s">
        <v>955</v>
      </c>
      <c r="GR430" s="276" t="s">
        <v>955</v>
      </c>
    </row>
    <row r="431" spans="1:200" x14ac:dyDescent="0.2">
      <c r="A431" s="276"/>
      <c r="B431" s="276"/>
      <c r="BC431" s="329"/>
      <c r="BD431" s="279"/>
      <c r="CF431" s="277"/>
      <c r="CG431" s="276"/>
      <c r="CH431" s="276"/>
      <c r="CJ431" s="276"/>
      <c r="DO431" s="281"/>
      <c r="DP431" s="282"/>
      <c r="DQ431" s="282"/>
      <c r="DS431" s="276"/>
      <c r="DT431" s="276"/>
      <c r="DU431" s="276"/>
      <c r="DZ431" s="281"/>
      <c r="EA431" s="281"/>
      <c r="ED431" s="276"/>
      <c r="EE431" s="276"/>
      <c r="EG431" s="281"/>
      <c r="EH431" s="281"/>
      <c r="EK431" s="276"/>
      <c r="EL431" s="276"/>
      <c r="EN431" s="281"/>
      <c r="EO431" s="281"/>
      <c r="ER431" s="276"/>
      <c r="ES431" s="276"/>
      <c r="EV431" s="281"/>
      <c r="EW431" s="281"/>
      <c r="EX431" s="281"/>
      <c r="EZ431" s="276"/>
      <c r="FA431" s="276"/>
      <c r="FB431" s="276"/>
      <c r="FE431" s="281"/>
      <c r="FF431" s="281"/>
      <c r="FG431" s="281"/>
      <c r="FH431" s="281"/>
      <c r="FI431" s="276"/>
      <c r="FJ431" s="276"/>
      <c r="FK431" s="276"/>
      <c r="FL431" s="276"/>
      <c r="FO431" s="281"/>
      <c r="FP431" s="281"/>
      <c r="FQ431" s="281"/>
      <c r="FR431" s="281"/>
      <c r="FS431" s="276"/>
      <c r="FT431" s="276"/>
      <c r="FU431" s="276"/>
      <c r="FV431" s="276"/>
      <c r="FW431" s="281"/>
      <c r="GA431" s="276"/>
      <c r="GC431" s="276" t="s">
        <v>955</v>
      </c>
      <c r="GD431" s="276" t="s">
        <v>955</v>
      </c>
      <c r="GE431" s="276" t="s">
        <v>955</v>
      </c>
      <c r="GF431" s="276" t="s">
        <v>955</v>
      </c>
      <c r="GG431" s="276" t="s">
        <v>955</v>
      </c>
      <c r="GH431" s="276" t="s">
        <v>955</v>
      </c>
      <c r="GI431" s="276" t="s">
        <v>955</v>
      </c>
      <c r="GJ431" s="276" t="s">
        <v>955</v>
      </c>
      <c r="GK431" s="276" t="s">
        <v>955</v>
      </c>
      <c r="GL431" s="276" t="s">
        <v>955</v>
      </c>
      <c r="GM431" s="276" t="s">
        <v>955</v>
      </c>
      <c r="GN431" s="276" t="s">
        <v>955</v>
      </c>
      <c r="GO431" s="276" t="s">
        <v>955</v>
      </c>
      <c r="GP431" s="276" t="s">
        <v>955</v>
      </c>
      <c r="GQ431" s="276" t="s">
        <v>955</v>
      </c>
      <c r="GR431" s="276" t="s">
        <v>955</v>
      </c>
    </row>
    <row r="432" spans="1:200" x14ac:dyDescent="0.2">
      <c r="A432" s="276"/>
      <c r="B432" s="276"/>
      <c r="BC432" s="278"/>
      <c r="BD432" s="279"/>
      <c r="CF432" s="277"/>
      <c r="CG432" s="276"/>
      <c r="CH432" s="276"/>
      <c r="CJ432" s="276"/>
      <c r="DO432" s="281"/>
      <c r="DP432" s="282"/>
      <c r="DQ432" s="282"/>
      <c r="DS432" s="276"/>
      <c r="DT432" s="276"/>
      <c r="DU432" s="276"/>
      <c r="DZ432" s="281"/>
      <c r="EA432" s="281"/>
      <c r="ED432" s="276"/>
      <c r="EE432" s="276"/>
      <c r="EG432" s="281"/>
      <c r="EH432" s="281"/>
      <c r="EK432" s="276"/>
      <c r="EL432" s="276"/>
      <c r="EN432" s="281"/>
      <c r="EO432" s="281"/>
      <c r="ER432" s="276"/>
      <c r="ES432" s="276"/>
      <c r="EV432" s="281"/>
      <c r="EW432" s="281"/>
      <c r="EX432" s="281"/>
      <c r="EZ432" s="276"/>
      <c r="FA432" s="276"/>
      <c r="FB432" s="276"/>
      <c r="FE432" s="281"/>
      <c r="FF432" s="281"/>
      <c r="FG432" s="281"/>
      <c r="FH432" s="281"/>
      <c r="FI432" s="276"/>
      <c r="FJ432" s="276"/>
      <c r="FK432" s="276"/>
      <c r="FL432" s="276"/>
      <c r="FO432" s="281"/>
      <c r="FP432" s="281"/>
      <c r="FQ432" s="281"/>
      <c r="FR432" s="281"/>
      <c r="FS432" s="276"/>
      <c r="FT432" s="276"/>
      <c r="FU432" s="276"/>
      <c r="FV432" s="276"/>
      <c r="FW432" s="281"/>
      <c r="GA432" s="276"/>
      <c r="GC432" s="276" t="s">
        <v>955</v>
      </c>
      <c r="GD432" s="276" t="s">
        <v>955</v>
      </c>
      <c r="GE432" s="276" t="s">
        <v>955</v>
      </c>
      <c r="GF432" s="276" t="s">
        <v>955</v>
      </c>
      <c r="GG432" s="276" t="s">
        <v>955</v>
      </c>
      <c r="GH432" s="276" t="s">
        <v>955</v>
      </c>
      <c r="GI432" s="276" t="s">
        <v>955</v>
      </c>
      <c r="GJ432" s="276" t="s">
        <v>955</v>
      </c>
      <c r="GK432" s="276" t="s">
        <v>955</v>
      </c>
      <c r="GL432" s="276" t="s">
        <v>955</v>
      </c>
      <c r="GM432" s="276" t="s">
        <v>955</v>
      </c>
      <c r="GN432" s="276" t="s">
        <v>955</v>
      </c>
      <c r="GO432" s="276" t="s">
        <v>955</v>
      </c>
      <c r="GP432" s="276" t="s">
        <v>955</v>
      </c>
      <c r="GQ432" s="276" t="s">
        <v>955</v>
      </c>
      <c r="GR432" s="276" t="s">
        <v>955</v>
      </c>
    </row>
    <row r="433" spans="1:203" x14ac:dyDescent="0.2">
      <c r="A433" s="276"/>
      <c r="B433" s="276"/>
      <c r="BC433" s="329"/>
      <c r="BD433" s="279"/>
      <c r="CF433" s="277"/>
      <c r="CG433" s="276"/>
      <c r="CH433" s="276"/>
      <c r="CJ433" s="276"/>
      <c r="DO433" s="281"/>
      <c r="DP433" s="282"/>
      <c r="DQ433" s="282"/>
      <c r="DS433" s="276"/>
      <c r="DT433" s="276"/>
      <c r="DU433" s="276"/>
      <c r="DZ433" s="281"/>
      <c r="EA433" s="281"/>
      <c r="ED433" s="276"/>
      <c r="EE433" s="276"/>
      <c r="EG433" s="281"/>
      <c r="EH433" s="281"/>
      <c r="EK433" s="276"/>
      <c r="EL433" s="276"/>
      <c r="EN433" s="281"/>
      <c r="EO433" s="281"/>
      <c r="ER433" s="276"/>
      <c r="ES433" s="276"/>
      <c r="EV433" s="281"/>
      <c r="EW433" s="281"/>
      <c r="EX433" s="281"/>
      <c r="EZ433" s="276"/>
      <c r="FA433" s="276"/>
      <c r="FB433" s="276"/>
      <c r="FE433" s="281"/>
      <c r="FF433" s="281"/>
      <c r="FG433" s="281"/>
      <c r="FH433" s="281"/>
      <c r="FI433" s="276"/>
      <c r="FJ433" s="276"/>
      <c r="FK433" s="276"/>
      <c r="FL433" s="276"/>
      <c r="FO433" s="281"/>
      <c r="FP433" s="281"/>
      <c r="FQ433" s="281"/>
      <c r="FR433" s="281"/>
      <c r="FS433" s="276"/>
      <c r="FT433" s="276"/>
      <c r="FU433" s="276"/>
      <c r="FV433" s="276"/>
      <c r="FW433" s="281"/>
      <c r="GA433" s="276"/>
      <c r="GC433" s="276" t="s">
        <v>955</v>
      </c>
      <c r="GD433" s="276" t="s">
        <v>955</v>
      </c>
      <c r="GE433" s="276" t="s">
        <v>955</v>
      </c>
      <c r="GF433" s="276" t="s">
        <v>955</v>
      </c>
      <c r="GG433" s="276" t="s">
        <v>955</v>
      </c>
      <c r="GH433" s="276" t="s">
        <v>955</v>
      </c>
      <c r="GI433" s="276" t="s">
        <v>955</v>
      </c>
      <c r="GJ433" s="276" t="s">
        <v>955</v>
      </c>
      <c r="GK433" s="276" t="s">
        <v>955</v>
      </c>
      <c r="GL433" s="276" t="s">
        <v>955</v>
      </c>
      <c r="GM433" s="276" t="s">
        <v>955</v>
      </c>
      <c r="GN433" s="276" t="s">
        <v>955</v>
      </c>
      <c r="GO433" s="276" t="s">
        <v>955</v>
      </c>
      <c r="GP433" s="276" t="s">
        <v>955</v>
      </c>
      <c r="GQ433" s="276" t="s">
        <v>955</v>
      </c>
      <c r="GR433" s="276" t="s">
        <v>955</v>
      </c>
    </row>
    <row r="434" spans="1:203" x14ac:dyDescent="0.2">
      <c r="A434" s="276"/>
      <c r="B434" s="276"/>
      <c r="BC434" s="329"/>
      <c r="BD434" s="279"/>
      <c r="CF434" s="277"/>
      <c r="CG434" s="276"/>
      <c r="CH434" s="276"/>
      <c r="CJ434" s="276"/>
      <c r="DO434" s="281"/>
      <c r="DP434" s="282"/>
      <c r="DQ434" s="282"/>
      <c r="DS434" s="276"/>
      <c r="DT434" s="276"/>
      <c r="DU434" s="276"/>
      <c r="DZ434" s="281"/>
      <c r="EA434" s="281"/>
      <c r="ED434" s="276"/>
      <c r="EE434" s="276"/>
      <c r="EG434" s="281"/>
      <c r="EH434" s="281"/>
      <c r="EK434" s="276"/>
      <c r="EL434" s="276"/>
      <c r="EN434" s="281"/>
      <c r="EO434" s="281"/>
      <c r="ER434" s="276"/>
      <c r="ES434" s="276"/>
      <c r="EV434" s="281"/>
      <c r="EW434" s="281"/>
      <c r="EX434" s="281"/>
      <c r="EZ434" s="276"/>
      <c r="FA434" s="276"/>
      <c r="FB434" s="276"/>
      <c r="FE434" s="281"/>
      <c r="FF434" s="281"/>
      <c r="FG434" s="281"/>
      <c r="FH434" s="281"/>
      <c r="FI434" s="276"/>
      <c r="FJ434" s="276"/>
      <c r="FK434" s="276"/>
      <c r="FL434" s="276"/>
      <c r="FO434" s="281"/>
      <c r="FP434" s="281"/>
      <c r="FQ434" s="281"/>
      <c r="FR434" s="281"/>
      <c r="FS434" s="276"/>
      <c r="FT434" s="276"/>
      <c r="FU434" s="276"/>
      <c r="FV434" s="276"/>
      <c r="FW434" s="281"/>
      <c r="GA434" s="276"/>
      <c r="GC434" s="276" t="s">
        <v>955</v>
      </c>
      <c r="GD434" s="276" t="s">
        <v>955</v>
      </c>
      <c r="GE434" s="276" t="s">
        <v>955</v>
      </c>
      <c r="GF434" s="276" t="s">
        <v>955</v>
      </c>
      <c r="GG434" s="276" t="s">
        <v>955</v>
      </c>
      <c r="GH434" s="276" t="s">
        <v>955</v>
      </c>
      <c r="GI434" s="276" t="s">
        <v>955</v>
      </c>
      <c r="GJ434" s="276" t="s">
        <v>955</v>
      </c>
      <c r="GK434" s="276" t="s">
        <v>955</v>
      </c>
      <c r="GL434" s="276" t="s">
        <v>955</v>
      </c>
      <c r="GM434" s="276" t="s">
        <v>955</v>
      </c>
      <c r="GN434" s="276" t="s">
        <v>955</v>
      </c>
      <c r="GO434" s="276" t="s">
        <v>955</v>
      </c>
      <c r="GP434" s="276" t="s">
        <v>955</v>
      </c>
      <c r="GQ434" s="276" t="s">
        <v>955</v>
      </c>
      <c r="GR434" s="276" t="s">
        <v>955</v>
      </c>
    </row>
    <row r="435" spans="1:203" x14ac:dyDescent="0.2">
      <c r="A435" s="276"/>
      <c r="B435" s="276"/>
      <c r="BC435" s="329"/>
      <c r="BD435" s="279"/>
      <c r="CC435" s="281"/>
      <c r="CE435" s="276"/>
      <c r="CF435" s="277"/>
      <c r="CG435" s="276"/>
      <c r="CH435" s="276"/>
      <c r="CJ435" s="276"/>
      <c r="DO435" s="281"/>
      <c r="DP435" s="282"/>
      <c r="DQ435" s="282"/>
      <c r="DS435" s="276"/>
      <c r="DT435" s="276"/>
      <c r="DU435" s="276"/>
      <c r="DZ435" s="281"/>
      <c r="EA435" s="281"/>
      <c r="ED435" s="276"/>
      <c r="EE435" s="276"/>
      <c r="EG435" s="281"/>
      <c r="EH435" s="281"/>
      <c r="EK435" s="276"/>
      <c r="EL435" s="276"/>
      <c r="EN435" s="281"/>
      <c r="EO435" s="281"/>
      <c r="ER435" s="276"/>
      <c r="ES435" s="276"/>
      <c r="EV435" s="281"/>
      <c r="EW435" s="281"/>
      <c r="EX435" s="281"/>
      <c r="EZ435" s="276"/>
      <c r="FA435" s="276"/>
      <c r="FB435" s="276"/>
      <c r="FE435" s="281"/>
      <c r="FF435" s="281"/>
      <c r="FG435" s="281"/>
      <c r="FH435" s="281"/>
      <c r="FI435" s="276"/>
      <c r="FJ435" s="276"/>
      <c r="FK435" s="276"/>
      <c r="FL435" s="276"/>
      <c r="FO435" s="281"/>
      <c r="FP435" s="281"/>
      <c r="FQ435" s="281"/>
      <c r="FR435" s="281"/>
      <c r="FS435" s="276"/>
      <c r="FT435" s="276"/>
      <c r="FU435" s="276"/>
      <c r="FV435" s="276"/>
      <c r="FW435" s="281"/>
      <c r="GA435" s="276"/>
      <c r="GC435" s="276" t="s">
        <v>955</v>
      </c>
      <c r="GD435" s="276" t="s">
        <v>955</v>
      </c>
      <c r="GE435" s="276" t="s">
        <v>955</v>
      </c>
      <c r="GF435" s="276" t="s">
        <v>955</v>
      </c>
      <c r="GG435" s="276" t="s">
        <v>955</v>
      </c>
      <c r="GH435" s="276" t="s">
        <v>955</v>
      </c>
      <c r="GI435" s="276" t="s">
        <v>955</v>
      </c>
      <c r="GJ435" s="276" t="s">
        <v>955</v>
      </c>
      <c r="GK435" s="276" t="s">
        <v>955</v>
      </c>
      <c r="GL435" s="276" t="s">
        <v>955</v>
      </c>
      <c r="GM435" s="276" t="s">
        <v>955</v>
      </c>
      <c r="GN435" s="276" t="s">
        <v>955</v>
      </c>
      <c r="GO435" s="276" t="s">
        <v>955</v>
      </c>
      <c r="GP435" s="276" t="s">
        <v>955</v>
      </c>
      <c r="GQ435" s="276" t="s">
        <v>955</v>
      </c>
      <c r="GR435" s="276" t="s">
        <v>955</v>
      </c>
    </row>
    <row r="436" spans="1:203" x14ac:dyDescent="0.2">
      <c r="A436" s="276"/>
      <c r="B436" s="276"/>
      <c r="BC436" s="329"/>
      <c r="BD436" s="279"/>
      <c r="CC436" s="281"/>
      <c r="CF436" s="276"/>
      <c r="CG436" s="277"/>
      <c r="CH436" s="276"/>
      <c r="CJ436" s="276"/>
      <c r="DO436" s="281"/>
      <c r="DP436" s="282"/>
      <c r="DQ436" s="282"/>
      <c r="DS436" s="276"/>
      <c r="DT436" s="276"/>
      <c r="DU436" s="276"/>
      <c r="EA436" s="281"/>
      <c r="EB436" s="281"/>
      <c r="ED436" s="276"/>
      <c r="EE436" s="276"/>
      <c r="EG436" s="281"/>
      <c r="EH436" s="281"/>
      <c r="EK436" s="276"/>
      <c r="EL436" s="276"/>
      <c r="EN436" s="281"/>
      <c r="EO436" s="281"/>
      <c r="ER436" s="276"/>
      <c r="ES436" s="276"/>
      <c r="EV436" s="281"/>
      <c r="EW436" s="281"/>
      <c r="EX436" s="281"/>
      <c r="EZ436" s="276"/>
      <c r="FA436" s="276"/>
      <c r="FB436" s="276"/>
      <c r="FE436" s="281"/>
      <c r="FF436" s="281"/>
      <c r="FG436" s="281"/>
      <c r="FH436" s="281"/>
      <c r="FI436" s="276"/>
      <c r="FJ436" s="276"/>
      <c r="FK436" s="276"/>
      <c r="FL436" s="276"/>
      <c r="FO436" s="281"/>
      <c r="FP436" s="281"/>
      <c r="FQ436" s="281"/>
      <c r="FR436" s="281"/>
      <c r="FS436" s="276"/>
      <c r="FT436" s="276"/>
      <c r="FU436" s="276"/>
      <c r="FV436" s="276"/>
      <c r="FX436" s="281"/>
      <c r="GA436" s="276"/>
      <c r="GD436" s="276" t="s">
        <v>955</v>
      </c>
      <c r="GE436" s="276" t="s">
        <v>955</v>
      </c>
      <c r="GF436" s="276" t="s">
        <v>955</v>
      </c>
      <c r="GG436" s="276" t="s">
        <v>955</v>
      </c>
      <c r="GH436" s="276" t="s">
        <v>955</v>
      </c>
      <c r="GI436" s="276" t="s">
        <v>955</v>
      </c>
      <c r="GJ436" s="276" t="s">
        <v>955</v>
      </c>
      <c r="GK436" s="276" t="s">
        <v>955</v>
      </c>
      <c r="GL436" s="276" t="s">
        <v>955</v>
      </c>
      <c r="GM436" s="276" t="s">
        <v>955</v>
      </c>
      <c r="GN436" s="276" t="s">
        <v>955</v>
      </c>
      <c r="GO436" s="276" t="s">
        <v>955</v>
      </c>
      <c r="GP436" s="276" t="s">
        <v>955</v>
      </c>
      <c r="GQ436" s="276" t="s">
        <v>955</v>
      </c>
      <c r="GR436" s="276" t="s">
        <v>955</v>
      </c>
      <c r="GS436" s="276" t="s">
        <v>955</v>
      </c>
    </row>
    <row r="437" spans="1:203" x14ac:dyDescent="0.2">
      <c r="A437" s="276"/>
      <c r="B437" s="276"/>
      <c r="BC437" s="329"/>
      <c r="BD437" s="279"/>
      <c r="CC437" s="281"/>
      <c r="CF437" s="276"/>
      <c r="CG437" s="277"/>
      <c r="CH437" s="276"/>
      <c r="CJ437" s="276"/>
      <c r="DO437" s="281"/>
      <c r="DP437" s="282"/>
      <c r="DQ437" s="282"/>
      <c r="DS437" s="276"/>
      <c r="DT437" s="276"/>
      <c r="DU437" s="276"/>
      <c r="EA437" s="281"/>
      <c r="EB437" s="281"/>
      <c r="ED437" s="276"/>
      <c r="EE437" s="276"/>
      <c r="EG437" s="281"/>
      <c r="EH437" s="281"/>
      <c r="EK437" s="276"/>
      <c r="EL437" s="276"/>
      <c r="EN437" s="281"/>
      <c r="EO437" s="281"/>
      <c r="ER437" s="276"/>
      <c r="ES437" s="276"/>
      <c r="EV437" s="281"/>
      <c r="EW437" s="281"/>
      <c r="EX437" s="281"/>
      <c r="EZ437" s="276"/>
      <c r="FA437" s="276"/>
      <c r="FB437" s="276"/>
      <c r="FE437" s="281"/>
      <c r="FF437" s="281"/>
      <c r="FG437" s="281"/>
      <c r="FH437" s="281"/>
      <c r="FI437" s="276"/>
      <c r="FJ437" s="276"/>
      <c r="FK437" s="276"/>
      <c r="FL437" s="276"/>
      <c r="FO437" s="281"/>
      <c r="FP437" s="281"/>
      <c r="FQ437" s="281"/>
      <c r="FR437" s="281"/>
      <c r="FS437" s="276"/>
      <c r="FT437" s="276"/>
      <c r="FU437" s="276"/>
      <c r="FV437" s="276"/>
      <c r="FX437" s="281"/>
      <c r="GA437" s="276"/>
      <c r="GD437" s="276" t="s">
        <v>955</v>
      </c>
      <c r="GE437" s="276" t="s">
        <v>955</v>
      </c>
      <c r="GF437" s="276" t="s">
        <v>955</v>
      </c>
      <c r="GG437" s="276" t="s">
        <v>955</v>
      </c>
      <c r="GH437" s="276" t="s">
        <v>955</v>
      </c>
      <c r="GI437" s="276" t="s">
        <v>955</v>
      </c>
      <c r="GJ437" s="276" t="s">
        <v>955</v>
      </c>
      <c r="GK437" s="276" t="s">
        <v>955</v>
      </c>
      <c r="GL437" s="276" t="s">
        <v>955</v>
      </c>
      <c r="GM437" s="276" t="s">
        <v>955</v>
      </c>
      <c r="GN437" s="276" t="s">
        <v>955</v>
      </c>
      <c r="GO437" s="276" t="s">
        <v>955</v>
      </c>
      <c r="GP437" s="276" t="s">
        <v>955</v>
      </c>
      <c r="GQ437" s="276" t="s">
        <v>955</v>
      </c>
      <c r="GR437" s="276" t="s">
        <v>955</v>
      </c>
      <c r="GS437" s="276" t="s">
        <v>955</v>
      </c>
    </row>
    <row r="438" spans="1:203" x14ac:dyDescent="0.2">
      <c r="A438" s="276"/>
      <c r="B438" s="276"/>
      <c r="BC438" s="329"/>
      <c r="BD438" s="279"/>
      <c r="CC438" s="281"/>
      <c r="CF438" s="276"/>
      <c r="CG438" s="277"/>
      <c r="CH438" s="276"/>
      <c r="CJ438" s="276"/>
      <c r="DO438" s="281"/>
      <c r="DP438" s="282"/>
      <c r="DQ438" s="282"/>
      <c r="DS438" s="276"/>
      <c r="DT438" s="276"/>
      <c r="DU438" s="276"/>
      <c r="EA438" s="281"/>
      <c r="EB438" s="281"/>
      <c r="ED438" s="276"/>
      <c r="EE438" s="276"/>
      <c r="EG438" s="281"/>
      <c r="EH438" s="281"/>
      <c r="EK438" s="276"/>
      <c r="EL438" s="276"/>
      <c r="EN438" s="281"/>
      <c r="EO438" s="281"/>
      <c r="ER438" s="276"/>
      <c r="ES438" s="276"/>
      <c r="EV438" s="281"/>
      <c r="EW438" s="281"/>
      <c r="EX438" s="281"/>
      <c r="EZ438" s="276"/>
      <c r="FA438" s="276"/>
      <c r="FB438" s="276"/>
      <c r="FE438" s="281"/>
      <c r="FF438" s="281"/>
      <c r="FG438" s="281"/>
      <c r="FH438" s="281"/>
      <c r="FI438" s="276"/>
      <c r="FJ438" s="276"/>
      <c r="FK438" s="276"/>
      <c r="FL438" s="276"/>
      <c r="FO438" s="281"/>
      <c r="FP438" s="281"/>
      <c r="FQ438" s="281"/>
      <c r="FR438" s="281"/>
      <c r="FS438" s="276"/>
      <c r="FT438" s="276"/>
      <c r="FU438" s="276"/>
      <c r="FV438" s="276"/>
      <c r="FX438" s="281"/>
      <c r="GA438" s="276"/>
      <c r="GD438" s="276" t="s">
        <v>955</v>
      </c>
      <c r="GE438" s="276" t="s">
        <v>955</v>
      </c>
      <c r="GF438" s="276" t="s">
        <v>955</v>
      </c>
      <c r="GG438" s="276" t="s">
        <v>955</v>
      </c>
      <c r="GH438" s="276" t="s">
        <v>955</v>
      </c>
      <c r="GI438" s="276" t="s">
        <v>955</v>
      </c>
      <c r="GJ438" s="276" t="s">
        <v>955</v>
      </c>
      <c r="GK438" s="276" t="s">
        <v>955</v>
      </c>
      <c r="GL438" s="276" t="s">
        <v>955</v>
      </c>
      <c r="GM438" s="276" t="s">
        <v>955</v>
      </c>
      <c r="GN438" s="276" t="s">
        <v>955</v>
      </c>
      <c r="GO438" s="276" t="s">
        <v>955</v>
      </c>
      <c r="GP438" s="276" t="s">
        <v>955</v>
      </c>
      <c r="GQ438" s="276" t="s">
        <v>955</v>
      </c>
      <c r="GR438" s="276" t="s">
        <v>955</v>
      </c>
      <c r="GS438" s="276" t="s">
        <v>955</v>
      </c>
    </row>
    <row r="439" spans="1:203" x14ac:dyDescent="0.2">
      <c r="A439" s="276"/>
      <c r="B439" s="276"/>
      <c r="BC439" s="278"/>
      <c r="BD439" s="279"/>
      <c r="CC439" s="281"/>
      <c r="CF439" s="276"/>
      <c r="CG439" s="277"/>
      <c r="CH439" s="276"/>
      <c r="CJ439" s="276"/>
      <c r="DO439" s="281"/>
      <c r="DP439" s="282"/>
      <c r="DQ439" s="282"/>
      <c r="DS439" s="276"/>
      <c r="DT439" s="276"/>
      <c r="DU439" s="276"/>
      <c r="EA439" s="281"/>
      <c r="EB439" s="281"/>
      <c r="ED439" s="276"/>
      <c r="EE439" s="276"/>
      <c r="EG439" s="281"/>
      <c r="EH439" s="281"/>
      <c r="EK439" s="276"/>
      <c r="EL439" s="276"/>
      <c r="EN439" s="281"/>
      <c r="EO439" s="281"/>
      <c r="ER439" s="276"/>
      <c r="ES439" s="276"/>
      <c r="EV439" s="281"/>
      <c r="EW439" s="281"/>
      <c r="EX439" s="281"/>
      <c r="EZ439" s="276"/>
      <c r="FA439" s="276"/>
      <c r="FB439" s="276"/>
      <c r="FE439" s="281"/>
      <c r="FF439" s="281"/>
      <c r="FG439" s="281"/>
      <c r="FH439" s="281"/>
      <c r="FI439" s="276"/>
      <c r="FJ439" s="276"/>
      <c r="FK439" s="276"/>
      <c r="FL439" s="276"/>
      <c r="FO439" s="281"/>
      <c r="FP439" s="281"/>
      <c r="FQ439" s="281"/>
      <c r="FR439" s="281"/>
      <c r="FS439" s="276"/>
      <c r="FT439" s="276"/>
      <c r="FU439" s="276"/>
      <c r="FV439" s="276"/>
      <c r="FX439" s="281"/>
      <c r="GA439" s="276"/>
      <c r="GD439" s="276" t="s">
        <v>955</v>
      </c>
      <c r="GE439" s="276" t="s">
        <v>955</v>
      </c>
      <c r="GF439" s="276" t="s">
        <v>955</v>
      </c>
      <c r="GG439" s="276" t="s">
        <v>955</v>
      </c>
      <c r="GH439" s="276" t="s">
        <v>955</v>
      </c>
      <c r="GI439" s="276" t="s">
        <v>955</v>
      </c>
      <c r="GJ439" s="276" t="s">
        <v>955</v>
      </c>
      <c r="GK439" s="276" t="s">
        <v>955</v>
      </c>
      <c r="GL439" s="276" t="s">
        <v>955</v>
      </c>
      <c r="GM439" s="276" t="s">
        <v>955</v>
      </c>
      <c r="GN439" s="276" t="s">
        <v>955</v>
      </c>
      <c r="GO439" s="276" t="s">
        <v>955</v>
      </c>
      <c r="GP439" s="276" t="s">
        <v>955</v>
      </c>
      <c r="GQ439" s="276" t="s">
        <v>955</v>
      </c>
      <c r="GR439" s="276" t="s">
        <v>955</v>
      </c>
      <c r="GS439" s="276" t="s">
        <v>955</v>
      </c>
    </row>
    <row r="440" spans="1:203" x14ac:dyDescent="0.2">
      <c r="A440" s="276"/>
      <c r="B440" s="276"/>
      <c r="BC440" s="278"/>
      <c r="BD440" s="279"/>
      <c r="CC440" s="281"/>
      <c r="CF440" s="276"/>
      <c r="CG440" s="277"/>
      <c r="CH440" s="276"/>
      <c r="CJ440" s="276"/>
      <c r="DO440" s="281"/>
      <c r="DP440" s="282"/>
      <c r="DQ440" s="282"/>
      <c r="DS440" s="276"/>
      <c r="DT440" s="276"/>
      <c r="DU440" s="276"/>
      <c r="EA440" s="281"/>
      <c r="EB440" s="281"/>
      <c r="ED440" s="276"/>
      <c r="EE440" s="276"/>
      <c r="EG440" s="281"/>
      <c r="EH440" s="281"/>
      <c r="EK440" s="276"/>
      <c r="EL440" s="276"/>
      <c r="EN440" s="281"/>
      <c r="EO440" s="281"/>
      <c r="ER440" s="276"/>
      <c r="ES440" s="276"/>
      <c r="EV440" s="281"/>
      <c r="EW440" s="281"/>
      <c r="EX440" s="281"/>
      <c r="EZ440" s="276"/>
      <c r="FA440" s="276"/>
      <c r="FB440" s="276"/>
      <c r="FE440" s="281"/>
      <c r="FF440" s="281"/>
      <c r="FG440" s="281"/>
      <c r="FH440" s="281"/>
      <c r="FI440" s="276"/>
      <c r="FJ440" s="276"/>
      <c r="FK440" s="276"/>
      <c r="FL440" s="276"/>
      <c r="FO440" s="281"/>
      <c r="FP440" s="281"/>
      <c r="FQ440" s="281"/>
      <c r="FR440" s="281"/>
      <c r="FS440" s="276"/>
      <c r="FT440" s="276"/>
      <c r="FU440" s="276"/>
      <c r="FV440" s="276"/>
      <c r="FX440" s="281"/>
      <c r="GA440" s="276"/>
      <c r="GD440" s="276" t="s">
        <v>955</v>
      </c>
      <c r="GE440" s="276" t="s">
        <v>955</v>
      </c>
      <c r="GF440" s="276" t="s">
        <v>955</v>
      </c>
      <c r="GG440" s="276" t="s">
        <v>955</v>
      </c>
      <c r="GH440" s="276" t="s">
        <v>955</v>
      </c>
      <c r="GI440" s="276" t="s">
        <v>955</v>
      </c>
      <c r="GJ440" s="276" t="s">
        <v>955</v>
      </c>
      <c r="GK440" s="276" t="s">
        <v>955</v>
      </c>
      <c r="GL440" s="276" t="s">
        <v>955</v>
      </c>
      <c r="GM440" s="276" t="s">
        <v>955</v>
      </c>
      <c r="GN440" s="276" t="s">
        <v>955</v>
      </c>
      <c r="GO440" s="276" t="s">
        <v>955</v>
      </c>
      <c r="GP440" s="276" t="s">
        <v>955</v>
      </c>
      <c r="GQ440" s="276" t="s">
        <v>955</v>
      </c>
      <c r="GR440" s="276" t="s">
        <v>955</v>
      </c>
      <c r="GS440" s="276" t="s">
        <v>955</v>
      </c>
    </row>
    <row r="441" spans="1:203" x14ac:dyDescent="0.2">
      <c r="A441" s="276"/>
      <c r="B441" s="276"/>
      <c r="BC441" s="278"/>
      <c r="BD441" s="279"/>
      <c r="CC441" s="281"/>
      <c r="CF441" s="276"/>
      <c r="CG441" s="277"/>
      <c r="CH441" s="276"/>
      <c r="CJ441" s="276"/>
      <c r="DO441" s="281"/>
      <c r="DP441" s="282"/>
      <c r="DQ441" s="282"/>
      <c r="DS441" s="276"/>
      <c r="DT441" s="276"/>
      <c r="DU441" s="276"/>
      <c r="EA441" s="281"/>
      <c r="EB441" s="281"/>
      <c r="ED441" s="276"/>
      <c r="EE441" s="276"/>
      <c r="EG441" s="281"/>
      <c r="EH441" s="281"/>
      <c r="EK441" s="276"/>
      <c r="EL441" s="276"/>
      <c r="EN441" s="281"/>
      <c r="EO441" s="281"/>
      <c r="ER441" s="276"/>
      <c r="ES441" s="276"/>
      <c r="EV441" s="281"/>
      <c r="EW441" s="281"/>
      <c r="EX441" s="281"/>
      <c r="EZ441" s="276"/>
      <c r="FA441" s="276"/>
      <c r="FB441" s="276"/>
      <c r="FE441" s="281"/>
      <c r="FF441" s="281"/>
      <c r="FG441" s="281"/>
      <c r="FH441" s="281"/>
      <c r="FI441" s="276"/>
      <c r="FJ441" s="276"/>
      <c r="FK441" s="276"/>
      <c r="FL441" s="276"/>
      <c r="FO441" s="281"/>
      <c r="FP441" s="281"/>
      <c r="FQ441" s="281"/>
      <c r="FR441" s="281"/>
      <c r="FS441" s="276"/>
      <c r="FT441" s="276"/>
      <c r="FU441" s="276"/>
      <c r="FV441" s="276"/>
      <c r="FX441" s="281"/>
      <c r="GA441" s="276"/>
      <c r="GD441" s="276" t="s">
        <v>955</v>
      </c>
      <c r="GE441" s="276" t="s">
        <v>955</v>
      </c>
      <c r="GF441" s="276" t="s">
        <v>955</v>
      </c>
      <c r="GG441" s="276" t="s">
        <v>955</v>
      </c>
      <c r="GH441" s="276" t="s">
        <v>955</v>
      </c>
      <c r="GI441" s="276" t="s">
        <v>955</v>
      </c>
      <c r="GJ441" s="276" t="s">
        <v>955</v>
      </c>
      <c r="GK441" s="276" t="s">
        <v>955</v>
      </c>
      <c r="GL441" s="276" t="s">
        <v>955</v>
      </c>
      <c r="GM441" s="276" t="s">
        <v>955</v>
      </c>
      <c r="GN441" s="276" t="s">
        <v>955</v>
      </c>
      <c r="GO441" s="276" t="s">
        <v>955</v>
      </c>
      <c r="GP441" s="276" t="s">
        <v>955</v>
      </c>
      <c r="GQ441" s="276" t="s">
        <v>955</v>
      </c>
      <c r="GR441" s="276" t="s">
        <v>955</v>
      </c>
      <c r="GS441" s="276" t="s">
        <v>955</v>
      </c>
    </row>
    <row r="442" spans="1:203" x14ac:dyDescent="0.2">
      <c r="A442" s="276"/>
      <c r="B442" s="276"/>
      <c r="BC442" s="278"/>
      <c r="BD442" s="279"/>
      <c r="CC442" s="281"/>
      <c r="CG442" s="276"/>
      <c r="CH442" s="277"/>
      <c r="CJ442" s="276"/>
      <c r="DO442" s="281"/>
      <c r="DP442" s="282"/>
      <c r="DQ442" s="282"/>
      <c r="DS442" s="276"/>
      <c r="DT442" s="276"/>
      <c r="DU442" s="276"/>
      <c r="EB442" s="281"/>
      <c r="EC442" s="281"/>
      <c r="ED442" s="276"/>
      <c r="EE442" s="276"/>
      <c r="EG442" s="281"/>
      <c r="EH442" s="281"/>
      <c r="EK442" s="276"/>
      <c r="EL442" s="276"/>
      <c r="EN442" s="281"/>
      <c r="EO442" s="281"/>
      <c r="ER442" s="276"/>
      <c r="ES442" s="276"/>
      <c r="EV442" s="281"/>
      <c r="EW442" s="281"/>
      <c r="EX442" s="281"/>
      <c r="EZ442" s="276"/>
      <c r="FA442" s="276"/>
      <c r="FB442" s="276"/>
      <c r="FE442" s="281"/>
      <c r="FF442" s="281"/>
      <c r="FG442" s="281"/>
      <c r="FH442" s="281"/>
      <c r="FI442" s="276"/>
      <c r="FK442" s="276"/>
      <c r="FL442" s="276"/>
      <c r="FO442" s="281"/>
      <c r="FP442" s="281"/>
      <c r="FQ442" s="281"/>
      <c r="FR442" s="281"/>
      <c r="FS442" s="276"/>
      <c r="FU442" s="276"/>
      <c r="FV442" s="276"/>
      <c r="FY442" s="281"/>
      <c r="GA442" s="276"/>
      <c r="GE442" s="276" t="s">
        <v>955</v>
      </c>
      <c r="GF442" s="276" t="s">
        <v>955</v>
      </c>
      <c r="GG442" s="276" t="s">
        <v>955</v>
      </c>
      <c r="GH442" s="276" t="s">
        <v>955</v>
      </c>
      <c r="GI442" s="276" t="s">
        <v>955</v>
      </c>
      <c r="GJ442" s="276" t="s">
        <v>955</v>
      </c>
      <c r="GK442" s="276" t="s">
        <v>955</v>
      </c>
      <c r="GL442" s="276" t="s">
        <v>955</v>
      </c>
      <c r="GM442" s="276" t="s">
        <v>955</v>
      </c>
      <c r="GN442" s="276" t="s">
        <v>955</v>
      </c>
      <c r="GO442" s="276" t="s">
        <v>955</v>
      </c>
      <c r="GP442" s="276" t="s">
        <v>955</v>
      </c>
      <c r="GQ442" s="276" t="s">
        <v>955</v>
      </c>
      <c r="GR442" s="276" t="s">
        <v>955</v>
      </c>
      <c r="GS442" s="276" t="s">
        <v>955</v>
      </c>
      <c r="GT442" s="276" t="s">
        <v>955</v>
      </c>
    </row>
    <row r="443" spans="1:203" x14ac:dyDescent="0.2">
      <c r="A443" s="276"/>
      <c r="B443" s="276"/>
      <c r="BC443" s="278"/>
      <c r="BD443" s="279"/>
      <c r="CC443" s="281"/>
      <c r="CG443" s="276"/>
      <c r="CH443" s="277"/>
      <c r="CJ443" s="276"/>
      <c r="DO443" s="281"/>
      <c r="DP443" s="282"/>
      <c r="DQ443" s="282"/>
      <c r="DS443" s="276"/>
      <c r="DT443" s="276"/>
      <c r="DU443" s="276"/>
      <c r="EB443" s="281"/>
      <c r="EC443" s="281"/>
      <c r="ED443" s="276"/>
      <c r="EE443" s="276"/>
      <c r="EG443" s="281"/>
      <c r="EH443" s="281"/>
      <c r="EK443" s="276"/>
      <c r="EL443" s="276"/>
      <c r="EN443" s="281"/>
      <c r="EO443" s="281"/>
      <c r="ER443" s="276"/>
      <c r="ES443" s="276"/>
      <c r="EV443" s="281"/>
      <c r="EW443" s="281"/>
      <c r="EX443" s="281"/>
      <c r="EZ443" s="276"/>
      <c r="FA443" s="276"/>
      <c r="FB443" s="276"/>
      <c r="FE443" s="281"/>
      <c r="FF443" s="281"/>
      <c r="FG443" s="281"/>
      <c r="FH443" s="281"/>
      <c r="FI443" s="276"/>
      <c r="FK443" s="276"/>
      <c r="FL443" s="276"/>
      <c r="FO443" s="281"/>
      <c r="FP443" s="281"/>
      <c r="FQ443" s="281"/>
      <c r="FR443" s="281"/>
      <c r="FS443" s="276"/>
      <c r="FU443" s="276"/>
      <c r="FV443" s="276"/>
      <c r="FY443" s="281"/>
      <c r="GA443" s="276"/>
      <c r="GE443" s="276" t="s">
        <v>955</v>
      </c>
      <c r="GF443" s="276" t="s">
        <v>955</v>
      </c>
      <c r="GG443" s="276" t="s">
        <v>955</v>
      </c>
      <c r="GH443" s="276" t="s">
        <v>955</v>
      </c>
      <c r="GI443" s="276" t="s">
        <v>955</v>
      </c>
      <c r="GJ443" s="276" t="s">
        <v>955</v>
      </c>
      <c r="GK443" s="276" t="s">
        <v>955</v>
      </c>
      <c r="GL443" s="276" t="s">
        <v>955</v>
      </c>
      <c r="GM443" s="276" t="s">
        <v>955</v>
      </c>
      <c r="GN443" s="276" t="s">
        <v>955</v>
      </c>
      <c r="GO443" s="276" t="s">
        <v>955</v>
      </c>
      <c r="GP443" s="276" t="s">
        <v>955</v>
      </c>
      <c r="GQ443" s="276" t="s">
        <v>955</v>
      </c>
      <c r="GR443" s="276" t="s">
        <v>955</v>
      </c>
      <c r="GS443" s="276" t="s">
        <v>955</v>
      </c>
      <c r="GT443" s="276" t="s">
        <v>955</v>
      </c>
    </row>
    <row r="444" spans="1:203" x14ac:dyDescent="0.2">
      <c r="A444" s="276"/>
      <c r="B444" s="276"/>
      <c r="BC444" s="278"/>
      <c r="BD444" s="279"/>
      <c r="CC444" s="281"/>
      <c r="CG444" s="276"/>
      <c r="CH444" s="277"/>
      <c r="CJ444" s="276"/>
      <c r="DO444" s="281"/>
      <c r="DP444" s="282"/>
      <c r="DQ444" s="282"/>
      <c r="DS444" s="276"/>
      <c r="DT444" s="276"/>
      <c r="DU444" s="276"/>
      <c r="EB444" s="281"/>
      <c r="EC444" s="281"/>
      <c r="ED444" s="276"/>
      <c r="EE444" s="276"/>
      <c r="EG444" s="281"/>
      <c r="EH444" s="281"/>
      <c r="EK444" s="276"/>
      <c r="EL444" s="276"/>
      <c r="EN444" s="281"/>
      <c r="EO444" s="281"/>
      <c r="ER444" s="276"/>
      <c r="ES444" s="276"/>
      <c r="EV444" s="281"/>
      <c r="EW444" s="281"/>
      <c r="EX444" s="281"/>
      <c r="EZ444" s="276"/>
      <c r="FA444" s="276"/>
      <c r="FB444" s="276"/>
      <c r="FE444" s="281"/>
      <c r="FF444" s="281"/>
      <c r="FG444" s="281"/>
      <c r="FH444" s="281"/>
      <c r="FI444" s="276"/>
      <c r="FK444" s="276"/>
      <c r="FL444" s="276"/>
      <c r="FO444" s="281"/>
      <c r="FP444" s="281"/>
      <c r="FQ444" s="281"/>
      <c r="FR444" s="281"/>
      <c r="FS444" s="276"/>
      <c r="FU444" s="276"/>
      <c r="FV444" s="276"/>
      <c r="FY444" s="281"/>
      <c r="GA444" s="276"/>
      <c r="GE444" s="276" t="s">
        <v>955</v>
      </c>
      <c r="GF444" s="276" t="s">
        <v>955</v>
      </c>
      <c r="GG444" s="276" t="s">
        <v>955</v>
      </c>
      <c r="GH444" s="276" t="s">
        <v>955</v>
      </c>
      <c r="GI444" s="276" t="s">
        <v>955</v>
      </c>
      <c r="GJ444" s="276" t="s">
        <v>955</v>
      </c>
      <c r="GK444" s="276" t="s">
        <v>955</v>
      </c>
      <c r="GL444" s="276" t="s">
        <v>955</v>
      </c>
      <c r="GM444" s="276" t="s">
        <v>955</v>
      </c>
      <c r="GN444" s="276" t="s">
        <v>955</v>
      </c>
      <c r="GO444" s="276" t="s">
        <v>955</v>
      </c>
      <c r="GP444" s="276" t="s">
        <v>955</v>
      </c>
      <c r="GQ444" s="276" t="s">
        <v>955</v>
      </c>
      <c r="GR444" s="276" t="s">
        <v>955</v>
      </c>
      <c r="GS444" s="276" t="s">
        <v>955</v>
      </c>
      <c r="GT444" s="276" t="s">
        <v>955</v>
      </c>
    </row>
    <row r="445" spans="1:203" x14ac:dyDescent="0.2">
      <c r="A445" s="276"/>
      <c r="B445" s="276"/>
      <c r="BC445" s="278"/>
      <c r="BD445" s="279"/>
      <c r="CC445" s="281"/>
      <c r="CG445" s="276"/>
      <c r="CH445" s="277"/>
      <c r="CJ445" s="276"/>
      <c r="DK445" s="290"/>
      <c r="DO445" s="281"/>
      <c r="DP445" s="282"/>
      <c r="DQ445" s="282"/>
      <c r="DS445" s="276"/>
      <c r="DT445" s="276"/>
      <c r="DU445" s="276"/>
      <c r="EB445" s="281"/>
      <c r="EC445" s="281"/>
      <c r="ED445" s="276"/>
      <c r="EE445" s="276"/>
      <c r="EG445" s="281"/>
      <c r="EH445" s="281"/>
      <c r="EK445" s="276"/>
      <c r="EL445" s="276"/>
      <c r="EN445" s="281"/>
      <c r="EO445" s="281"/>
      <c r="ER445" s="276"/>
      <c r="ES445" s="276"/>
      <c r="EV445" s="281"/>
      <c r="EW445" s="281"/>
      <c r="EX445" s="281"/>
      <c r="EZ445" s="276"/>
      <c r="FA445" s="276"/>
      <c r="FB445" s="276"/>
      <c r="FE445" s="281"/>
      <c r="FF445" s="281"/>
      <c r="FG445" s="281"/>
      <c r="FH445" s="281"/>
      <c r="FI445" s="276"/>
      <c r="FK445" s="276"/>
      <c r="FL445" s="276"/>
      <c r="FO445" s="281"/>
      <c r="FP445" s="281"/>
      <c r="FQ445" s="281"/>
      <c r="FR445" s="281"/>
      <c r="FS445" s="276"/>
      <c r="FU445" s="276"/>
      <c r="FV445" s="276"/>
      <c r="FY445" s="281"/>
      <c r="GA445" s="276"/>
      <c r="GE445" s="276" t="s">
        <v>955</v>
      </c>
      <c r="GF445" s="276" t="s">
        <v>955</v>
      </c>
      <c r="GG445" s="276" t="s">
        <v>955</v>
      </c>
      <c r="GH445" s="276" t="s">
        <v>955</v>
      </c>
      <c r="GI445" s="276" t="s">
        <v>955</v>
      </c>
      <c r="GJ445" s="276" t="s">
        <v>955</v>
      </c>
      <c r="GK445" s="276" t="s">
        <v>955</v>
      </c>
      <c r="GL445" s="276" t="s">
        <v>955</v>
      </c>
      <c r="GM445" s="276" t="s">
        <v>955</v>
      </c>
      <c r="GN445" s="276" t="s">
        <v>955</v>
      </c>
      <c r="GO445" s="276" t="s">
        <v>955</v>
      </c>
      <c r="GP445" s="276" t="s">
        <v>955</v>
      </c>
      <c r="GQ445" s="276" t="s">
        <v>955</v>
      </c>
      <c r="GR445" s="276" t="s">
        <v>955</v>
      </c>
      <c r="GS445" s="276" t="s">
        <v>955</v>
      </c>
      <c r="GT445" s="276" t="s">
        <v>955</v>
      </c>
    </row>
    <row r="446" spans="1:203" x14ac:dyDescent="0.2">
      <c r="A446" s="276"/>
      <c r="B446" s="276"/>
      <c r="BC446" s="278"/>
      <c r="BD446" s="279"/>
      <c r="CC446" s="281"/>
      <c r="CH446" s="276"/>
      <c r="CI446" s="277"/>
      <c r="CJ446" s="276"/>
      <c r="DO446" s="281"/>
      <c r="DP446" s="282"/>
      <c r="DQ446" s="282"/>
      <c r="DS446" s="276"/>
      <c r="DU446" s="276"/>
      <c r="EC446" s="281"/>
      <c r="EE446" s="276"/>
      <c r="EG446" s="281"/>
      <c r="EH446" s="281"/>
      <c r="EK446" s="276"/>
      <c r="EL446" s="276"/>
      <c r="EN446" s="281"/>
      <c r="EO446" s="281"/>
      <c r="ER446" s="276"/>
      <c r="ES446" s="276"/>
      <c r="EV446" s="281"/>
      <c r="EW446" s="281"/>
      <c r="EX446" s="281"/>
      <c r="EZ446" s="276"/>
      <c r="FB446" s="276"/>
      <c r="FE446" s="281"/>
      <c r="FF446" s="281"/>
      <c r="FG446" s="281"/>
      <c r="FH446" s="281"/>
      <c r="FI446" s="276"/>
      <c r="FL446" s="276"/>
      <c r="FO446" s="281"/>
      <c r="FP446" s="281"/>
      <c r="FQ446" s="281"/>
      <c r="FR446" s="281"/>
      <c r="FS446" s="276"/>
      <c r="FV446" s="276"/>
      <c r="FZ446" s="281"/>
      <c r="GA446" s="276"/>
      <c r="GF446" s="276" t="s">
        <v>955</v>
      </c>
      <c r="GG446" s="276" t="s">
        <v>955</v>
      </c>
      <c r="GH446" s="276" t="s">
        <v>955</v>
      </c>
      <c r="GI446" s="276" t="s">
        <v>955</v>
      </c>
      <c r="GJ446" s="276" t="s">
        <v>955</v>
      </c>
      <c r="GK446" s="276" t="s">
        <v>955</v>
      </c>
      <c r="GL446" s="276" t="s">
        <v>955</v>
      </c>
      <c r="GM446" s="276" t="s">
        <v>955</v>
      </c>
      <c r="GN446" s="276" t="s">
        <v>955</v>
      </c>
      <c r="GO446" s="276" t="s">
        <v>955</v>
      </c>
      <c r="GP446" s="276" t="s">
        <v>955</v>
      </c>
      <c r="GQ446" s="276" t="s">
        <v>955</v>
      </c>
      <c r="GR446" s="276" t="s">
        <v>955</v>
      </c>
      <c r="GS446" s="276" t="s">
        <v>955</v>
      </c>
      <c r="GT446" s="276" t="s">
        <v>955</v>
      </c>
      <c r="GU446" s="276" t="s">
        <v>955</v>
      </c>
    </row>
    <row r="447" spans="1:203" x14ac:dyDescent="0.2">
      <c r="A447" s="276"/>
      <c r="B447" s="276"/>
      <c r="BC447" s="278"/>
      <c r="BD447" s="279"/>
      <c r="CC447" s="281"/>
      <c r="CH447" s="276"/>
      <c r="CI447" s="277"/>
      <c r="CJ447" s="276"/>
      <c r="DO447" s="281"/>
      <c r="DP447" s="282"/>
      <c r="DQ447" s="282"/>
      <c r="DS447" s="276"/>
      <c r="DU447" s="276"/>
      <c r="EC447" s="281"/>
      <c r="EE447" s="276"/>
      <c r="EG447" s="281"/>
      <c r="EH447" s="281"/>
      <c r="EK447" s="276"/>
      <c r="EL447" s="276"/>
      <c r="EN447" s="281"/>
      <c r="EO447" s="281"/>
      <c r="ER447" s="276"/>
      <c r="ES447" s="276"/>
      <c r="EV447" s="281"/>
      <c r="EW447" s="281"/>
      <c r="EX447" s="281"/>
      <c r="EZ447" s="276"/>
      <c r="FB447" s="276"/>
      <c r="FE447" s="281"/>
      <c r="FF447" s="281"/>
      <c r="FG447" s="281"/>
      <c r="FH447" s="281"/>
      <c r="FI447" s="276"/>
      <c r="FL447" s="276"/>
      <c r="FO447" s="281"/>
      <c r="FP447" s="281"/>
      <c r="FQ447" s="281"/>
      <c r="FR447" s="281"/>
      <c r="FS447" s="276"/>
      <c r="FV447" s="276"/>
      <c r="FZ447" s="281"/>
      <c r="GA447" s="276"/>
      <c r="GF447" s="276" t="s">
        <v>955</v>
      </c>
      <c r="GG447" s="276" t="s">
        <v>955</v>
      </c>
      <c r="GH447" s="276" t="s">
        <v>955</v>
      </c>
      <c r="GI447" s="276" t="s">
        <v>955</v>
      </c>
      <c r="GJ447" s="276" t="s">
        <v>955</v>
      </c>
      <c r="GK447" s="276" t="s">
        <v>955</v>
      </c>
      <c r="GL447" s="276" t="s">
        <v>955</v>
      </c>
      <c r="GM447" s="276" t="s">
        <v>955</v>
      </c>
      <c r="GN447" s="276" t="s">
        <v>955</v>
      </c>
      <c r="GO447" s="276" t="s">
        <v>955</v>
      </c>
      <c r="GP447" s="276" t="s">
        <v>955</v>
      </c>
      <c r="GQ447" s="276" t="s">
        <v>955</v>
      </c>
      <c r="GR447" s="276" t="s">
        <v>955</v>
      </c>
      <c r="GS447" s="276" t="s">
        <v>955</v>
      </c>
      <c r="GT447" s="276" t="s">
        <v>955</v>
      </c>
      <c r="GU447" s="276" t="s">
        <v>955</v>
      </c>
    </row>
    <row r="448" spans="1:203" x14ac:dyDescent="0.2">
      <c r="A448" s="276"/>
      <c r="B448" s="276"/>
      <c r="BC448" s="278"/>
      <c r="BD448" s="279"/>
      <c r="CC448" s="281"/>
      <c r="CH448" s="276"/>
      <c r="CI448" s="277"/>
      <c r="CJ448" s="276"/>
      <c r="DO448" s="281"/>
      <c r="DP448" s="282"/>
      <c r="DQ448" s="282"/>
      <c r="DS448" s="276"/>
      <c r="DU448" s="276"/>
      <c r="EC448" s="281"/>
      <c r="EE448" s="276"/>
      <c r="EG448" s="281"/>
      <c r="EH448" s="281"/>
      <c r="EK448" s="276"/>
      <c r="EL448" s="276"/>
      <c r="EN448" s="281"/>
      <c r="EO448" s="281"/>
      <c r="ER448" s="276"/>
      <c r="ES448" s="276"/>
      <c r="EV448" s="281"/>
      <c r="EW448" s="281"/>
      <c r="EX448" s="281"/>
      <c r="EZ448" s="276"/>
      <c r="FB448" s="276"/>
      <c r="FE448" s="281"/>
      <c r="FF448" s="281"/>
      <c r="FG448" s="281"/>
      <c r="FH448" s="281"/>
      <c r="FI448" s="276"/>
      <c r="FL448" s="276"/>
      <c r="FO448" s="281"/>
      <c r="FP448" s="281"/>
      <c r="FQ448" s="281"/>
      <c r="FR448" s="281"/>
      <c r="FS448" s="276"/>
      <c r="FV448" s="276"/>
      <c r="FZ448" s="281"/>
      <c r="GA448" s="276"/>
      <c r="GF448" s="276" t="s">
        <v>955</v>
      </c>
      <c r="GG448" s="276" t="s">
        <v>955</v>
      </c>
      <c r="GH448" s="276" t="s">
        <v>955</v>
      </c>
      <c r="GI448" s="276" t="s">
        <v>955</v>
      </c>
      <c r="GJ448" s="276" t="s">
        <v>955</v>
      </c>
      <c r="GK448" s="276" t="s">
        <v>955</v>
      </c>
      <c r="GL448" s="276" t="s">
        <v>955</v>
      </c>
      <c r="GM448" s="276" t="s">
        <v>955</v>
      </c>
      <c r="GN448" s="276" t="s">
        <v>955</v>
      </c>
      <c r="GO448" s="276" t="s">
        <v>955</v>
      </c>
      <c r="GP448" s="276" t="s">
        <v>955</v>
      </c>
      <c r="GQ448" s="276" t="s">
        <v>955</v>
      </c>
      <c r="GR448" s="276" t="s">
        <v>955</v>
      </c>
      <c r="GS448" s="276" t="s">
        <v>955</v>
      </c>
      <c r="GT448" s="276" t="s">
        <v>955</v>
      </c>
      <c r="GU448" s="276" t="s">
        <v>955</v>
      </c>
    </row>
    <row r="449" spans="1:204" x14ac:dyDescent="0.2">
      <c r="A449" s="276"/>
      <c r="B449" s="276"/>
      <c r="BC449" s="278"/>
      <c r="BD449" s="279"/>
      <c r="CJ449" s="276"/>
      <c r="DO449" s="281"/>
      <c r="DP449" s="282"/>
      <c r="DQ449" s="282"/>
      <c r="DS449" s="276"/>
      <c r="EG449" s="281"/>
      <c r="EH449" s="281"/>
      <c r="EK449" s="276"/>
      <c r="EN449" s="281"/>
      <c r="EO449" s="281"/>
      <c r="ER449" s="276"/>
      <c r="EV449" s="281"/>
      <c r="EW449" s="281"/>
      <c r="EX449" s="281"/>
      <c r="EZ449" s="276"/>
      <c r="FE449" s="281"/>
      <c r="FF449" s="281"/>
      <c r="FG449" s="281"/>
      <c r="FH449" s="281"/>
      <c r="FI449" s="276"/>
      <c r="FO449" s="281"/>
      <c r="FP449" s="281"/>
      <c r="FQ449" s="281"/>
      <c r="FR449" s="281"/>
      <c r="FS449" s="276"/>
      <c r="GG449" s="276" t="s">
        <v>955</v>
      </c>
      <c r="GH449" s="276" t="s">
        <v>955</v>
      </c>
      <c r="GI449" s="276" t="s">
        <v>955</v>
      </c>
      <c r="GJ449" s="276" t="s">
        <v>955</v>
      </c>
      <c r="GK449" s="276" t="s">
        <v>955</v>
      </c>
      <c r="GL449" s="276" t="s">
        <v>955</v>
      </c>
      <c r="GM449" s="276" t="s">
        <v>955</v>
      </c>
      <c r="GN449" s="276" t="s">
        <v>955</v>
      </c>
      <c r="GO449" s="276" t="s">
        <v>955</v>
      </c>
      <c r="GP449" s="276" t="s">
        <v>955</v>
      </c>
      <c r="GQ449" s="276" t="s">
        <v>955</v>
      </c>
      <c r="GR449" s="276" t="s">
        <v>955</v>
      </c>
      <c r="GS449" s="276" t="s">
        <v>955</v>
      </c>
      <c r="GT449" s="276" t="s">
        <v>955</v>
      </c>
      <c r="GU449" s="276" t="s">
        <v>955</v>
      </c>
      <c r="GV449" s="276" t="s">
        <v>955</v>
      </c>
    </row>
    <row r="450" spans="1:204" x14ac:dyDescent="0.2">
      <c r="A450" s="276"/>
      <c r="B450" s="276"/>
      <c r="BC450" s="278"/>
      <c r="BD450" s="279"/>
      <c r="CJ450" s="276"/>
      <c r="DO450" s="281"/>
      <c r="DP450" s="282"/>
      <c r="DQ450" s="282"/>
      <c r="DS450" s="276"/>
      <c r="EG450" s="281"/>
      <c r="EH450" s="281"/>
      <c r="EK450" s="276"/>
      <c r="EN450" s="281"/>
      <c r="EO450" s="281"/>
      <c r="ER450" s="276"/>
      <c r="EV450" s="281"/>
      <c r="EW450" s="281"/>
      <c r="EX450" s="281"/>
      <c r="EZ450" s="276"/>
      <c r="FE450" s="281"/>
      <c r="FF450" s="281"/>
      <c r="FG450" s="281"/>
      <c r="FH450" s="281"/>
      <c r="FI450" s="276"/>
      <c r="FO450" s="281"/>
      <c r="FP450" s="281"/>
      <c r="FQ450" s="281"/>
      <c r="FR450" s="281"/>
      <c r="FS450" s="276"/>
      <c r="GG450" s="276" t="s">
        <v>955</v>
      </c>
      <c r="GH450" s="276" t="s">
        <v>955</v>
      </c>
      <c r="GI450" s="276" t="s">
        <v>955</v>
      </c>
      <c r="GJ450" s="276" t="s">
        <v>955</v>
      </c>
      <c r="GK450" s="276" t="s">
        <v>955</v>
      </c>
      <c r="GL450" s="276" t="s">
        <v>955</v>
      </c>
      <c r="GM450" s="276" t="s">
        <v>955</v>
      </c>
      <c r="GN450" s="276" t="s">
        <v>955</v>
      </c>
      <c r="GO450" s="276" t="s">
        <v>955</v>
      </c>
      <c r="GP450" s="276" t="s">
        <v>955</v>
      </c>
      <c r="GQ450" s="276" t="s">
        <v>955</v>
      </c>
      <c r="GR450" s="276" t="s">
        <v>955</v>
      </c>
      <c r="GS450" s="276" t="s">
        <v>955</v>
      </c>
      <c r="GT450" s="276" t="s">
        <v>955</v>
      </c>
      <c r="GU450" s="276" t="s">
        <v>955</v>
      </c>
      <c r="GV450" s="276" t="s">
        <v>955</v>
      </c>
    </row>
    <row r="451" spans="1:204" x14ac:dyDescent="0.2">
      <c r="A451" s="276"/>
      <c r="B451" s="276"/>
      <c r="BC451" s="278"/>
      <c r="BD451" s="279"/>
      <c r="CJ451" s="276"/>
      <c r="DO451" s="281"/>
      <c r="DP451" s="282"/>
      <c r="DQ451" s="282"/>
      <c r="DS451" s="276"/>
      <c r="EG451" s="281"/>
      <c r="EH451" s="281"/>
      <c r="EK451" s="276"/>
      <c r="EN451" s="281"/>
      <c r="EO451" s="281"/>
      <c r="ER451" s="276"/>
      <c r="EV451" s="281"/>
      <c r="EW451" s="281"/>
      <c r="EX451" s="281"/>
      <c r="EZ451" s="276"/>
      <c r="FE451" s="281"/>
      <c r="FF451" s="281"/>
      <c r="FG451" s="281"/>
      <c r="FH451" s="281"/>
      <c r="FI451" s="276"/>
      <c r="FO451" s="281"/>
      <c r="FP451" s="281"/>
      <c r="FQ451" s="281"/>
      <c r="FR451" s="281"/>
      <c r="FS451" s="276"/>
      <c r="GG451" s="276" t="s">
        <v>955</v>
      </c>
      <c r="GH451" s="276" t="s">
        <v>955</v>
      </c>
      <c r="GI451" s="276" t="s">
        <v>955</v>
      </c>
      <c r="GJ451" s="276" t="s">
        <v>955</v>
      </c>
      <c r="GK451" s="276" t="s">
        <v>955</v>
      </c>
      <c r="GL451" s="276" t="s">
        <v>955</v>
      </c>
      <c r="GM451" s="276" t="s">
        <v>955</v>
      </c>
      <c r="GN451" s="276" t="s">
        <v>955</v>
      </c>
      <c r="GO451" s="276" t="s">
        <v>955</v>
      </c>
      <c r="GP451" s="276" t="s">
        <v>955</v>
      </c>
      <c r="GQ451" s="276" t="s">
        <v>955</v>
      </c>
      <c r="GR451" s="276" t="s">
        <v>955</v>
      </c>
      <c r="GS451" s="276" t="s">
        <v>955</v>
      </c>
      <c r="GT451" s="276" t="s">
        <v>955</v>
      </c>
      <c r="GU451" s="276" t="s">
        <v>955</v>
      </c>
      <c r="GV451" s="276" t="s">
        <v>955</v>
      </c>
    </row>
    <row r="452" spans="1:204" x14ac:dyDescent="0.2">
      <c r="A452" s="276"/>
      <c r="B452" s="276"/>
      <c r="BC452" s="278"/>
      <c r="BD452" s="279"/>
      <c r="CJ452" s="276"/>
      <c r="DO452" s="281"/>
      <c r="DP452" s="282"/>
      <c r="DQ452" s="282"/>
      <c r="DS452" s="276"/>
      <c r="EG452" s="281"/>
      <c r="EH452" s="281"/>
      <c r="EK452" s="276"/>
      <c r="EN452" s="281"/>
      <c r="EO452" s="281"/>
      <c r="ER452" s="276"/>
      <c r="EV452" s="281"/>
      <c r="EW452" s="281"/>
      <c r="EX452" s="281"/>
      <c r="EZ452" s="276"/>
      <c r="FE452" s="281"/>
      <c r="FF452" s="281"/>
      <c r="FG452" s="281"/>
      <c r="FH452" s="281"/>
      <c r="FI452" s="276"/>
      <c r="FO452" s="281"/>
      <c r="FP452" s="281"/>
      <c r="FQ452" s="281"/>
      <c r="FR452" s="281"/>
      <c r="FS452" s="276"/>
      <c r="GG452" s="276" t="s">
        <v>955</v>
      </c>
      <c r="GH452" s="276" t="s">
        <v>955</v>
      </c>
      <c r="GI452" s="276" t="s">
        <v>955</v>
      </c>
      <c r="GJ452" s="276" t="s">
        <v>955</v>
      </c>
      <c r="GK452" s="276" t="s">
        <v>955</v>
      </c>
      <c r="GL452" s="276" t="s">
        <v>955</v>
      </c>
      <c r="GM452" s="276" t="s">
        <v>955</v>
      </c>
      <c r="GN452" s="276" t="s">
        <v>955</v>
      </c>
      <c r="GO452" s="276" t="s">
        <v>955</v>
      </c>
      <c r="GP452" s="276" t="s">
        <v>955</v>
      </c>
      <c r="GQ452" s="276" t="s">
        <v>955</v>
      </c>
      <c r="GR452" s="276" t="s">
        <v>955</v>
      </c>
      <c r="GS452" s="276" t="s">
        <v>955</v>
      </c>
      <c r="GT452" s="276" t="s">
        <v>955</v>
      </c>
      <c r="GU452" s="276" t="s">
        <v>955</v>
      </c>
      <c r="GV452" s="276" t="s">
        <v>955</v>
      </c>
    </row>
    <row r="453" spans="1:204" x14ac:dyDescent="0.2">
      <c r="A453" s="276"/>
      <c r="B453" s="276"/>
      <c r="BC453" s="278"/>
      <c r="BD453" s="279"/>
      <c r="CJ453" s="276"/>
      <c r="DO453" s="281"/>
      <c r="DP453" s="282"/>
      <c r="DQ453" s="282"/>
      <c r="DS453" s="276"/>
      <c r="EG453" s="281"/>
      <c r="EH453" s="281"/>
      <c r="EK453" s="276"/>
      <c r="EN453" s="281"/>
      <c r="EO453" s="281"/>
      <c r="ER453" s="276"/>
      <c r="EV453" s="281"/>
      <c r="EW453" s="281"/>
      <c r="EX453" s="281"/>
      <c r="EZ453" s="276"/>
      <c r="FE453" s="281"/>
      <c r="FF453" s="281"/>
      <c r="FG453" s="281"/>
      <c r="FH453" s="281"/>
      <c r="FI453" s="276"/>
      <c r="FO453" s="281"/>
      <c r="FP453" s="281"/>
      <c r="FQ453" s="281"/>
      <c r="FR453" s="281"/>
      <c r="FS453" s="276"/>
      <c r="GG453" s="276" t="s">
        <v>955</v>
      </c>
      <c r="GH453" s="276" t="s">
        <v>955</v>
      </c>
      <c r="GI453" s="276" t="s">
        <v>955</v>
      </c>
      <c r="GJ453" s="276" t="s">
        <v>955</v>
      </c>
      <c r="GK453" s="276" t="s">
        <v>955</v>
      </c>
      <c r="GL453" s="276" t="s">
        <v>955</v>
      </c>
      <c r="GM453" s="276" t="s">
        <v>955</v>
      </c>
      <c r="GN453" s="276" t="s">
        <v>955</v>
      </c>
      <c r="GO453" s="276" t="s">
        <v>955</v>
      </c>
      <c r="GP453" s="276" t="s">
        <v>955</v>
      </c>
      <c r="GQ453" s="276" t="s">
        <v>955</v>
      </c>
      <c r="GR453" s="276" t="s">
        <v>955</v>
      </c>
      <c r="GS453" s="276" t="s">
        <v>955</v>
      </c>
      <c r="GT453" s="276" t="s">
        <v>955</v>
      </c>
      <c r="GU453" s="276" t="s">
        <v>955</v>
      </c>
      <c r="GV453" s="276" t="s">
        <v>955</v>
      </c>
    </row>
    <row r="454" spans="1:204" x14ac:dyDescent="0.2">
      <c r="A454" s="276"/>
      <c r="B454" s="276"/>
      <c r="BC454" s="278"/>
      <c r="BD454" s="279"/>
      <c r="CJ454" s="276"/>
      <c r="DO454" s="281"/>
      <c r="DP454" s="282"/>
      <c r="DQ454" s="282"/>
      <c r="DS454" s="276"/>
      <c r="EG454" s="281"/>
      <c r="EH454" s="281"/>
      <c r="EK454" s="276"/>
      <c r="EN454" s="281"/>
      <c r="EO454" s="281"/>
      <c r="ER454" s="276"/>
      <c r="EV454" s="281"/>
      <c r="EW454" s="281"/>
      <c r="EX454" s="281"/>
      <c r="EZ454" s="276"/>
      <c r="FE454" s="281"/>
      <c r="FF454" s="281"/>
      <c r="FG454" s="281"/>
      <c r="FH454" s="281"/>
      <c r="FI454" s="276"/>
      <c r="FO454" s="281"/>
      <c r="FP454" s="281"/>
      <c r="FQ454" s="281"/>
      <c r="FR454" s="281"/>
      <c r="FS454" s="276"/>
      <c r="GG454" s="276" t="s">
        <v>955</v>
      </c>
      <c r="GH454" s="276" t="s">
        <v>955</v>
      </c>
      <c r="GI454" s="276" t="s">
        <v>955</v>
      </c>
      <c r="GJ454" s="276" t="s">
        <v>955</v>
      </c>
      <c r="GK454" s="276" t="s">
        <v>955</v>
      </c>
      <c r="GL454" s="276" t="s">
        <v>955</v>
      </c>
      <c r="GM454" s="276" t="s">
        <v>955</v>
      </c>
      <c r="GN454" s="276" t="s">
        <v>955</v>
      </c>
      <c r="GO454" s="276" t="s">
        <v>955</v>
      </c>
      <c r="GP454" s="276" t="s">
        <v>955</v>
      </c>
      <c r="GQ454" s="276" t="s">
        <v>955</v>
      </c>
      <c r="GR454" s="276" t="s">
        <v>955</v>
      </c>
      <c r="GS454" s="276" t="s">
        <v>955</v>
      </c>
      <c r="GT454" s="276" t="s">
        <v>955</v>
      </c>
      <c r="GU454" s="276" t="s">
        <v>955</v>
      </c>
      <c r="GV454" s="276" t="s">
        <v>955</v>
      </c>
    </row>
    <row r="455" spans="1:204" x14ac:dyDescent="0.2">
      <c r="A455" s="276"/>
      <c r="B455" s="276"/>
      <c r="BC455" s="278"/>
      <c r="BD455" s="279"/>
      <c r="CJ455" s="276"/>
      <c r="DO455" s="281"/>
      <c r="DP455" s="282"/>
      <c r="DQ455" s="282"/>
      <c r="DS455" s="276"/>
      <c r="EG455" s="281"/>
      <c r="EH455" s="281"/>
      <c r="EK455" s="276"/>
      <c r="EN455" s="281"/>
      <c r="EO455" s="281"/>
      <c r="ER455" s="276"/>
      <c r="EV455" s="281"/>
      <c r="EW455" s="281"/>
      <c r="EX455" s="281"/>
      <c r="EZ455" s="276"/>
      <c r="FE455" s="281"/>
      <c r="FF455" s="281"/>
      <c r="FG455" s="281"/>
      <c r="FH455" s="281"/>
      <c r="FI455" s="276"/>
      <c r="FO455" s="281"/>
      <c r="FP455" s="281"/>
      <c r="FQ455" s="281"/>
      <c r="FR455" s="281"/>
      <c r="FS455" s="276"/>
      <c r="GG455" s="276" t="s">
        <v>955</v>
      </c>
      <c r="GH455" s="276" t="s">
        <v>955</v>
      </c>
      <c r="GI455" s="276" t="s">
        <v>955</v>
      </c>
      <c r="GJ455" s="276" t="s">
        <v>955</v>
      </c>
      <c r="GK455" s="276" t="s">
        <v>955</v>
      </c>
      <c r="GL455" s="276" t="s">
        <v>955</v>
      </c>
      <c r="GM455" s="276" t="s">
        <v>955</v>
      </c>
      <c r="GN455" s="276" t="s">
        <v>955</v>
      </c>
      <c r="GO455" s="276" t="s">
        <v>955</v>
      </c>
      <c r="GP455" s="276" t="s">
        <v>955</v>
      </c>
      <c r="GQ455" s="276" t="s">
        <v>955</v>
      </c>
      <c r="GR455" s="276" t="s">
        <v>955</v>
      </c>
      <c r="GS455" s="276" t="s">
        <v>955</v>
      </c>
      <c r="GT455" s="276" t="s">
        <v>955</v>
      </c>
      <c r="GU455" s="276" t="s">
        <v>955</v>
      </c>
      <c r="GV455" s="276" t="s">
        <v>955</v>
      </c>
    </row>
    <row r="456" spans="1:204" x14ac:dyDescent="0.2">
      <c r="A456" s="276"/>
      <c r="B456" s="276"/>
      <c r="BC456" s="278"/>
      <c r="BD456" s="279"/>
      <c r="CJ456" s="276"/>
      <c r="DO456" s="281"/>
      <c r="DP456" s="282"/>
      <c r="DQ456" s="282"/>
      <c r="DS456" s="276"/>
      <c r="EG456" s="281"/>
      <c r="EH456" s="281"/>
      <c r="EK456" s="276"/>
      <c r="EN456" s="281"/>
      <c r="EO456" s="281"/>
      <c r="ER456" s="276"/>
      <c r="EV456" s="281"/>
      <c r="EW456" s="281"/>
      <c r="EX456" s="281"/>
      <c r="EZ456" s="276"/>
      <c r="FE456" s="281"/>
      <c r="FF456" s="281"/>
      <c r="FG456" s="281"/>
      <c r="FH456" s="281"/>
      <c r="FI456" s="276"/>
      <c r="FO456" s="281"/>
      <c r="FP456" s="281"/>
      <c r="FQ456" s="281"/>
      <c r="FR456" s="281"/>
      <c r="FS456" s="276"/>
      <c r="GG456" s="276" t="s">
        <v>955</v>
      </c>
      <c r="GH456" s="276" t="s">
        <v>955</v>
      </c>
      <c r="GI456" s="276" t="s">
        <v>955</v>
      </c>
      <c r="GJ456" s="276" t="s">
        <v>955</v>
      </c>
      <c r="GK456" s="276" t="s">
        <v>955</v>
      </c>
      <c r="GL456" s="276" t="s">
        <v>955</v>
      </c>
      <c r="GM456" s="276" t="s">
        <v>955</v>
      </c>
      <c r="GN456" s="276" t="s">
        <v>955</v>
      </c>
      <c r="GO456" s="276" t="s">
        <v>955</v>
      </c>
      <c r="GP456" s="276" t="s">
        <v>955</v>
      </c>
      <c r="GQ456" s="276" t="s">
        <v>955</v>
      </c>
      <c r="GR456" s="276" t="s">
        <v>955</v>
      </c>
      <c r="GS456" s="276" t="s">
        <v>955</v>
      </c>
      <c r="GT456" s="276" t="s">
        <v>955</v>
      </c>
      <c r="GU456" s="276" t="s">
        <v>955</v>
      </c>
      <c r="GV456" s="276" t="s">
        <v>955</v>
      </c>
    </row>
    <row r="457" spans="1:204" x14ac:dyDescent="0.2">
      <c r="A457" s="276"/>
      <c r="B457" s="276"/>
      <c r="BC457" s="278"/>
      <c r="BD457" s="279"/>
      <c r="CJ457" s="276"/>
      <c r="DO457" s="281"/>
      <c r="DP457" s="282"/>
      <c r="DQ457" s="282"/>
      <c r="DS457" s="276"/>
      <c r="EG457" s="281"/>
      <c r="EH457" s="281"/>
      <c r="EK457" s="276"/>
      <c r="EN457" s="281"/>
      <c r="EO457" s="281"/>
      <c r="ER457" s="276"/>
      <c r="EV457" s="281"/>
      <c r="EW457" s="281"/>
      <c r="EX457" s="281"/>
      <c r="EZ457" s="276"/>
      <c r="FE457" s="281"/>
      <c r="FF457" s="281"/>
      <c r="FG457" s="281"/>
      <c r="FH457" s="281"/>
      <c r="FI457" s="276"/>
      <c r="FO457" s="281"/>
      <c r="FP457" s="281"/>
      <c r="FQ457" s="281"/>
      <c r="FR457" s="281"/>
      <c r="FS457" s="276"/>
      <c r="GG457" s="276" t="s">
        <v>955</v>
      </c>
      <c r="GH457" s="276" t="s">
        <v>955</v>
      </c>
      <c r="GI457" s="276" t="s">
        <v>955</v>
      </c>
      <c r="GJ457" s="276" t="s">
        <v>955</v>
      </c>
      <c r="GK457" s="276" t="s">
        <v>955</v>
      </c>
      <c r="GL457" s="276" t="s">
        <v>955</v>
      </c>
      <c r="GM457" s="276" t="s">
        <v>955</v>
      </c>
      <c r="GN457" s="276" t="s">
        <v>955</v>
      </c>
      <c r="GO457" s="276" t="s">
        <v>955</v>
      </c>
      <c r="GP457" s="276" t="s">
        <v>955</v>
      </c>
      <c r="GQ457" s="276" t="s">
        <v>955</v>
      </c>
      <c r="GR457" s="276" t="s">
        <v>955</v>
      </c>
      <c r="GS457" s="276" t="s">
        <v>955</v>
      </c>
      <c r="GT457" s="276" t="s">
        <v>955</v>
      </c>
      <c r="GU457" s="276" t="s">
        <v>955</v>
      </c>
      <c r="GV457" s="276" t="s">
        <v>955</v>
      </c>
    </row>
    <row r="458" spans="1:204" x14ac:dyDescent="0.2">
      <c r="A458" s="276"/>
      <c r="B458" s="276"/>
      <c r="BC458" s="278"/>
      <c r="BD458" s="279"/>
      <c r="CJ458" s="276"/>
      <c r="DO458" s="281"/>
      <c r="DP458" s="282"/>
      <c r="DQ458" s="282"/>
      <c r="DS458" s="276"/>
      <c r="EG458" s="281"/>
      <c r="EH458" s="281"/>
      <c r="EK458" s="276"/>
      <c r="EN458" s="281"/>
      <c r="EO458" s="281"/>
      <c r="ER458" s="276"/>
      <c r="EV458" s="281"/>
      <c r="EW458" s="281"/>
      <c r="EX458" s="281"/>
      <c r="EZ458" s="276"/>
      <c r="FE458" s="281"/>
      <c r="FF458" s="281"/>
      <c r="FG458" s="281"/>
      <c r="FH458" s="281"/>
      <c r="FI458" s="276"/>
      <c r="FO458" s="281"/>
      <c r="FP458" s="281"/>
      <c r="FQ458" s="281"/>
      <c r="FR458" s="281"/>
      <c r="FS458" s="276"/>
      <c r="GG458" s="276" t="s">
        <v>955</v>
      </c>
      <c r="GH458" s="276" t="s">
        <v>955</v>
      </c>
      <c r="GI458" s="276" t="s">
        <v>955</v>
      </c>
      <c r="GJ458" s="276" t="s">
        <v>955</v>
      </c>
      <c r="GK458" s="276" t="s">
        <v>955</v>
      </c>
      <c r="GL458" s="276" t="s">
        <v>955</v>
      </c>
      <c r="GM458" s="276" t="s">
        <v>955</v>
      </c>
      <c r="GN458" s="276" t="s">
        <v>955</v>
      </c>
      <c r="GO458" s="276" t="s">
        <v>955</v>
      </c>
      <c r="GP458" s="276" t="s">
        <v>955</v>
      </c>
      <c r="GQ458" s="276" t="s">
        <v>955</v>
      </c>
      <c r="GR458" s="276" t="s">
        <v>955</v>
      </c>
      <c r="GS458" s="276" t="s">
        <v>955</v>
      </c>
      <c r="GT458" s="276" t="s">
        <v>955</v>
      </c>
      <c r="GU458" s="276" t="s">
        <v>955</v>
      </c>
      <c r="GV458" s="276" t="s">
        <v>955</v>
      </c>
    </row>
    <row r="459" spans="1:204" x14ac:dyDescent="0.2">
      <c r="A459" s="276"/>
      <c r="B459" s="276"/>
      <c r="BC459" s="278"/>
      <c r="CJ459" s="276"/>
      <c r="DO459" s="281"/>
      <c r="DP459" s="282"/>
      <c r="DQ459" s="282"/>
      <c r="DS459" s="276"/>
      <c r="EG459" s="281"/>
      <c r="EH459" s="281"/>
      <c r="EK459" s="276"/>
      <c r="EN459" s="281"/>
      <c r="EO459" s="281"/>
      <c r="ER459" s="276"/>
      <c r="EV459" s="281"/>
      <c r="EW459" s="281"/>
      <c r="EX459" s="281"/>
      <c r="EZ459" s="276"/>
      <c r="FE459" s="281"/>
      <c r="FF459" s="281"/>
      <c r="FG459" s="281"/>
      <c r="FH459" s="281"/>
      <c r="FI459" s="276"/>
      <c r="FO459" s="281"/>
      <c r="FP459" s="281"/>
      <c r="FQ459" s="281"/>
      <c r="FR459" s="281"/>
      <c r="FS459" s="276"/>
      <c r="GG459" s="276" t="s">
        <v>955</v>
      </c>
      <c r="GH459" s="276" t="s">
        <v>955</v>
      </c>
      <c r="GI459" s="276" t="s">
        <v>955</v>
      </c>
      <c r="GJ459" s="276" t="s">
        <v>955</v>
      </c>
      <c r="GK459" s="276" t="s">
        <v>955</v>
      </c>
      <c r="GL459" s="276" t="s">
        <v>955</v>
      </c>
      <c r="GM459" s="276" t="s">
        <v>955</v>
      </c>
      <c r="GN459" s="276" t="s">
        <v>955</v>
      </c>
      <c r="GO459" s="276" t="s">
        <v>955</v>
      </c>
      <c r="GP459" s="276" t="s">
        <v>955</v>
      </c>
      <c r="GQ459" s="276" t="s">
        <v>955</v>
      </c>
      <c r="GR459" s="276" t="s">
        <v>955</v>
      </c>
      <c r="GS459" s="276" t="s">
        <v>955</v>
      </c>
      <c r="GT459" s="276" t="s">
        <v>955</v>
      </c>
      <c r="GU459" s="276" t="s">
        <v>955</v>
      </c>
      <c r="GV459" s="276" t="s">
        <v>955</v>
      </c>
    </row>
    <row r="460" spans="1:204" x14ac:dyDescent="0.2">
      <c r="A460" s="276"/>
      <c r="B460" s="276"/>
      <c r="CJ460" s="276"/>
      <c r="DO460" s="281"/>
      <c r="DP460" s="282"/>
      <c r="DQ460" s="282"/>
      <c r="DS460" s="276"/>
      <c r="EG460" s="281"/>
      <c r="EH460" s="281"/>
      <c r="EK460" s="276"/>
      <c r="EN460" s="281"/>
      <c r="EO460" s="281"/>
      <c r="ER460" s="276"/>
      <c r="EV460" s="281"/>
      <c r="EW460" s="281"/>
      <c r="EX460" s="281"/>
      <c r="EZ460" s="276"/>
      <c r="FE460" s="281"/>
      <c r="FF460" s="281"/>
      <c r="FG460" s="281"/>
      <c r="FH460" s="281"/>
      <c r="FI460" s="276"/>
      <c r="FO460" s="281"/>
      <c r="FP460" s="281"/>
      <c r="FQ460" s="281"/>
      <c r="FR460" s="281"/>
      <c r="FS460" s="276"/>
      <c r="GG460" s="276" t="s">
        <v>955</v>
      </c>
      <c r="GH460" s="276" t="s">
        <v>955</v>
      </c>
      <c r="GI460" s="276" t="s">
        <v>955</v>
      </c>
      <c r="GJ460" s="276" t="s">
        <v>955</v>
      </c>
      <c r="GK460" s="276" t="s">
        <v>955</v>
      </c>
      <c r="GL460" s="276" t="s">
        <v>955</v>
      </c>
      <c r="GM460" s="276" t="s">
        <v>955</v>
      </c>
      <c r="GN460" s="276" t="s">
        <v>955</v>
      </c>
      <c r="GO460" s="276" t="s">
        <v>955</v>
      </c>
      <c r="GP460" s="276" t="s">
        <v>955</v>
      </c>
      <c r="GQ460" s="276" t="s">
        <v>955</v>
      </c>
      <c r="GR460" s="276" t="s">
        <v>955</v>
      </c>
      <c r="GS460" s="276" t="s">
        <v>955</v>
      </c>
      <c r="GT460" s="276" t="s">
        <v>955</v>
      </c>
      <c r="GU460" s="276" t="s">
        <v>955</v>
      </c>
      <c r="GV460" s="276" t="s">
        <v>955</v>
      </c>
    </row>
    <row r="461" spans="1:204" x14ac:dyDescent="0.2">
      <c r="A461" s="276"/>
      <c r="B461" s="276"/>
      <c r="CJ461" s="276"/>
      <c r="DO461" s="281"/>
      <c r="DP461" s="282"/>
      <c r="DQ461" s="282"/>
      <c r="DS461" s="276"/>
      <c r="EG461" s="281"/>
      <c r="EH461" s="281"/>
      <c r="EK461" s="276"/>
      <c r="EN461" s="281"/>
      <c r="EO461" s="281"/>
      <c r="ER461" s="276"/>
      <c r="EV461" s="281"/>
      <c r="EW461" s="281"/>
      <c r="EX461" s="281"/>
      <c r="EZ461" s="276"/>
      <c r="FE461" s="281"/>
      <c r="FF461" s="281"/>
      <c r="FG461" s="281"/>
      <c r="FH461" s="281"/>
      <c r="FI461" s="276"/>
      <c r="FO461" s="281"/>
      <c r="FP461" s="281"/>
      <c r="FQ461" s="281"/>
      <c r="FR461" s="281"/>
      <c r="FS461" s="276"/>
      <c r="GG461" s="276" t="s">
        <v>955</v>
      </c>
      <c r="GH461" s="276" t="s">
        <v>955</v>
      </c>
      <c r="GI461" s="276" t="s">
        <v>955</v>
      </c>
      <c r="GJ461" s="276" t="s">
        <v>955</v>
      </c>
      <c r="GK461" s="276" t="s">
        <v>955</v>
      </c>
      <c r="GL461" s="276" t="s">
        <v>955</v>
      </c>
      <c r="GM461" s="276" t="s">
        <v>955</v>
      </c>
      <c r="GN461" s="276" t="s">
        <v>955</v>
      </c>
      <c r="GO461" s="276" t="s">
        <v>955</v>
      </c>
      <c r="GP461" s="276" t="s">
        <v>955</v>
      </c>
      <c r="GQ461" s="276" t="s">
        <v>955</v>
      </c>
      <c r="GR461" s="276" t="s">
        <v>955</v>
      </c>
      <c r="GS461" s="276" t="s">
        <v>955</v>
      </c>
      <c r="GT461" s="276" t="s">
        <v>955</v>
      </c>
      <c r="GU461" s="276" t="s">
        <v>955</v>
      </c>
      <c r="GV461" s="276" t="s">
        <v>955</v>
      </c>
    </row>
    <row r="462" spans="1:204" x14ac:dyDescent="0.2">
      <c r="A462" s="276"/>
      <c r="B462" s="276"/>
      <c r="CJ462" s="276"/>
      <c r="DO462" s="281"/>
      <c r="DP462" s="282"/>
      <c r="DQ462" s="282"/>
      <c r="DS462" s="276"/>
      <c r="EG462" s="281"/>
      <c r="EH462" s="281"/>
      <c r="EK462" s="276"/>
      <c r="EN462" s="281"/>
      <c r="EO462" s="281"/>
      <c r="ER462" s="276"/>
      <c r="EV462" s="281"/>
      <c r="EW462" s="281"/>
      <c r="EX462" s="281"/>
      <c r="EZ462" s="276"/>
      <c r="FE462" s="281"/>
      <c r="FF462" s="281"/>
      <c r="FG462" s="281"/>
      <c r="FH462" s="281"/>
      <c r="FI462" s="276"/>
      <c r="FO462" s="281"/>
      <c r="FP462" s="281"/>
      <c r="FQ462" s="281"/>
      <c r="FR462" s="281"/>
      <c r="FS462" s="276"/>
      <c r="GG462" s="276" t="s">
        <v>955</v>
      </c>
      <c r="GH462" s="276" t="s">
        <v>955</v>
      </c>
      <c r="GI462" s="276" t="s">
        <v>955</v>
      </c>
      <c r="GJ462" s="276" t="s">
        <v>955</v>
      </c>
      <c r="GK462" s="276" t="s">
        <v>955</v>
      </c>
      <c r="GL462" s="276" t="s">
        <v>955</v>
      </c>
      <c r="GM462" s="276" t="s">
        <v>955</v>
      </c>
      <c r="GN462" s="276" t="s">
        <v>955</v>
      </c>
      <c r="GO462" s="276" t="s">
        <v>955</v>
      </c>
      <c r="GP462" s="276" t="s">
        <v>955</v>
      </c>
      <c r="GQ462" s="276" t="s">
        <v>955</v>
      </c>
      <c r="GR462" s="276" t="s">
        <v>955</v>
      </c>
      <c r="GS462" s="276" t="s">
        <v>955</v>
      </c>
      <c r="GT462" s="276" t="s">
        <v>955</v>
      </c>
      <c r="GU462" s="276" t="s">
        <v>955</v>
      </c>
      <c r="GV462" s="276" t="s">
        <v>955</v>
      </c>
    </row>
    <row r="463" spans="1:204" x14ac:dyDescent="0.2">
      <c r="A463" s="276"/>
      <c r="B463" s="276"/>
      <c r="CJ463" s="276"/>
      <c r="DO463" s="281"/>
      <c r="DP463" s="282"/>
      <c r="DQ463" s="282"/>
      <c r="DS463" s="276"/>
      <c r="EG463" s="281"/>
      <c r="EH463" s="281"/>
      <c r="EK463" s="276"/>
      <c r="EN463" s="281"/>
      <c r="EO463" s="281"/>
      <c r="ER463" s="276"/>
      <c r="EV463" s="281"/>
      <c r="EW463" s="281"/>
      <c r="EX463" s="281"/>
      <c r="EZ463" s="276"/>
      <c r="FE463" s="281"/>
      <c r="FF463" s="281"/>
      <c r="FG463" s="281"/>
      <c r="FH463" s="281"/>
      <c r="FI463" s="276"/>
      <c r="FO463" s="281"/>
      <c r="FP463" s="281"/>
      <c r="FQ463" s="281"/>
      <c r="FR463" s="281"/>
      <c r="FS463" s="276"/>
      <c r="GG463" s="276" t="s">
        <v>955</v>
      </c>
      <c r="GH463" s="276" t="s">
        <v>955</v>
      </c>
      <c r="GI463" s="276" t="s">
        <v>955</v>
      </c>
      <c r="GJ463" s="276" t="s">
        <v>955</v>
      </c>
      <c r="GK463" s="276" t="s">
        <v>955</v>
      </c>
      <c r="GL463" s="276" t="s">
        <v>955</v>
      </c>
      <c r="GM463" s="276" t="s">
        <v>955</v>
      </c>
      <c r="GN463" s="276" t="s">
        <v>955</v>
      </c>
      <c r="GO463" s="276" t="s">
        <v>955</v>
      </c>
      <c r="GP463" s="276" t="s">
        <v>955</v>
      </c>
      <c r="GQ463" s="276" t="s">
        <v>955</v>
      </c>
      <c r="GR463" s="276" t="s">
        <v>955</v>
      </c>
      <c r="GS463" s="276" t="s">
        <v>955</v>
      </c>
      <c r="GT463" s="276" t="s">
        <v>955</v>
      </c>
      <c r="GU463" s="276" t="s">
        <v>955</v>
      </c>
      <c r="GV463" s="276" t="s">
        <v>955</v>
      </c>
    </row>
    <row r="464" spans="1:204" x14ac:dyDescent="0.2">
      <c r="A464" s="276"/>
      <c r="B464" s="276"/>
      <c r="CJ464" s="276"/>
      <c r="DO464" s="281"/>
      <c r="DP464" s="282"/>
      <c r="DQ464" s="282"/>
      <c r="DS464" s="276"/>
      <c r="EG464" s="281"/>
      <c r="EH464" s="281"/>
      <c r="EK464" s="276"/>
      <c r="EN464" s="281"/>
      <c r="EO464" s="281"/>
      <c r="ER464" s="276"/>
      <c r="EV464" s="281"/>
      <c r="EW464" s="281"/>
      <c r="EX464" s="281"/>
      <c r="EZ464" s="276"/>
      <c r="FE464" s="281"/>
      <c r="FF464" s="281"/>
      <c r="FG464" s="281"/>
      <c r="FH464" s="281"/>
      <c r="FI464" s="276"/>
      <c r="FO464" s="281"/>
      <c r="FP464" s="281"/>
      <c r="FQ464" s="281"/>
      <c r="FR464" s="281"/>
      <c r="FS464" s="276"/>
      <c r="GG464" s="276" t="s">
        <v>955</v>
      </c>
      <c r="GH464" s="276" t="s">
        <v>955</v>
      </c>
      <c r="GI464" s="276" t="s">
        <v>955</v>
      </c>
      <c r="GJ464" s="276" t="s">
        <v>955</v>
      </c>
      <c r="GK464" s="276" t="s">
        <v>955</v>
      </c>
      <c r="GL464" s="276" t="s">
        <v>955</v>
      </c>
      <c r="GM464" s="276" t="s">
        <v>955</v>
      </c>
      <c r="GN464" s="276" t="s">
        <v>955</v>
      </c>
      <c r="GO464" s="276" t="s">
        <v>955</v>
      </c>
      <c r="GP464" s="276" t="s">
        <v>955</v>
      </c>
      <c r="GQ464" s="276" t="s">
        <v>955</v>
      </c>
      <c r="GR464" s="276" t="s">
        <v>955</v>
      </c>
      <c r="GS464" s="276" t="s">
        <v>955</v>
      </c>
      <c r="GT464" s="276" t="s">
        <v>955</v>
      </c>
      <c r="GU464" s="276" t="s">
        <v>955</v>
      </c>
      <c r="GV464" s="276" t="s">
        <v>955</v>
      </c>
    </row>
    <row r="465" spans="1:204" x14ac:dyDescent="0.2">
      <c r="A465" s="276"/>
      <c r="B465" s="276"/>
      <c r="CJ465" s="276"/>
      <c r="DO465" s="281"/>
      <c r="DP465" s="282"/>
      <c r="DQ465" s="282"/>
      <c r="DS465" s="276"/>
      <c r="EG465" s="281"/>
      <c r="EH465" s="281"/>
      <c r="EK465" s="276"/>
      <c r="EN465" s="281"/>
      <c r="EO465" s="281"/>
      <c r="ER465" s="276"/>
      <c r="EV465" s="281"/>
      <c r="EW465" s="281"/>
      <c r="EX465" s="281"/>
      <c r="EZ465" s="276"/>
      <c r="FE465" s="281"/>
      <c r="FF465" s="281"/>
      <c r="FG465" s="281"/>
      <c r="FH465" s="281"/>
      <c r="FI465" s="276"/>
      <c r="FO465" s="281"/>
      <c r="FP465" s="281"/>
      <c r="FQ465" s="281"/>
      <c r="FR465" s="281"/>
      <c r="FS465" s="276"/>
      <c r="GG465" s="276" t="s">
        <v>955</v>
      </c>
      <c r="GH465" s="276" t="s">
        <v>955</v>
      </c>
      <c r="GI465" s="276" t="s">
        <v>955</v>
      </c>
      <c r="GJ465" s="276" t="s">
        <v>955</v>
      </c>
      <c r="GK465" s="276" t="s">
        <v>955</v>
      </c>
      <c r="GL465" s="276" t="s">
        <v>955</v>
      </c>
      <c r="GM465" s="276" t="s">
        <v>955</v>
      </c>
      <c r="GN465" s="276" t="s">
        <v>955</v>
      </c>
      <c r="GO465" s="276" t="s">
        <v>955</v>
      </c>
      <c r="GP465" s="276" t="s">
        <v>955</v>
      </c>
      <c r="GQ465" s="276" t="s">
        <v>955</v>
      </c>
      <c r="GR465" s="276" t="s">
        <v>955</v>
      </c>
      <c r="GS465" s="276" t="s">
        <v>955</v>
      </c>
      <c r="GT465" s="276" t="s">
        <v>955</v>
      </c>
      <c r="GU465" s="276" t="s">
        <v>955</v>
      </c>
      <c r="GV465" s="276" t="s">
        <v>955</v>
      </c>
    </row>
    <row r="466" spans="1:204" x14ac:dyDescent="0.2">
      <c r="A466" s="276"/>
      <c r="B466" s="276"/>
      <c r="CJ466" s="276"/>
      <c r="DO466" s="281"/>
      <c r="DP466" s="282"/>
      <c r="DQ466" s="282"/>
      <c r="DS466" s="276"/>
      <c r="EG466" s="281"/>
      <c r="EH466" s="281"/>
      <c r="EK466" s="276"/>
      <c r="EN466" s="281"/>
      <c r="EO466" s="281"/>
      <c r="ER466" s="276"/>
      <c r="EV466" s="281"/>
      <c r="EW466" s="281"/>
      <c r="EX466" s="281"/>
      <c r="EZ466" s="276"/>
      <c r="FE466" s="281"/>
      <c r="FF466" s="281"/>
      <c r="FG466" s="281"/>
      <c r="FH466" s="281"/>
      <c r="FI466" s="276"/>
      <c r="FO466" s="281"/>
      <c r="FP466" s="281"/>
      <c r="FQ466" s="281"/>
      <c r="FR466" s="281"/>
      <c r="FS466" s="276"/>
      <c r="GG466" s="276" t="s">
        <v>955</v>
      </c>
      <c r="GH466" s="276" t="s">
        <v>955</v>
      </c>
      <c r="GI466" s="276" t="s">
        <v>955</v>
      </c>
      <c r="GJ466" s="276" t="s">
        <v>955</v>
      </c>
      <c r="GK466" s="276" t="s">
        <v>955</v>
      </c>
      <c r="GL466" s="276" t="s">
        <v>955</v>
      </c>
      <c r="GM466" s="276" t="s">
        <v>955</v>
      </c>
      <c r="GN466" s="276" t="s">
        <v>955</v>
      </c>
      <c r="GO466" s="276" t="s">
        <v>955</v>
      </c>
      <c r="GP466" s="276" t="s">
        <v>955</v>
      </c>
      <c r="GQ466" s="276" t="s">
        <v>955</v>
      </c>
      <c r="GR466" s="276" t="s">
        <v>955</v>
      </c>
      <c r="GS466" s="276" t="s">
        <v>955</v>
      </c>
      <c r="GT466" s="276" t="s">
        <v>955</v>
      </c>
      <c r="GU466" s="276" t="s">
        <v>955</v>
      </c>
      <c r="GV466" s="276" t="s">
        <v>955</v>
      </c>
    </row>
    <row r="467" spans="1:204" x14ac:dyDescent="0.2">
      <c r="A467" s="276"/>
      <c r="B467" s="276"/>
      <c r="CJ467" s="276"/>
      <c r="DO467" s="281"/>
      <c r="DP467" s="282"/>
      <c r="DQ467" s="282"/>
      <c r="DS467" s="276"/>
      <c r="EG467" s="281"/>
      <c r="EH467" s="281"/>
      <c r="EK467" s="276"/>
      <c r="EN467" s="281"/>
      <c r="EO467" s="281"/>
      <c r="ER467" s="276"/>
      <c r="EV467" s="281"/>
      <c r="EW467" s="281"/>
      <c r="EX467" s="281"/>
      <c r="EZ467" s="276"/>
      <c r="FE467" s="281"/>
      <c r="FF467" s="281"/>
      <c r="FG467" s="281"/>
      <c r="FH467" s="281"/>
      <c r="FI467" s="276"/>
      <c r="FO467" s="281"/>
      <c r="FP467" s="281"/>
      <c r="FQ467" s="281"/>
      <c r="FR467" s="281"/>
      <c r="FS467" s="276"/>
      <c r="GG467" s="276" t="s">
        <v>955</v>
      </c>
      <c r="GH467" s="276" t="s">
        <v>955</v>
      </c>
      <c r="GI467" s="276" t="s">
        <v>955</v>
      </c>
      <c r="GJ467" s="276" t="s">
        <v>955</v>
      </c>
      <c r="GK467" s="276" t="s">
        <v>955</v>
      </c>
      <c r="GL467" s="276" t="s">
        <v>955</v>
      </c>
      <c r="GM467" s="276" t="s">
        <v>955</v>
      </c>
      <c r="GN467" s="276" t="s">
        <v>955</v>
      </c>
      <c r="GO467" s="276" t="s">
        <v>955</v>
      </c>
      <c r="GP467" s="276" t="s">
        <v>955</v>
      </c>
      <c r="GQ467" s="276" t="s">
        <v>955</v>
      </c>
      <c r="GR467" s="276" t="s">
        <v>955</v>
      </c>
      <c r="GS467" s="276" t="s">
        <v>955</v>
      </c>
      <c r="GT467" s="276" t="s">
        <v>955</v>
      </c>
      <c r="GU467" s="276" t="s">
        <v>955</v>
      </c>
      <c r="GV467" s="276" t="s">
        <v>955</v>
      </c>
    </row>
    <row r="468" spans="1:204" x14ac:dyDescent="0.2">
      <c r="A468" s="276"/>
      <c r="B468" s="276"/>
      <c r="CJ468" s="276"/>
      <c r="DO468" s="281"/>
      <c r="DP468" s="282"/>
      <c r="DQ468" s="282"/>
      <c r="DS468" s="276"/>
      <c r="EG468" s="281"/>
      <c r="EH468" s="281"/>
      <c r="EK468" s="276"/>
      <c r="EN468" s="281"/>
      <c r="EO468" s="281"/>
      <c r="ER468" s="276"/>
      <c r="EV468" s="281"/>
      <c r="EW468" s="281"/>
      <c r="EX468" s="281"/>
      <c r="EZ468" s="276"/>
      <c r="FE468" s="281"/>
      <c r="FF468" s="281"/>
      <c r="FG468" s="281"/>
      <c r="FH468" s="281"/>
      <c r="FI468" s="276"/>
      <c r="FO468" s="281"/>
      <c r="FP468" s="281"/>
      <c r="FQ468" s="281"/>
      <c r="FR468" s="281"/>
      <c r="FS468" s="276"/>
      <c r="GG468" s="276" t="s">
        <v>955</v>
      </c>
      <c r="GH468" s="276" t="s">
        <v>955</v>
      </c>
      <c r="GI468" s="276" t="s">
        <v>955</v>
      </c>
      <c r="GJ468" s="276" t="s">
        <v>955</v>
      </c>
      <c r="GK468" s="276" t="s">
        <v>955</v>
      </c>
      <c r="GL468" s="276" t="s">
        <v>955</v>
      </c>
      <c r="GM468" s="276" t="s">
        <v>955</v>
      </c>
      <c r="GN468" s="276" t="s">
        <v>955</v>
      </c>
      <c r="GO468" s="276" t="s">
        <v>955</v>
      </c>
      <c r="GP468" s="276" t="s">
        <v>955</v>
      </c>
      <c r="GQ468" s="276" t="s">
        <v>955</v>
      </c>
      <c r="GR468" s="276" t="s">
        <v>955</v>
      </c>
      <c r="GS468" s="276" t="s">
        <v>955</v>
      </c>
      <c r="GT468" s="276" t="s">
        <v>955</v>
      </c>
      <c r="GU468" s="276" t="s">
        <v>955</v>
      </c>
      <c r="GV468" s="276" t="s">
        <v>955</v>
      </c>
    </row>
    <row r="469" spans="1:204" x14ac:dyDescent="0.2">
      <c r="A469" s="276"/>
      <c r="B469" s="276"/>
      <c r="CJ469" s="276"/>
      <c r="DO469" s="281"/>
      <c r="DP469" s="282"/>
      <c r="DQ469" s="282"/>
      <c r="DS469" s="276"/>
      <c r="EG469" s="281"/>
      <c r="EH469" s="281"/>
      <c r="EK469" s="276"/>
      <c r="EN469" s="281"/>
      <c r="EO469" s="281"/>
      <c r="ER469" s="276"/>
      <c r="EV469" s="281"/>
      <c r="EW469" s="281"/>
      <c r="EX469" s="281"/>
      <c r="EZ469" s="276"/>
      <c r="FE469" s="281"/>
      <c r="FF469" s="281"/>
      <c r="FG469" s="281"/>
      <c r="FH469" s="281"/>
      <c r="FI469" s="276"/>
      <c r="FO469" s="281"/>
      <c r="FP469" s="281"/>
      <c r="FQ469" s="281"/>
      <c r="FR469" s="281"/>
      <c r="FS469" s="276"/>
      <c r="GG469" s="276" t="s">
        <v>955</v>
      </c>
      <c r="GH469" s="276" t="s">
        <v>955</v>
      </c>
      <c r="GI469" s="276" t="s">
        <v>955</v>
      </c>
      <c r="GJ469" s="276" t="s">
        <v>955</v>
      </c>
      <c r="GK469" s="276" t="s">
        <v>955</v>
      </c>
      <c r="GL469" s="276" t="s">
        <v>955</v>
      </c>
      <c r="GM469" s="276" t="s">
        <v>955</v>
      </c>
      <c r="GN469" s="276" t="s">
        <v>955</v>
      </c>
      <c r="GO469" s="276" t="s">
        <v>955</v>
      </c>
      <c r="GP469" s="276" t="s">
        <v>955</v>
      </c>
      <c r="GQ469" s="276" t="s">
        <v>955</v>
      </c>
      <c r="GR469" s="276" t="s">
        <v>955</v>
      </c>
      <c r="GS469" s="276" t="s">
        <v>955</v>
      </c>
      <c r="GT469" s="276" t="s">
        <v>955</v>
      </c>
      <c r="GU469" s="276" t="s">
        <v>955</v>
      </c>
      <c r="GV469" s="276" t="s">
        <v>955</v>
      </c>
    </row>
    <row r="470" spans="1:204" x14ac:dyDescent="0.2">
      <c r="A470" s="276"/>
      <c r="B470" s="276"/>
      <c r="CJ470" s="276"/>
      <c r="DO470" s="281"/>
      <c r="DP470" s="282"/>
      <c r="DQ470" s="282"/>
      <c r="DS470" s="276"/>
      <c r="EG470" s="281"/>
      <c r="EH470" s="281"/>
      <c r="EK470" s="276"/>
      <c r="EN470" s="281"/>
      <c r="EO470" s="281"/>
      <c r="ER470" s="276"/>
      <c r="EV470" s="281"/>
      <c r="EW470" s="281"/>
      <c r="EX470" s="281"/>
      <c r="EZ470" s="276"/>
      <c r="FE470" s="281"/>
      <c r="FF470" s="281"/>
      <c r="FG470" s="281"/>
      <c r="FH470" s="281"/>
      <c r="FI470" s="276"/>
      <c r="FO470" s="281"/>
      <c r="FP470" s="281"/>
      <c r="FQ470" s="281"/>
      <c r="FR470" s="281"/>
      <c r="FS470" s="276"/>
      <c r="GG470" s="276" t="s">
        <v>955</v>
      </c>
      <c r="GH470" s="276" t="s">
        <v>955</v>
      </c>
      <c r="GI470" s="276" t="s">
        <v>955</v>
      </c>
      <c r="GJ470" s="276" t="s">
        <v>955</v>
      </c>
      <c r="GK470" s="276" t="s">
        <v>955</v>
      </c>
      <c r="GL470" s="276" t="s">
        <v>955</v>
      </c>
      <c r="GM470" s="276" t="s">
        <v>955</v>
      </c>
      <c r="GN470" s="276" t="s">
        <v>955</v>
      </c>
      <c r="GO470" s="276" t="s">
        <v>955</v>
      </c>
      <c r="GP470" s="276" t="s">
        <v>955</v>
      </c>
      <c r="GQ470" s="276" t="s">
        <v>955</v>
      </c>
      <c r="GR470" s="276" t="s">
        <v>955</v>
      </c>
      <c r="GS470" s="276" t="s">
        <v>955</v>
      </c>
      <c r="GT470" s="276" t="s">
        <v>955</v>
      </c>
      <c r="GU470" s="276" t="s">
        <v>955</v>
      </c>
      <c r="GV470" s="276" t="s">
        <v>955</v>
      </c>
    </row>
    <row r="471" spans="1:204" x14ac:dyDescent="0.2">
      <c r="A471" s="276"/>
      <c r="B471" s="276"/>
      <c r="CJ471" s="276"/>
      <c r="DO471" s="281"/>
      <c r="DP471" s="282"/>
      <c r="DQ471" s="282"/>
      <c r="DS471" s="276"/>
      <c r="EG471" s="281"/>
      <c r="EH471" s="281"/>
      <c r="EK471" s="276"/>
      <c r="EN471" s="281"/>
      <c r="EO471" s="281"/>
      <c r="ER471" s="276"/>
      <c r="EV471" s="281"/>
      <c r="EW471" s="281"/>
      <c r="EX471" s="281"/>
      <c r="EZ471" s="276"/>
      <c r="FE471" s="281"/>
      <c r="FF471" s="281"/>
      <c r="FG471" s="281"/>
      <c r="FH471" s="281"/>
      <c r="FI471" s="276"/>
      <c r="FO471" s="281"/>
      <c r="FP471" s="281"/>
      <c r="FQ471" s="281"/>
      <c r="FR471" s="281"/>
      <c r="FS471" s="276"/>
      <c r="GG471" s="276" t="s">
        <v>955</v>
      </c>
      <c r="GH471" s="276" t="s">
        <v>955</v>
      </c>
      <c r="GI471" s="276" t="s">
        <v>955</v>
      </c>
      <c r="GJ471" s="276" t="s">
        <v>955</v>
      </c>
      <c r="GK471" s="276" t="s">
        <v>955</v>
      </c>
      <c r="GL471" s="276" t="s">
        <v>955</v>
      </c>
      <c r="GM471" s="276" t="s">
        <v>955</v>
      </c>
      <c r="GN471" s="276" t="s">
        <v>955</v>
      </c>
      <c r="GO471" s="276" t="s">
        <v>955</v>
      </c>
      <c r="GP471" s="276" t="s">
        <v>955</v>
      </c>
      <c r="GQ471" s="276" t="s">
        <v>955</v>
      </c>
      <c r="GR471" s="276" t="s">
        <v>955</v>
      </c>
      <c r="GS471" s="276" t="s">
        <v>955</v>
      </c>
      <c r="GT471" s="276" t="s">
        <v>955</v>
      </c>
      <c r="GU471" s="276" t="s">
        <v>955</v>
      </c>
      <c r="GV471" s="276" t="s">
        <v>955</v>
      </c>
    </row>
    <row r="472" spans="1:204" x14ac:dyDescent="0.2">
      <c r="A472" s="276"/>
      <c r="B472" s="276"/>
      <c r="CJ472" s="276"/>
      <c r="DO472" s="281"/>
      <c r="DP472" s="282"/>
      <c r="DQ472" s="282"/>
      <c r="DS472" s="276"/>
      <c r="EG472" s="281"/>
      <c r="EH472" s="281"/>
      <c r="EK472" s="276"/>
      <c r="EN472" s="281"/>
      <c r="EO472" s="281"/>
      <c r="ER472" s="276"/>
      <c r="EV472" s="281"/>
      <c r="EW472" s="281"/>
      <c r="EX472" s="281"/>
      <c r="EZ472" s="276"/>
      <c r="FE472" s="281"/>
      <c r="FF472" s="281"/>
      <c r="FG472" s="281"/>
      <c r="FH472" s="281"/>
      <c r="FI472" s="276"/>
      <c r="FO472" s="281"/>
      <c r="FP472" s="281"/>
      <c r="FQ472" s="281"/>
      <c r="FR472" s="281"/>
      <c r="FS472" s="276"/>
      <c r="GG472" s="276" t="s">
        <v>955</v>
      </c>
      <c r="GH472" s="276" t="s">
        <v>955</v>
      </c>
      <c r="GI472" s="276" t="s">
        <v>955</v>
      </c>
      <c r="GJ472" s="276" t="s">
        <v>955</v>
      </c>
      <c r="GK472" s="276" t="s">
        <v>955</v>
      </c>
      <c r="GL472" s="276" t="s">
        <v>955</v>
      </c>
      <c r="GM472" s="276" t="s">
        <v>955</v>
      </c>
      <c r="GN472" s="276" t="s">
        <v>955</v>
      </c>
      <c r="GO472" s="276" t="s">
        <v>955</v>
      </c>
      <c r="GP472" s="276" t="s">
        <v>955</v>
      </c>
      <c r="GQ472" s="276" t="s">
        <v>955</v>
      </c>
      <c r="GR472" s="276" t="s">
        <v>955</v>
      </c>
      <c r="GS472" s="276" t="s">
        <v>955</v>
      </c>
      <c r="GT472" s="276" t="s">
        <v>955</v>
      </c>
      <c r="GU472" s="276" t="s">
        <v>955</v>
      </c>
      <c r="GV472" s="276" t="s">
        <v>955</v>
      </c>
    </row>
    <row r="473" spans="1:204" x14ac:dyDescent="0.2">
      <c r="A473" s="276"/>
      <c r="B473" s="276"/>
      <c r="CJ473" s="276"/>
      <c r="DO473" s="281"/>
      <c r="DP473" s="282"/>
      <c r="DQ473" s="282"/>
      <c r="DS473" s="276"/>
      <c r="EG473" s="281"/>
      <c r="EH473" s="281"/>
      <c r="EK473" s="276"/>
      <c r="EN473" s="281"/>
      <c r="EO473" s="281"/>
      <c r="ER473" s="276"/>
      <c r="EV473" s="281"/>
      <c r="EW473" s="281"/>
      <c r="EX473" s="281"/>
      <c r="EZ473" s="276"/>
      <c r="FE473" s="281"/>
      <c r="FF473" s="281"/>
      <c r="FG473" s="281"/>
      <c r="FH473" s="281"/>
      <c r="FI473" s="276"/>
      <c r="FO473" s="281"/>
      <c r="FP473" s="281"/>
      <c r="FQ473" s="281"/>
      <c r="FR473" s="281"/>
      <c r="FS473" s="276"/>
      <c r="GG473" s="276" t="s">
        <v>955</v>
      </c>
      <c r="GH473" s="276" t="s">
        <v>955</v>
      </c>
      <c r="GI473" s="276" t="s">
        <v>955</v>
      </c>
      <c r="GJ473" s="276" t="s">
        <v>955</v>
      </c>
      <c r="GK473" s="276" t="s">
        <v>955</v>
      </c>
      <c r="GL473" s="276" t="s">
        <v>955</v>
      </c>
      <c r="GM473" s="276" t="s">
        <v>955</v>
      </c>
      <c r="GN473" s="276" t="s">
        <v>955</v>
      </c>
      <c r="GO473" s="276" t="s">
        <v>955</v>
      </c>
      <c r="GP473" s="276" t="s">
        <v>955</v>
      </c>
      <c r="GQ473" s="276" t="s">
        <v>955</v>
      </c>
      <c r="GR473" s="276" t="s">
        <v>955</v>
      </c>
      <c r="GS473" s="276" t="s">
        <v>955</v>
      </c>
      <c r="GT473" s="276" t="s">
        <v>955</v>
      </c>
      <c r="GU473" s="276" t="s">
        <v>955</v>
      </c>
      <c r="GV473" s="276" t="s">
        <v>955</v>
      </c>
    </row>
    <row r="474" spans="1:204" x14ac:dyDescent="0.2">
      <c r="A474" s="276"/>
      <c r="B474" s="276"/>
      <c r="CJ474" s="276"/>
      <c r="DO474" s="281"/>
      <c r="DP474" s="282"/>
      <c r="DQ474" s="282"/>
      <c r="DS474" s="276"/>
      <c r="EG474" s="281"/>
      <c r="EH474" s="281"/>
      <c r="EK474" s="276"/>
      <c r="EN474" s="281"/>
      <c r="EO474" s="281"/>
      <c r="ER474" s="276"/>
      <c r="EV474" s="281"/>
      <c r="EW474" s="281"/>
      <c r="EX474" s="281"/>
      <c r="EZ474" s="276"/>
      <c r="FE474" s="281"/>
      <c r="FF474" s="281"/>
      <c r="FG474" s="281"/>
      <c r="FH474" s="281"/>
      <c r="FI474" s="276"/>
      <c r="FO474" s="281"/>
      <c r="FP474" s="281"/>
      <c r="FQ474" s="281"/>
      <c r="FR474" s="281"/>
      <c r="FS474" s="276"/>
      <c r="GG474" s="276" t="s">
        <v>955</v>
      </c>
      <c r="GH474" s="276" t="s">
        <v>955</v>
      </c>
      <c r="GI474" s="276" t="s">
        <v>955</v>
      </c>
      <c r="GJ474" s="276" t="s">
        <v>955</v>
      </c>
      <c r="GK474" s="276" t="s">
        <v>955</v>
      </c>
      <c r="GL474" s="276" t="s">
        <v>955</v>
      </c>
      <c r="GM474" s="276" t="s">
        <v>955</v>
      </c>
      <c r="GN474" s="276" t="s">
        <v>955</v>
      </c>
      <c r="GO474" s="276" t="s">
        <v>955</v>
      </c>
      <c r="GP474" s="276" t="s">
        <v>955</v>
      </c>
      <c r="GQ474" s="276" t="s">
        <v>955</v>
      </c>
      <c r="GR474" s="276" t="s">
        <v>955</v>
      </c>
      <c r="GS474" s="276" t="s">
        <v>955</v>
      </c>
      <c r="GT474" s="276" t="s">
        <v>955</v>
      </c>
      <c r="GU474" s="276" t="s">
        <v>955</v>
      </c>
      <c r="GV474" s="276" t="s">
        <v>955</v>
      </c>
    </row>
    <row r="475" spans="1:204" x14ac:dyDescent="0.2">
      <c r="A475" s="276"/>
      <c r="B475" s="276"/>
      <c r="CJ475" s="276"/>
      <c r="DO475" s="281"/>
      <c r="DP475" s="282"/>
      <c r="DQ475" s="282"/>
      <c r="DS475" s="276"/>
      <c r="EG475" s="281"/>
      <c r="EH475" s="281"/>
      <c r="EK475" s="276"/>
      <c r="EN475" s="281"/>
      <c r="EO475" s="281"/>
      <c r="ER475" s="276"/>
      <c r="EV475" s="281"/>
      <c r="EW475" s="281"/>
      <c r="EX475" s="281"/>
      <c r="EZ475" s="276"/>
      <c r="FE475" s="281"/>
      <c r="FF475" s="281"/>
      <c r="FG475" s="281"/>
      <c r="FH475" s="281"/>
      <c r="FI475" s="276"/>
      <c r="FO475" s="281"/>
      <c r="FP475" s="281"/>
      <c r="FQ475" s="281"/>
      <c r="FR475" s="281"/>
      <c r="FS475" s="276"/>
      <c r="GG475" s="276" t="s">
        <v>955</v>
      </c>
      <c r="GH475" s="276" t="s">
        <v>955</v>
      </c>
      <c r="GI475" s="276" t="s">
        <v>955</v>
      </c>
      <c r="GJ475" s="276" t="s">
        <v>955</v>
      </c>
      <c r="GK475" s="276" t="s">
        <v>955</v>
      </c>
      <c r="GL475" s="276" t="s">
        <v>955</v>
      </c>
      <c r="GM475" s="276" t="s">
        <v>955</v>
      </c>
      <c r="GN475" s="276" t="s">
        <v>955</v>
      </c>
      <c r="GO475" s="276" t="s">
        <v>955</v>
      </c>
      <c r="GP475" s="276" t="s">
        <v>955</v>
      </c>
      <c r="GQ475" s="276" t="s">
        <v>955</v>
      </c>
      <c r="GR475" s="276" t="s">
        <v>955</v>
      </c>
      <c r="GS475" s="276" t="s">
        <v>955</v>
      </c>
      <c r="GT475" s="276" t="s">
        <v>955</v>
      </c>
      <c r="GU475" s="276" t="s">
        <v>955</v>
      </c>
      <c r="GV475" s="276" t="s">
        <v>955</v>
      </c>
    </row>
    <row r="476" spans="1:204" x14ac:dyDescent="0.2">
      <c r="A476" s="276"/>
      <c r="B476" s="276"/>
      <c r="CJ476" s="276"/>
      <c r="DO476" s="281"/>
      <c r="DP476" s="282"/>
      <c r="DQ476" s="282"/>
      <c r="DS476" s="276"/>
      <c r="EG476" s="281"/>
      <c r="EH476" s="281"/>
      <c r="EK476" s="276"/>
      <c r="EN476" s="281"/>
      <c r="EO476" s="281"/>
      <c r="ER476" s="276"/>
      <c r="EV476" s="281"/>
      <c r="EW476" s="281"/>
      <c r="EX476" s="281"/>
      <c r="EZ476" s="276"/>
      <c r="FE476" s="281"/>
      <c r="FF476" s="281"/>
      <c r="FG476" s="281"/>
      <c r="FH476" s="281"/>
      <c r="FI476" s="276"/>
      <c r="FO476" s="281"/>
      <c r="FP476" s="281"/>
      <c r="FQ476" s="281"/>
      <c r="FR476" s="281"/>
      <c r="FS476" s="276"/>
      <c r="GG476" s="276" t="s">
        <v>955</v>
      </c>
      <c r="GH476" s="276" t="s">
        <v>955</v>
      </c>
      <c r="GI476" s="276" t="s">
        <v>955</v>
      </c>
      <c r="GJ476" s="276" t="s">
        <v>955</v>
      </c>
      <c r="GK476" s="276" t="s">
        <v>955</v>
      </c>
      <c r="GL476" s="276" t="s">
        <v>955</v>
      </c>
      <c r="GM476" s="276" t="s">
        <v>955</v>
      </c>
      <c r="GN476" s="276" t="s">
        <v>955</v>
      </c>
      <c r="GO476" s="276" t="s">
        <v>955</v>
      </c>
      <c r="GP476" s="276" t="s">
        <v>955</v>
      </c>
      <c r="GQ476" s="276" t="s">
        <v>955</v>
      </c>
      <c r="GR476" s="276" t="s">
        <v>955</v>
      </c>
      <c r="GS476" s="276" t="s">
        <v>955</v>
      </c>
      <c r="GT476" s="276" t="s">
        <v>955</v>
      </c>
      <c r="GU476" s="276" t="s">
        <v>955</v>
      </c>
      <c r="GV476" s="276" t="s">
        <v>955</v>
      </c>
    </row>
    <row r="477" spans="1:204" x14ac:dyDescent="0.2">
      <c r="A477" s="276"/>
      <c r="B477" s="276"/>
      <c r="CJ477" s="276"/>
      <c r="DO477" s="281"/>
      <c r="DP477" s="282"/>
      <c r="DQ477" s="282"/>
      <c r="DS477" s="276"/>
      <c r="EG477" s="281"/>
      <c r="EH477" s="281"/>
      <c r="EK477" s="276"/>
      <c r="EN477" s="281"/>
      <c r="EO477" s="281"/>
      <c r="ER477" s="276"/>
      <c r="EV477" s="281"/>
      <c r="EW477" s="281"/>
      <c r="EX477" s="281"/>
      <c r="EZ477" s="276"/>
      <c r="FE477" s="281"/>
      <c r="FF477" s="281"/>
      <c r="FG477" s="281"/>
      <c r="FH477" s="281"/>
      <c r="FI477" s="276"/>
      <c r="FO477" s="281"/>
      <c r="FP477" s="281"/>
      <c r="FQ477" s="281"/>
      <c r="FR477" s="281"/>
      <c r="FS477" s="276"/>
      <c r="GG477" s="276" t="s">
        <v>955</v>
      </c>
      <c r="GH477" s="276" t="s">
        <v>955</v>
      </c>
      <c r="GI477" s="276" t="s">
        <v>955</v>
      </c>
      <c r="GJ477" s="276" t="s">
        <v>955</v>
      </c>
      <c r="GK477" s="276" t="s">
        <v>955</v>
      </c>
      <c r="GL477" s="276" t="s">
        <v>955</v>
      </c>
      <c r="GM477" s="276" t="s">
        <v>955</v>
      </c>
      <c r="GN477" s="276" t="s">
        <v>955</v>
      </c>
      <c r="GO477" s="276" t="s">
        <v>955</v>
      </c>
      <c r="GP477" s="276" t="s">
        <v>955</v>
      </c>
      <c r="GQ477" s="276" t="s">
        <v>955</v>
      </c>
      <c r="GR477" s="276" t="s">
        <v>955</v>
      </c>
      <c r="GS477" s="276" t="s">
        <v>955</v>
      </c>
      <c r="GT477" s="276" t="s">
        <v>955</v>
      </c>
      <c r="GU477" s="276" t="s">
        <v>955</v>
      </c>
      <c r="GV477" s="276" t="s">
        <v>955</v>
      </c>
    </row>
    <row r="478" spans="1:204" x14ac:dyDescent="0.2">
      <c r="A478" s="276"/>
      <c r="B478" s="276"/>
      <c r="CJ478" s="276"/>
      <c r="DP478" s="281"/>
      <c r="DQ478" s="282"/>
      <c r="DR478" s="282"/>
      <c r="DS478" s="276"/>
      <c r="EH478" s="281"/>
      <c r="EI478" s="281"/>
      <c r="EK478" s="276"/>
      <c r="EO478" s="281"/>
      <c r="EP478" s="281"/>
      <c r="ER478" s="276"/>
      <c r="EW478" s="281"/>
      <c r="EX478" s="281"/>
      <c r="EY478" s="281"/>
      <c r="EZ478" s="276"/>
      <c r="FF478" s="281"/>
      <c r="FG478" s="281"/>
      <c r="FH478" s="281"/>
      <c r="FP478" s="281"/>
      <c r="FQ478" s="281"/>
      <c r="FR478" s="281"/>
      <c r="GG478" s="276" t="s">
        <v>955</v>
      </c>
      <c r="GH478" s="276" t="s">
        <v>955</v>
      </c>
      <c r="GI478" s="276" t="s">
        <v>955</v>
      </c>
      <c r="GJ478" s="276" t="s">
        <v>955</v>
      </c>
      <c r="GK478" s="276" t="s">
        <v>955</v>
      </c>
      <c r="GL478" s="276" t="s">
        <v>955</v>
      </c>
      <c r="GM478" s="276" t="s">
        <v>955</v>
      </c>
      <c r="GN478" s="276" t="s">
        <v>955</v>
      </c>
      <c r="GO478" s="276" t="s">
        <v>955</v>
      </c>
      <c r="GP478" s="276" t="s">
        <v>955</v>
      </c>
      <c r="GQ478" s="276" t="s">
        <v>955</v>
      </c>
      <c r="GR478" s="276" t="s">
        <v>955</v>
      </c>
      <c r="GS478" s="276" t="s">
        <v>955</v>
      </c>
      <c r="GT478" s="276" t="s">
        <v>955</v>
      </c>
      <c r="GU478" s="276" t="s">
        <v>955</v>
      </c>
      <c r="GV478" s="276" t="s">
        <v>955</v>
      </c>
    </row>
    <row r="479" spans="1:204" x14ac:dyDescent="0.2">
      <c r="A479" s="276"/>
      <c r="B479" s="276"/>
      <c r="CJ479" s="276"/>
      <c r="DP479" s="281"/>
      <c r="DQ479" s="282"/>
      <c r="DR479" s="282"/>
      <c r="DS479" s="276"/>
      <c r="EH479" s="281"/>
      <c r="EI479" s="281"/>
      <c r="EK479" s="276"/>
      <c r="EO479" s="281"/>
      <c r="EP479" s="281"/>
      <c r="ER479" s="276"/>
      <c r="EW479" s="281"/>
      <c r="EX479" s="281"/>
      <c r="EY479" s="281"/>
      <c r="EZ479" s="276"/>
      <c r="FF479" s="281"/>
      <c r="FG479" s="281"/>
      <c r="FH479" s="281"/>
      <c r="FP479" s="281"/>
      <c r="FQ479" s="281"/>
      <c r="FR479" s="281"/>
      <c r="GG479" s="276" t="s">
        <v>955</v>
      </c>
      <c r="GH479" s="276" t="s">
        <v>955</v>
      </c>
      <c r="GI479" s="276" t="s">
        <v>955</v>
      </c>
      <c r="GJ479" s="276" t="s">
        <v>955</v>
      </c>
      <c r="GK479" s="276" t="s">
        <v>955</v>
      </c>
      <c r="GL479" s="276" t="s">
        <v>955</v>
      </c>
      <c r="GM479" s="276" t="s">
        <v>955</v>
      </c>
      <c r="GN479" s="276" t="s">
        <v>955</v>
      </c>
      <c r="GO479" s="276" t="s">
        <v>955</v>
      </c>
      <c r="GP479" s="276" t="s">
        <v>955</v>
      </c>
      <c r="GQ479" s="276" t="s">
        <v>955</v>
      </c>
      <c r="GR479" s="276" t="s">
        <v>955</v>
      </c>
      <c r="GS479" s="276" t="s">
        <v>955</v>
      </c>
      <c r="GT479" s="276" t="s">
        <v>955</v>
      </c>
      <c r="GU479" s="276" t="s">
        <v>955</v>
      </c>
      <c r="GV479" s="276" t="s">
        <v>955</v>
      </c>
    </row>
    <row r="480" spans="1:204" x14ac:dyDescent="0.2">
      <c r="A480" s="276"/>
      <c r="B480" s="276"/>
      <c r="CJ480" s="276"/>
      <c r="DP480" s="281"/>
      <c r="DQ480" s="282"/>
      <c r="DR480" s="282"/>
      <c r="DS480" s="276"/>
      <c r="EH480" s="281"/>
      <c r="EI480" s="281"/>
      <c r="EK480" s="276"/>
      <c r="EO480" s="281"/>
      <c r="EP480" s="281"/>
      <c r="ER480" s="276"/>
      <c r="EW480" s="281"/>
      <c r="EX480" s="281"/>
      <c r="EY480" s="281"/>
      <c r="EZ480" s="276"/>
      <c r="FF480" s="281"/>
      <c r="FG480" s="281"/>
      <c r="FH480" s="281"/>
      <c r="FP480" s="281"/>
      <c r="FQ480" s="281"/>
      <c r="FR480" s="281"/>
      <c r="GG480" s="276" t="s">
        <v>955</v>
      </c>
      <c r="GH480" s="276" t="s">
        <v>955</v>
      </c>
      <c r="GI480" s="276" t="s">
        <v>955</v>
      </c>
      <c r="GJ480" s="276" t="s">
        <v>955</v>
      </c>
      <c r="GK480" s="276" t="s">
        <v>955</v>
      </c>
      <c r="GL480" s="276" t="s">
        <v>955</v>
      </c>
      <c r="GM480" s="276" t="s">
        <v>955</v>
      </c>
      <c r="GN480" s="276" t="s">
        <v>955</v>
      </c>
      <c r="GO480" s="276" t="s">
        <v>955</v>
      </c>
      <c r="GP480" s="276" t="s">
        <v>955</v>
      </c>
      <c r="GQ480" s="276" t="s">
        <v>955</v>
      </c>
      <c r="GR480" s="276" t="s">
        <v>955</v>
      </c>
      <c r="GS480" s="276" t="s">
        <v>955</v>
      </c>
      <c r="GT480" s="276" t="s">
        <v>955</v>
      </c>
      <c r="GU480" s="276" t="s">
        <v>955</v>
      </c>
      <c r="GV480" s="276" t="s">
        <v>955</v>
      </c>
    </row>
    <row r="481" spans="1:204" x14ac:dyDescent="0.2">
      <c r="A481" s="276"/>
      <c r="B481" s="276"/>
      <c r="CJ481" s="276"/>
      <c r="DP481" s="281"/>
      <c r="DQ481" s="282"/>
      <c r="DR481" s="282"/>
      <c r="DS481" s="276"/>
      <c r="EH481" s="281"/>
      <c r="EI481" s="281"/>
      <c r="EK481" s="276"/>
      <c r="EO481" s="281"/>
      <c r="EP481" s="281"/>
      <c r="ER481" s="276"/>
      <c r="EW481" s="281"/>
      <c r="EX481" s="281"/>
      <c r="EY481" s="281"/>
      <c r="EZ481" s="276"/>
      <c r="FF481" s="281"/>
      <c r="FG481" s="281"/>
      <c r="FH481" s="281"/>
      <c r="FP481" s="281"/>
      <c r="FQ481" s="281"/>
      <c r="FR481" s="281"/>
      <c r="GG481" s="276" t="s">
        <v>955</v>
      </c>
      <c r="GH481" s="276" t="s">
        <v>955</v>
      </c>
      <c r="GI481" s="276" t="s">
        <v>955</v>
      </c>
      <c r="GJ481" s="276" t="s">
        <v>955</v>
      </c>
      <c r="GK481" s="276" t="s">
        <v>955</v>
      </c>
      <c r="GL481" s="276" t="s">
        <v>955</v>
      </c>
      <c r="GM481" s="276" t="s">
        <v>955</v>
      </c>
      <c r="GN481" s="276" t="s">
        <v>955</v>
      </c>
      <c r="GO481" s="276" t="s">
        <v>955</v>
      </c>
      <c r="GP481" s="276" t="s">
        <v>955</v>
      </c>
      <c r="GQ481" s="276" t="s">
        <v>955</v>
      </c>
      <c r="GR481" s="276" t="s">
        <v>955</v>
      </c>
      <c r="GS481" s="276" t="s">
        <v>955</v>
      </c>
      <c r="GT481" s="276" t="s">
        <v>955</v>
      </c>
      <c r="GU481" s="276" t="s">
        <v>955</v>
      </c>
      <c r="GV481" s="276" t="s">
        <v>955</v>
      </c>
    </row>
    <row r="482" spans="1:204" x14ac:dyDescent="0.2">
      <c r="A482" s="276"/>
      <c r="B482" s="276"/>
      <c r="CJ482" s="276"/>
      <c r="DP482" s="281"/>
      <c r="DQ482" s="282"/>
      <c r="DR482" s="282"/>
      <c r="DS482" s="276"/>
      <c r="EH482" s="281"/>
      <c r="EI482" s="281"/>
      <c r="EK482" s="276"/>
      <c r="EO482" s="281"/>
      <c r="EP482" s="281"/>
      <c r="ER482" s="276"/>
      <c r="EW482" s="281"/>
      <c r="EX482" s="281"/>
      <c r="EY482" s="281"/>
      <c r="EZ482" s="276"/>
      <c r="FF482" s="281"/>
      <c r="FG482" s="281"/>
      <c r="FH482" s="281"/>
      <c r="FP482" s="281"/>
      <c r="FQ482" s="281"/>
      <c r="FR482" s="281"/>
      <c r="GG482" s="276" t="s">
        <v>955</v>
      </c>
      <c r="GH482" s="276" t="s">
        <v>955</v>
      </c>
      <c r="GI482" s="276" t="s">
        <v>955</v>
      </c>
      <c r="GJ482" s="276" t="s">
        <v>955</v>
      </c>
      <c r="GK482" s="276" t="s">
        <v>955</v>
      </c>
      <c r="GL482" s="276" t="s">
        <v>955</v>
      </c>
      <c r="GM482" s="276" t="s">
        <v>955</v>
      </c>
      <c r="GN482" s="276" t="s">
        <v>955</v>
      </c>
      <c r="GO482" s="276" t="s">
        <v>955</v>
      </c>
      <c r="GP482" s="276" t="s">
        <v>955</v>
      </c>
      <c r="GQ482" s="276" t="s">
        <v>955</v>
      </c>
      <c r="GR482" s="276" t="s">
        <v>955</v>
      </c>
      <c r="GS482" s="276" t="s">
        <v>955</v>
      </c>
      <c r="GT482" s="276" t="s">
        <v>955</v>
      </c>
      <c r="GU482" s="276" t="s">
        <v>955</v>
      </c>
      <c r="GV482" s="276" t="s">
        <v>955</v>
      </c>
    </row>
    <row r="483" spans="1:204" x14ac:dyDescent="0.2">
      <c r="A483" s="276"/>
      <c r="B483" s="276"/>
      <c r="CJ483" s="276"/>
      <c r="DP483" s="281"/>
      <c r="DQ483" s="282"/>
      <c r="DR483" s="282"/>
      <c r="DS483" s="276"/>
      <c r="EH483" s="281"/>
      <c r="EI483" s="281"/>
      <c r="EK483" s="276"/>
      <c r="EO483" s="281"/>
      <c r="EP483" s="281"/>
      <c r="ER483" s="276"/>
      <c r="EW483" s="281"/>
      <c r="EX483" s="281"/>
      <c r="EY483" s="281"/>
      <c r="EZ483" s="276"/>
      <c r="FF483" s="281"/>
      <c r="FG483" s="281"/>
      <c r="FH483" s="281"/>
      <c r="FP483" s="281"/>
      <c r="FQ483" s="281"/>
      <c r="FR483" s="281"/>
      <c r="GG483" s="276" t="s">
        <v>955</v>
      </c>
      <c r="GH483" s="276" t="s">
        <v>955</v>
      </c>
      <c r="GI483" s="276" t="s">
        <v>955</v>
      </c>
      <c r="GJ483" s="276" t="s">
        <v>955</v>
      </c>
      <c r="GK483" s="276" t="s">
        <v>955</v>
      </c>
      <c r="GL483" s="276" t="s">
        <v>955</v>
      </c>
      <c r="GM483" s="276" t="s">
        <v>955</v>
      </c>
      <c r="GN483" s="276" t="s">
        <v>955</v>
      </c>
      <c r="GO483" s="276" t="s">
        <v>955</v>
      </c>
      <c r="GP483" s="276" t="s">
        <v>955</v>
      </c>
      <c r="GQ483" s="276" t="s">
        <v>955</v>
      </c>
      <c r="GR483" s="276" t="s">
        <v>955</v>
      </c>
      <c r="GS483" s="276" t="s">
        <v>955</v>
      </c>
      <c r="GT483" s="276" t="s">
        <v>955</v>
      </c>
      <c r="GU483" s="276" t="s">
        <v>955</v>
      </c>
      <c r="GV483" s="276" t="s">
        <v>955</v>
      </c>
    </row>
    <row r="484" spans="1:204" x14ac:dyDescent="0.2">
      <c r="A484" s="276"/>
      <c r="B484" s="276"/>
      <c r="CJ484" s="276"/>
      <c r="DQ484" s="281"/>
      <c r="DR484" s="282"/>
      <c r="DS484" s="282"/>
      <c r="EI484" s="281"/>
      <c r="EJ484" s="281"/>
      <c r="EK484" s="276"/>
      <c r="EP484" s="281"/>
      <c r="EQ484" s="281"/>
      <c r="ER484" s="276"/>
      <c r="EX484" s="281"/>
      <c r="EY484" s="281"/>
      <c r="FG484" s="281"/>
      <c r="FH484" s="281"/>
      <c r="FQ484" s="281"/>
      <c r="FR484" s="281"/>
      <c r="GG484" s="276" t="s">
        <v>955</v>
      </c>
      <c r="GH484" s="276" t="s">
        <v>955</v>
      </c>
      <c r="GI484" s="276" t="s">
        <v>955</v>
      </c>
      <c r="GJ484" s="276" t="s">
        <v>955</v>
      </c>
      <c r="GK484" s="276" t="s">
        <v>955</v>
      </c>
      <c r="GL484" s="276" t="s">
        <v>955</v>
      </c>
      <c r="GM484" s="276" t="s">
        <v>955</v>
      </c>
      <c r="GN484" s="276" t="s">
        <v>955</v>
      </c>
      <c r="GO484" s="276" t="s">
        <v>955</v>
      </c>
      <c r="GP484" s="276" t="s">
        <v>955</v>
      </c>
      <c r="GQ484" s="276" t="s">
        <v>955</v>
      </c>
      <c r="GR484" s="276" t="s">
        <v>955</v>
      </c>
      <c r="GS484" s="276" t="s">
        <v>955</v>
      </c>
      <c r="GT484" s="276" t="s">
        <v>955</v>
      </c>
      <c r="GU484" s="276" t="s">
        <v>955</v>
      </c>
      <c r="GV484" s="276" t="s">
        <v>955</v>
      </c>
    </row>
    <row r="485" spans="1:204" x14ac:dyDescent="0.2">
      <c r="A485" s="276"/>
      <c r="B485" s="276"/>
      <c r="CJ485" s="276"/>
      <c r="DQ485" s="281"/>
      <c r="DR485" s="282"/>
      <c r="DS485" s="282"/>
      <c r="EI485" s="281"/>
      <c r="EJ485" s="281"/>
      <c r="EK485" s="276"/>
      <c r="EP485" s="281"/>
      <c r="EQ485" s="281"/>
      <c r="ER485" s="276"/>
      <c r="EX485" s="281"/>
      <c r="EY485" s="281"/>
      <c r="FG485" s="281"/>
      <c r="FH485" s="281"/>
      <c r="FQ485" s="281"/>
      <c r="FR485" s="281"/>
      <c r="GG485" s="276" t="s">
        <v>955</v>
      </c>
      <c r="GH485" s="276" t="s">
        <v>955</v>
      </c>
      <c r="GI485" s="276" t="s">
        <v>955</v>
      </c>
      <c r="GJ485" s="276" t="s">
        <v>955</v>
      </c>
      <c r="GK485" s="276" t="s">
        <v>955</v>
      </c>
      <c r="GL485" s="276" t="s">
        <v>955</v>
      </c>
      <c r="GM485" s="276" t="s">
        <v>955</v>
      </c>
      <c r="GN485" s="276" t="s">
        <v>955</v>
      </c>
      <c r="GO485" s="276" t="s">
        <v>955</v>
      </c>
      <c r="GP485" s="276" t="s">
        <v>955</v>
      </c>
      <c r="GQ485" s="276" t="s">
        <v>955</v>
      </c>
      <c r="GR485" s="276" t="s">
        <v>955</v>
      </c>
      <c r="GS485" s="276" t="s">
        <v>955</v>
      </c>
      <c r="GT485" s="276" t="s">
        <v>955</v>
      </c>
      <c r="GU485" s="276" t="s">
        <v>955</v>
      </c>
      <c r="GV485" s="276" t="s">
        <v>955</v>
      </c>
    </row>
    <row r="486" spans="1:204" x14ac:dyDescent="0.2">
      <c r="A486" s="276"/>
      <c r="B486" s="276"/>
      <c r="CJ486" s="276"/>
      <c r="DQ486" s="281"/>
      <c r="DR486" s="282"/>
      <c r="DS486" s="282"/>
      <c r="EI486" s="281"/>
      <c r="EJ486" s="281"/>
      <c r="EK486" s="276"/>
      <c r="EP486" s="281"/>
      <c r="EQ486" s="281"/>
      <c r="ER486" s="276"/>
      <c r="EX486" s="281"/>
      <c r="EY486" s="281"/>
      <c r="FG486" s="281"/>
      <c r="FH486" s="281"/>
      <c r="FQ486" s="281"/>
      <c r="FR486" s="281"/>
      <c r="GG486" s="276" t="s">
        <v>955</v>
      </c>
      <c r="GH486" s="276" t="s">
        <v>955</v>
      </c>
      <c r="GI486" s="276" t="s">
        <v>955</v>
      </c>
      <c r="GJ486" s="276" t="s">
        <v>955</v>
      </c>
      <c r="GK486" s="276" t="s">
        <v>955</v>
      </c>
      <c r="GL486" s="276" t="s">
        <v>955</v>
      </c>
      <c r="GM486" s="276" t="s">
        <v>955</v>
      </c>
      <c r="GN486" s="276" t="s">
        <v>955</v>
      </c>
      <c r="GO486" s="276" t="s">
        <v>955</v>
      </c>
      <c r="GP486" s="276" t="s">
        <v>955</v>
      </c>
      <c r="GQ486" s="276" t="s">
        <v>955</v>
      </c>
      <c r="GR486" s="276" t="s">
        <v>955</v>
      </c>
      <c r="GS486" s="276" t="s">
        <v>955</v>
      </c>
      <c r="GT486" s="276" t="s">
        <v>955</v>
      </c>
      <c r="GU486" s="276" t="s">
        <v>955</v>
      </c>
      <c r="GV486" s="276" t="s">
        <v>955</v>
      </c>
    </row>
    <row r="487" spans="1:204" x14ac:dyDescent="0.2">
      <c r="A487" s="276"/>
      <c r="B487" s="276"/>
      <c r="DQ487" s="281"/>
      <c r="DR487" s="282"/>
      <c r="DS487" s="282"/>
      <c r="EI487" s="281"/>
      <c r="EJ487" s="281"/>
      <c r="EK487" s="276"/>
      <c r="EP487" s="281"/>
      <c r="EQ487" s="281"/>
      <c r="ER487" s="276"/>
      <c r="EX487" s="281"/>
      <c r="EY487" s="281"/>
      <c r="FG487" s="281"/>
      <c r="FH487" s="281"/>
      <c r="FQ487" s="281"/>
      <c r="FR487" s="281"/>
      <c r="GG487" s="276" t="s">
        <v>955</v>
      </c>
      <c r="GH487" s="276" t="s">
        <v>955</v>
      </c>
      <c r="GI487" s="276" t="s">
        <v>955</v>
      </c>
      <c r="GJ487" s="276" t="s">
        <v>955</v>
      </c>
      <c r="GK487" s="276" t="s">
        <v>955</v>
      </c>
      <c r="GL487" s="276" t="s">
        <v>955</v>
      </c>
      <c r="GM487" s="276" t="s">
        <v>955</v>
      </c>
      <c r="GN487" s="276" t="s">
        <v>955</v>
      </c>
      <c r="GO487" s="276" t="s">
        <v>955</v>
      </c>
      <c r="GP487" s="276" t="s">
        <v>955</v>
      </c>
      <c r="GQ487" s="276" t="s">
        <v>955</v>
      </c>
      <c r="GR487" s="276" t="s">
        <v>955</v>
      </c>
      <c r="GS487" s="276" t="s">
        <v>955</v>
      </c>
      <c r="GT487" s="276" t="s">
        <v>955</v>
      </c>
      <c r="GU487" s="276" t="s">
        <v>955</v>
      </c>
      <c r="GV487" s="276" t="s">
        <v>955</v>
      </c>
    </row>
    <row r="488" spans="1:204" x14ac:dyDescent="0.2">
      <c r="A488" s="276"/>
      <c r="B488" s="276"/>
      <c r="DR488" s="281"/>
      <c r="DS488" s="282"/>
      <c r="EJ488" s="281"/>
      <c r="EQ488" s="281"/>
      <c r="EY488" s="281"/>
      <c r="FH488" s="281"/>
      <c r="FR488" s="281"/>
      <c r="GG488" s="276" t="s">
        <v>955</v>
      </c>
      <c r="GH488" s="276" t="s">
        <v>955</v>
      </c>
      <c r="GI488" s="276" t="s">
        <v>955</v>
      </c>
      <c r="GJ488" s="276" t="s">
        <v>955</v>
      </c>
      <c r="GK488" s="276" t="s">
        <v>955</v>
      </c>
      <c r="GL488" s="276" t="s">
        <v>955</v>
      </c>
      <c r="GM488" s="276" t="s">
        <v>955</v>
      </c>
      <c r="GN488" s="276" t="s">
        <v>955</v>
      </c>
      <c r="GO488" s="276" t="s">
        <v>955</v>
      </c>
      <c r="GP488" s="276" t="s">
        <v>955</v>
      </c>
      <c r="GQ488" s="276" t="s">
        <v>955</v>
      </c>
      <c r="GR488" s="276" t="s">
        <v>955</v>
      </c>
      <c r="GS488" s="276" t="s">
        <v>955</v>
      </c>
      <c r="GT488" s="276" t="s">
        <v>955</v>
      </c>
      <c r="GU488" s="276" t="s">
        <v>955</v>
      </c>
      <c r="GV488" s="276" t="s">
        <v>955</v>
      </c>
    </row>
    <row r="489" spans="1:204" x14ac:dyDescent="0.2">
      <c r="A489" s="276"/>
      <c r="B489" s="276"/>
      <c r="DR489" s="281"/>
      <c r="DS489" s="282"/>
      <c r="EJ489" s="281"/>
      <c r="EQ489" s="281"/>
      <c r="EY489" s="281"/>
      <c r="FH489" s="281"/>
      <c r="FR489" s="281"/>
      <c r="GG489" s="276" t="s">
        <v>955</v>
      </c>
      <c r="GH489" s="276" t="s">
        <v>955</v>
      </c>
      <c r="GI489" s="276" t="s">
        <v>955</v>
      </c>
      <c r="GJ489" s="276" t="s">
        <v>955</v>
      </c>
      <c r="GK489" s="276" t="s">
        <v>955</v>
      </c>
      <c r="GL489" s="276" t="s">
        <v>955</v>
      </c>
      <c r="GM489" s="276" t="s">
        <v>955</v>
      </c>
      <c r="GN489" s="276" t="s">
        <v>955</v>
      </c>
      <c r="GO489" s="276" t="s">
        <v>955</v>
      </c>
      <c r="GP489" s="276" t="s">
        <v>955</v>
      </c>
      <c r="GQ489" s="276" t="s">
        <v>955</v>
      </c>
      <c r="GR489" s="276" t="s">
        <v>955</v>
      </c>
      <c r="GS489" s="276" t="s">
        <v>955</v>
      </c>
      <c r="GT489" s="276" t="s">
        <v>955</v>
      </c>
      <c r="GU489" s="276" t="s">
        <v>955</v>
      </c>
      <c r="GV489" s="276" t="s">
        <v>955</v>
      </c>
    </row>
    <row r="490" spans="1:204" x14ac:dyDescent="0.2">
      <c r="A490" s="276"/>
      <c r="B490" s="276"/>
      <c r="DR490" s="281"/>
      <c r="DS490" s="282"/>
      <c r="EJ490" s="281"/>
      <c r="EQ490" s="281"/>
      <c r="EY490" s="281"/>
      <c r="FH490" s="281"/>
      <c r="FR490" s="281"/>
      <c r="GG490" s="276" t="s">
        <v>955</v>
      </c>
      <c r="GH490" s="276" t="s">
        <v>955</v>
      </c>
      <c r="GI490" s="276" t="s">
        <v>955</v>
      </c>
      <c r="GJ490" s="276" t="s">
        <v>955</v>
      </c>
      <c r="GK490" s="276" t="s">
        <v>955</v>
      </c>
      <c r="GL490" s="276" t="s">
        <v>955</v>
      </c>
      <c r="GM490" s="276" t="s">
        <v>955</v>
      </c>
      <c r="GN490" s="276" t="s">
        <v>955</v>
      </c>
      <c r="GO490" s="276" t="s">
        <v>955</v>
      </c>
      <c r="GP490" s="276" t="s">
        <v>955</v>
      </c>
      <c r="GQ490" s="276" t="s">
        <v>955</v>
      </c>
      <c r="GR490" s="276" t="s">
        <v>955</v>
      </c>
      <c r="GS490" s="276" t="s">
        <v>955</v>
      </c>
      <c r="GT490" s="276" t="s">
        <v>955</v>
      </c>
      <c r="GU490" s="276" t="s">
        <v>955</v>
      </c>
      <c r="GV490" s="276" t="s">
        <v>955</v>
      </c>
    </row>
    <row r="491" spans="1:204" x14ac:dyDescent="0.2">
      <c r="A491" s="276"/>
      <c r="B491" s="276"/>
      <c r="GG491" s="276" t="s">
        <v>955</v>
      </c>
      <c r="GH491" s="276" t="s">
        <v>955</v>
      </c>
      <c r="GI491" s="276" t="s">
        <v>955</v>
      </c>
      <c r="GJ491" s="276" t="s">
        <v>955</v>
      </c>
      <c r="GK491" s="276" t="s">
        <v>955</v>
      </c>
      <c r="GL491" s="276" t="s">
        <v>955</v>
      </c>
      <c r="GM491" s="276" t="s">
        <v>955</v>
      </c>
      <c r="GN491" s="276" t="s">
        <v>955</v>
      </c>
      <c r="GO491" s="276" t="s">
        <v>955</v>
      </c>
      <c r="GP491" s="276" t="s">
        <v>955</v>
      </c>
      <c r="GQ491" s="276" t="s">
        <v>955</v>
      </c>
      <c r="GR491" s="276" t="s">
        <v>955</v>
      </c>
      <c r="GS491" s="276" t="s">
        <v>955</v>
      </c>
      <c r="GT491" s="276" t="s">
        <v>955</v>
      </c>
      <c r="GU491" s="276" t="s">
        <v>955</v>
      </c>
      <c r="GV491" s="276" t="s">
        <v>955</v>
      </c>
    </row>
    <row r="492" spans="1:204" x14ac:dyDescent="0.2">
      <c r="A492" s="276"/>
      <c r="B492" s="276"/>
      <c r="GG492" s="276" t="s">
        <v>955</v>
      </c>
      <c r="GH492" s="276" t="s">
        <v>955</v>
      </c>
      <c r="GI492" s="276" t="s">
        <v>955</v>
      </c>
      <c r="GJ492" s="276" t="s">
        <v>955</v>
      </c>
      <c r="GK492" s="276" t="s">
        <v>955</v>
      </c>
      <c r="GL492" s="276" t="s">
        <v>955</v>
      </c>
      <c r="GM492" s="276" t="s">
        <v>955</v>
      </c>
      <c r="GN492" s="276" t="s">
        <v>955</v>
      </c>
      <c r="GO492" s="276" t="s">
        <v>955</v>
      </c>
      <c r="GP492" s="276" t="s">
        <v>955</v>
      </c>
      <c r="GQ492" s="276" t="s">
        <v>955</v>
      </c>
      <c r="GR492" s="276" t="s">
        <v>955</v>
      </c>
      <c r="GS492" s="276" t="s">
        <v>955</v>
      </c>
      <c r="GT492" s="276" t="s">
        <v>955</v>
      </c>
      <c r="GU492" s="276" t="s">
        <v>955</v>
      </c>
      <c r="GV492" s="276" t="s">
        <v>955</v>
      </c>
    </row>
    <row r="493" spans="1:204" x14ac:dyDescent="0.2">
      <c r="A493" s="276"/>
      <c r="B493" s="276"/>
      <c r="GG493" s="276" t="s">
        <v>955</v>
      </c>
      <c r="GH493" s="276" t="s">
        <v>955</v>
      </c>
      <c r="GI493" s="276" t="s">
        <v>955</v>
      </c>
      <c r="GJ493" s="276" t="s">
        <v>955</v>
      </c>
      <c r="GK493" s="276" t="s">
        <v>955</v>
      </c>
      <c r="GL493" s="276" t="s">
        <v>955</v>
      </c>
      <c r="GM493" s="276" t="s">
        <v>955</v>
      </c>
      <c r="GN493" s="276" t="s">
        <v>955</v>
      </c>
      <c r="GO493" s="276" t="s">
        <v>955</v>
      </c>
      <c r="GP493" s="276" t="s">
        <v>955</v>
      </c>
      <c r="GQ493" s="276" t="s">
        <v>955</v>
      </c>
      <c r="GR493" s="276" t="s">
        <v>955</v>
      </c>
      <c r="GS493" s="276" t="s">
        <v>955</v>
      </c>
      <c r="GT493" s="276" t="s">
        <v>955</v>
      </c>
      <c r="GU493" s="276" t="s">
        <v>955</v>
      </c>
      <c r="GV493" s="276" t="s">
        <v>955</v>
      </c>
    </row>
    <row r="494" spans="1:204" x14ac:dyDescent="0.2">
      <c r="A494" s="276"/>
      <c r="B494" s="276"/>
      <c r="GG494" s="276" t="s">
        <v>955</v>
      </c>
      <c r="GH494" s="276" t="s">
        <v>955</v>
      </c>
      <c r="GI494" s="276" t="s">
        <v>955</v>
      </c>
      <c r="GJ494" s="276" t="s">
        <v>955</v>
      </c>
      <c r="GK494" s="276" t="s">
        <v>955</v>
      </c>
      <c r="GL494" s="276" t="s">
        <v>955</v>
      </c>
      <c r="GM494" s="276" t="s">
        <v>955</v>
      </c>
      <c r="GN494" s="276" t="s">
        <v>955</v>
      </c>
      <c r="GO494" s="276" t="s">
        <v>955</v>
      </c>
      <c r="GP494" s="276" t="s">
        <v>955</v>
      </c>
      <c r="GQ494" s="276" t="s">
        <v>955</v>
      </c>
      <c r="GR494" s="276" t="s">
        <v>955</v>
      </c>
      <c r="GS494" s="276" t="s">
        <v>955</v>
      </c>
      <c r="GT494" s="276" t="s">
        <v>955</v>
      </c>
      <c r="GU494" s="276" t="s">
        <v>955</v>
      </c>
      <c r="GV494" s="276" t="s">
        <v>955</v>
      </c>
    </row>
    <row r="495" spans="1:204" x14ac:dyDescent="0.2">
      <c r="A495" s="276"/>
      <c r="B495" s="276"/>
      <c r="GG495" s="276" t="s">
        <v>955</v>
      </c>
      <c r="GH495" s="276" t="s">
        <v>955</v>
      </c>
      <c r="GI495" s="276" t="s">
        <v>955</v>
      </c>
      <c r="GJ495" s="276" t="s">
        <v>955</v>
      </c>
      <c r="GK495" s="276" t="s">
        <v>955</v>
      </c>
      <c r="GL495" s="276" t="s">
        <v>955</v>
      </c>
      <c r="GM495" s="276" t="s">
        <v>955</v>
      </c>
      <c r="GN495" s="276" t="s">
        <v>955</v>
      </c>
      <c r="GO495" s="276" t="s">
        <v>955</v>
      </c>
      <c r="GP495" s="276" t="s">
        <v>955</v>
      </c>
      <c r="GQ495" s="276" t="s">
        <v>955</v>
      </c>
      <c r="GR495" s="276" t="s">
        <v>955</v>
      </c>
      <c r="GS495" s="276" t="s">
        <v>955</v>
      </c>
      <c r="GT495" s="276" t="s">
        <v>955</v>
      </c>
      <c r="GU495" s="276" t="s">
        <v>955</v>
      </c>
      <c r="GV495" s="276" t="s">
        <v>955</v>
      </c>
    </row>
    <row r="496" spans="1:204" x14ac:dyDescent="0.2">
      <c r="A496" s="276"/>
      <c r="B496" s="276"/>
      <c r="GG496" s="276" t="s">
        <v>955</v>
      </c>
      <c r="GH496" s="276" t="s">
        <v>955</v>
      </c>
      <c r="GI496" s="276" t="s">
        <v>955</v>
      </c>
      <c r="GJ496" s="276" t="s">
        <v>955</v>
      </c>
      <c r="GK496" s="276" t="s">
        <v>955</v>
      </c>
      <c r="GL496" s="276" t="s">
        <v>955</v>
      </c>
      <c r="GM496" s="276" t="s">
        <v>955</v>
      </c>
      <c r="GN496" s="276" t="s">
        <v>955</v>
      </c>
      <c r="GO496" s="276" t="s">
        <v>955</v>
      </c>
      <c r="GP496" s="276" t="s">
        <v>955</v>
      </c>
      <c r="GQ496" s="276" t="s">
        <v>955</v>
      </c>
      <c r="GR496" s="276" t="s">
        <v>955</v>
      </c>
      <c r="GS496" s="276" t="s">
        <v>955</v>
      </c>
      <c r="GT496" s="276" t="s">
        <v>955</v>
      </c>
      <c r="GU496" s="276" t="s">
        <v>955</v>
      </c>
      <c r="GV496" s="276" t="s">
        <v>955</v>
      </c>
    </row>
    <row r="497" spans="1:204" x14ac:dyDescent="0.2">
      <c r="A497" s="276"/>
      <c r="B497" s="276"/>
      <c r="GG497" s="276" t="s">
        <v>955</v>
      </c>
      <c r="GH497" s="276" t="s">
        <v>955</v>
      </c>
      <c r="GI497" s="276" t="s">
        <v>955</v>
      </c>
      <c r="GJ497" s="276" t="s">
        <v>955</v>
      </c>
      <c r="GK497" s="276" t="s">
        <v>955</v>
      </c>
      <c r="GL497" s="276" t="s">
        <v>955</v>
      </c>
      <c r="GM497" s="276" t="s">
        <v>955</v>
      </c>
      <c r="GN497" s="276" t="s">
        <v>955</v>
      </c>
      <c r="GO497" s="276" t="s">
        <v>955</v>
      </c>
      <c r="GP497" s="276" t="s">
        <v>955</v>
      </c>
      <c r="GQ497" s="276" t="s">
        <v>955</v>
      </c>
      <c r="GR497" s="276" t="s">
        <v>955</v>
      </c>
      <c r="GS497" s="276" t="s">
        <v>955</v>
      </c>
      <c r="GT497" s="276" t="s">
        <v>955</v>
      </c>
      <c r="GU497" s="276" t="s">
        <v>955</v>
      </c>
      <c r="GV497" s="276" t="s">
        <v>955</v>
      </c>
    </row>
    <row r="498" spans="1:204" x14ac:dyDescent="0.2">
      <c r="A498" s="276"/>
      <c r="B498" s="276"/>
      <c r="GG498" s="276" t="s">
        <v>955</v>
      </c>
      <c r="GH498" s="276" t="s">
        <v>955</v>
      </c>
      <c r="GI498" s="276" t="s">
        <v>955</v>
      </c>
      <c r="GJ498" s="276" t="s">
        <v>955</v>
      </c>
      <c r="GK498" s="276" t="s">
        <v>955</v>
      </c>
      <c r="GL498" s="276" t="s">
        <v>955</v>
      </c>
      <c r="GM498" s="276" t="s">
        <v>955</v>
      </c>
      <c r="GN498" s="276" t="s">
        <v>955</v>
      </c>
      <c r="GO498" s="276" t="s">
        <v>955</v>
      </c>
      <c r="GP498" s="276" t="s">
        <v>955</v>
      </c>
      <c r="GQ498" s="276" t="s">
        <v>955</v>
      </c>
      <c r="GR498" s="276" t="s">
        <v>955</v>
      </c>
      <c r="GS498" s="276" t="s">
        <v>955</v>
      </c>
      <c r="GT498" s="276" t="s">
        <v>955</v>
      </c>
      <c r="GU498" s="276" t="s">
        <v>955</v>
      </c>
      <c r="GV498" s="276" t="s">
        <v>955</v>
      </c>
    </row>
    <row r="499" spans="1:204" x14ac:dyDescent="0.2">
      <c r="A499" s="276"/>
      <c r="B499" s="276"/>
      <c r="GG499" s="276" t="s">
        <v>955</v>
      </c>
      <c r="GH499" s="276" t="s">
        <v>955</v>
      </c>
      <c r="GI499" s="276" t="s">
        <v>955</v>
      </c>
      <c r="GJ499" s="276" t="s">
        <v>955</v>
      </c>
      <c r="GK499" s="276" t="s">
        <v>955</v>
      </c>
      <c r="GL499" s="276" t="s">
        <v>955</v>
      </c>
      <c r="GM499" s="276" t="s">
        <v>955</v>
      </c>
      <c r="GN499" s="276" t="s">
        <v>955</v>
      </c>
      <c r="GO499" s="276" t="s">
        <v>955</v>
      </c>
      <c r="GP499" s="276" t="s">
        <v>955</v>
      </c>
      <c r="GQ499" s="276" t="s">
        <v>955</v>
      </c>
      <c r="GR499" s="276" t="s">
        <v>955</v>
      </c>
      <c r="GS499" s="276" t="s">
        <v>955</v>
      </c>
      <c r="GT499" s="276" t="s">
        <v>955</v>
      </c>
      <c r="GU499" s="276" t="s">
        <v>955</v>
      </c>
      <c r="GV499" s="276" t="s">
        <v>955</v>
      </c>
    </row>
    <row r="500" spans="1:204" x14ac:dyDescent="0.2">
      <c r="A500" s="276"/>
      <c r="B500" s="276"/>
      <c r="GG500" s="276" t="s">
        <v>955</v>
      </c>
      <c r="GH500" s="276" t="s">
        <v>955</v>
      </c>
      <c r="GI500" s="276" t="s">
        <v>955</v>
      </c>
      <c r="GJ500" s="276" t="s">
        <v>955</v>
      </c>
      <c r="GK500" s="276" t="s">
        <v>955</v>
      </c>
      <c r="GL500" s="276" t="s">
        <v>955</v>
      </c>
      <c r="GM500" s="276" t="s">
        <v>955</v>
      </c>
      <c r="GN500" s="276" t="s">
        <v>955</v>
      </c>
      <c r="GO500" s="276" t="s">
        <v>955</v>
      </c>
      <c r="GP500" s="276" t="s">
        <v>955</v>
      </c>
      <c r="GQ500" s="276" t="s">
        <v>955</v>
      </c>
      <c r="GR500" s="276" t="s">
        <v>955</v>
      </c>
      <c r="GS500" s="276" t="s">
        <v>955</v>
      </c>
      <c r="GT500" s="276" t="s">
        <v>955</v>
      </c>
      <c r="GU500" s="276" t="s">
        <v>955</v>
      </c>
      <c r="GV500" s="276" t="s">
        <v>955</v>
      </c>
    </row>
    <row r="501" spans="1:204" x14ac:dyDescent="0.2">
      <c r="A501" s="276"/>
      <c r="B501" s="276"/>
      <c r="GG501" s="276" t="s">
        <v>955</v>
      </c>
      <c r="GH501" s="276" t="s">
        <v>955</v>
      </c>
      <c r="GI501" s="276" t="s">
        <v>955</v>
      </c>
      <c r="GJ501" s="276" t="s">
        <v>955</v>
      </c>
      <c r="GK501" s="276" t="s">
        <v>955</v>
      </c>
      <c r="GL501" s="276" t="s">
        <v>955</v>
      </c>
      <c r="GM501" s="276" t="s">
        <v>955</v>
      </c>
      <c r="GN501" s="276" t="s">
        <v>955</v>
      </c>
      <c r="GO501" s="276" t="s">
        <v>955</v>
      </c>
      <c r="GP501" s="276" t="s">
        <v>955</v>
      </c>
      <c r="GQ501" s="276" t="s">
        <v>955</v>
      </c>
      <c r="GR501" s="276" t="s">
        <v>955</v>
      </c>
      <c r="GS501" s="276" t="s">
        <v>955</v>
      </c>
      <c r="GT501" s="276" t="s">
        <v>955</v>
      </c>
      <c r="GU501" s="276" t="s">
        <v>955</v>
      </c>
      <c r="GV501" s="276" t="s">
        <v>955</v>
      </c>
    </row>
    <row r="502" spans="1:204" x14ac:dyDescent="0.2">
      <c r="A502" s="276"/>
      <c r="B502" s="276"/>
      <c r="GG502" s="276" t="s">
        <v>955</v>
      </c>
      <c r="GH502" s="276" t="s">
        <v>955</v>
      </c>
      <c r="GI502" s="276" t="s">
        <v>955</v>
      </c>
      <c r="GJ502" s="276" t="s">
        <v>955</v>
      </c>
      <c r="GK502" s="276" t="s">
        <v>955</v>
      </c>
      <c r="GL502" s="276" t="s">
        <v>955</v>
      </c>
      <c r="GM502" s="276" t="s">
        <v>955</v>
      </c>
      <c r="GN502" s="276" t="s">
        <v>955</v>
      </c>
      <c r="GO502" s="276" t="s">
        <v>955</v>
      </c>
      <c r="GP502" s="276" t="s">
        <v>955</v>
      </c>
      <c r="GQ502" s="276" t="s">
        <v>955</v>
      </c>
      <c r="GR502" s="276" t="s">
        <v>955</v>
      </c>
      <c r="GS502" s="276" t="s">
        <v>955</v>
      </c>
      <c r="GT502" s="276" t="s">
        <v>955</v>
      </c>
      <c r="GU502" s="276" t="s">
        <v>955</v>
      </c>
      <c r="GV502" s="276" t="s">
        <v>955</v>
      </c>
    </row>
    <row r="503" spans="1:204" x14ac:dyDescent="0.2">
      <c r="A503" s="276"/>
      <c r="B503" s="276"/>
      <c r="GG503" s="276" t="s">
        <v>955</v>
      </c>
      <c r="GH503" s="276" t="s">
        <v>955</v>
      </c>
      <c r="GI503" s="276" t="s">
        <v>955</v>
      </c>
      <c r="GJ503" s="276" t="s">
        <v>955</v>
      </c>
      <c r="GK503" s="276" t="s">
        <v>955</v>
      </c>
      <c r="GL503" s="276" t="s">
        <v>955</v>
      </c>
      <c r="GM503" s="276" t="s">
        <v>955</v>
      </c>
      <c r="GN503" s="276" t="s">
        <v>955</v>
      </c>
      <c r="GO503" s="276" t="s">
        <v>955</v>
      </c>
      <c r="GP503" s="276" t="s">
        <v>955</v>
      </c>
      <c r="GQ503" s="276" t="s">
        <v>955</v>
      </c>
      <c r="GR503" s="276" t="s">
        <v>955</v>
      </c>
      <c r="GS503" s="276" t="s">
        <v>955</v>
      </c>
      <c r="GT503" s="276" t="s">
        <v>955</v>
      </c>
      <c r="GU503" s="276" t="s">
        <v>955</v>
      </c>
      <c r="GV503" s="276" t="s">
        <v>955</v>
      </c>
    </row>
    <row r="504" spans="1:204" x14ac:dyDescent="0.2">
      <c r="A504" s="276"/>
      <c r="B504" s="276"/>
      <c r="GG504" s="276" t="s">
        <v>955</v>
      </c>
      <c r="GH504" s="276" t="s">
        <v>955</v>
      </c>
      <c r="GI504" s="276" t="s">
        <v>955</v>
      </c>
      <c r="GJ504" s="276" t="s">
        <v>955</v>
      </c>
      <c r="GK504" s="276" t="s">
        <v>955</v>
      </c>
      <c r="GL504" s="276" t="s">
        <v>955</v>
      </c>
      <c r="GM504" s="276" t="s">
        <v>955</v>
      </c>
      <c r="GN504" s="276" t="s">
        <v>955</v>
      </c>
      <c r="GO504" s="276" t="s">
        <v>955</v>
      </c>
      <c r="GP504" s="276" t="s">
        <v>955</v>
      </c>
      <c r="GQ504" s="276" t="s">
        <v>955</v>
      </c>
      <c r="GR504" s="276" t="s">
        <v>955</v>
      </c>
      <c r="GS504" s="276" t="s">
        <v>955</v>
      </c>
      <c r="GT504" s="276" t="s">
        <v>955</v>
      </c>
      <c r="GU504" s="276" t="s">
        <v>955</v>
      </c>
      <c r="GV504" s="276" t="s">
        <v>955</v>
      </c>
    </row>
    <row r="505" spans="1:204" x14ac:dyDescent="0.2">
      <c r="A505" s="276"/>
      <c r="B505" s="276"/>
      <c r="GG505" s="276" t="s">
        <v>955</v>
      </c>
      <c r="GH505" s="276" t="s">
        <v>955</v>
      </c>
      <c r="GI505" s="276" t="s">
        <v>955</v>
      </c>
      <c r="GJ505" s="276" t="s">
        <v>955</v>
      </c>
      <c r="GK505" s="276" t="s">
        <v>955</v>
      </c>
      <c r="GL505" s="276" t="s">
        <v>955</v>
      </c>
      <c r="GM505" s="276" t="s">
        <v>955</v>
      </c>
      <c r="GN505" s="276" t="s">
        <v>955</v>
      </c>
      <c r="GO505" s="276" t="s">
        <v>955</v>
      </c>
      <c r="GP505" s="276" t="s">
        <v>955</v>
      </c>
      <c r="GQ505" s="276" t="s">
        <v>955</v>
      </c>
      <c r="GR505" s="276" t="s">
        <v>955</v>
      </c>
      <c r="GS505" s="276" t="s">
        <v>955</v>
      </c>
      <c r="GT505" s="276" t="s">
        <v>955</v>
      </c>
      <c r="GU505" s="276" t="s">
        <v>955</v>
      </c>
      <c r="GV505" s="276" t="s">
        <v>955</v>
      </c>
    </row>
    <row r="506" spans="1:204" x14ac:dyDescent="0.2">
      <c r="A506" s="276"/>
      <c r="B506" s="276"/>
      <c r="GG506" s="276" t="s">
        <v>955</v>
      </c>
      <c r="GH506" s="276" t="s">
        <v>955</v>
      </c>
      <c r="GI506" s="276" t="s">
        <v>955</v>
      </c>
      <c r="GJ506" s="276" t="s">
        <v>955</v>
      </c>
      <c r="GK506" s="276" t="s">
        <v>955</v>
      </c>
      <c r="GL506" s="276" t="s">
        <v>955</v>
      </c>
      <c r="GM506" s="276" t="s">
        <v>955</v>
      </c>
      <c r="GN506" s="276" t="s">
        <v>955</v>
      </c>
      <c r="GO506" s="276" t="s">
        <v>955</v>
      </c>
      <c r="GP506" s="276" t="s">
        <v>955</v>
      </c>
      <c r="GQ506" s="276" t="s">
        <v>955</v>
      </c>
      <c r="GR506" s="276" t="s">
        <v>955</v>
      </c>
      <c r="GS506" s="276" t="s">
        <v>955</v>
      </c>
      <c r="GT506" s="276" t="s">
        <v>955</v>
      </c>
      <c r="GU506" s="276" t="s">
        <v>955</v>
      </c>
      <c r="GV506" s="276" t="s">
        <v>955</v>
      </c>
    </row>
    <row r="507" spans="1:204" x14ac:dyDescent="0.2">
      <c r="A507" s="276"/>
      <c r="B507" s="276"/>
      <c r="GG507" s="276" t="s">
        <v>955</v>
      </c>
      <c r="GH507" s="276" t="s">
        <v>955</v>
      </c>
      <c r="GI507" s="276" t="s">
        <v>955</v>
      </c>
      <c r="GJ507" s="276" t="s">
        <v>955</v>
      </c>
      <c r="GK507" s="276" t="s">
        <v>955</v>
      </c>
      <c r="GL507" s="276" t="s">
        <v>955</v>
      </c>
      <c r="GM507" s="276" t="s">
        <v>955</v>
      </c>
      <c r="GN507" s="276" t="s">
        <v>955</v>
      </c>
      <c r="GO507" s="276" t="s">
        <v>955</v>
      </c>
      <c r="GP507" s="276" t="s">
        <v>955</v>
      </c>
      <c r="GQ507" s="276" t="s">
        <v>955</v>
      </c>
      <c r="GR507" s="276" t="s">
        <v>955</v>
      </c>
      <c r="GS507" s="276" t="s">
        <v>955</v>
      </c>
      <c r="GT507" s="276" t="s">
        <v>955</v>
      </c>
      <c r="GU507" s="276" t="s">
        <v>955</v>
      </c>
      <c r="GV507" s="276" t="s">
        <v>955</v>
      </c>
    </row>
    <row r="508" spans="1:204" x14ac:dyDescent="0.2">
      <c r="A508" s="276"/>
      <c r="B508" s="276"/>
      <c r="GG508" s="276" t="s">
        <v>955</v>
      </c>
      <c r="GH508" s="276" t="s">
        <v>955</v>
      </c>
      <c r="GI508" s="276" t="s">
        <v>955</v>
      </c>
      <c r="GJ508" s="276" t="s">
        <v>955</v>
      </c>
      <c r="GK508" s="276" t="s">
        <v>955</v>
      </c>
      <c r="GL508" s="276" t="s">
        <v>955</v>
      </c>
      <c r="GM508" s="276" t="s">
        <v>955</v>
      </c>
      <c r="GN508" s="276" t="s">
        <v>955</v>
      </c>
      <c r="GO508" s="276" t="s">
        <v>955</v>
      </c>
      <c r="GP508" s="276" t="s">
        <v>955</v>
      </c>
      <c r="GQ508" s="276" t="s">
        <v>955</v>
      </c>
      <c r="GR508" s="276" t="s">
        <v>955</v>
      </c>
      <c r="GS508" s="276" t="s">
        <v>955</v>
      </c>
      <c r="GT508" s="276" t="s">
        <v>955</v>
      </c>
      <c r="GU508" s="276" t="s">
        <v>955</v>
      </c>
      <c r="GV508" s="276" t="s">
        <v>955</v>
      </c>
    </row>
    <row r="509" spans="1:204" x14ac:dyDescent="0.2">
      <c r="A509" s="276"/>
      <c r="B509" s="276"/>
      <c r="GG509" s="276" t="s">
        <v>955</v>
      </c>
      <c r="GH509" s="276" t="s">
        <v>955</v>
      </c>
      <c r="GI509" s="276" t="s">
        <v>955</v>
      </c>
      <c r="GJ509" s="276" t="s">
        <v>955</v>
      </c>
      <c r="GK509" s="276" t="s">
        <v>955</v>
      </c>
      <c r="GL509" s="276" t="s">
        <v>955</v>
      </c>
      <c r="GM509" s="276" t="s">
        <v>955</v>
      </c>
      <c r="GN509" s="276" t="s">
        <v>955</v>
      </c>
      <c r="GO509" s="276" t="s">
        <v>955</v>
      </c>
      <c r="GP509" s="276" t="s">
        <v>955</v>
      </c>
      <c r="GQ509" s="276" t="s">
        <v>955</v>
      </c>
      <c r="GR509" s="276" t="s">
        <v>955</v>
      </c>
      <c r="GS509" s="276" t="s">
        <v>955</v>
      </c>
      <c r="GT509" s="276" t="s">
        <v>955</v>
      </c>
      <c r="GU509" s="276" t="s">
        <v>955</v>
      </c>
      <c r="GV509" s="276" t="s">
        <v>955</v>
      </c>
    </row>
    <row r="510" spans="1:204" x14ac:dyDescent="0.2">
      <c r="A510" s="276"/>
      <c r="B510" s="276"/>
      <c r="GG510" s="276" t="s">
        <v>955</v>
      </c>
      <c r="GH510" s="276" t="s">
        <v>955</v>
      </c>
      <c r="GI510" s="276" t="s">
        <v>955</v>
      </c>
      <c r="GJ510" s="276" t="s">
        <v>955</v>
      </c>
      <c r="GK510" s="276" t="s">
        <v>955</v>
      </c>
      <c r="GL510" s="276" t="s">
        <v>955</v>
      </c>
      <c r="GM510" s="276" t="s">
        <v>955</v>
      </c>
      <c r="GN510" s="276" t="s">
        <v>955</v>
      </c>
      <c r="GO510" s="276" t="s">
        <v>955</v>
      </c>
      <c r="GP510" s="276" t="s">
        <v>955</v>
      </c>
      <c r="GQ510" s="276" t="s">
        <v>955</v>
      </c>
      <c r="GR510" s="276" t="s">
        <v>955</v>
      </c>
      <c r="GS510" s="276" t="s">
        <v>955</v>
      </c>
      <c r="GT510" s="276" t="s">
        <v>955</v>
      </c>
      <c r="GU510" s="276" t="s">
        <v>955</v>
      </c>
      <c r="GV510" s="276" t="s">
        <v>955</v>
      </c>
    </row>
    <row r="511" spans="1:204" x14ac:dyDescent="0.2">
      <c r="A511" s="276"/>
      <c r="B511" s="276"/>
      <c r="GG511" s="276" t="s">
        <v>955</v>
      </c>
      <c r="GH511" s="276" t="s">
        <v>955</v>
      </c>
      <c r="GI511" s="276" t="s">
        <v>955</v>
      </c>
      <c r="GJ511" s="276" t="s">
        <v>955</v>
      </c>
      <c r="GK511" s="276" t="s">
        <v>955</v>
      </c>
      <c r="GL511" s="276" t="s">
        <v>955</v>
      </c>
      <c r="GM511" s="276" t="s">
        <v>955</v>
      </c>
      <c r="GN511" s="276" t="s">
        <v>955</v>
      </c>
      <c r="GO511" s="276" t="s">
        <v>955</v>
      </c>
      <c r="GP511" s="276" t="s">
        <v>955</v>
      </c>
      <c r="GQ511" s="276" t="s">
        <v>955</v>
      </c>
      <c r="GR511" s="276" t="s">
        <v>955</v>
      </c>
      <c r="GS511" s="276" t="s">
        <v>955</v>
      </c>
      <c r="GT511" s="276" t="s">
        <v>955</v>
      </c>
      <c r="GU511" s="276" t="s">
        <v>955</v>
      </c>
      <c r="GV511" s="276" t="s">
        <v>955</v>
      </c>
    </row>
    <row r="512" spans="1:204" x14ac:dyDescent="0.2">
      <c r="A512" s="276"/>
      <c r="B512" s="276"/>
      <c r="GG512" s="276" t="s">
        <v>955</v>
      </c>
      <c r="GH512" s="276" t="s">
        <v>955</v>
      </c>
      <c r="GI512" s="276" t="s">
        <v>955</v>
      </c>
      <c r="GJ512" s="276" t="s">
        <v>955</v>
      </c>
      <c r="GK512" s="276" t="s">
        <v>955</v>
      </c>
      <c r="GL512" s="276" t="s">
        <v>955</v>
      </c>
      <c r="GM512" s="276" t="s">
        <v>955</v>
      </c>
      <c r="GN512" s="276" t="s">
        <v>955</v>
      </c>
      <c r="GO512" s="276" t="s">
        <v>955</v>
      </c>
      <c r="GP512" s="276" t="s">
        <v>955</v>
      </c>
      <c r="GQ512" s="276" t="s">
        <v>955</v>
      </c>
      <c r="GR512" s="276" t="s">
        <v>955</v>
      </c>
      <c r="GS512" s="276" t="s">
        <v>955</v>
      </c>
      <c r="GT512" s="276" t="s">
        <v>955</v>
      </c>
      <c r="GU512" s="276" t="s">
        <v>955</v>
      </c>
      <c r="GV512" s="276" t="s">
        <v>955</v>
      </c>
    </row>
    <row r="513" spans="1:204" x14ac:dyDescent="0.2">
      <c r="A513" s="276"/>
      <c r="B513" s="276"/>
      <c r="GG513" s="276" t="s">
        <v>955</v>
      </c>
      <c r="GH513" s="276" t="s">
        <v>955</v>
      </c>
      <c r="GI513" s="276" t="s">
        <v>955</v>
      </c>
      <c r="GJ513" s="276" t="s">
        <v>955</v>
      </c>
      <c r="GK513" s="276" t="s">
        <v>955</v>
      </c>
      <c r="GL513" s="276" t="s">
        <v>955</v>
      </c>
      <c r="GM513" s="276" t="s">
        <v>955</v>
      </c>
      <c r="GN513" s="276" t="s">
        <v>955</v>
      </c>
      <c r="GO513" s="276" t="s">
        <v>955</v>
      </c>
      <c r="GP513" s="276" t="s">
        <v>955</v>
      </c>
      <c r="GQ513" s="276" t="s">
        <v>955</v>
      </c>
      <c r="GR513" s="276" t="s">
        <v>955</v>
      </c>
      <c r="GS513" s="276" t="s">
        <v>955</v>
      </c>
      <c r="GT513" s="276" t="s">
        <v>955</v>
      </c>
      <c r="GU513" s="276" t="s">
        <v>955</v>
      </c>
      <c r="GV513" s="276" t="s">
        <v>955</v>
      </c>
    </row>
    <row r="514" spans="1:204" x14ac:dyDescent="0.2">
      <c r="A514" s="276"/>
      <c r="B514" s="276"/>
      <c r="GG514" s="276" t="s">
        <v>955</v>
      </c>
      <c r="GH514" s="276" t="s">
        <v>955</v>
      </c>
      <c r="GI514" s="276" t="s">
        <v>955</v>
      </c>
      <c r="GJ514" s="276" t="s">
        <v>955</v>
      </c>
      <c r="GK514" s="276" t="s">
        <v>955</v>
      </c>
      <c r="GL514" s="276" t="s">
        <v>955</v>
      </c>
      <c r="GM514" s="276" t="s">
        <v>955</v>
      </c>
      <c r="GN514" s="276" t="s">
        <v>955</v>
      </c>
      <c r="GO514" s="276" t="s">
        <v>955</v>
      </c>
      <c r="GP514" s="276" t="s">
        <v>955</v>
      </c>
      <c r="GQ514" s="276" t="s">
        <v>955</v>
      </c>
      <c r="GR514" s="276" t="s">
        <v>955</v>
      </c>
      <c r="GS514" s="276" t="s">
        <v>955</v>
      </c>
      <c r="GT514" s="276" t="s">
        <v>955</v>
      </c>
      <c r="GU514" s="276" t="s">
        <v>955</v>
      </c>
      <c r="GV514" s="276" t="s">
        <v>955</v>
      </c>
    </row>
    <row r="515" spans="1:204" x14ac:dyDescent="0.2">
      <c r="A515" s="276"/>
      <c r="B515" s="276"/>
      <c r="GG515" s="276" t="s">
        <v>955</v>
      </c>
      <c r="GH515" s="276" t="s">
        <v>955</v>
      </c>
      <c r="GI515" s="276" t="s">
        <v>955</v>
      </c>
      <c r="GJ515" s="276" t="s">
        <v>955</v>
      </c>
      <c r="GK515" s="276" t="s">
        <v>955</v>
      </c>
      <c r="GL515" s="276" t="s">
        <v>955</v>
      </c>
      <c r="GM515" s="276" t="s">
        <v>955</v>
      </c>
      <c r="GN515" s="276" t="s">
        <v>955</v>
      </c>
      <c r="GO515" s="276" t="s">
        <v>955</v>
      </c>
      <c r="GP515" s="276" t="s">
        <v>955</v>
      </c>
      <c r="GQ515" s="276" t="s">
        <v>955</v>
      </c>
      <c r="GR515" s="276" t="s">
        <v>955</v>
      </c>
      <c r="GS515" s="276" t="s">
        <v>955</v>
      </c>
      <c r="GT515" s="276" t="s">
        <v>955</v>
      </c>
      <c r="GU515" s="276" t="s">
        <v>955</v>
      </c>
      <c r="GV515" s="276" t="s">
        <v>955</v>
      </c>
    </row>
    <row r="516" spans="1:204" x14ac:dyDescent="0.2">
      <c r="A516" s="276"/>
      <c r="B516" s="276"/>
      <c r="GG516" s="276" t="s">
        <v>955</v>
      </c>
      <c r="GH516" s="276" t="s">
        <v>955</v>
      </c>
      <c r="GI516" s="276" t="s">
        <v>955</v>
      </c>
      <c r="GJ516" s="276" t="s">
        <v>955</v>
      </c>
      <c r="GK516" s="276" t="s">
        <v>955</v>
      </c>
      <c r="GL516" s="276" t="s">
        <v>955</v>
      </c>
      <c r="GM516" s="276" t="s">
        <v>955</v>
      </c>
      <c r="GN516" s="276" t="s">
        <v>955</v>
      </c>
      <c r="GO516" s="276" t="s">
        <v>955</v>
      </c>
      <c r="GP516" s="276" t="s">
        <v>955</v>
      </c>
      <c r="GQ516" s="276" t="s">
        <v>955</v>
      </c>
      <c r="GR516" s="276" t="s">
        <v>955</v>
      </c>
      <c r="GS516" s="276" t="s">
        <v>955</v>
      </c>
      <c r="GT516" s="276" t="s">
        <v>955</v>
      </c>
      <c r="GU516" s="276" t="s">
        <v>955</v>
      </c>
      <c r="GV516" s="276" t="s">
        <v>955</v>
      </c>
    </row>
    <row r="517" spans="1:204" x14ac:dyDescent="0.2">
      <c r="A517" s="276"/>
      <c r="B517" s="276"/>
      <c r="GG517" s="276" t="s">
        <v>955</v>
      </c>
      <c r="GH517" s="276" t="s">
        <v>955</v>
      </c>
      <c r="GI517" s="276" t="s">
        <v>955</v>
      </c>
      <c r="GJ517" s="276" t="s">
        <v>955</v>
      </c>
      <c r="GK517" s="276" t="s">
        <v>955</v>
      </c>
      <c r="GL517" s="276" t="s">
        <v>955</v>
      </c>
      <c r="GM517" s="276" t="s">
        <v>955</v>
      </c>
      <c r="GN517" s="276" t="s">
        <v>955</v>
      </c>
      <c r="GO517" s="276" t="s">
        <v>955</v>
      </c>
      <c r="GP517" s="276" t="s">
        <v>955</v>
      </c>
      <c r="GQ517" s="276" t="s">
        <v>955</v>
      </c>
      <c r="GR517" s="276" t="s">
        <v>955</v>
      </c>
      <c r="GS517" s="276" t="s">
        <v>955</v>
      </c>
      <c r="GT517" s="276" t="s">
        <v>955</v>
      </c>
      <c r="GU517" s="276" t="s">
        <v>955</v>
      </c>
      <c r="GV517" s="276" t="s">
        <v>955</v>
      </c>
    </row>
    <row r="518" spans="1:204" x14ac:dyDescent="0.2">
      <c r="A518" s="276"/>
      <c r="B518" s="276"/>
      <c r="GG518" s="276" t="s">
        <v>955</v>
      </c>
      <c r="GH518" s="276" t="s">
        <v>955</v>
      </c>
      <c r="GI518" s="276" t="s">
        <v>955</v>
      </c>
      <c r="GJ518" s="276" t="s">
        <v>955</v>
      </c>
      <c r="GK518" s="276" t="s">
        <v>955</v>
      </c>
      <c r="GL518" s="276" t="s">
        <v>955</v>
      </c>
      <c r="GM518" s="276" t="s">
        <v>955</v>
      </c>
      <c r="GN518" s="276" t="s">
        <v>955</v>
      </c>
      <c r="GO518" s="276" t="s">
        <v>955</v>
      </c>
      <c r="GP518" s="276" t="s">
        <v>955</v>
      </c>
      <c r="GQ518" s="276" t="s">
        <v>955</v>
      </c>
      <c r="GR518" s="276" t="s">
        <v>955</v>
      </c>
      <c r="GS518" s="276" t="s">
        <v>955</v>
      </c>
      <c r="GT518" s="276" t="s">
        <v>955</v>
      </c>
      <c r="GU518" s="276" t="s">
        <v>955</v>
      </c>
      <c r="GV518" s="276" t="s">
        <v>955</v>
      </c>
    </row>
    <row r="519" spans="1:204" x14ac:dyDescent="0.2">
      <c r="A519" s="276"/>
      <c r="B519" s="276"/>
      <c r="GG519" s="276" t="s">
        <v>955</v>
      </c>
      <c r="GH519" s="276" t="s">
        <v>955</v>
      </c>
      <c r="GI519" s="276" t="s">
        <v>955</v>
      </c>
      <c r="GJ519" s="276" t="s">
        <v>955</v>
      </c>
      <c r="GK519" s="276" t="s">
        <v>955</v>
      </c>
      <c r="GL519" s="276" t="s">
        <v>955</v>
      </c>
      <c r="GM519" s="276" t="s">
        <v>955</v>
      </c>
      <c r="GN519" s="276" t="s">
        <v>955</v>
      </c>
      <c r="GO519" s="276" t="s">
        <v>955</v>
      </c>
      <c r="GP519" s="276" t="s">
        <v>955</v>
      </c>
      <c r="GQ519" s="276" t="s">
        <v>955</v>
      </c>
      <c r="GR519" s="276" t="s">
        <v>955</v>
      </c>
      <c r="GS519" s="276" t="s">
        <v>955</v>
      </c>
      <c r="GT519" s="276" t="s">
        <v>955</v>
      </c>
      <c r="GU519" s="276" t="s">
        <v>955</v>
      </c>
      <c r="GV519" s="276" t="s">
        <v>955</v>
      </c>
    </row>
    <row r="520" spans="1:204" x14ac:dyDescent="0.2">
      <c r="A520" s="276"/>
      <c r="B520" s="276"/>
      <c r="GG520" s="276" t="s">
        <v>955</v>
      </c>
      <c r="GH520" s="276" t="s">
        <v>955</v>
      </c>
      <c r="GI520" s="276" t="s">
        <v>955</v>
      </c>
      <c r="GJ520" s="276" t="s">
        <v>955</v>
      </c>
      <c r="GK520" s="276" t="s">
        <v>955</v>
      </c>
      <c r="GL520" s="276" t="s">
        <v>955</v>
      </c>
      <c r="GM520" s="276" t="s">
        <v>955</v>
      </c>
      <c r="GN520" s="276" t="s">
        <v>955</v>
      </c>
      <c r="GO520" s="276" t="s">
        <v>955</v>
      </c>
      <c r="GP520" s="276" t="s">
        <v>955</v>
      </c>
      <c r="GQ520" s="276" t="s">
        <v>955</v>
      </c>
      <c r="GR520" s="276" t="s">
        <v>955</v>
      </c>
      <c r="GS520" s="276" t="s">
        <v>955</v>
      </c>
      <c r="GT520" s="276" t="s">
        <v>955</v>
      </c>
      <c r="GU520" s="276" t="s">
        <v>955</v>
      </c>
      <c r="GV520" s="276" t="s">
        <v>955</v>
      </c>
    </row>
    <row r="521" spans="1:204" x14ac:dyDescent="0.2">
      <c r="A521" s="276"/>
      <c r="B521" s="276"/>
      <c r="GG521" s="276" t="s">
        <v>955</v>
      </c>
      <c r="GH521" s="276" t="s">
        <v>955</v>
      </c>
      <c r="GI521" s="276" t="s">
        <v>955</v>
      </c>
      <c r="GJ521" s="276" t="s">
        <v>955</v>
      </c>
      <c r="GK521" s="276" t="s">
        <v>955</v>
      </c>
      <c r="GL521" s="276" t="s">
        <v>955</v>
      </c>
      <c r="GM521" s="276" t="s">
        <v>955</v>
      </c>
      <c r="GN521" s="276" t="s">
        <v>955</v>
      </c>
      <c r="GO521" s="276" t="s">
        <v>955</v>
      </c>
      <c r="GP521" s="276" t="s">
        <v>955</v>
      </c>
      <c r="GQ521" s="276" t="s">
        <v>955</v>
      </c>
      <c r="GR521" s="276" t="s">
        <v>955</v>
      </c>
      <c r="GS521" s="276" t="s">
        <v>955</v>
      </c>
      <c r="GT521" s="276" t="s">
        <v>955</v>
      </c>
      <c r="GU521" s="276" t="s">
        <v>955</v>
      </c>
      <c r="GV521" s="276" t="s">
        <v>955</v>
      </c>
    </row>
    <row r="522" spans="1:204" x14ac:dyDescent="0.2">
      <c r="A522" s="276"/>
      <c r="B522" s="276"/>
      <c r="GG522" s="276" t="s">
        <v>955</v>
      </c>
      <c r="GH522" s="276" t="s">
        <v>955</v>
      </c>
      <c r="GI522" s="276" t="s">
        <v>955</v>
      </c>
      <c r="GJ522" s="276" t="s">
        <v>955</v>
      </c>
      <c r="GK522" s="276" t="s">
        <v>955</v>
      </c>
      <c r="GL522" s="276" t="s">
        <v>955</v>
      </c>
      <c r="GM522" s="276" t="s">
        <v>955</v>
      </c>
      <c r="GN522" s="276" t="s">
        <v>955</v>
      </c>
      <c r="GO522" s="276" t="s">
        <v>955</v>
      </c>
      <c r="GP522" s="276" t="s">
        <v>955</v>
      </c>
      <c r="GQ522" s="276" t="s">
        <v>955</v>
      </c>
      <c r="GR522" s="276" t="s">
        <v>955</v>
      </c>
      <c r="GS522" s="276" t="s">
        <v>955</v>
      </c>
      <c r="GT522" s="276" t="s">
        <v>955</v>
      </c>
      <c r="GU522" s="276" t="s">
        <v>955</v>
      </c>
      <c r="GV522" s="276" t="s">
        <v>955</v>
      </c>
    </row>
    <row r="523" spans="1:204" x14ac:dyDescent="0.2">
      <c r="A523" s="276"/>
      <c r="B523" s="276"/>
      <c r="GG523" s="276" t="s">
        <v>955</v>
      </c>
      <c r="GH523" s="276" t="s">
        <v>955</v>
      </c>
      <c r="GI523" s="276" t="s">
        <v>955</v>
      </c>
      <c r="GJ523" s="276" t="s">
        <v>955</v>
      </c>
      <c r="GK523" s="276" t="s">
        <v>955</v>
      </c>
      <c r="GL523" s="276" t="s">
        <v>955</v>
      </c>
      <c r="GM523" s="276" t="s">
        <v>955</v>
      </c>
      <c r="GN523" s="276" t="s">
        <v>955</v>
      </c>
      <c r="GO523" s="276" t="s">
        <v>955</v>
      </c>
      <c r="GP523" s="276" t="s">
        <v>955</v>
      </c>
      <c r="GQ523" s="276" t="s">
        <v>955</v>
      </c>
      <c r="GR523" s="276" t="s">
        <v>955</v>
      </c>
      <c r="GS523" s="276" t="s">
        <v>955</v>
      </c>
      <c r="GT523" s="276" t="s">
        <v>955</v>
      </c>
      <c r="GU523" s="276" t="s">
        <v>955</v>
      </c>
      <c r="GV523" s="276" t="s">
        <v>955</v>
      </c>
    </row>
    <row r="524" spans="1:204" x14ac:dyDescent="0.2">
      <c r="A524" s="276"/>
      <c r="B524" s="276"/>
      <c r="GG524" s="276" t="s">
        <v>955</v>
      </c>
      <c r="GH524" s="276" t="s">
        <v>955</v>
      </c>
      <c r="GI524" s="276" t="s">
        <v>955</v>
      </c>
      <c r="GJ524" s="276" t="s">
        <v>955</v>
      </c>
      <c r="GK524" s="276" t="s">
        <v>955</v>
      </c>
      <c r="GL524" s="276" t="s">
        <v>955</v>
      </c>
      <c r="GM524" s="276" t="s">
        <v>955</v>
      </c>
      <c r="GN524" s="276" t="s">
        <v>955</v>
      </c>
      <c r="GO524" s="276" t="s">
        <v>955</v>
      </c>
      <c r="GP524" s="276" t="s">
        <v>955</v>
      </c>
      <c r="GQ524" s="276" t="s">
        <v>955</v>
      </c>
      <c r="GR524" s="276" t="s">
        <v>955</v>
      </c>
      <c r="GS524" s="276" t="s">
        <v>955</v>
      </c>
      <c r="GT524" s="276" t="s">
        <v>955</v>
      </c>
      <c r="GU524" s="276" t="s">
        <v>955</v>
      </c>
      <c r="GV524" s="276" t="s">
        <v>955</v>
      </c>
    </row>
    <row r="525" spans="1:204" x14ac:dyDescent="0.2">
      <c r="A525" s="276"/>
      <c r="B525" s="276"/>
      <c r="GG525" s="276" t="s">
        <v>955</v>
      </c>
      <c r="GH525" s="276" t="s">
        <v>955</v>
      </c>
      <c r="GI525" s="276" t="s">
        <v>955</v>
      </c>
      <c r="GJ525" s="276" t="s">
        <v>955</v>
      </c>
      <c r="GK525" s="276" t="s">
        <v>955</v>
      </c>
      <c r="GL525" s="276" t="s">
        <v>955</v>
      </c>
      <c r="GM525" s="276" t="s">
        <v>955</v>
      </c>
      <c r="GN525" s="276" t="s">
        <v>955</v>
      </c>
      <c r="GO525" s="276" t="s">
        <v>955</v>
      </c>
      <c r="GP525" s="276" t="s">
        <v>955</v>
      </c>
      <c r="GQ525" s="276" t="s">
        <v>955</v>
      </c>
      <c r="GR525" s="276" t="s">
        <v>955</v>
      </c>
      <c r="GS525" s="276" t="s">
        <v>955</v>
      </c>
      <c r="GT525" s="276" t="s">
        <v>955</v>
      </c>
      <c r="GU525" s="276" t="s">
        <v>955</v>
      </c>
      <c r="GV525" s="276" t="s">
        <v>955</v>
      </c>
    </row>
    <row r="526" spans="1:204" x14ac:dyDescent="0.2">
      <c r="A526" s="276"/>
      <c r="B526" s="276"/>
      <c r="GG526" s="276" t="s">
        <v>955</v>
      </c>
      <c r="GH526" s="276" t="s">
        <v>955</v>
      </c>
      <c r="GI526" s="276" t="s">
        <v>955</v>
      </c>
      <c r="GJ526" s="276" t="s">
        <v>955</v>
      </c>
      <c r="GK526" s="276" t="s">
        <v>955</v>
      </c>
      <c r="GL526" s="276" t="s">
        <v>955</v>
      </c>
      <c r="GM526" s="276" t="s">
        <v>955</v>
      </c>
      <c r="GN526" s="276" t="s">
        <v>955</v>
      </c>
      <c r="GO526" s="276" t="s">
        <v>955</v>
      </c>
      <c r="GP526" s="276" t="s">
        <v>955</v>
      </c>
      <c r="GQ526" s="276" t="s">
        <v>955</v>
      </c>
      <c r="GR526" s="276" t="s">
        <v>955</v>
      </c>
      <c r="GS526" s="276" t="s">
        <v>955</v>
      </c>
      <c r="GT526" s="276" t="s">
        <v>955</v>
      </c>
      <c r="GU526" s="276" t="s">
        <v>955</v>
      </c>
      <c r="GV526" s="276" t="s">
        <v>955</v>
      </c>
    </row>
    <row r="527" spans="1:204" x14ac:dyDescent="0.2">
      <c r="A527" s="276"/>
      <c r="B527" s="276"/>
      <c r="GG527" s="276" t="s">
        <v>955</v>
      </c>
      <c r="GH527" s="276" t="s">
        <v>955</v>
      </c>
      <c r="GI527" s="276" t="s">
        <v>955</v>
      </c>
      <c r="GJ527" s="276" t="s">
        <v>955</v>
      </c>
      <c r="GK527" s="276" t="s">
        <v>955</v>
      </c>
      <c r="GL527" s="276" t="s">
        <v>955</v>
      </c>
      <c r="GM527" s="276" t="s">
        <v>955</v>
      </c>
      <c r="GN527" s="276" t="s">
        <v>955</v>
      </c>
      <c r="GO527" s="276" t="s">
        <v>955</v>
      </c>
      <c r="GP527" s="276" t="s">
        <v>955</v>
      </c>
      <c r="GQ527" s="276" t="s">
        <v>955</v>
      </c>
      <c r="GR527" s="276" t="s">
        <v>955</v>
      </c>
      <c r="GS527" s="276" t="s">
        <v>955</v>
      </c>
      <c r="GT527" s="276" t="s">
        <v>955</v>
      </c>
      <c r="GU527" s="276" t="s">
        <v>955</v>
      </c>
      <c r="GV527" s="276" t="s">
        <v>955</v>
      </c>
    </row>
    <row r="528" spans="1:204" x14ac:dyDescent="0.2">
      <c r="A528" s="276"/>
      <c r="B528" s="276"/>
      <c r="GG528" s="276" t="s">
        <v>955</v>
      </c>
      <c r="GH528" s="276" t="s">
        <v>955</v>
      </c>
      <c r="GI528" s="276" t="s">
        <v>955</v>
      </c>
      <c r="GJ528" s="276" t="s">
        <v>955</v>
      </c>
      <c r="GK528" s="276" t="s">
        <v>955</v>
      </c>
      <c r="GL528" s="276" t="s">
        <v>955</v>
      </c>
      <c r="GM528" s="276" t="s">
        <v>955</v>
      </c>
      <c r="GN528" s="276" t="s">
        <v>955</v>
      </c>
      <c r="GO528" s="276" t="s">
        <v>955</v>
      </c>
      <c r="GP528" s="276" t="s">
        <v>955</v>
      </c>
      <c r="GQ528" s="276" t="s">
        <v>955</v>
      </c>
      <c r="GR528" s="276" t="s">
        <v>955</v>
      </c>
      <c r="GS528" s="276" t="s">
        <v>955</v>
      </c>
      <c r="GT528" s="276" t="s">
        <v>955</v>
      </c>
      <c r="GU528" s="276" t="s">
        <v>955</v>
      </c>
      <c r="GV528" s="276" t="s">
        <v>955</v>
      </c>
    </row>
    <row r="529" spans="1:204" x14ac:dyDescent="0.2">
      <c r="A529" s="276"/>
      <c r="B529" s="276"/>
      <c r="GG529" s="276" t="s">
        <v>955</v>
      </c>
      <c r="GH529" s="276" t="s">
        <v>955</v>
      </c>
      <c r="GI529" s="276" t="s">
        <v>955</v>
      </c>
      <c r="GJ529" s="276" t="s">
        <v>955</v>
      </c>
      <c r="GK529" s="276" t="s">
        <v>955</v>
      </c>
      <c r="GL529" s="276" t="s">
        <v>955</v>
      </c>
      <c r="GM529" s="276" t="s">
        <v>955</v>
      </c>
      <c r="GN529" s="276" t="s">
        <v>955</v>
      </c>
      <c r="GO529" s="276" t="s">
        <v>955</v>
      </c>
      <c r="GP529" s="276" t="s">
        <v>955</v>
      </c>
      <c r="GQ529" s="276" t="s">
        <v>955</v>
      </c>
      <c r="GR529" s="276" t="s">
        <v>955</v>
      </c>
      <c r="GS529" s="276" t="s">
        <v>955</v>
      </c>
      <c r="GT529" s="276" t="s">
        <v>955</v>
      </c>
      <c r="GU529" s="276" t="s">
        <v>955</v>
      </c>
      <c r="GV529" s="276" t="s">
        <v>955</v>
      </c>
    </row>
    <row r="530" spans="1:204" x14ac:dyDescent="0.2">
      <c r="A530" s="276"/>
      <c r="B530" s="276"/>
      <c r="GG530" s="276" t="s">
        <v>955</v>
      </c>
      <c r="GH530" s="276" t="s">
        <v>955</v>
      </c>
      <c r="GI530" s="276" t="s">
        <v>955</v>
      </c>
      <c r="GJ530" s="276" t="s">
        <v>955</v>
      </c>
      <c r="GK530" s="276" t="s">
        <v>955</v>
      </c>
      <c r="GL530" s="276" t="s">
        <v>955</v>
      </c>
      <c r="GM530" s="276" t="s">
        <v>955</v>
      </c>
      <c r="GN530" s="276" t="s">
        <v>955</v>
      </c>
      <c r="GO530" s="276" t="s">
        <v>955</v>
      </c>
      <c r="GP530" s="276" t="s">
        <v>955</v>
      </c>
      <c r="GQ530" s="276" t="s">
        <v>955</v>
      </c>
      <c r="GR530" s="276" t="s">
        <v>955</v>
      </c>
      <c r="GS530" s="276" t="s">
        <v>955</v>
      </c>
      <c r="GT530" s="276" t="s">
        <v>955</v>
      </c>
      <c r="GU530" s="276" t="s">
        <v>955</v>
      </c>
      <c r="GV530" s="276" t="s">
        <v>955</v>
      </c>
    </row>
    <row r="531" spans="1:204" x14ac:dyDescent="0.2">
      <c r="A531" s="276"/>
      <c r="B531" s="276"/>
      <c r="GG531" s="276" t="s">
        <v>955</v>
      </c>
      <c r="GH531" s="276" t="s">
        <v>955</v>
      </c>
      <c r="GI531" s="276" t="s">
        <v>955</v>
      </c>
      <c r="GJ531" s="276" t="s">
        <v>955</v>
      </c>
      <c r="GK531" s="276" t="s">
        <v>955</v>
      </c>
      <c r="GL531" s="276" t="s">
        <v>955</v>
      </c>
      <c r="GM531" s="276" t="s">
        <v>955</v>
      </c>
      <c r="GN531" s="276" t="s">
        <v>955</v>
      </c>
      <c r="GO531" s="276" t="s">
        <v>955</v>
      </c>
      <c r="GP531" s="276" t="s">
        <v>955</v>
      </c>
      <c r="GQ531" s="276" t="s">
        <v>955</v>
      </c>
      <c r="GR531" s="276" t="s">
        <v>955</v>
      </c>
      <c r="GS531" s="276" t="s">
        <v>955</v>
      </c>
      <c r="GT531" s="276" t="s">
        <v>955</v>
      </c>
      <c r="GU531" s="276" t="s">
        <v>955</v>
      </c>
      <c r="GV531" s="276" t="s">
        <v>955</v>
      </c>
    </row>
    <row r="532" spans="1:204" x14ac:dyDescent="0.2">
      <c r="A532" s="276"/>
      <c r="B532" s="276"/>
      <c r="GG532" s="276" t="s">
        <v>955</v>
      </c>
      <c r="GH532" s="276" t="s">
        <v>955</v>
      </c>
      <c r="GI532" s="276" t="s">
        <v>955</v>
      </c>
      <c r="GJ532" s="276" t="s">
        <v>955</v>
      </c>
      <c r="GK532" s="276" t="s">
        <v>955</v>
      </c>
      <c r="GL532" s="276" t="s">
        <v>955</v>
      </c>
      <c r="GM532" s="276" t="s">
        <v>955</v>
      </c>
      <c r="GN532" s="276" t="s">
        <v>955</v>
      </c>
      <c r="GO532" s="276" t="s">
        <v>955</v>
      </c>
      <c r="GP532" s="276" t="s">
        <v>955</v>
      </c>
      <c r="GQ532" s="276" t="s">
        <v>955</v>
      </c>
      <c r="GR532" s="276" t="s">
        <v>955</v>
      </c>
      <c r="GS532" s="276" t="s">
        <v>955</v>
      </c>
      <c r="GT532" s="276" t="s">
        <v>955</v>
      </c>
      <c r="GU532" s="276" t="s">
        <v>955</v>
      </c>
      <c r="GV532" s="276" t="s">
        <v>955</v>
      </c>
    </row>
    <row r="533" spans="1:204" x14ac:dyDescent="0.2">
      <c r="A533" s="276"/>
      <c r="B533" s="276"/>
      <c r="GG533" s="276" t="s">
        <v>955</v>
      </c>
      <c r="GH533" s="276" t="s">
        <v>955</v>
      </c>
      <c r="GI533" s="276" t="s">
        <v>955</v>
      </c>
      <c r="GJ533" s="276" t="s">
        <v>955</v>
      </c>
      <c r="GK533" s="276" t="s">
        <v>955</v>
      </c>
      <c r="GL533" s="276" t="s">
        <v>955</v>
      </c>
      <c r="GM533" s="276" t="s">
        <v>955</v>
      </c>
      <c r="GN533" s="276" t="s">
        <v>955</v>
      </c>
      <c r="GO533" s="276" t="s">
        <v>955</v>
      </c>
      <c r="GP533" s="276" t="s">
        <v>955</v>
      </c>
      <c r="GQ533" s="276" t="s">
        <v>955</v>
      </c>
      <c r="GR533" s="276" t="s">
        <v>955</v>
      </c>
      <c r="GS533" s="276" t="s">
        <v>955</v>
      </c>
      <c r="GT533" s="276" t="s">
        <v>955</v>
      </c>
      <c r="GU533" s="276" t="s">
        <v>955</v>
      </c>
      <c r="GV533" s="276" t="s">
        <v>955</v>
      </c>
    </row>
    <row r="534" spans="1:204" x14ac:dyDescent="0.2">
      <c r="A534" s="276"/>
      <c r="B534" s="276"/>
      <c r="GG534" s="276" t="s">
        <v>955</v>
      </c>
      <c r="GH534" s="276" t="s">
        <v>955</v>
      </c>
      <c r="GI534" s="276" t="s">
        <v>955</v>
      </c>
      <c r="GJ534" s="276" t="s">
        <v>955</v>
      </c>
      <c r="GK534" s="276" t="s">
        <v>955</v>
      </c>
      <c r="GL534" s="276" t="s">
        <v>955</v>
      </c>
      <c r="GM534" s="276" t="s">
        <v>955</v>
      </c>
      <c r="GN534" s="276" t="s">
        <v>955</v>
      </c>
      <c r="GO534" s="276" t="s">
        <v>955</v>
      </c>
      <c r="GP534" s="276" t="s">
        <v>955</v>
      </c>
      <c r="GQ534" s="276" t="s">
        <v>955</v>
      </c>
      <c r="GR534" s="276" t="s">
        <v>955</v>
      </c>
      <c r="GS534" s="276" t="s">
        <v>955</v>
      </c>
      <c r="GT534" s="276" t="s">
        <v>955</v>
      </c>
      <c r="GU534" s="276" t="s">
        <v>955</v>
      </c>
      <c r="GV534" s="276" t="s">
        <v>955</v>
      </c>
    </row>
    <row r="535" spans="1:204" x14ac:dyDescent="0.2">
      <c r="A535" s="276"/>
      <c r="B535" s="276"/>
      <c r="GG535" s="276" t="s">
        <v>955</v>
      </c>
      <c r="GH535" s="276" t="s">
        <v>955</v>
      </c>
      <c r="GI535" s="276" t="s">
        <v>955</v>
      </c>
      <c r="GJ535" s="276" t="s">
        <v>955</v>
      </c>
      <c r="GK535" s="276" t="s">
        <v>955</v>
      </c>
      <c r="GL535" s="276" t="s">
        <v>955</v>
      </c>
      <c r="GM535" s="276" t="s">
        <v>955</v>
      </c>
      <c r="GN535" s="276" t="s">
        <v>955</v>
      </c>
      <c r="GO535" s="276" t="s">
        <v>955</v>
      </c>
      <c r="GP535" s="276" t="s">
        <v>955</v>
      </c>
      <c r="GQ535" s="276" t="s">
        <v>955</v>
      </c>
      <c r="GR535" s="276" t="s">
        <v>955</v>
      </c>
      <c r="GS535" s="276" t="s">
        <v>955</v>
      </c>
      <c r="GT535" s="276" t="s">
        <v>955</v>
      </c>
      <c r="GU535" s="276" t="s">
        <v>955</v>
      </c>
      <c r="GV535" s="276" t="s">
        <v>955</v>
      </c>
    </row>
    <row r="536" spans="1:204" x14ac:dyDescent="0.2">
      <c r="A536" s="276"/>
      <c r="B536" s="276"/>
      <c r="GG536" s="276" t="s">
        <v>955</v>
      </c>
      <c r="GH536" s="276" t="s">
        <v>955</v>
      </c>
      <c r="GI536" s="276" t="s">
        <v>955</v>
      </c>
      <c r="GJ536" s="276" t="s">
        <v>955</v>
      </c>
      <c r="GK536" s="276" t="s">
        <v>955</v>
      </c>
      <c r="GL536" s="276" t="s">
        <v>955</v>
      </c>
      <c r="GM536" s="276" t="s">
        <v>955</v>
      </c>
      <c r="GN536" s="276" t="s">
        <v>955</v>
      </c>
      <c r="GO536" s="276" t="s">
        <v>955</v>
      </c>
      <c r="GP536" s="276" t="s">
        <v>955</v>
      </c>
      <c r="GQ536" s="276" t="s">
        <v>955</v>
      </c>
      <c r="GR536" s="276" t="s">
        <v>955</v>
      </c>
      <c r="GS536" s="276" t="s">
        <v>955</v>
      </c>
      <c r="GT536" s="276" t="s">
        <v>955</v>
      </c>
      <c r="GU536" s="276" t="s">
        <v>955</v>
      </c>
      <c r="GV536" s="276" t="s">
        <v>955</v>
      </c>
    </row>
    <row r="537" spans="1:204" x14ac:dyDescent="0.2">
      <c r="A537" s="276"/>
      <c r="B537" s="276"/>
      <c r="GG537" s="276" t="s">
        <v>955</v>
      </c>
      <c r="GH537" s="276" t="s">
        <v>955</v>
      </c>
      <c r="GI537" s="276" t="s">
        <v>955</v>
      </c>
      <c r="GJ537" s="276" t="s">
        <v>955</v>
      </c>
      <c r="GK537" s="276" t="s">
        <v>955</v>
      </c>
      <c r="GL537" s="276" t="s">
        <v>955</v>
      </c>
      <c r="GM537" s="276" t="s">
        <v>955</v>
      </c>
      <c r="GN537" s="276" t="s">
        <v>955</v>
      </c>
      <c r="GO537" s="276" t="s">
        <v>955</v>
      </c>
      <c r="GP537" s="276" t="s">
        <v>955</v>
      </c>
      <c r="GQ537" s="276" t="s">
        <v>955</v>
      </c>
      <c r="GR537" s="276" t="s">
        <v>955</v>
      </c>
      <c r="GS537" s="276" t="s">
        <v>955</v>
      </c>
      <c r="GT537" s="276" t="s">
        <v>955</v>
      </c>
      <c r="GU537" s="276" t="s">
        <v>955</v>
      </c>
      <c r="GV537" s="276" t="s">
        <v>955</v>
      </c>
    </row>
    <row r="538" spans="1:204" x14ac:dyDescent="0.2">
      <c r="A538" s="276"/>
      <c r="B538" s="276"/>
      <c r="GG538" s="276" t="s">
        <v>955</v>
      </c>
      <c r="GH538" s="276" t="s">
        <v>955</v>
      </c>
      <c r="GI538" s="276" t="s">
        <v>955</v>
      </c>
      <c r="GJ538" s="276" t="s">
        <v>955</v>
      </c>
      <c r="GK538" s="276" t="s">
        <v>955</v>
      </c>
      <c r="GL538" s="276" t="s">
        <v>955</v>
      </c>
      <c r="GM538" s="276" t="s">
        <v>955</v>
      </c>
      <c r="GN538" s="276" t="s">
        <v>955</v>
      </c>
      <c r="GO538" s="276" t="s">
        <v>955</v>
      </c>
      <c r="GP538" s="276" t="s">
        <v>955</v>
      </c>
      <c r="GQ538" s="276" t="s">
        <v>955</v>
      </c>
      <c r="GR538" s="276" t="s">
        <v>955</v>
      </c>
      <c r="GS538" s="276" t="s">
        <v>955</v>
      </c>
      <c r="GT538" s="276" t="s">
        <v>955</v>
      </c>
      <c r="GU538" s="276" t="s">
        <v>955</v>
      </c>
      <c r="GV538" s="276" t="s">
        <v>955</v>
      </c>
    </row>
    <row r="539" spans="1:204" x14ac:dyDescent="0.2">
      <c r="A539" s="276"/>
      <c r="B539" s="276"/>
      <c r="GG539" s="276" t="s">
        <v>955</v>
      </c>
      <c r="GH539" s="276" t="s">
        <v>955</v>
      </c>
      <c r="GI539" s="276" t="s">
        <v>955</v>
      </c>
      <c r="GJ539" s="276" t="s">
        <v>955</v>
      </c>
      <c r="GK539" s="276" t="s">
        <v>955</v>
      </c>
      <c r="GL539" s="276" t="s">
        <v>955</v>
      </c>
      <c r="GM539" s="276" t="s">
        <v>955</v>
      </c>
      <c r="GN539" s="276" t="s">
        <v>955</v>
      </c>
      <c r="GO539" s="276" t="s">
        <v>955</v>
      </c>
      <c r="GP539" s="276" t="s">
        <v>955</v>
      </c>
      <c r="GQ539" s="276" t="s">
        <v>955</v>
      </c>
      <c r="GR539" s="276" t="s">
        <v>955</v>
      </c>
      <c r="GS539" s="276" t="s">
        <v>955</v>
      </c>
      <c r="GT539" s="276" t="s">
        <v>955</v>
      </c>
      <c r="GU539" s="276" t="s">
        <v>955</v>
      </c>
      <c r="GV539" s="276" t="s">
        <v>955</v>
      </c>
    </row>
    <row r="540" spans="1:204" x14ac:dyDescent="0.2">
      <c r="A540" s="276"/>
      <c r="B540" s="276"/>
      <c r="GG540" s="276" t="s">
        <v>955</v>
      </c>
      <c r="GH540" s="276" t="s">
        <v>955</v>
      </c>
      <c r="GI540" s="276" t="s">
        <v>955</v>
      </c>
      <c r="GJ540" s="276" t="s">
        <v>955</v>
      </c>
      <c r="GK540" s="276" t="s">
        <v>955</v>
      </c>
      <c r="GL540" s="276" t="s">
        <v>955</v>
      </c>
      <c r="GM540" s="276" t="s">
        <v>955</v>
      </c>
      <c r="GN540" s="276" t="s">
        <v>955</v>
      </c>
      <c r="GO540" s="276" t="s">
        <v>955</v>
      </c>
      <c r="GP540" s="276" t="s">
        <v>955</v>
      </c>
      <c r="GQ540" s="276" t="s">
        <v>955</v>
      </c>
      <c r="GR540" s="276" t="s">
        <v>955</v>
      </c>
      <c r="GS540" s="276" t="s">
        <v>955</v>
      </c>
      <c r="GT540" s="276" t="s">
        <v>955</v>
      </c>
      <c r="GU540" s="276" t="s">
        <v>955</v>
      </c>
      <c r="GV540" s="276" t="s">
        <v>955</v>
      </c>
    </row>
    <row r="541" spans="1:204" x14ac:dyDescent="0.2">
      <c r="A541" s="276"/>
      <c r="B541" s="276"/>
      <c r="GG541" s="276" t="s">
        <v>955</v>
      </c>
      <c r="GH541" s="276" t="s">
        <v>955</v>
      </c>
      <c r="GI541" s="276" t="s">
        <v>955</v>
      </c>
      <c r="GJ541" s="276" t="s">
        <v>955</v>
      </c>
      <c r="GK541" s="276" t="s">
        <v>955</v>
      </c>
      <c r="GL541" s="276" t="s">
        <v>955</v>
      </c>
      <c r="GM541" s="276" t="s">
        <v>955</v>
      </c>
      <c r="GN541" s="276" t="s">
        <v>955</v>
      </c>
      <c r="GO541" s="276" t="s">
        <v>955</v>
      </c>
      <c r="GP541" s="276" t="s">
        <v>955</v>
      </c>
      <c r="GQ541" s="276" t="s">
        <v>955</v>
      </c>
      <c r="GR541" s="276" t="s">
        <v>955</v>
      </c>
      <c r="GS541" s="276" t="s">
        <v>955</v>
      </c>
      <c r="GT541" s="276" t="s">
        <v>955</v>
      </c>
      <c r="GU541" s="276" t="s">
        <v>955</v>
      </c>
      <c r="GV541" s="276" t="s">
        <v>955</v>
      </c>
    </row>
    <row r="542" spans="1:204" x14ac:dyDescent="0.2">
      <c r="A542" s="276"/>
      <c r="B542" s="276"/>
      <c r="GG542" s="276" t="s">
        <v>955</v>
      </c>
      <c r="GH542" s="276" t="s">
        <v>955</v>
      </c>
      <c r="GI542" s="276" t="s">
        <v>955</v>
      </c>
      <c r="GJ542" s="276" t="s">
        <v>955</v>
      </c>
      <c r="GK542" s="276" t="s">
        <v>955</v>
      </c>
      <c r="GL542" s="276" t="s">
        <v>955</v>
      </c>
      <c r="GM542" s="276" t="s">
        <v>955</v>
      </c>
      <c r="GN542" s="276" t="s">
        <v>955</v>
      </c>
      <c r="GO542" s="276" t="s">
        <v>955</v>
      </c>
      <c r="GP542" s="276" t="s">
        <v>955</v>
      </c>
      <c r="GQ542" s="276" t="s">
        <v>955</v>
      </c>
      <c r="GR542" s="276" t="s">
        <v>955</v>
      </c>
      <c r="GS542" s="276" t="s">
        <v>955</v>
      </c>
      <c r="GT542" s="276" t="s">
        <v>955</v>
      </c>
      <c r="GU542" s="276" t="s">
        <v>955</v>
      </c>
      <c r="GV542" s="276" t="s">
        <v>955</v>
      </c>
    </row>
    <row r="543" spans="1:204" x14ac:dyDescent="0.2">
      <c r="A543" s="276"/>
      <c r="B543" s="276"/>
      <c r="GG543" s="276" t="s">
        <v>955</v>
      </c>
      <c r="GH543" s="276" t="s">
        <v>955</v>
      </c>
      <c r="GI543" s="276" t="s">
        <v>955</v>
      </c>
      <c r="GJ543" s="276" t="s">
        <v>955</v>
      </c>
      <c r="GK543" s="276" t="s">
        <v>955</v>
      </c>
      <c r="GL543" s="276" t="s">
        <v>955</v>
      </c>
      <c r="GM543" s="276" t="s">
        <v>955</v>
      </c>
      <c r="GN543" s="276" t="s">
        <v>955</v>
      </c>
      <c r="GO543" s="276" t="s">
        <v>955</v>
      </c>
      <c r="GP543" s="276" t="s">
        <v>955</v>
      </c>
      <c r="GQ543" s="276" t="s">
        <v>955</v>
      </c>
      <c r="GR543" s="276" t="s">
        <v>955</v>
      </c>
      <c r="GS543" s="276" t="s">
        <v>955</v>
      </c>
      <c r="GT543" s="276" t="s">
        <v>955</v>
      </c>
      <c r="GU543" s="276" t="s">
        <v>955</v>
      </c>
      <c r="GV543" s="276" t="s">
        <v>955</v>
      </c>
    </row>
    <row r="544" spans="1:204" x14ac:dyDescent="0.2">
      <c r="A544" s="276"/>
      <c r="B544" s="276"/>
      <c r="GG544" s="276" t="s">
        <v>955</v>
      </c>
      <c r="GH544" s="276" t="s">
        <v>955</v>
      </c>
      <c r="GI544" s="276" t="s">
        <v>955</v>
      </c>
      <c r="GJ544" s="276" t="s">
        <v>955</v>
      </c>
      <c r="GK544" s="276" t="s">
        <v>955</v>
      </c>
      <c r="GL544" s="276" t="s">
        <v>955</v>
      </c>
      <c r="GM544" s="276" t="s">
        <v>955</v>
      </c>
      <c r="GN544" s="276" t="s">
        <v>955</v>
      </c>
      <c r="GO544" s="276" t="s">
        <v>955</v>
      </c>
      <c r="GP544" s="276" t="s">
        <v>955</v>
      </c>
      <c r="GQ544" s="276" t="s">
        <v>955</v>
      </c>
      <c r="GR544" s="276" t="s">
        <v>955</v>
      </c>
      <c r="GS544" s="276" t="s">
        <v>955</v>
      </c>
      <c r="GT544" s="276" t="s">
        <v>955</v>
      </c>
      <c r="GU544" s="276" t="s">
        <v>955</v>
      </c>
      <c r="GV544" s="276" t="s">
        <v>955</v>
      </c>
    </row>
    <row r="545" spans="1:204" x14ac:dyDescent="0.2">
      <c r="A545" s="276"/>
      <c r="B545" s="276"/>
      <c r="GG545" s="276" t="s">
        <v>955</v>
      </c>
      <c r="GH545" s="276" t="s">
        <v>955</v>
      </c>
      <c r="GI545" s="276" t="s">
        <v>955</v>
      </c>
      <c r="GJ545" s="276" t="s">
        <v>955</v>
      </c>
      <c r="GK545" s="276" t="s">
        <v>955</v>
      </c>
      <c r="GL545" s="276" t="s">
        <v>955</v>
      </c>
      <c r="GM545" s="276" t="s">
        <v>955</v>
      </c>
      <c r="GN545" s="276" t="s">
        <v>955</v>
      </c>
      <c r="GO545" s="276" t="s">
        <v>955</v>
      </c>
      <c r="GP545" s="276" t="s">
        <v>955</v>
      </c>
      <c r="GQ545" s="276" t="s">
        <v>955</v>
      </c>
      <c r="GR545" s="276" t="s">
        <v>955</v>
      </c>
      <c r="GS545" s="276" t="s">
        <v>955</v>
      </c>
      <c r="GT545" s="276" t="s">
        <v>955</v>
      </c>
      <c r="GU545" s="276" t="s">
        <v>955</v>
      </c>
      <c r="GV545" s="276" t="s">
        <v>955</v>
      </c>
    </row>
    <row r="546" spans="1:204" x14ac:dyDescent="0.2">
      <c r="A546" s="276"/>
      <c r="B546" s="276"/>
      <c r="GG546" s="276" t="s">
        <v>955</v>
      </c>
      <c r="GH546" s="276" t="s">
        <v>955</v>
      </c>
      <c r="GI546" s="276" t="s">
        <v>955</v>
      </c>
      <c r="GJ546" s="276" t="s">
        <v>955</v>
      </c>
      <c r="GK546" s="276" t="s">
        <v>955</v>
      </c>
      <c r="GL546" s="276" t="s">
        <v>955</v>
      </c>
      <c r="GM546" s="276" t="s">
        <v>955</v>
      </c>
      <c r="GN546" s="276" t="s">
        <v>955</v>
      </c>
      <c r="GO546" s="276" t="s">
        <v>955</v>
      </c>
      <c r="GP546" s="276" t="s">
        <v>955</v>
      </c>
      <c r="GQ546" s="276" t="s">
        <v>955</v>
      </c>
      <c r="GR546" s="276" t="s">
        <v>955</v>
      </c>
      <c r="GS546" s="276" t="s">
        <v>955</v>
      </c>
      <c r="GT546" s="276" t="s">
        <v>955</v>
      </c>
      <c r="GU546" s="276" t="s">
        <v>955</v>
      </c>
      <c r="GV546" s="276" t="s">
        <v>955</v>
      </c>
    </row>
    <row r="547" spans="1:204" x14ac:dyDescent="0.2">
      <c r="A547" s="276"/>
      <c r="B547" s="276"/>
      <c r="GG547" s="276" t="s">
        <v>955</v>
      </c>
      <c r="GH547" s="276" t="s">
        <v>955</v>
      </c>
      <c r="GI547" s="276" t="s">
        <v>955</v>
      </c>
      <c r="GJ547" s="276" t="s">
        <v>955</v>
      </c>
      <c r="GK547" s="276" t="s">
        <v>955</v>
      </c>
      <c r="GL547" s="276" t="s">
        <v>955</v>
      </c>
      <c r="GM547" s="276" t="s">
        <v>955</v>
      </c>
      <c r="GN547" s="276" t="s">
        <v>955</v>
      </c>
      <c r="GO547" s="276" t="s">
        <v>955</v>
      </c>
      <c r="GP547" s="276" t="s">
        <v>955</v>
      </c>
      <c r="GQ547" s="276" t="s">
        <v>955</v>
      </c>
      <c r="GR547" s="276" t="s">
        <v>955</v>
      </c>
      <c r="GS547" s="276" t="s">
        <v>955</v>
      </c>
      <c r="GT547" s="276" t="s">
        <v>955</v>
      </c>
      <c r="GU547" s="276" t="s">
        <v>955</v>
      </c>
      <c r="GV547" s="276" t="s">
        <v>955</v>
      </c>
    </row>
    <row r="548" spans="1:204" x14ac:dyDescent="0.2">
      <c r="A548" s="276"/>
      <c r="B548" s="276"/>
      <c r="GG548" s="276" t="s">
        <v>955</v>
      </c>
      <c r="GH548" s="276" t="s">
        <v>955</v>
      </c>
      <c r="GI548" s="276" t="s">
        <v>955</v>
      </c>
      <c r="GJ548" s="276" t="s">
        <v>955</v>
      </c>
      <c r="GK548" s="276" t="s">
        <v>955</v>
      </c>
      <c r="GL548" s="276" t="s">
        <v>955</v>
      </c>
      <c r="GM548" s="276" t="s">
        <v>955</v>
      </c>
      <c r="GN548" s="276" t="s">
        <v>955</v>
      </c>
      <c r="GO548" s="276" t="s">
        <v>955</v>
      </c>
      <c r="GP548" s="276" t="s">
        <v>955</v>
      </c>
      <c r="GQ548" s="276" t="s">
        <v>955</v>
      </c>
      <c r="GR548" s="276" t="s">
        <v>955</v>
      </c>
      <c r="GS548" s="276" t="s">
        <v>955</v>
      </c>
      <c r="GT548" s="276" t="s">
        <v>955</v>
      </c>
      <c r="GU548" s="276" t="s">
        <v>955</v>
      </c>
      <c r="GV548" s="276" t="s">
        <v>955</v>
      </c>
    </row>
    <row r="549" spans="1:204" x14ac:dyDescent="0.2">
      <c r="A549" s="276"/>
      <c r="B549" s="276"/>
      <c r="GG549" s="276" t="s">
        <v>955</v>
      </c>
      <c r="GH549" s="276" t="s">
        <v>955</v>
      </c>
      <c r="GI549" s="276" t="s">
        <v>955</v>
      </c>
      <c r="GJ549" s="276" t="s">
        <v>955</v>
      </c>
      <c r="GK549" s="276" t="s">
        <v>955</v>
      </c>
      <c r="GL549" s="276" t="s">
        <v>955</v>
      </c>
      <c r="GM549" s="276" t="s">
        <v>955</v>
      </c>
      <c r="GN549" s="276" t="s">
        <v>955</v>
      </c>
      <c r="GO549" s="276" t="s">
        <v>955</v>
      </c>
      <c r="GP549" s="276" t="s">
        <v>955</v>
      </c>
      <c r="GQ549" s="276" t="s">
        <v>955</v>
      </c>
      <c r="GR549" s="276" t="s">
        <v>955</v>
      </c>
      <c r="GS549" s="276" t="s">
        <v>955</v>
      </c>
      <c r="GT549" s="276" t="s">
        <v>955</v>
      </c>
      <c r="GU549" s="276" t="s">
        <v>955</v>
      </c>
      <c r="GV549" s="276" t="s">
        <v>955</v>
      </c>
    </row>
    <row r="550" spans="1:204" x14ac:dyDescent="0.2">
      <c r="A550" s="276"/>
      <c r="B550" s="276"/>
      <c r="GG550" s="276" t="s">
        <v>955</v>
      </c>
      <c r="GH550" s="276" t="s">
        <v>955</v>
      </c>
      <c r="GI550" s="276" t="s">
        <v>955</v>
      </c>
      <c r="GJ550" s="276" t="s">
        <v>955</v>
      </c>
      <c r="GK550" s="276" t="s">
        <v>955</v>
      </c>
      <c r="GL550" s="276" t="s">
        <v>955</v>
      </c>
      <c r="GM550" s="276" t="s">
        <v>955</v>
      </c>
      <c r="GN550" s="276" t="s">
        <v>955</v>
      </c>
      <c r="GO550" s="276" t="s">
        <v>955</v>
      </c>
      <c r="GP550" s="276" t="s">
        <v>955</v>
      </c>
      <c r="GQ550" s="276" t="s">
        <v>955</v>
      </c>
      <c r="GR550" s="276" t="s">
        <v>955</v>
      </c>
      <c r="GS550" s="276" t="s">
        <v>955</v>
      </c>
      <c r="GT550" s="276" t="s">
        <v>955</v>
      </c>
      <c r="GU550" s="276" t="s">
        <v>955</v>
      </c>
      <c r="GV550" s="276" t="s">
        <v>955</v>
      </c>
    </row>
    <row r="551" spans="1:204" x14ac:dyDescent="0.2">
      <c r="A551" s="276"/>
      <c r="B551" s="276"/>
      <c r="GG551" s="276" t="s">
        <v>955</v>
      </c>
      <c r="GH551" s="276" t="s">
        <v>955</v>
      </c>
      <c r="GI551" s="276" t="s">
        <v>955</v>
      </c>
      <c r="GJ551" s="276" t="s">
        <v>955</v>
      </c>
      <c r="GK551" s="276" t="s">
        <v>955</v>
      </c>
      <c r="GL551" s="276" t="s">
        <v>955</v>
      </c>
      <c r="GM551" s="276" t="s">
        <v>955</v>
      </c>
      <c r="GN551" s="276" t="s">
        <v>955</v>
      </c>
      <c r="GO551" s="276" t="s">
        <v>955</v>
      </c>
      <c r="GP551" s="276" t="s">
        <v>955</v>
      </c>
      <c r="GQ551" s="276" t="s">
        <v>955</v>
      </c>
      <c r="GR551" s="276" t="s">
        <v>955</v>
      </c>
      <c r="GS551" s="276" t="s">
        <v>955</v>
      </c>
      <c r="GT551" s="276" t="s">
        <v>955</v>
      </c>
      <c r="GU551" s="276" t="s">
        <v>955</v>
      </c>
      <c r="GV551" s="276" t="s">
        <v>955</v>
      </c>
    </row>
    <row r="552" spans="1:204" x14ac:dyDescent="0.2">
      <c r="A552" s="276"/>
      <c r="B552" s="276"/>
      <c r="GG552" s="276" t="s">
        <v>955</v>
      </c>
      <c r="GH552" s="276" t="s">
        <v>955</v>
      </c>
      <c r="GI552" s="276" t="s">
        <v>955</v>
      </c>
      <c r="GJ552" s="276" t="s">
        <v>955</v>
      </c>
      <c r="GK552" s="276" t="s">
        <v>955</v>
      </c>
      <c r="GL552" s="276" t="s">
        <v>955</v>
      </c>
      <c r="GM552" s="276" t="s">
        <v>955</v>
      </c>
      <c r="GN552" s="276" t="s">
        <v>955</v>
      </c>
      <c r="GO552" s="276" t="s">
        <v>955</v>
      </c>
      <c r="GP552" s="276" t="s">
        <v>955</v>
      </c>
      <c r="GQ552" s="276" t="s">
        <v>955</v>
      </c>
      <c r="GR552" s="276" t="s">
        <v>955</v>
      </c>
      <c r="GS552" s="276" t="s">
        <v>955</v>
      </c>
      <c r="GT552" s="276" t="s">
        <v>955</v>
      </c>
      <c r="GU552" s="276" t="s">
        <v>955</v>
      </c>
      <c r="GV552" s="276" t="s">
        <v>955</v>
      </c>
    </row>
    <row r="553" spans="1:204" x14ac:dyDescent="0.2">
      <c r="A553" s="276"/>
      <c r="B553" s="276"/>
      <c r="GG553" s="276" t="s">
        <v>955</v>
      </c>
      <c r="GH553" s="276" t="s">
        <v>955</v>
      </c>
      <c r="GI553" s="276" t="s">
        <v>955</v>
      </c>
      <c r="GJ553" s="276" t="s">
        <v>955</v>
      </c>
      <c r="GK553" s="276" t="s">
        <v>955</v>
      </c>
      <c r="GL553" s="276" t="s">
        <v>955</v>
      </c>
      <c r="GM553" s="276" t="s">
        <v>955</v>
      </c>
      <c r="GN553" s="276" t="s">
        <v>955</v>
      </c>
      <c r="GO553" s="276" t="s">
        <v>955</v>
      </c>
      <c r="GP553" s="276" t="s">
        <v>955</v>
      </c>
      <c r="GQ553" s="276" t="s">
        <v>955</v>
      </c>
      <c r="GR553" s="276" t="s">
        <v>955</v>
      </c>
      <c r="GS553" s="276" t="s">
        <v>955</v>
      </c>
      <c r="GT553" s="276" t="s">
        <v>955</v>
      </c>
      <c r="GU553" s="276" t="s">
        <v>955</v>
      </c>
      <c r="GV553" s="276" t="s">
        <v>955</v>
      </c>
    </row>
    <row r="554" spans="1:204" x14ac:dyDescent="0.2">
      <c r="A554" s="276"/>
      <c r="B554" s="276"/>
      <c r="GG554" s="276" t="s">
        <v>955</v>
      </c>
      <c r="GH554" s="276" t="s">
        <v>955</v>
      </c>
      <c r="GI554" s="276" t="s">
        <v>955</v>
      </c>
      <c r="GJ554" s="276" t="s">
        <v>955</v>
      </c>
      <c r="GK554" s="276" t="s">
        <v>955</v>
      </c>
      <c r="GL554" s="276" t="s">
        <v>955</v>
      </c>
      <c r="GM554" s="276" t="s">
        <v>955</v>
      </c>
      <c r="GN554" s="276" t="s">
        <v>955</v>
      </c>
      <c r="GO554" s="276" t="s">
        <v>955</v>
      </c>
      <c r="GP554" s="276" t="s">
        <v>955</v>
      </c>
      <c r="GQ554" s="276" t="s">
        <v>955</v>
      </c>
      <c r="GR554" s="276" t="s">
        <v>955</v>
      </c>
      <c r="GS554" s="276" t="s">
        <v>955</v>
      </c>
      <c r="GT554" s="276" t="s">
        <v>955</v>
      </c>
      <c r="GU554" s="276" t="s">
        <v>955</v>
      </c>
      <c r="GV554" s="276" t="s">
        <v>955</v>
      </c>
    </row>
    <row r="555" spans="1:204" x14ac:dyDescent="0.2">
      <c r="A555" s="276"/>
      <c r="B555" s="276"/>
      <c r="GG555" s="276" t="s">
        <v>955</v>
      </c>
      <c r="GH555" s="276" t="s">
        <v>955</v>
      </c>
      <c r="GI555" s="276" t="s">
        <v>955</v>
      </c>
      <c r="GJ555" s="276" t="s">
        <v>955</v>
      </c>
      <c r="GK555" s="276" t="s">
        <v>955</v>
      </c>
      <c r="GL555" s="276" t="s">
        <v>955</v>
      </c>
      <c r="GM555" s="276" t="s">
        <v>955</v>
      </c>
      <c r="GN555" s="276" t="s">
        <v>955</v>
      </c>
      <c r="GO555" s="276" t="s">
        <v>955</v>
      </c>
      <c r="GP555" s="276" t="s">
        <v>955</v>
      </c>
      <c r="GQ555" s="276" t="s">
        <v>955</v>
      </c>
      <c r="GR555" s="276" t="s">
        <v>955</v>
      </c>
      <c r="GS555" s="276" t="s">
        <v>955</v>
      </c>
      <c r="GT555" s="276" t="s">
        <v>955</v>
      </c>
      <c r="GU555" s="276" t="s">
        <v>955</v>
      </c>
      <c r="GV555" s="276" t="s">
        <v>955</v>
      </c>
    </row>
    <row r="556" spans="1:204" x14ac:dyDescent="0.2">
      <c r="A556" s="276"/>
      <c r="B556" s="276"/>
      <c r="GG556" s="276" t="s">
        <v>955</v>
      </c>
      <c r="GH556" s="276" t="s">
        <v>955</v>
      </c>
      <c r="GI556" s="276" t="s">
        <v>955</v>
      </c>
      <c r="GJ556" s="276" t="s">
        <v>955</v>
      </c>
      <c r="GK556" s="276" t="s">
        <v>955</v>
      </c>
      <c r="GL556" s="276" t="s">
        <v>955</v>
      </c>
      <c r="GM556" s="276" t="s">
        <v>955</v>
      </c>
      <c r="GN556" s="276" t="s">
        <v>955</v>
      </c>
      <c r="GO556" s="276" t="s">
        <v>955</v>
      </c>
      <c r="GP556" s="276" t="s">
        <v>955</v>
      </c>
      <c r="GQ556" s="276" t="s">
        <v>955</v>
      </c>
      <c r="GR556" s="276" t="s">
        <v>955</v>
      </c>
      <c r="GS556" s="276" t="s">
        <v>955</v>
      </c>
      <c r="GT556" s="276" t="s">
        <v>955</v>
      </c>
      <c r="GU556" s="276" t="s">
        <v>955</v>
      </c>
      <c r="GV556" s="276" t="s">
        <v>955</v>
      </c>
    </row>
    <row r="557" spans="1:204" x14ac:dyDescent="0.2">
      <c r="A557" s="276"/>
      <c r="B557" s="276"/>
      <c r="GG557" s="276" t="s">
        <v>955</v>
      </c>
      <c r="GH557" s="276" t="s">
        <v>955</v>
      </c>
      <c r="GI557" s="276" t="s">
        <v>955</v>
      </c>
      <c r="GJ557" s="276" t="s">
        <v>955</v>
      </c>
      <c r="GK557" s="276" t="s">
        <v>955</v>
      </c>
      <c r="GL557" s="276" t="s">
        <v>955</v>
      </c>
      <c r="GM557" s="276" t="s">
        <v>955</v>
      </c>
      <c r="GN557" s="276" t="s">
        <v>955</v>
      </c>
      <c r="GO557" s="276" t="s">
        <v>955</v>
      </c>
      <c r="GP557" s="276" t="s">
        <v>955</v>
      </c>
      <c r="GQ557" s="276" t="s">
        <v>955</v>
      </c>
      <c r="GR557" s="276" t="s">
        <v>955</v>
      </c>
      <c r="GS557" s="276" t="s">
        <v>955</v>
      </c>
      <c r="GT557" s="276" t="s">
        <v>955</v>
      </c>
      <c r="GU557" s="276" t="s">
        <v>955</v>
      </c>
      <c r="GV557" s="276" t="s">
        <v>955</v>
      </c>
    </row>
    <row r="558" spans="1:204" x14ac:dyDescent="0.2">
      <c r="A558" s="276"/>
      <c r="B558" s="276"/>
      <c r="GG558" s="276" t="s">
        <v>955</v>
      </c>
      <c r="GH558" s="276" t="s">
        <v>955</v>
      </c>
      <c r="GI558" s="276" t="s">
        <v>955</v>
      </c>
      <c r="GJ558" s="276" t="s">
        <v>955</v>
      </c>
      <c r="GK558" s="276" t="s">
        <v>955</v>
      </c>
      <c r="GL558" s="276" t="s">
        <v>955</v>
      </c>
      <c r="GM558" s="276" t="s">
        <v>955</v>
      </c>
      <c r="GN558" s="276" t="s">
        <v>955</v>
      </c>
      <c r="GO558" s="276" t="s">
        <v>955</v>
      </c>
      <c r="GP558" s="276" t="s">
        <v>955</v>
      </c>
      <c r="GQ558" s="276" t="s">
        <v>955</v>
      </c>
      <c r="GR558" s="276" t="s">
        <v>955</v>
      </c>
      <c r="GS558" s="276" t="s">
        <v>955</v>
      </c>
      <c r="GT558" s="276" t="s">
        <v>955</v>
      </c>
      <c r="GU558" s="276" t="s">
        <v>955</v>
      </c>
      <c r="GV558" s="276" t="s">
        <v>955</v>
      </c>
    </row>
    <row r="559" spans="1:204" x14ac:dyDescent="0.2">
      <c r="A559" s="278"/>
      <c r="B559" s="279"/>
      <c r="GG559" s="276" t="s">
        <v>955</v>
      </c>
      <c r="GH559" s="276" t="s">
        <v>955</v>
      </c>
      <c r="GI559" s="276" t="s">
        <v>955</v>
      </c>
      <c r="GJ559" s="276" t="s">
        <v>955</v>
      </c>
      <c r="GK559" s="276" t="s">
        <v>955</v>
      </c>
      <c r="GL559" s="276" t="s">
        <v>955</v>
      </c>
      <c r="GM559" s="276" t="s">
        <v>955</v>
      </c>
      <c r="GN559" s="276" t="s">
        <v>955</v>
      </c>
      <c r="GO559" s="276" t="s">
        <v>955</v>
      </c>
      <c r="GP559" s="276" t="s">
        <v>955</v>
      </c>
      <c r="GQ559" s="276" t="s">
        <v>955</v>
      </c>
      <c r="GR559" s="276" t="s">
        <v>955</v>
      </c>
      <c r="GS559" s="276" t="s">
        <v>955</v>
      </c>
      <c r="GT559" s="276" t="s">
        <v>955</v>
      </c>
      <c r="GU559" s="276" t="s">
        <v>955</v>
      </c>
      <c r="GV559" s="276" t="s">
        <v>955</v>
      </c>
    </row>
    <row r="560" spans="1:204" x14ac:dyDescent="0.2">
      <c r="A560" s="278"/>
      <c r="B560" s="279"/>
      <c r="GG560" s="276" t="s">
        <v>955</v>
      </c>
      <c r="GH560" s="276" t="s">
        <v>955</v>
      </c>
      <c r="GI560" s="276" t="s">
        <v>955</v>
      </c>
      <c r="GJ560" s="276" t="s">
        <v>955</v>
      </c>
      <c r="GK560" s="276" t="s">
        <v>955</v>
      </c>
      <c r="GL560" s="276" t="s">
        <v>955</v>
      </c>
      <c r="GM560" s="276" t="s">
        <v>955</v>
      </c>
      <c r="GN560" s="276" t="s">
        <v>955</v>
      </c>
      <c r="GO560" s="276" t="s">
        <v>955</v>
      </c>
      <c r="GP560" s="276" t="s">
        <v>955</v>
      </c>
      <c r="GQ560" s="276" t="s">
        <v>955</v>
      </c>
      <c r="GR560" s="276" t="s">
        <v>955</v>
      </c>
      <c r="GS560" s="276" t="s">
        <v>955</v>
      </c>
      <c r="GT560" s="276" t="s">
        <v>955</v>
      </c>
      <c r="GU560" s="276" t="s">
        <v>955</v>
      </c>
      <c r="GV560" s="276" t="s">
        <v>955</v>
      </c>
    </row>
    <row r="561" spans="1:204" x14ac:dyDescent="0.2">
      <c r="A561" s="278"/>
      <c r="B561" s="279"/>
      <c r="GG561" s="276" t="s">
        <v>955</v>
      </c>
      <c r="GH561" s="276" t="s">
        <v>955</v>
      </c>
      <c r="GI561" s="276" t="s">
        <v>955</v>
      </c>
      <c r="GJ561" s="276" t="s">
        <v>955</v>
      </c>
      <c r="GK561" s="276" t="s">
        <v>955</v>
      </c>
      <c r="GL561" s="276" t="s">
        <v>955</v>
      </c>
      <c r="GM561" s="276" t="s">
        <v>955</v>
      </c>
      <c r="GN561" s="276" t="s">
        <v>955</v>
      </c>
      <c r="GO561" s="276" t="s">
        <v>955</v>
      </c>
      <c r="GP561" s="276" t="s">
        <v>955</v>
      </c>
      <c r="GQ561" s="276" t="s">
        <v>955</v>
      </c>
      <c r="GR561" s="276" t="s">
        <v>955</v>
      </c>
      <c r="GS561" s="276" t="s">
        <v>955</v>
      </c>
      <c r="GT561" s="276" t="s">
        <v>955</v>
      </c>
      <c r="GU561" s="276" t="s">
        <v>955</v>
      </c>
      <c r="GV561" s="276" t="s">
        <v>955</v>
      </c>
    </row>
    <row r="562" spans="1:204" x14ac:dyDescent="0.2">
      <c r="A562" s="278"/>
      <c r="B562" s="279"/>
      <c r="GG562" s="276" t="s">
        <v>955</v>
      </c>
      <c r="GH562" s="276" t="s">
        <v>955</v>
      </c>
      <c r="GI562" s="276" t="s">
        <v>955</v>
      </c>
      <c r="GJ562" s="276" t="s">
        <v>955</v>
      </c>
      <c r="GK562" s="276" t="s">
        <v>955</v>
      </c>
      <c r="GL562" s="276" t="s">
        <v>955</v>
      </c>
      <c r="GM562" s="276" t="s">
        <v>955</v>
      </c>
      <c r="GN562" s="276" t="s">
        <v>955</v>
      </c>
      <c r="GO562" s="276" t="s">
        <v>955</v>
      </c>
      <c r="GP562" s="276" t="s">
        <v>955</v>
      </c>
      <c r="GQ562" s="276" t="s">
        <v>955</v>
      </c>
      <c r="GR562" s="276" t="s">
        <v>955</v>
      </c>
      <c r="GS562" s="276" t="s">
        <v>955</v>
      </c>
      <c r="GT562" s="276" t="s">
        <v>955</v>
      </c>
      <c r="GU562" s="276" t="s">
        <v>955</v>
      </c>
      <c r="GV562" s="276" t="s">
        <v>955</v>
      </c>
    </row>
    <row r="563" spans="1:204" x14ac:dyDescent="0.2">
      <c r="A563" s="278"/>
      <c r="B563" s="279"/>
      <c r="GG563" s="276" t="s">
        <v>955</v>
      </c>
      <c r="GH563" s="276" t="s">
        <v>955</v>
      </c>
      <c r="GI563" s="276" t="s">
        <v>955</v>
      </c>
      <c r="GJ563" s="276" t="s">
        <v>955</v>
      </c>
      <c r="GK563" s="276" t="s">
        <v>955</v>
      </c>
      <c r="GL563" s="276" t="s">
        <v>955</v>
      </c>
      <c r="GM563" s="276" t="s">
        <v>955</v>
      </c>
      <c r="GN563" s="276" t="s">
        <v>955</v>
      </c>
      <c r="GO563" s="276" t="s">
        <v>955</v>
      </c>
      <c r="GP563" s="276" t="s">
        <v>955</v>
      </c>
      <c r="GQ563" s="276" t="s">
        <v>955</v>
      </c>
      <c r="GR563" s="276" t="s">
        <v>955</v>
      </c>
      <c r="GS563" s="276" t="s">
        <v>955</v>
      </c>
      <c r="GT563" s="276" t="s">
        <v>955</v>
      </c>
      <c r="GU563" s="276" t="s">
        <v>955</v>
      </c>
      <c r="GV563" s="276" t="s">
        <v>955</v>
      </c>
    </row>
    <row r="564" spans="1:204" x14ac:dyDescent="0.2">
      <c r="A564" s="278"/>
      <c r="B564" s="279"/>
      <c r="GG564" s="276" t="s">
        <v>955</v>
      </c>
      <c r="GH564" s="276" t="s">
        <v>955</v>
      </c>
      <c r="GI564" s="276" t="s">
        <v>955</v>
      </c>
      <c r="GJ564" s="276" t="s">
        <v>955</v>
      </c>
      <c r="GK564" s="276" t="s">
        <v>955</v>
      </c>
      <c r="GL564" s="276" t="s">
        <v>955</v>
      </c>
      <c r="GM564" s="276" t="s">
        <v>955</v>
      </c>
      <c r="GN564" s="276" t="s">
        <v>955</v>
      </c>
      <c r="GO564" s="276" t="s">
        <v>955</v>
      </c>
      <c r="GP564" s="276" t="s">
        <v>955</v>
      </c>
      <c r="GQ564" s="276" t="s">
        <v>955</v>
      </c>
      <c r="GR564" s="276" t="s">
        <v>955</v>
      </c>
      <c r="GS564" s="276" t="s">
        <v>955</v>
      </c>
      <c r="GT564" s="276" t="s">
        <v>955</v>
      </c>
      <c r="GU564" s="276" t="s">
        <v>955</v>
      </c>
      <c r="GV564" s="276" t="s">
        <v>955</v>
      </c>
    </row>
    <row r="565" spans="1:204" x14ac:dyDescent="0.2">
      <c r="A565" s="278"/>
      <c r="B565" s="279"/>
      <c r="GG565" s="276" t="s">
        <v>955</v>
      </c>
      <c r="GH565" s="276" t="s">
        <v>955</v>
      </c>
      <c r="GI565" s="276" t="s">
        <v>955</v>
      </c>
      <c r="GJ565" s="276" t="s">
        <v>955</v>
      </c>
      <c r="GK565" s="276" t="s">
        <v>955</v>
      </c>
      <c r="GL565" s="276" t="s">
        <v>955</v>
      </c>
      <c r="GM565" s="276" t="s">
        <v>955</v>
      </c>
      <c r="GN565" s="276" t="s">
        <v>955</v>
      </c>
      <c r="GO565" s="276" t="s">
        <v>955</v>
      </c>
      <c r="GP565" s="276" t="s">
        <v>955</v>
      </c>
      <c r="GQ565" s="276" t="s">
        <v>955</v>
      </c>
      <c r="GR565" s="276" t="s">
        <v>955</v>
      </c>
      <c r="GS565" s="276" t="s">
        <v>955</v>
      </c>
      <c r="GT565" s="276" t="s">
        <v>955</v>
      </c>
      <c r="GU565" s="276" t="s">
        <v>955</v>
      </c>
      <c r="GV565" s="276" t="s">
        <v>955</v>
      </c>
    </row>
    <row r="566" spans="1:204" x14ac:dyDescent="0.2">
      <c r="A566" s="278"/>
      <c r="B566" s="279"/>
      <c r="GG566" s="276" t="s">
        <v>955</v>
      </c>
      <c r="GH566" s="276" t="s">
        <v>955</v>
      </c>
      <c r="GI566" s="276" t="s">
        <v>955</v>
      </c>
      <c r="GJ566" s="276" t="s">
        <v>955</v>
      </c>
      <c r="GK566" s="276" t="s">
        <v>955</v>
      </c>
      <c r="GL566" s="276" t="s">
        <v>955</v>
      </c>
      <c r="GM566" s="276" t="s">
        <v>955</v>
      </c>
      <c r="GN566" s="276" t="s">
        <v>955</v>
      </c>
      <c r="GO566" s="276" t="s">
        <v>955</v>
      </c>
      <c r="GP566" s="276" t="s">
        <v>955</v>
      </c>
      <c r="GQ566" s="276" t="s">
        <v>955</v>
      </c>
      <c r="GR566" s="276" t="s">
        <v>955</v>
      </c>
      <c r="GS566" s="276" t="s">
        <v>955</v>
      </c>
      <c r="GT566" s="276" t="s">
        <v>955</v>
      </c>
      <c r="GU566" s="276" t="s">
        <v>955</v>
      </c>
      <c r="GV566" s="276" t="s">
        <v>955</v>
      </c>
    </row>
    <row r="567" spans="1:204" x14ac:dyDescent="0.2">
      <c r="A567" s="278"/>
      <c r="B567" s="279"/>
      <c r="GG567" s="276" t="s">
        <v>955</v>
      </c>
      <c r="GH567" s="276" t="s">
        <v>955</v>
      </c>
      <c r="GI567" s="276" t="s">
        <v>955</v>
      </c>
      <c r="GJ567" s="276" t="s">
        <v>955</v>
      </c>
      <c r="GK567" s="276" t="s">
        <v>955</v>
      </c>
      <c r="GL567" s="276" t="s">
        <v>955</v>
      </c>
      <c r="GM567" s="276" t="s">
        <v>955</v>
      </c>
      <c r="GN567" s="276" t="s">
        <v>955</v>
      </c>
      <c r="GO567" s="276" t="s">
        <v>955</v>
      </c>
      <c r="GP567" s="276" t="s">
        <v>955</v>
      </c>
      <c r="GQ567" s="276" t="s">
        <v>955</v>
      </c>
      <c r="GR567" s="276" t="s">
        <v>955</v>
      </c>
      <c r="GS567" s="276" t="s">
        <v>955</v>
      </c>
      <c r="GT567" s="276" t="s">
        <v>955</v>
      </c>
      <c r="GU567" s="276" t="s">
        <v>955</v>
      </c>
      <c r="GV567" s="276" t="s">
        <v>955</v>
      </c>
    </row>
    <row r="568" spans="1:204" x14ac:dyDescent="0.2">
      <c r="A568" s="278"/>
      <c r="B568" s="279"/>
      <c r="GG568" s="276" t="s">
        <v>955</v>
      </c>
      <c r="GH568" s="276" t="s">
        <v>955</v>
      </c>
      <c r="GI568" s="276" t="s">
        <v>955</v>
      </c>
      <c r="GJ568" s="276" t="s">
        <v>955</v>
      </c>
      <c r="GK568" s="276" t="s">
        <v>955</v>
      </c>
      <c r="GL568" s="276" t="s">
        <v>955</v>
      </c>
      <c r="GM568" s="276" t="s">
        <v>955</v>
      </c>
      <c r="GN568" s="276" t="s">
        <v>955</v>
      </c>
      <c r="GO568" s="276" t="s">
        <v>955</v>
      </c>
      <c r="GP568" s="276" t="s">
        <v>955</v>
      </c>
      <c r="GQ568" s="276" t="s">
        <v>955</v>
      </c>
      <c r="GR568" s="276" t="s">
        <v>955</v>
      </c>
      <c r="GS568" s="276" t="s">
        <v>955</v>
      </c>
      <c r="GT568" s="276" t="s">
        <v>955</v>
      </c>
      <c r="GU568" s="276" t="s">
        <v>955</v>
      </c>
      <c r="GV568" s="276" t="s">
        <v>955</v>
      </c>
    </row>
    <row r="569" spans="1:204" x14ac:dyDescent="0.2">
      <c r="A569" s="278"/>
      <c r="B569" s="279"/>
      <c r="GG569" s="276" t="s">
        <v>955</v>
      </c>
      <c r="GH569" s="276" t="s">
        <v>955</v>
      </c>
      <c r="GI569" s="276" t="s">
        <v>955</v>
      </c>
      <c r="GJ569" s="276" t="s">
        <v>955</v>
      </c>
      <c r="GK569" s="276" t="s">
        <v>955</v>
      </c>
      <c r="GL569" s="276" t="s">
        <v>955</v>
      </c>
      <c r="GM569" s="276" t="s">
        <v>955</v>
      </c>
      <c r="GN569" s="276" t="s">
        <v>955</v>
      </c>
      <c r="GO569" s="276" t="s">
        <v>955</v>
      </c>
      <c r="GP569" s="276" t="s">
        <v>955</v>
      </c>
      <c r="GQ569" s="276" t="s">
        <v>955</v>
      </c>
      <c r="GR569" s="276" t="s">
        <v>955</v>
      </c>
      <c r="GS569" s="276" t="s">
        <v>955</v>
      </c>
      <c r="GT569" s="276" t="s">
        <v>955</v>
      </c>
      <c r="GU569" s="276" t="s">
        <v>955</v>
      </c>
      <c r="GV569" s="276" t="s">
        <v>955</v>
      </c>
    </row>
    <row r="570" spans="1:204" x14ac:dyDescent="0.2">
      <c r="A570" s="278"/>
      <c r="B570" s="279"/>
      <c r="GG570" s="276" t="s">
        <v>955</v>
      </c>
      <c r="GH570" s="276" t="s">
        <v>955</v>
      </c>
      <c r="GI570" s="276" t="s">
        <v>955</v>
      </c>
      <c r="GJ570" s="276" t="s">
        <v>955</v>
      </c>
      <c r="GK570" s="276" t="s">
        <v>955</v>
      </c>
      <c r="GL570" s="276" t="s">
        <v>955</v>
      </c>
      <c r="GM570" s="276" t="s">
        <v>955</v>
      </c>
      <c r="GN570" s="276" t="s">
        <v>955</v>
      </c>
      <c r="GO570" s="276" t="s">
        <v>955</v>
      </c>
      <c r="GP570" s="276" t="s">
        <v>955</v>
      </c>
      <c r="GQ570" s="276" t="s">
        <v>955</v>
      </c>
      <c r="GR570" s="276" t="s">
        <v>955</v>
      </c>
      <c r="GS570" s="276" t="s">
        <v>955</v>
      </c>
      <c r="GT570" s="276" t="s">
        <v>955</v>
      </c>
      <c r="GU570" s="276" t="s">
        <v>955</v>
      </c>
      <c r="GV570" s="276" t="s">
        <v>955</v>
      </c>
    </row>
    <row r="571" spans="1:204" x14ac:dyDescent="0.2">
      <c r="A571" s="278"/>
      <c r="B571" s="279"/>
      <c r="GG571" s="276" t="s">
        <v>955</v>
      </c>
      <c r="GH571" s="276" t="s">
        <v>955</v>
      </c>
      <c r="GI571" s="276" t="s">
        <v>955</v>
      </c>
      <c r="GJ571" s="276" t="s">
        <v>955</v>
      </c>
      <c r="GK571" s="276" t="s">
        <v>955</v>
      </c>
      <c r="GL571" s="276" t="s">
        <v>955</v>
      </c>
      <c r="GM571" s="276" t="s">
        <v>955</v>
      </c>
      <c r="GN571" s="276" t="s">
        <v>955</v>
      </c>
      <c r="GO571" s="276" t="s">
        <v>955</v>
      </c>
      <c r="GP571" s="276" t="s">
        <v>955</v>
      </c>
      <c r="GQ571" s="276" t="s">
        <v>955</v>
      </c>
      <c r="GR571" s="276" t="s">
        <v>955</v>
      </c>
      <c r="GS571" s="276" t="s">
        <v>955</v>
      </c>
      <c r="GT571" s="276" t="s">
        <v>955</v>
      </c>
      <c r="GU571" s="276" t="s">
        <v>955</v>
      </c>
      <c r="GV571" s="276" t="s">
        <v>955</v>
      </c>
    </row>
    <row r="572" spans="1:204" x14ac:dyDescent="0.2">
      <c r="A572" s="278"/>
      <c r="B572" s="279"/>
      <c r="GG572" s="276" t="s">
        <v>955</v>
      </c>
      <c r="GH572" s="276" t="s">
        <v>955</v>
      </c>
      <c r="GI572" s="276" t="s">
        <v>955</v>
      </c>
      <c r="GJ572" s="276" t="s">
        <v>955</v>
      </c>
      <c r="GK572" s="276" t="s">
        <v>955</v>
      </c>
      <c r="GL572" s="276" t="s">
        <v>955</v>
      </c>
      <c r="GM572" s="276" t="s">
        <v>955</v>
      </c>
      <c r="GN572" s="276" t="s">
        <v>955</v>
      </c>
      <c r="GO572" s="276" t="s">
        <v>955</v>
      </c>
      <c r="GP572" s="276" t="s">
        <v>955</v>
      </c>
      <c r="GQ572" s="276" t="s">
        <v>955</v>
      </c>
      <c r="GR572" s="276" t="s">
        <v>955</v>
      </c>
      <c r="GS572" s="276" t="s">
        <v>955</v>
      </c>
      <c r="GT572" s="276" t="s">
        <v>955</v>
      </c>
      <c r="GU572" s="276" t="s">
        <v>955</v>
      </c>
      <c r="GV572" s="276" t="s">
        <v>955</v>
      </c>
    </row>
    <row r="573" spans="1:204" x14ac:dyDescent="0.2">
      <c r="A573" s="278"/>
      <c r="B573" s="279"/>
      <c r="GG573" s="276" t="s">
        <v>955</v>
      </c>
      <c r="GH573" s="276" t="s">
        <v>955</v>
      </c>
      <c r="GI573" s="276" t="s">
        <v>955</v>
      </c>
      <c r="GJ573" s="276" t="s">
        <v>955</v>
      </c>
      <c r="GK573" s="276" t="s">
        <v>955</v>
      </c>
      <c r="GL573" s="276" t="s">
        <v>955</v>
      </c>
      <c r="GM573" s="276" t="s">
        <v>955</v>
      </c>
      <c r="GN573" s="276" t="s">
        <v>955</v>
      </c>
      <c r="GO573" s="276" t="s">
        <v>955</v>
      </c>
      <c r="GP573" s="276" t="s">
        <v>955</v>
      </c>
      <c r="GQ573" s="276" t="s">
        <v>955</v>
      </c>
      <c r="GR573" s="276" t="s">
        <v>955</v>
      </c>
      <c r="GS573" s="276" t="s">
        <v>955</v>
      </c>
      <c r="GT573" s="276" t="s">
        <v>955</v>
      </c>
      <c r="GU573" s="276" t="s">
        <v>955</v>
      </c>
      <c r="GV573" s="276" t="s">
        <v>955</v>
      </c>
    </row>
    <row r="574" spans="1:204" x14ac:dyDescent="0.2">
      <c r="A574" s="278"/>
      <c r="B574" s="279"/>
      <c r="GG574" s="276" t="s">
        <v>955</v>
      </c>
      <c r="GH574" s="276" t="s">
        <v>955</v>
      </c>
      <c r="GI574" s="276" t="s">
        <v>955</v>
      </c>
      <c r="GJ574" s="276" t="s">
        <v>955</v>
      </c>
      <c r="GK574" s="276" t="s">
        <v>955</v>
      </c>
      <c r="GL574" s="276" t="s">
        <v>955</v>
      </c>
      <c r="GM574" s="276" t="s">
        <v>955</v>
      </c>
      <c r="GN574" s="276" t="s">
        <v>955</v>
      </c>
      <c r="GO574" s="276" t="s">
        <v>955</v>
      </c>
      <c r="GP574" s="276" t="s">
        <v>955</v>
      </c>
      <c r="GQ574" s="276" t="s">
        <v>955</v>
      </c>
      <c r="GR574" s="276" t="s">
        <v>955</v>
      </c>
      <c r="GS574" s="276" t="s">
        <v>955</v>
      </c>
      <c r="GT574" s="276" t="s">
        <v>955</v>
      </c>
      <c r="GU574" s="276" t="s">
        <v>955</v>
      </c>
      <c r="GV574" s="276" t="s">
        <v>955</v>
      </c>
    </row>
    <row r="575" spans="1:204" x14ac:dyDescent="0.2">
      <c r="A575" s="278"/>
      <c r="B575" s="279"/>
      <c r="GG575" s="276" t="s">
        <v>955</v>
      </c>
      <c r="GH575" s="276" t="s">
        <v>955</v>
      </c>
      <c r="GI575" s="276" t="s">
        <v>955</v>
      </c>
      <c r="GJ575" s="276" t="s">
        <v>955</v>
      </c>
      <c r="GK575" s="276" t="s">
        <v>955</v>
      </c>
      <c r="GL575" s="276" t="s">
        <v>955</v>
      </c>
      <c r="GM575" s="276" t="s">
        <v>955</v>
      </c>
      <c r="GN575" s="276" t="s">
        <v>955</v>
      </c>
      <c r="GO575" s="276" t="s">
        <v>955</v>
      </c>
      <c r="GP575" s="276" t="s">
        <v>955</v>
      </c>
      <c r="GQ575" s="276" t="s">
        <v>955</v>
      </c>
      <c r="GR575" s="276" t="s">
        <v>955</v>
      </c>
      <c r="GS575" s="276" t="s">
        <v>955</v>
      </c>
      <c r="GT575" s="276" t="s">
        <v>955</v>
      </c>
      <c r="GU575" s="276" t="s">
        <v>955</v>
      </c>
      <c r="GV575" s="276" t="s">
        <v>955</v>
      </c>
    </row>
    <row r="576" spans="1:204" x14ac:dyDescent="0.2">
      <c r="A576" s="278"/>
      <c r="B576" s="279"/>
      <c r="GG576" s="276" t="s">
        <v>955</v>
      </c>
      <c r="GH576" s="276" t="s">
        <v>955</v>
      </c>
      <c r="GI576" s="276" t="s">
        <v>955</v>
      </c>
      <c r="GJ576" s="276" t="s">
        <v>955</v>
      </c>
      <c r="GK576" s="276" t="s">
        <v>955</v>
      </c>
      <c r="GL576" s="276" t="s">
        <v>955</v>
      </c>
      <c r="GM576" s="276" t="s">
        <v>955</v>
      </c>
      <c r="GN576" s="276" t="s">
        <v>955</v>
      </c>
      <c r="GO576" s="276" t="s">
        <v>955</v>
      </c>
      <c r="GP576" s="276" t="s">
        <v>955</v>
      </c>
      <c r="GQ576" s="276" t="s">
        <v>955</v>
      </c>
      <c r="GR576" s="276" t="s">
        <v>955</v>
      </c>
      <c r="GS576" s="276" t="s">
        <v>955</v>
      </c>
      <c r="GT576" s="276" t="s">
        <v>955</v>
      </c>
      <c r="GU576" s="276" t="s">
        <v>955</v>
      </c>
      <c r="GV576" s="276" t="s">
        <v>955</v>
      </c>
    </row>
    <row r="577" spans="1:204" x14ac:dyDescent="0.2">
      <c r="A577" s="278"/>
      <c r="B577" s="279"/>
      <c r="GG577" s="276" t="s">
        <v>955</v>
      </c>
      <c r="GH577" s="276" t="s">
        <v>955</v>
      </c>
      <c r="GI577" s="276" t="s">
        <v>955</v>
      </c>
      <c r="GJ577" s="276" t="s">
        <v>955</v>
      </c>
      <c r="GK577" s="276" t="s">
        <v>955</v>
      </c>
      <c r="GL577" s="276" t="s">
        <v>955</v>
      </c>
      <c r="GM577" s="276" t="s">
        <v>955</v>
      </c>
      <c r="GN577" s="276" t="s">
        <v>955</v>
      </c>
      <c r="GO577" s="276" t="s">
        <v>955</v>
      </c>
      <c r="GP577" s="276" t="s">
        <v>955</v>
      </c>
      <c r="GQ577" s="276" t="s">
        <v>955</v>
      </c>
      <c r="GR577" s="276" t="s">
        <v>955</v>
      </c>
      <c r="GS577" s="276" t="s">
        <v>955</v>
      </c>
      <c r="GT577" s="276" t="s">
        <v>955</v>
      </c>
      <c r="GU577" s="276" t="s">
        <v>955</v>
      </c>
      <c r="GV577" s="276" t="s">
        <v>955</v>
      </c>
    </row>
    <row r="578" spans="1:204" x14ac:dyDescent="0.2">
      <c r="A578" s="278"/>
      <c r="B578" s="279"/>
      <c r="GG578" s="276" t="s">
        <v>955</v>
      </c>
      <c r="GH578" s="276" t="s">
        <v>955</v>
      </c>
      <c r="GI578" s="276" t="s">
        <v>955</v>
      </c>
      <c r="GJ578" s="276" t="s">
        <v>955</v>
      </c>
      <c r="GK578" s="276" t="s">
        <v>955</v>
      </c>
      <c r="GL578" s="276" t="s">
        <v>955</v>
      </c>
      <c r="GM578" s="276" t="s">
        <v>955</v>
      </c>
      <c r="GN578" s="276" t="s">
        <v>955</v>
      </c>
      <c r="GO578" s="276" t="s">
        <v>955</v>
      </c>
      <c r="GP578" s="276" t="s">
        <v>955</v>
      </c>
      <c r="GQ578" s="276" t="s">
        <v>955</v>
      </c>
      <c r="GR578" s="276" t="s">
        <v>955</v>
      </c>
      <c r="GS578" s="276" t="s">
        <v>955</v>
      </c>
      <c r="GT578" s="276" t="s">
        <v>955</v>
      </c>
      <c r="GU578" s="276" t="s">
        <v>955</v>
      </c>
      <c r="GV578" s="276" t="s">
        <v>955</v>
      </c>
    </row>
    <row r="579" spans="1:204" x14ac:dyDescent="0.2">
      <c r="A579" s="278"/>
      <c r="B579" s="279"/>
      <c r="GG579" s="276" t="s">
        <v>955</v>
      </c>
      <c r="GH579" s="276" t="s">
        <v>955</v>
      </c>
      <c r="GI579" s="276" t="s">
        <v>955</v>
      </c>
      <c r="GJ579" s="276" t="s">
        <v>955</v>
      </c>
      <c r="GK579" s="276" t="s">
        <v>955</v>
      </c>
      <c r="GL579" s="276" t="s">
        <v>955</v>
      </c>
      <c r="GM579" s="276" t="s">
        <v>955</v>
      </c>
      <c r="GN579" s="276" t="s">
        <v>955</v>
      </c>
      <c r="GO579" s="276" t="s">
        <v>955</v>
      </c>
      <c r="GP579" s="276" t="s">
        <v>955</v>
      </c>
      <c r="GQ579" s="276" t="s">
        <v>955</v>
      </c>
      <c r="GR579" s="276" t="s">
        <v>955</v>
      </c>
      <c r="GS579" s="276" t="s">
        <v>955</v>
      </c>
      <c r="GT579" s="276" t="s">
        <v>955</v>
      </c>
      <c r="GU579" s="276" t="s">
        <v>955</v>
      </c>
      <c r="GV579" s="276" t="s">
        <v>955</v>
      </c>
    </row>
    <row r="580" spans="1:204" x14ac:dyDescent="0.2">
      <c r="A580" s="278"/>
      <c r="B580" s="279"/>
      <c r="GG580" s="276" t="s">
        <v>955</v>
      </c>
      <c r="GH580" s="276" t="s">
        <v>955</v>
      </c>
      <c r="GI580" s="276" t="s">
        <v>955</v>
      </c>
      <c r="GJ580" s="276" t="s">
        <v>955</v>
      </c>
      <c r="GK580" s="276" t="s">
        <v>955</v>
      </c>
      <c r="GL580" s="276" t="s">
        <v>955</v>
      </c>
      <c r="GM580" s="276" t="s">
        <v>955</v>
      </c>
      <c r="GN580" s="276" t="s">
        <v>955</v>
      </c>
      <c r="GO580" s="276" t="s">
        <v>955</v>
      </c>
      <c r="GP580" s="276" t="s">
        <v>955</v>
      </c>
      <c r="GQ580" s="276" t="s">
        <v>955</v>
      </c>
      <c r="GR580" s="276" t="s">
        <v>955</v>
      </c>
      <c r="GS580" s="276" t="s">
        <v>955</v>
      </c>
      <c r="GT580" s="276" t="s">
        <v>955</v>
      </c>
      <c r="GU580" s="276" t="s">
        <v>955</v>
      </c>
      <c r="GV580" s="276" t="s">
        <v>955</v>
      </c>
    </row>
    <row r="581" spans="1:204" x14ac:dyDescent="0.2">
      <c r="A581" s="278"/>
      <c r="B581" s="279"/>
      <c r="GG581" s="276" t="s">
        <v>955</v>
      </c>
      <c r="GH581" s="276" t="s">
        <v>955</v>
      </c>
      <c r="GI581" s="276" t="s">
        <v>955</v>
      </c>
      <c r="GJ581" s="276" t="s">
        <v>955</v>
      </c>
      <c r="GK581" s="276" t="s">
        <v>955</v>
      </c>
      <c r="GL581" s="276" t="s">
        <v>955</v>
      </c>
      <c r="GM581" s="276" t="s">
        <v>955</v>
      </c>
      <c r="GN581" s="276" t="s">
        <v>955</v>
      </c>
      <c r="GO581" s="276" t="s">
        <v>955</v>
      </c>
      <c r="GP581" s="276" t="s">
        <v>955</v>
      </c>
      <c r="GQ581" s="276" t="s">
        <v>955</v>
      </c>
      <c r="GR581" s="276" t="s">
        <v>955</v>
      </c>
      <c r="GS581" s="276" t="s">
        <v>955</v>
      </c>
      <c r="GT581" s="276" t="s">
        <v>955</v>
      </c>
      <c r="GU581" s="276" t="s">
        <v>955</v>
      </c>
      <c r="GV581" s="276" t="s">
        <v>955</v>
      </c>
    </row>
    <row r="582" spans="1:204" x14ac:dyDescent="0.2">
      <c r="A582" s="278"/>
      <c r="B582" s="279"/>
      <c r="GG582" s="276" t="s">
        <v>955</v>
      </c>
      <c r="GH582" s="276" t="s">
        <v>955</v>
      </c>
      <c r="GI582" s="276" t="s">
        <v>955</v>
      </c>
      <c r="GJ582" s="276" t="s">
        <v>955</v>
      </c>
      <c r="GK582" s="276" t="s">
        <v>955</v>
      </c>
      <c r="GL582" s="276" t="s">
        <v>955</v>
      </c>
      <c r="GM582" s="276" t="s">
        <v>955</v>
      </c>
      <c r="GN582" s="276" t="s">
        <v>955</v>
      </c>
      <c r="GO582" s="276" t="s">
        <v>955</v>
      </c>
      <c r="GP582" s="276" t="s">
        <v>955</v>
      </c>
      <c r="GQ582" s="276" t="s">
        <v>955</v>
      </c>
      <c r="GR582" s="276" t="s">
        <v>955</v>
      </c>
      <c r="GS582" s="276" t="s">
        <v>955</v>
      </c>
      <c r="GT582" s="276" t="s">
        <v>955</v>
      </c>
      <c r="GU582" s="276" t="s">
        <v>955</v>
      </c>
      <c r="GV582" s="276" t="s">
        <v>955</v>
      </c>
    </row>
    <row r="583" spans="1:204" x14ac:dyDescent="0.2">
      <c r="A583" s="278"/>
      <c r="B583" s="279"/>
      <c r="GG583" s="276" t="s">
        <v>955</v>
      </c>
      <c r="GH583" s="276" t="s">
        <v>955</v>
      </c>
      <c r="GI583" s="276" t="s">
        <v>955</v>
      </c>
      <c r="GJ583" s="276" t="s">
        <v>955</v>
      </c>
      <c r="GK583" s="276" t="s">
        <v>955</v>
      </c>
      <c r="GL583" s="276" t="s">
        <v>955</v>
      </c>
      <c r="GM583" s="276" t="s">
        <v>955</v>
      </c>
      <c r="GN583" s="276" t="s">
        <v>955</v>
      </c>
      <c r="GO583" s="276" t="s">
        <v>955</v>
      </c>
      <c r="GP583" s="276" t="s">
        <v>955</v>
      </c>
      <c r="GQ583" s="276" t="s">
        <v>955</v>
      </c>
      <c r="GR583" s="276" t="s">
        <v>955</v>
      </c>
      <c r="GS583" s="276" t="s">
        <v>955</v>
      </c>
      <c r="GT583" s="276" t="s">
        <v>955</v>
      </c>
      <c r="GU583" s="276" t="s">
        <v>955</v>
      </c>
      <c r="GV583" s="276" t="s">
        <v>955</v>
      </c>
    </row>
    <row r="584" spans="1:204" x14ac:dyDescent="0.2">
      <c r="A584" s="278"/>
      <c r="B584" s="279"/>
      <c r="GG584" s="276" t="s">
        <v>955</v>
      </c>
      <c r="GH584" s="276" t="s">
        <v>955</v>
      </c>
      <c r="GI584" s="276" t="s">
        <v>955</v>
      </c>
      <c r="GJ584" s="276" t="s">
        <v>955</v>
      </c>
      <c r="GK584" s="276" t="s">
        <v>955</v>
      </c>
      <c r="GL584" s="276" t="s">
        <v>955</v>
      </c>
      <c r="GM584" s="276" t="s">
        <v>955</v>
      </c>
      <c r="GN584" s="276" t="s">
        <v>955</v>
      </c>
      <c r="GO584" s="276" t="s">
        <v>955</v>
      </c>
      <c r="GP584" s="276" t="s">
        <v>955</v>
      </c>
      <c r="GQ584" s="276" t="s">
        <v>955</v>
      </c>
      <c r="GR584" s="276" t="s">
        <v>955</v>
      </c>
      <c r="GS584" s="276" t="s">
        <v>955</v>
      </c>
      <c r="GT584" s="276" t="s">
        <v>955</v>
      </c>
      <c r="GU584" s="276" t="s">
        <v>955</v>
      </c>
      <c r="GV584" s="276" t="s">
        <v>955</v>
      </c>
    </row>
    <row r="585" spans="1:204" x14ac:dyDescent="0.2">
      <c r="A585" s="278"/>
      <c r="B585" s="279"/>
      <c r="GG585" s="276" t="s">
        <v>955</v>
      </c>
      <c r="GH585" s="276" t="s">
        <v>955</v>
      </c>
      <c r="GI585" s="276" t="s">
        <v>955</v>
      </c>
      <c r="GJ585" s="276" t="s">
        <v>955</v>
      </c>
      <c r="GK585" s="276" t="s">
        <v>955</v>
      </c>
      <c r="GL585" s="276" t="s">
        <v>955</v>
      </c>
      <c r="GM585" s="276" t="s">
        <v>955</v>
      </c>
      <c r="GN585" s="276" t="s">
        <v>955</v>
      </c>
      <c r="GO585" s="276" t="s">
        <v>955</v>
      </c>
      <c r="GP585" s="276" t="s">
        <v>955</v>
      </c>
      <c r="GQ585" s="276" t="s">
        <v>955</v>
      </c>
      <c r="GR585" s="276" t="s">
        <v>955</v>
      </c>
      <c r="GS585" s="276" t="s">
        <v>955</v>
      </c>
      <c r="GT585" s="276" t="s">
        <v>955</v>
      </c>
      <c r="GU585" s="276" t="s">
        <v>955</v>
      </c>
      <c r="GV585" s="276" t="s">
        <v>955</v>
      </c>
    </row>
    <row r="586" spans="1:204" x14ac:dyDescent="0.2">
      <c r="A586" s="278"/>
      <c r="B586" s="279"/>
      <c r="GG586" s="276" t="s">
        <v>955</v>
      </c>
      <c r="GH586" s="276" t="s">
        <v>955</v>
      </c>
      <c r="GI586" s="276" t="s">
        <v>955</v>
      </c>
      <c r="GJ586" s="276" t="s">
        <v>955</v>
      </c>
      <c r="GK586" s="276" t="s">
        <v>955</v>
      </c>
      <c r="GL586" s="276" t="s">
        <v>955</v>
      </c>
      <c r="GM586" s="276" t="s">
        <v>955</v>
      </c>
      <c r="GN586" s="276" t="s">
        <v>955</v>
      </c>
      <c r="GO586" s="276" t="s">
        <v>955</v>
      </c>
      <c r="GP586" s="276" t="s">
        <v>955</v>
      </c>
      <c r="GQ586" s="276" t="s">
        <v>955</v>
      </c>
      <c r="GR586" s="276" t="s">
        <v>955</v>
      </c>
      <c r="GS586" s="276" t="s">
        <v>955</v>
      </c>
      <c r="GT586" s="276" t="s">
        <v>955</v>
      </c>
      <c r="GU586" s="276" t="s">
        <v>955</v>
      </c>
      <c r="GV586" s="276" t="s">
        <v>955</v>
      </c>
    </row>
    <row r="587" spans="1:204" x14ac:dyDescent="0.2">
      <c r="A587" s="278"/>
      <c r="B587" s="279"/>
      <c r="GG587" s="276" t="s">
        <v>955</v>
      </c>
      <c r="GH587" s="276" t="s">
        <v>955</v>
      </c>
      <c r="GI587" s="276" t="s">
        <v>955</v>
      </c>
      <c r="GJ587" s="276" t="s">
        <v>955</v>
      </c>
      <c r="GK587" s="276" t="s">
        <v>955</v>
      </c>
      <c r="GL587" s="276" t="s">
        <v>955</v>
      </c>
      <c r="GM587" s="276" t="s">
        <v>955</v>
      </c>
      <c r="GN587" s="276" t="s">
        <v>955</v>
      </c>
      <c r="GO587" s="276" t="s">
        <v>955</v>
      </c>
      <c r="GP587" s="276" t="s">
        <v>955</v>
      </c>
      <c r="GQ587" s="276" t="s">
        <v>955</v>
      </c>
      <c r="GR587" s="276" t="s">
        <v>955</v>
      </c>
      <c r="GS587" s="276" t="s">
        <v>955</v>
      </c>
      <c r="GT587" s="276" t="s">
        <v>955</v>
      </c>
      <c r="GU587" s="276" t="s">
        <v>955</v>
      </c>
      <c r="GV587" s="276" t="s">
        <v>955</v>
      </c>
    </row>
    <row r="588" spans="1:204" x14ac:dyDescent="0.2">
      <c r="A588" s="278"/>
      <c r="B588" s="279"/>
      <c r="GG588" s="276" t="s">
        <v>955</v>
      </c>
      <c r="GH588" s="276" t="s">
        <v>955</v>
      </c>
      <c r="GI588" s="276" t="s">
        <v>955</v>
      </c>
      <c r="GJ588" s="276" t="s">
        <v>955</v>
      </c>
      <c r="GK588" s="276" t="s">
        <v>955</v>
      </c>
      <c r="GL588" s="276" t="s">
        <v>955</v>
      </c>
      <c r="GM588" s="276" t="s">
        <v>955</v>
      </c>
      <c r="GN588" s="276" t="s">
        <v>955</v>
      </c>
      <c r="GO588" s="276" t="s">
        <v>955</v>
      </c>
      <c r="GP588" s="276" t="s">
        <v>955</v>
      </c>
      <c r="GQ588" s="276" t="s">
        <v>955</v>
      </c>
      <c r="GR588" s="276" t="s">
        <v>955</v>
      </c>
      <c r="GS588" s="276" t="s">
        <v>955</v>
      </c>
      <c r="GT588" s="276" t="s">
        <v>955</v>
      </c>
      <c r="GU588" s="276" t="s">
        <v>955</v>
      </c>
      <c r="GV588" s="276" t="s">
        <v>955</v>
      </c>
    </row>
    <row r="589" spans="1:204" x14ac:dyDescent="0.2">
      <c r="A589" s="278"/>
      <c r="B589" s="279"/>
      <c r="GG589" s="276" t="s">
        <v>955</v>
      </c>
      <c r="GH589" s="276" t="s">
        <v>955</v>
      </c>
      <c r="GI589" s="276" t="s">
        <v>955</v>
      </c>
      <c r="GJ589" s="276" t="s">
        <v>955</v>
      </c>
      <c r="GK589" s="276" t="s">
        <v>955</v>
      </c>
      <c r="GL589" s="276" t="s">
        <v>955</v>
      </c>
      <c r="GM589" s="276" t="s">
        <v>955</v>
      </c>
      <c r="GN589" s="276" t="s">
        <v>955</v>
      </c>
      <c r="GO589" s="276" t="s">
        <v>955</v>
      </c>
      <c r="GP589" s="276" t="s">
        <v>955</v>
      </c>
      <c r="GQ589" s="276" t="s">
        <v>955</v>
      </c>
      <c r="GR589" s="276" t="s">
        <v>955</v>
      </c>
      <c r="GS589" s="276" t="s">
        <v>955</v>
      </c>
      <c r="GT589" s="276" t="s">
        <v>955</v>
      </c>
      <c r="GU589" s="276" t="s">
        <v>955</v>
      </c>
      <c r="GV589" s="276" t="s">
        <v>955</v>
      </c>
    </row>
    <row r="590" spans="1:204" x14ac:dyDescent="0.2">
      <c r="A590" s="278"/>
      <c r="B590" s="279"/>
      <c r="GG590" s="276" t="s">
        <v>955</v>
      </c>
      <c r="GH590" s="276" t="s">
        <v>955</v>
      </c>
      <c r="GI590" s="276" t="s">
        <v>955</v>
      </c>
      <c r="GJ590" s="276" t="s">
        <v>955</v>
      </c>
      <c r="GK590" s="276" t="s">
        <v>955</v>
      </c>
      <c r="GL590" s="276" t="s">
        <v>955</v>
      </c>
      <c r="GM590" s="276" t="s">
        <v>955</v>
      </c>
      <c r="GN590" s="276" t="s">
        <v>955</v>
      </c>
      <c r="GO590" s="276" t="s">
        <v>955</v>
      </c>
      <c r="GP590" s="276" t="s">
        <v>955</v>
      </c>
      <c r="GQ590" s="276" t="s">
        <v>955</v>
      </c>
      <c r="GR590" s="276" t="s">
        <v>955</v>
      </c>
      <c r="GS590" s="276" t="s">
        <v>955</v>
      </c>
      <c r="GT590" s="276" t="s">
        <v>955</v>
      </c>
      <c r="GU590" s="276" t="s">
        <v>955</v>
      </c>
      <c r="GV590" s="276" t="s">
        <v>955</v>
      </c>
    </row>
    <row r="591" spans="1:204" x14ac:dyDescent="0.2">
      <c r="A591" s="278"/>
      <c r="B591" s="279"/>
      <c r="GG591" s="276" t="s">
        <v>955</v>
      </c>
      <c r="GH591" s="276" t="s">
        <v>955</v>
      </c>
      <c r="GI591" s="276" t="s">
        <v>955</v>
      </c>
      <c r="GJ591" s="276" t="s">
        <v>955</v>
      </c>
      <c r="GK591" s="276" t="s">
        <v>955</v>
      </c>
      <c r="GL591" s="276" t="s">
        <v>955</v>
      </c>
      <c r="GM591" s="276" t="s">
        <v>955</v>
      </c>
      <c r="GN591" s="276" t="s">
        <v>955</v>
      </c>
      <c r="GO591" s="276" t="s">
        <v>955</v>
      </c>
      <c r="GP591" s="276" t="s">
        <v>955</v>
      </c>
      <c r="GQ591" s="276" t="s">
        <v>955</v>
      </c>
      <c r="GR591" s="276" t="s">
        <v>955</v>
      </c>
      <c r="GS591" s="276" t="s">
        <v>955</v>
      </c>
      <c r="GT591" s="276" t="s">
        <v>955</v>
      </c>
      <c r="GU591" s="276" t="s">
        <v>955</v>
      </c>
      <c r="GV591" s="276" t="s">
        <v>955</v>
      </c>
    </row>
    <row r="592" spans="1:204" x14ac:dyDescent="0.2">
      <c r="A592" s="278"/>
      <c r="B592" s="279"/>
      <c r="GG592" s="276" t="s">
        <v>955</v>
      </c>
      <c r="GH592" s="276" t="s">
        <v>955</v>
      </c>
      <c r="GI592" s="276" t="s">
        <v>955</v>
      </c>
      <c r="GJ592" s="276" t="s">
        <v>955</v>
      </c>
      <c r="GK592" s="276" t="s">
        <v>955</v>
      </c>
      <c r="GL592" s="276" t="s">
        <v>955</v>
      </c>
      <c r="GM592" s="276" t="s">
        <v>955</v>
      </c>
      <c r="GN592" s="276" t="s">
        <v>955</v>
      </c>
      <c r="GO592" s="276" t="s">
        <v>955</v>
      </c>
      <c r="GP592" s="276" t="s">
        <v>955</v>
      </c>
      <c r="GQ592" s="276" t="s">
        <v>955</v>
      </c>
      <c r="GR592" s="276" t="s">
        <v>955</v>
      </c>
      <c r="GS592" s="276" t="s">
        <v>955</v>
      </c>
      <c r="GT592" s="276" t="s">
        <v>955</v>
      </c>
      <c r="GU592" s="276" t="s">
        <v>955</v>
      </c>
      <c r="GV592" s="276" t="s">
        <v>955</v>
      </c>
    </row>
    <row r="593" spans="1:204" x14ac:dyDescent="0.2">
      <c r="A593" s="278"/>
      <c r="B593" s="279"/>
      <c r="GG593" s="276" t="s">
        <v>955</v>
      </c>
      <c r="GH593" s="276" t="s">
        <v>955</v>
      </c>
      <c r="GI593" s="276" t="s">
        <v>955</v>
      </c>
      <c r="GJ593" s="276" t="s">
        <v>955</v>
      </c>
      <c r="GK593" s="276" t="s">
        <v>955</v>
      </c>
      <c r="GL593" s="276" t="s">
        <v>955</v>
      </c>
      <c r="GM593" s="276" t="s">
        <v>955</v>
      </c>
      <c r="GN593" s="276" t="s">
        <v>955</v>
      </c>
      <c r="GO593" s="276" t="s">
        <v>955</v>
      </c>
      <c r="GP593" s="276" t="s">
        <v>955</v>
      </c>
      <c r="GQ593" s="276" t="s">
        <v>955</v>
      </c>
      <c r="GR593" s="276" t="s">
        <v>955</v>
      </c>
      <c r="GS593" s="276" t="s">
        <v>955</v>
      </c>
      <c r="GT593" s="276" t="s">
        <v>955</v>
      </c>
      <c r="GU593" s="276" t="s">
        <v>955</v>
      </c>
      <c r="GV593" s="276" t="s">
        <v>955</v>
      </c>
    </row>
    <row r="594" spans="1:204" x14ac:dyDescent="0.2">
      <c r="A594" s="278"/>
      <c r="B594" s="279"/>
      <c r="GG594" s="276" t="s">
        <v>955</v>
      </c>
      <c r="GH594" s="276" t="s">
        <v>955</v>
      </c>
      <c r="GI594" s="276" t="s">
        <v>955</v>
      </c>
      <c r="GJ594" s="276" t="s">
        <v>955</v>
      </c>
      <c r="GK594" s="276" t="s">
        <v>955</v>
      </c>
      <c r="GL594" s="276" t="s">
        <v>955</v>
      </c>
      <c r="GM594" s="276" t="s">
        <v>955</v>
      </c>
      <c r="GN594" s="276" t="s">
        <v>955</v>
      </c>
      <c r="GO594" s="276" t="s">
        <v>955</v>
      </c>
      <c r="GP594" s="276" t="s">
        <v>955</v>
      </c>
      <c r="GQ594" s="276" t="s">
        <v>955</v>
      </c>
      <c r="GR594" s="276" t="s">
        <v>955</v>
      </c>
      <c r="GS594" s="276" t="s">
        <v>955</v>
      </c>
      <c r="GT594" s="276" t="s">
        <v>955</v>
      </c>
      <c r="GU594" s="276" t="s">
        <v>955</v>
      </c>
      <c r="GV594" s="276" t="s">
        <v>955</v>
      </c>
    </row>
    <row r="595" spans="1:204" x14ac:dyDescent="0.2">
      <c r="A595" s="278"/>
      <c r="B595" s="279"/>
      <c r="GG595" s="276" t="s">
        <v>955</v>
      </c>
      <c r="GH595" s="276" t="s">
        <v>955</v>
      </c>
      <c r="GI595" s="276" t="s">
        <v>955</v>
      </c>
      <c r="GJ595" s="276" t="s">
        <v>955</v>
      </c>
      <c r="GK595" s="276" t="s">
        <v>955</v>
      </c>
      <c r="GL595" s="276" t="s">
        <v>955</v>
      </c>
      <c r="GM595" s="276" t="s">
        <v>955</v>
      </c>
      <c r="GN595" s="276" t="s">
        <v>955</v>
      </c>
      <c r="GO595" s="276" t="s">
        <v>955</v>
      </c>
      <c r="GP595" s="276" t="s">
        <v>955</v>
      </c>
      <c r="GQ595" s="276" t="s">
        <v>955</v>
      </c>
      <c r="GR595" s="276" t="s">
        <v>955</v>
      </c>
      <c r="GS595" s="276" t="s">
        <v>955</v>
      </c>
      <c r="GT595" s="276" t="s">
        <v>955</v>
      </c>
      <c r="GU595" s="276" t="s">
        <v>955</v>
      </c>
      <c r="GV595" s="276" t="s">
        <v>955</v>
      </c>
    </row>
    <row r="596" spans="1:204" x14ac:dyDescent="0.2">
      <c r="A596" s="278"/>
      <c r="B596" s="279"/>
      <c r="GG596" s="276" t="s">
        <v>955</v>
      </c>
      <c r="GH596" s="276" t="s">
        <v>955</v>
      </c>
      <c r="GI596" s="276" t="s">
        <v>955</v>
      </c>
      <c r="GJ596" s="276" t="s">
        <v>955</v>
      </c>
      <c r="GK596" s="276" t="s">
        <v>955</v>
      </c>
      <c r="GL596" s="276" t="s">
        <v>955</v>
      </c>
      <c r="GM596" s="276" t="s">
        <v>955</v>
      </c>
      <c r="GN596" s="276" t="s">
        <v>955</v>
      </c>
      <c r="GO596" s="276" t="s">
        <v>955</v>
      </c>
      <c r="GP596" s="276" t="s">
        <v>955</v>
      </c>
      <c r="GQ596" s="276" t="s">
        <v>955</v>
      </c>
      <c r="GR596" s="276" t="s">
        <v>955</v>
      </c>
      <c r="GS596" s="276" t="s">
        <v>955</v>
      </c>
      <c r="GT596" s="276" t="s">
        <v>955</v>
      </c>
      <c r="GU596" s="276" t="s">
        <v>955</v>
      </c>
      <c r="GV596" s="276" t="s">
        <v>955</v>
      </c>
    </row>
    <row r="597" spans="1:204" x14ac:dyDescent="0.2">
      <c r="A597" s="278"/>
      <c r="B597" s="279"/>
      <c r="GG597" s="276" t="s">
        <v>955</v>
      </c>
      <c r="GH597" s="276" t="s">
        <v>955</v>
      </c>
      <c r="GI597" s="276" t="s">
        <v>955</v>
      </c>
      <c r="GJ597" s="276" t="s">
        <v>955</v>
      </c>
      <c r="GK597" s="276" t="s">
        <v>955</v>
      </c>
      <c r="GL597" s="276" t="s">
        <v>955</v>
      </c>
      <c r="GM597" s="276" t="s">
        <v>955</v>
      </c>
      <c r="GN597" s="276" t="s">
        <v>955</v>
      </c>
      <c r="GO597" s="276" t="s">
        <v>955</v>
      </c>
      <c r="GP597" s="276" t="s">
        <v>955</v>
      </c>
      <c r="GQ597" s="276" t="s">
        <v>955</v>
      </c>
      <c r="GR597" s="276" t="s">
        <v>955</v>
      </c>
      <c r="GS597" s="276" t="s">
        <v>955</v>
      </c>
      <c r="GT597" s="276" t="s">
        <v>955</v>
      </c>
      <c r="GU597" s="276" t="s">
        <v>955</v>
      </c>
      <c r="GV597" s="276" t="s">
        <v>955</v>
      </c>
    </row>
    <row r="598" spans="1:204" x14ac:dyDescent="0.2">
      <c r="A598" s="278"/>
      <c r="B598" s="279"/>
      <c r="GG598" s="276" t="s">
        <v>955</v>
      </c>
      <c r="GH598" s="276" t="s">
        <v>955</v>
      </c>
      <c r="GI598" s="276" t="s">
        <v>955</v>
      </c>
      <c r="GJ598" s="276" t="s">
        <v>955</v>
      </c>
      <c r="GK598" s="276" t="s">
        <v>955</v>
      </c>
      <c r="GL598" s="276" t="s">
        <v>955</v>
      </c>
      <c r="GM598" s="276" t="s">
        <v>955</v>
      </c>
      <c r="GN598" s="276" t="s">
        <v>955</v>
      </c>
      <c r="GO598" s="276" t="s">
        <v>955</v>
      </c>
      <c r="GP598" s="276" t="s">
        <v>955</v>
      </c>
      <c r="GQ598" s="276" t="s">
        <v>955</v>
      </c>
      <c r="GR598" s="276" t="s">
        <v>955</v>
      </c>
      <c r="GS598" s="276" t="s">
        <v>955</v>
      </c>
      <c r="GT598" s="276" t="s">
        <v>955</v>
      </c>
      <c r="GU598" s="276" t="s">
        <v>955</v>
      </c>
      <c r="GV598" s="276" t="s">
        <v>955</v>
      </c>
    </row>
    <row r="599" spans="1:204" x14ac:dyDescent="0.2">
      <c r="A599" s="278"/>
      <c r="B599" s="279"/>
      <c r="GG599" s="276" t="s">
        <v>955</v>
      </c>
      <c r="GH599" s="276" t="s">
        <v>955</v>
      </c>
      <c r="GI599" s="276" t="s">
        <v>955</v>
      </c>
      <c r="GJ599" s="276" t="s">
        <v>955</v>
      </c>
      <c r="GK599" s="276" t="s">
        <v>955</v>
      </c>
      <c r="GL599" s="276" t="s">
        <v>955</v>
      </c>
      <c r="GM599" s="276" t="s">
        <v>955</v>
      </c>
      <c r="GN599" s="276" t="s">
        <v>955</v>
      </c>
      <c r="GO599" s="276" t="s">
        <v>955</v>
      </c>
      <c r="GP599" s="276" t="s">
        <v>955</v>
      </c>
      <c r="GQ599" s="276" t="s">
        <v>955</v>
      </c>
      <c r="GR599" s="276" t="s">
        <v>955</v>
      </c>
      <c r="GS599" s="276" t="s">
        <v>955</v>
      </c>
      <c r="GT599" s="276" t="s">
        <v>955</v>
      </c>
      <c r="GU599" s="276" t="s">
        <v>955</v>
      </c>
      <c r="GV599" s="276" t="s">
        <v>955</v>
      </c>
    </row>
    <row r="600" spans="1:204" x14ac:dyDescent="0.2">
      <c r="A600" s="278"/>
      <c r="B600" s="279"/>
      <c r="GG600" s="276" t="s">
        <v>955</v>
      </c>
      <c r="GH600" s="276" t="s">
        <v>955</v>
      </c>
      <c r="GI600" s="276" t="s">
        <v>955</v>
      </c>
      <c r="GJ600" s="276" t="s">
        <v>955</v>
      </c>
      <c r="GK600" s="276" t="s">
        <v>955</v>
      </c>
      <c r="GL600" s="276" t="s">
        <v>955</v>
      </c>
      <c r="GM600" s="276" t="s">
        <v>955</v>
      </c>
      <c r="GN600" s="276" t="s">
        <v>955</v>
      </c>
      <c r="GO600" s="276" t="s">
        <v>955</v>
      </c>
      <c r="GP600" s="276" t="s">
        <v>955</v>
      </c>
      <c r="GQ600" s="276" t="s">
        <v>955</v>
      </c>
      <c r="GR600" s="276" t="s">
        <v>955</v>
      </c>
      <c r="GS600" s="276" t="s">
        <v>955</v>
      </c>
      <c r="GT600" s="276" t="s">
        <v>955</v>
      </c>
      <c r="GU600" s="276" t="s">
        <v>955</v>
      </c>
      <c r="GV600" s="276" t="s">
        <v>955</v>
      </c>
    </row>
    <row r="601" spans="1:204" x14ac:dyDescent="0.2">
      <c r="A601" s="278"/>
      <c r="B601" s="279"/>
      <c r="GG601" s="276" t="s">
        <v>955</v>
      </c>
      <c r="GH601" s="276" t="s">
        <v>955</v>
      </c>
      <c r="GI601" s="276" t="s">
        <v>955</v>
      </c>
      <c r="GJ601" s="276" t="s">
        <v>955</v>
      </c>
      <c r="GK601" s="276" t="s">
        <v>955</v>
      </c>
      <c r="GL601" s="276" t="s">
        <v>955</v>
      </c>
      <c r="GM601" s="276" t="s">
        <v>955</v>
      </c>
      <c r="GN601" s="276" t="s">
        <v>955</v>
      </c>
      <c r="GO601" s="276" t="s">
        <v>955</v>
      </c>
      <c r="GP601" s="276" t="s">
        <v>955</v>
      </c>
      <c r="GQ601" s="276" t="s">
        <v>955</v>
      </c>
      <c r="GR601" s="276" t="s">
        <v>955</v>
      </c>
      <c r="GS601" s="276" t="s">
        <v>955</v>
      </c>
      <c r="GT601" s="276" t="s">
        <v>955</v>
      </c>
      <c r="GU601" s="276" t="s">
        <v>955</v>
      </c>
      <c r="GV601" s="276" t="s">
        <v>955</v>
      </c>
    </row>
    <row r="602" spans="1:204" x14ac:dyDescent="0.2">
      <c r="A602" s="278"/>
      <c r="GG602" s="276" t="s">
        <v>955</v>
      </c>
      <c r="GH602" s="276" t="s">
        <v>955</v>
      </c>
      <c r="GI602" s="276" t="s">
        <v>955</v>
      </c>
      <c r="GJ602" s="276" t="s">
        <v>955</v>
      </c>
      <c r="GK602" s="276" t="s">
        <v>955</v>
      </c>
      <c r="GL602" s="276" t="s">
        <v>955</v>
      </c>
      <c r="GM602" s="276" t="s">
        <v>955</v>
      </c>
      <c r="GN602" s="276" t="s">
        <v>955</v>
      </c>
      <c r="GO602" s="276" t="s">
        <v>955</v>
      </c>
      <c r="GP602" s="276" t="s">
        <v>955</v>
      </c>
      <c r="GQ602" s="276" t="s">
        <v>955</v>
      </c>
      <c r="GR602" s="276" t="s">
        <v>955</v>
      </c>
      <c r="GS602" s="276" t="s">
        <v>955</v>
      </c>
      <c r="GT602" s="276" t="s">
        <v>955</v>
      </c>
      <c r="GU602" s="276" t="s">
        <v>955</v>
      </c>
      <c r="GV602" s="276" t="s">
        <v>955</v>
      </c>
    </row>
    <row r="603" spans="1:204" x14ac:dyDescent="0.2">
      <c r="A603" s="278"/>
      <c r="B603" s="279"/>
      <c r="GG603" s="276" t="s">
        <v>955</v>
      </c>
      <c r="GH603" s="276" t="s">
        <v>955</v>
      </c>
      <c r="GI603" s="276" t="s">
        <v>955</v>
      </c>
      <c r="GJ603" s="276" t="s">
        <v>955</v>
      </c>
      <c r="GK603" s="276" t="s">
        <v>955</v>
      </c>
      <c r="GL603" s="276" t="s">
        <v>955</v>
      </c>
      <c r="GM603" s="276" t="s">
        <v>955</v>
      </c>
      <c r="GN603" s="276" t="s">
        <v>955</v>
      </c>
      <c r="GO603" s="276" t="s">
        <v>955</v>
      </c>
      <c r="GP603" s="276" t="s">
        <v>955</v>
      </c>
      <c r="GQ603" s="276" t="s">
        <v>955</v>
      </c>
      <c r="GR603" s="276" t="s">
        <v>955</v>
      </c>
      <c r="GS603" s="276" t="s">
        <v>955</v>
      </c>
      <c r="GT603" s="276" t="s">
        <v>955</v>
      </c>
      <c r="GU603" s="276" t="s">
        <v>955</v>
      </c>
      <c r="GV603" s="276" t="s">
        <v>955</v>
      </c>
    </row>
    <row r="604" spans="1:204" x14ac:dyDescent="0.2">
      <c r="A604" s="278"/>
      <c r="B604" s="279"/>
      <c r="GG604" s="276" t="s">
        <v>955</v>
      </c>
      <c r="GH604" s="276" t="s">
        <v>955</v>
      </c>
      <c r="GI604" s="276" t="s">
        <v>955</v>
      </c>
      <c r="GJ604" s="276" t="s">
        <v>955</v>
      </c>
      <c r="GK604" s="276" t="s">
        <v>955</v>
      </c>
      <c r="GL604" s="276" t="s">
        <v>955</v>
      </c>
      <c r="GM604" s="276" t="s">
        <v>955</v>
      </c>
      <c r="GN604" s="276" t="s">
        <v>955</v>
      </c>
      <c r="GO604" s="276" t="s">
        <v>955</v>
      </c>
      <c r="GP604" s="276" t="s">
        <v>955</v>
      </c>
      <c r="GQ604" s="276" t="s">
        <v>955</v>
      </c>
      <c r="GR604" s="276" t="s">
        <v>955</v>
      </c>
      <c r="GS604" s="276" t="s">
        <v>955</v>
      </c>
      <c r="GT604" s="276" t="s">
        <v>955</v>
      </c>
      <c r="GU604" s="276" t="s">
        <v>955</v>
      </c>
      <c r="GV604" s="276" t="s">
        <v>955</v>
      </c>
    </row>
    <row r="605" spans="1:204" x14ac:dyDescent="0.2">
      <c r="A605" s="278"/>
      <c r="B605" s="279"/>
      <c r="GG605" s="276" t="s">
        <v>955</v>
      </c>
      <c r="GH605" s="276" t="s">
        <v>955</v>
      </c>
      <c r="GI605" s="276" t="s">
        <v>955</v>
      </c>
      <c r="GJ605" s="276" t="s">
        <v>955</v>
      </c>
      <c r="GK605" s="276" t="s">
        <v>955</v>
      </c>
      <c r="GL605" s="276" t="s">
        <v>955</v>
      </c>
      <c r="GM605" s="276" t="s">
        <v>955</v>
      </c>
      <c r="GN605" s="276" t="s">
        <v>955</v>
      </c>
      <c r="GO605" s="276" t="s">
        <v>955</v>
      </c>
      <c r="GP605" s="276" t="s">
        <v>955</v>
      </c>
      <c r="GQ605" s="276" t="s">
        <v>955</v>
      </c>
      <c r="GR605" s="276" t="s">
        <v>955</v>
      </c>
      <c r="GS605" s="276" t="s">
        <v>955</v>
      </c>
      <c r="GT605" s="276" t="s">
        <v>955</v>
      </c>
      <c r="GU605" s="276" t="s">
        <v>955</v>
      </c>
      <c r="GV605" s="276" t="s">
        <v>955</v>
      </c>
    </row>
    <row r="606" spans="1:204" x14ac:dyDescent="0.2">
      <c r="A606" s="278"/>
      <c r="B606" s="279"/>
      <c r="GG606" s="276" t="s">
        <v>955</v>
      </c>
      <c r="GH606" s="276" t="s">
        <v>955</v>
      </c>
      <c r="GI606" s="276" t="s">
        <v>955</v>
      </c>
      <c r="GJ606" s="276" t="s">
        <v>955</v>
      </c>
      <c r="GK606" s="276" t="s">
        <v>955</v>
      </c>
      <c r="GL606" s="276" t="s">
        <v>955</v>
      </c>
      <c r="GM606" s="276" t="s">
        <v>955</v>
      </c>
      <c r="GN606" s="276" t="s">
        <v>955</v>
      </c>
      <c r="GO606" s="276" t="s">
        <v>955</v>
      </c>
      <c r="GP606" s="276" t="s">
        <v>955</v>
      </c>
      <c r="GQ606" s="276" t="s">
        <v>955</v>
      </c>
      <c r="GR606" s="276" t="s">
        <v>955</v>
      </c>
      <c r="GS606" s="276" t="s">
        <v>955</v>
      </c>
      <c r="GT606" s="276" t="s">
        <v>955</v>
      </c>
      <c r="GU606" s="276" t="s">
        <v>955</v>
      </c>
      <c r="GV606" s="276" t="s">
        <v>955</v>
      </c>
    </row>
    <row r="607" spans="1:204" x14ac:dyDescent="0.2">
      <c r="A607" s="278"/>
      <c r="B607" s="279"/>
      <c r="GG607" s="276" t="s">
        <v>955</v>
      </c>
      <c r="GH607" s="276" t="s">
        <v>955</v>
      </c>
      <c r="GI607" s="276" t="s">
        <v>955</v>
      </c>
      <c r="GJ607" s="276" t="s">
        <v>955</v>
      </c>
      <c r="GK607" s="276" t="s">
        <v>955</v>
      </c>
      <c r="GL607" s="276" t="s">
        <v>955</v>
      </c>
      <c r="GM607" s="276" t="s">
        <v>955</v>
      </c>
      <c r="GN607" s="276" t="s">
        <v>955</v>
      </c>
      <c r="GO607" s="276" t="s">
        <v>955</v>
      </c>
      <c r="GP607" s="276" t="s">
        <v>955</v>
      </c>
      <c r="GQ607" s="276" t="s">
        <v>955</v>
      </c>
      <c r="GR607" s="276" t="s">
        <v>955</v>
      </c>
      <c r="GS607" s="276" t="s">
        <v>955</v>
      </c>
      <c r="GT607" s="276" t="s">
        <v>955</v>
      </c>
      <c r="GU607" s="276" t="s">
        <v>955</v>
      </c>
      <c r="GV607" s="276" t="s">
        <v>955</v>
      </c>
    </row>
    <row r="608" spans="1:204" x14ac:dyDescent="0.2">
      <c r="A608" s="278"/>
      <c r="B608" s="279"/>
      <c r="GG608" s="276" t="s">
        <v>955</v>
      </c>
      <c r="GH608" s="276" t="s">
        <v>955</v>
      </c>
      <c r="GI608" s="276" t="s">
        <v>955</v>
      </c>
      <c r="GJ608" s="276" t="s">
        <v>955</v>
      </c>
      <c r="GK608" s="276" t="s">
        <v>955</v>
      </c>
      <c r="GL608" s="276" t="s">
        <v>955</v>
      </c>
      <c r="GM608" s="276" t="s">
        <v>955</v>
      </c>
      <c r="GN608" s="276" t="s">
        <v>955</v>
      </c>
      <c r="GO608" s="276" t="s">
        <v>955</v>
      </c>
      <c r="GP608" s="276" t="s">
        <v>955</v>
      </c>
      <c r="GQ608" s="276" t="s">
        <v>955</v>
      </c>
      <c r="GR608" s="276" t="s">
        <v>955</v>
      </c>
      <c r="GS608" s="276" t="s">
        <v>955</v>
      </c>
      <c r="GT608" s="276" t="s">
        <v>955</v>
      </c>
      <c r="GU608" s="276" t="s">
        <v>955</v>
      </c>
      <c r="GV608" s="276" t="s">
        <v>955</v>
      </c>
    </row>
    <row r="609" spans="1:204" x14ac:dyDescent="0.2">
      <c r="A609" s="278"/>
      <c r="B609" s="279"/>
      <c r="GG609" s="276" t="s">
        <v>955</v>
      </c>
      <c r="GH609" s="276" t="s">
        <v>955</v>
      </c>
      <c r="GI609" s="276" t="s">
        <v>955</v>
      </c>
      <c r="GJ609" s="276" t="s">
        <v>955</v>
      </c>
      <c r="GK609" s="276" t="s">
        <v>955</v>
      </c>
      <c r="GL609" s="276" t="s">
        <v>955</v>
      </c>
      <c r="GM609" s="276" t="s">
        <v>955</v>
      </c>
      <c r="GN609" s="276" t="s">
        <v>955</v>
      </c>
      <c r="GO609" s="276" t="s">
        <v>955</v>
      </c>
      <c r="GP609" s="276" t="s">
        <v>955</v>
      </c>
      <c r="GQ609" s="276" t="s">
        <v>955</v>
      </c>
      <c r="GR609" s="276" t="s">
        <v>955</v>
      </c>
      <c r="GS609" s="276" t="s">
        <v>955</v>
      </c>
      <c r="GT609" s="276" t="s">
        <v>955</v>
      </c>
      <c r="GU609" s="276" t="s">
        <v>955</v>
      </c>
      <c r="GV609" s="276" t="s">
        <v>955</v>
      </c>
    </row>
    <row r="610" spans="1:204" x14ac:dyDescent="0.2">
      <c r="A610" s="278"/>
      <c r="B610" s="279"/>
      <c r="GG610" s="276" t="s">
        <v>955</v>
      </c>
      <c r="GH610" s="276" t="s">
        <v>955</v>
      </c>
      <c r="GI610" s="276" t="s">
        <v>955</v>
      </c>
      <c r="GJ610" s="276" t="s">
        <v>955</v>
      </c>
      <c r="GK610" s="276" t="s">
        <v>955</v>
      </c>
      <c r="GL610" s="276" t="s">
        <v>955</v>
      </c>
      <c r="GM610" s="276" t="s">
        <v>955</v>
      </c>
      <c r="GN610" s="276" t="s">
        <v>955</v>
      </c>
      <c r="GO610" s="276" t="s">
        <v>955</v>
      </c>
      <c r="GP610" s="276" t="s">
        <v>955</v>
      </c>
      <c r="GQ610" s="276" t="s">
        <v>955</v>
      </c>
      <c r="GR610" s="276" t="s">
        <v>955</v>
      </c>
      <c r="GS610" s="276" t="s">
        <v>955</v>
      </c>
      <c r="GT610" s="276" t="s">
        <v>955</v>
      </c>
      <c r="GU610" s="276" t="s">
        <v>955</v>
      </c>
      <c r="GV610" s="276" t="s">
        <v>955</v>
      </c>
    </row>
    <row r="611" spans="1:204" x14ac:dyDescent="0.2">
      <c r="A611" s="278"/>
      <c r="B611" s="279"/>
      <c r="GG611" s="276" t="s">
        <v>955</v>
      </c>
      <c r="GH611" s="276" t="s">
        <v>955</v>
      </c>
      <c r="GI611" s="276" t="s">
        <v>955</v>
      </c>
      <c r="GJ611" s="276" t="s">
        <v>955</v>
      </c>
      <c r="GK611" s="276" t="s">
        <v>955</v>
      </c>
      <c r="GL611" s="276" t="s">
        <v>955</v>
      </c>
      <c r="GM611" s="276" t="s">
        <v>955</v>
      </c>
      <c r="GN611" s="276" t="s">
        <v>955</v>
      </c>
      <c r="GO611" s="276" t="s">
        <v>955</v>
      </c>
      <c r="GP611" s="276" t="s">
        <v>955</v>
      </c>
      <c r="GQ611" s="276" t="s">
        <v>955</v>
      </c>
      <c r="GR611" s="276" t="s">
        <v>955</v>
      </c>
      <c r="GS611" s="276" t="s">
        <v>955</v>
      </c>
      <c r="GT611" s="276" t="s">
        <v>955</v>
      </c>
      <c r="GU611" s="276" t="s">
        <v>955</v>
      </c>
      <c r="GV611" s="276" t="s">
        <v>955</v>
      </c>
    </row>
    <row r="612" spans="1:204" x14ac:dyDescent="0.2">
      <c r="A612" s="278"/>
      <c r="B612" s="279"/>
      <c r="GG612" s="276" t="s">
        <v>955</v>
      </c>
      <c r="GH612" s="276" t="s">
        <v>955</v>
      </c>
      <c r="GI612" s="276" t="s">
        <v>955</v>
      </c>
      <c r="GJ612" s="276" t="s">
        <v>955</v>
      </c>
      <c r="GK612" s="276" t="s">
        <v>955</v>
      </c>
      <c r="GL612" s="276" t="s">
        <v>955</v>
      </c>
      <c r="GM612" s="276" t="s">
        <v>955</v>
      </c>
      <c r="GN612" s="276" t="s">
        <v>955</v>
      </c>
      <c r="GO612" s="276" t="s">
        <v>955</v>
      </c>
      <c r="GP612" s="276" t="s">
        <v>955</v>
      </c>
      <c r="GQ612" s="276" t="s">
        <v>955</v>
      </c>
      <c r="GR612" s="276" t="s">
        <v>955</v>
      </c>
      <c r="GS612" s="276" t="s">
        <v>955</v>
      </c>
      <c r="GT612" s="276" t="s">
        <v>955</v>
      </c>
      <c r="GU612" s="276" t="s">
        <v>955</v>
      </c>
      <c r="GV612" s="276" t="s">
        <v>955</v>
      </c>
    </row>
    <row r="613" spans="1:204" x14ac:dyDescent="0.2">
      <c r="A613" s="278"/>
      <c r="B613" s="279"/>
      <c r="GG613" s="276" t="s">
        <v>955</v>
      </c>
      <c r="GH613" s="276" t="s">
        <v>955</v>
      </c>
      <c r="GI613" s="276" t="s">
        <v>955</v>
      </c>
      <c r="GJ613" s="276" t="s">
        <v>955</v>
      </c>
      <c r="GK613" s="276" t="s">
        <v>955</v>
      </c>
      <c r="GL613" s="276" t="s">
        <v>955</v>
      </c>
      <c r="GM613" s="276" t="s">
        <v>955</v>
      </c>
      <c r="GN613" s="276" t="s">
        <v>955</v>
      </c>
      <c r="GO613" s="276" t="s">
        <v>955</v>
      </c>
      <c r="GP613" s="276" t="s">
        <v>955</v>
      </c>
      <c r="GQ613" s="276" t="s">
        <v>955</v>
      </c>
      <c r="GR613" s="276" t="s">
        <v>955</v>
      </c>
      <c r="GS613" s="276" t="s">
        <v>955</v>
      </c>
      <c r="GT613" s="276" t="s">
        <v>955</v>
      </c>
      <c r="GU613" s="276" t="s">
        <v>955</v>
      </c>
      <c r="GV613" s="276" t="s">
        <v>955</v>
      </c>
    </row>
    <row r="614" spans="1:204" x14ac:dyDescent="0.2">
      <c r="A614" s="278"/>
      <c r="B614" s="279"/>
      <c r="GG614" s="276" t="s">
        <v>955</v>
      </c>
      <c r="GH614" s="276" t="s">
        <v>955</v>
      </c>
      <c r="GI614" s="276" t="s">
        <v>955</v>
      </c>
      <c r="GJ614" s="276" t="s">
        <v>955</v>
      </c>
      <c r="GK614" s="276" t="s">
        <v>955</v>
      </c>
      <c r="GL614" s="276" t="s">
        <v>955</v>
      </c>
      <c r="GM614" s="276" t="s">
        <v>955</v>
      </c>
      <c r="GN614" s="276" t="s">
        <v>955</v>
      </c>
      <c r="GO614" s="276" t="s">
        <v>955</v>
      </c>
      <c r="GP614" s="276" t="s">
        <v>955</v>
      </c>
      <c r="GQ614" s="276" t="s">
        <v>955</v>
      </c>
      <c r="GR614" s="276" t="s">
        <v>955</v>
      </c>
      <c r="GS614" s="276" t="s">
        <v>955</v>
      </c>
      <c r="GT614" s="276" t="s">
        <v>955</v>
      </c>
      <c r="GU614" s="276" t="s">
        <v>955</v>
      </c>
      <c r="GV614" s="276" t="s">
        <v>955</v>
      </c>
    </row>
    <row r="615" spans="1:204" x14ac:dyDescent="0.2">
      <c r="A615" s="278"/>
      <c r="B615" s="279"/>
      <c r="GG615" s="276" t="s">
        <v>955</v>
      </c>
      <c r="GH615" s="276" t="s">
        <v>955</v>
      </c>
      <c r="GI615" s="276" t="s">
        <v>955</v>
      </c>
      <c r="GJ615" s="276" t="s">
        <v>955</v>
      </c>
      <c r="GK615" s="276" t="s">
        <v>955</v>
      </c>
      <c r="GL615" s="276" t="s">
        <v>955</v>
      </c>
      <c r="GM615" s="276" t="s">
        <v>955</v>
      </c>
      <c r="GN615" s="276" t="s">
        <v>955</v>
      </c>
      <c r="GO615" s="276" t="s">
        <v>955</v>
      </c>
      <c r="GP615" s="276" t="s">
        <v>955</v>
      </c>
      <c r="GQ615" s="276" t="s">
        <v>955</v>
      </c>
      <c r="GR615" s="276" t="s">
        <v>955</v>
      </c>
      <c r="GS615" s="276" t="s">
        <v>955</v>
      </c>
      <c r="GT615" s="276" t="s">
        <v>955</v>
      </c>
      <c r="GU615" s="276" t="s">
        <v>955</v>
      </c>
      <c r="GV615" s="276" t="s">
        <v>955</v>
      </c>
    </row>
    <row r="616" spans="1:204" x14ac:dyDescent="0.2">
      <c r="A616" s="278"/>
      <c r="B616" s="279"/>
      <c r="GG616" s="276" t="s">
        <v>955</v>
      </c>
      <c r="GH616" s="276" t="s">
        <v>955</v>
      </c>
      <c r="GI616" s="276" t="s">
        <v>955</v>
      </c>
      <c r="GJ616" s="276" t="s">
        <v>955</v>
      </c>
      <c r="GK616" s="276" t="s">
        <v>955</v>
      </c>
      <c r="GL616" s="276" t="s">
        <v>955</v>
      </c>
      <c r="GM616" s="276" t="s">
        <v>955</v>
      </c>
      <c r="GN616" s="276" t="s">
        <v>955</v>
      </c>
      <c r="GO616" s="276" t="s">
        <v>955</v>
      </c>
      <c r="GP616" s="276" t="s">
        <v>955</v>
      </c>
      <c r="GQ616" s="276" t="s">
        <v>955</v>
      </c>
      <c r="GR616" s="276" t="s">
        <v>955</v>
      </c>
      <c r="GS616" s="276" t="s">
        <v>955</v>
      </c>
      <c r="GT616" s="276" t="s">
        <v>955</v>
      </c>
      <c r="GU616" s="276" t="s">
        <v>955</v>
      </c>
      <c r="GV616" s="276" t="s">
        <v>955</v>
      </c>
    </row>
    <row r="617" spans="1:204" x14ac:dyDescent="0.2">
      <c r="A617" s="278"/>
      <c r="B617" s="279"/>
      <c r="GG617" s="276" t="s">
        <v>955</v>
      </c>
      <c r="GH617" s="276" t="s">
        <v>955</v>
      </c>
      <c r="GI617" s="276" t="s">
        <v>955</v>
      </c>
      <c r="GJ617" s="276" t="s">
        <v>955</v>
      </c>
      <c r="GK617" s="276" t="s">
        <v>955</v>
      </c>
      <c r="GL617" s="276" t="s">
        <v>955</v>
      </c>
      <c r="GM617" s="276" t="s">
        <v>955</v>
      </c>
      <c r="GN617" s="276" t="s">
        <v>955</v>
      </c>
      <c r="GO617" s="276" t="s">
        <v>955</v>
      </c>
      <c r="GP617" s="276" t="s">
        <v>955</v>
      </c>
      <c r="GQ617" s="276" t="s">
        <v>955</v>
      </c>
      <c r="GR617" s="276" t="s">
        <v>955</v>
      </c>
      <c r="GS617" s="276" t="s">
        <v>955</v>
      </c>
      <c r="GT617" s="276" t="s">
        <v>955</v>
      </c>
      <c r="GU617" s="276" t="s">
        <v>955</v>
      </c>
      <c r="GV617" s="276" t="s">
        <v>955</v>
      </c>
    </row>
    <row r="618" spans="1:204" x14ac:dyDescent="0.2">
      <c r="A618" s="278"/>
      <c r="B618" s="279"/>
      <c r="GG618" s="276" t="s">
        <v>955</v>
      </c>
      <c r="GH618" s="276" t="s">
        <v>955</v>
      </c>
      <c r="GI618" s="276" t="s">
        <v>955</v>
      </c>
      <c r="GJ618" s="276" t="s">
        <v>955</v>
      </c>
      <c r="GK618" s="276" t="s">
        <v>955</v>
      </c>
      <c r="GL618" s="276" t="s">
        <v>955</v>
      </c>
      <c r="GM618" s="276" t="s">
        <v>955</v>
      </c>
      <c r="GN618" s="276" t="s">
        <v>955</v>
      </c>
      <c r="GO618" s="276" t="s">
        <v>955</v>
      </c>
      <c r="GP618" s="276" t="s">
        <v>955</v>
      </c>
      <c r="GQ618" s="276" t="s">
        <v>955</v>
      </c>
      <c r="GR618" s="276" t="s">
        <v>955</v>
      </c>
      <c r="GS618" s="276" t="s">
        <v>955</v>
      </c>
      <c r="GT618" s="276" t="s">
        <v>955</v>
      </c>
      <c r="GU618" s="276" t="s">
        <v>955</v>
      </c>
      <c r="GV618" s="276" t="s">
        <v>955</v>
      </c>
    </row>
    <row r="619" spans="1:204" x14ac:dyDescent="0.2">
      <c r="A619" s="278"/>
      <c r="B619" s="279"/>
      <c r="GG619" s="276" t="s">
        <v>955</v>
      </c>
      <c r="GH619" s="276" t="s">
        <v>955</v>
      </c>
      <c r="GI619" s="276" t="s">
        <v>955</v>
      </c>
      <c r="GJ619" s="276" t="s">
        <v>955</v>
      </c>
      <c r="GK619" s="276" t="s">
        <v>955</v>
      </c>
      <c r="GL619" s="276" t="s">
        <v>955</v>
      </c>
      <c r="GM619" s="276" t="s">
        <v>955</v>
      </c>
      <c r="GN619" s="276" t="s">
        <v>955</v>
      </c>
      <c r="GO619" s="276" t="s">
        <v>955</v>
      </c>
      <c r="GP619" s="276" t="s">
        <v>955</v>
      </c>
      <c r="GQ619" s="276" t="s">
        <v>955</v>
      </c>
      <c r="GR619" s="276" t="s">
        <v>955</v>
      </c>
      <c r="GS619" s="276" t="s">
        <v>955</v>
      </c>
      <c r="GT619" s="276" t="s">
        <v>955</v>
      </c>
      <c r="GU619" s="276" t="s">
        <v>955</v>
      </c>
      <c r="GV619" s="276" t="s">
        <v>955</v>
      </c>
    </row>
    <row r="620" spans="1:204" x14ac:dyDescent="0.2">
      <c r="A620" s="278"/>
      <c r="B620" s="279"/>
      <c r="GG620" s="276" t="s">
        <v>955</v>
      </c>
      <c r="GH620" s="276" t="s">
        <v>955</v>
      </c>
      <c r="GI620" s="276" t="s">
        <v>955</v>
      </c>
      <c r="GJ620" s="276" t="s">
        <v>955</v>
      </c>
      <c r="GK620" s="276" t="s">
        <v>955</v>
      </c>
      <c r="GL620" s="276" t="s">
        <v>955</v>
      </c>
      <c r="GM620" s="276" t="s">
        <v>955</v>
      </c>
      <c r="GN620" s="276" t="s">
        <v>955</v>
      </c>
      <c r="GO620" s="276" t="s">
        <v>955</v>
      </c>
      <c r="GP620" s="276" t="s">
        <v>955</v>
      </c>
      <c r="GQ620" s="276" t="s">
        <v>955</v>
      </c>
      <c r="GR620" s="276" t="s">
        <v>955</v>
      </c>
      <c r="GS620" s="276" t="s">
        <v>955</v>
      </c>
      <c r="GT620" s="276" t="s">
        <v>955</v>
      </c>
      <c r="GU620" s="276" t="s">
        <v>955</v>
      </c>
      <c r="GV620" s="276" t="s">
        <v>955</v>
      </c>
    </row>
    <row r="621" spans="1:204" x14ac:dyDescent="0.2">
      <c r="A621" s="278"/>
      <c r="B621" s="279"/>
      <c r="GG621" s="276" t="s">
        <v>955</v>
      </c>
      <c r="GH621" s="276" t="s">
        <v>955</v>
      </c>
      <c r="GI621" s="276" t="s">
        <v>955</v>
      </c>
      <c r="GJ621" s="276" t="s">
        <v>955</v>
      </c>
      <c r="GK621" s="276" t="s">
        <v>955</v>
      </c>
      <c r="GL621" s="276" t="s">
        <v>955</v>
      </c>
      <c r="GM621" s="276" t="s">
        <v>955</v>
      </c>
      <c r="GN621" s="276" t="s">
        <v>955</v>
      </c>
      <c r="GO621" s="276" t="s">
        <v>955</v>
      </c>
      <c r="GP621" s="276" t="s">
        <v>955</v>
      </c>
      <c r="GQ621" s="276" t="s">
        <v>955</v>
      </c>
      <c r="GR621" s="276" t="s">
        <v>955</v>
      </c>
      <c r="GS621" s="276" t="s">
        <v>955</v>
      </c>
      <c r="GT621" s="276" t="s">
        <v>955</v>
      </c>
      <c r="GU621" s="276" t="s">
        <v>955</v>
      </c>
      <c r="GV621" s="276" t="s">
        <v>955</v>
      </c>
    </row>
    <row r="622" spans="1:204" x14ac:dyDescent="0.2">
      <c r="A622" s="278"/>
      <c r="B622" s="279"/>
      <c r="GG622" s="276" t="s">
        <v>955</v>
      </c>
      <c r="GH622" s="276" t="s">
        <v>955</v>
      </c>
      <c r="GI622" s="276" t="s">
        <v>955</v>
      </c>
      <c r="GJ622" s="276" t="s">
        <v>955</v>
      </c>
      <c r="GK622" s="276" t="s">
        <v>955</v>
      </c>
      <c r="GL622" s="276" t="s">
        <v>955</v>
      </c>
      <c r="GM622" s="276" t="s">
        <v>955</v>
      </c>
      <c r="GN622" s="276" t="s">
        <v>955</v>
      </c>
      <c r="GO622" s="276" t="s">
        <v>955</v>
      </c>
      <c r="GP622" s="276" t="s">
        <v>955</v>
      </c>
      <c r="GQ622" s="276" t="s">
        <v>955</v>
      </c>
      <c r="GR622" s="276" t="s">
        <v>955</v>
      </c>
      <c r="GS622" s="276" t="s">
        <v>955</v>
      </c>
      <c r="GT622" s="276" t="s">
        <v>955</v>
      </c>
      <c r="GU622" s="276" t="s">
        <v>955</v>
      </c>
      <c r="GV622" s="276" t="s">
        <v>955</v>
      </c>
    </row>
    <row r="623" spans="1:204" x14ac:dyDescent="0.2">
      <c r="A623" s="278"/>
      <c r="B623" s="279"/>
      <c r="GG623" s="276" t="s">
        <v>955</v>
      </c>
      <c r="GH623" s="276" t="s">
        <v>955</v>
      </c>
      <c r="GI623" s="276" t="s">
        <v>955</v>
      </c>
      <c r="GJ623" s="276" t="s">
        <v>955</v>
      </c>
      <c r="GK623" s="276" t="s">
        <v>955</v>
      </c>
      <c r="GL623" s="276" t="s">
        <v>955</v>
      </c>
      <c r="GM623" s="276" t="s">
        <v>955</v>
      </c>
      <c r="GN623" s="276" t="s">
        <v>955</v>
      </c>
      <c r="GO623" s="276" t="s">
        <v>955</v>
      </c>
      <c r="GP623" s="276" t="s">
        <v>955</v>
      </c>
      <c r="GQ623" s="276" t="s">
        <v>955</v>
      </c>
      <c r="GR623" s="276" t="s">
        <v>955</v>
      </c>
      <c r="GS623" s="276" t="s">
        <v>955</v>
      </c>
      <c r="GT623" s="276" t="s">
        <v>955</v>
      </c>
      <c r="GU623" s="276" t="s">
        <v>955</v>
      </c>
      <c r="GV623" s="276" t="s">
        <v>955</v>
      </c>
    </row>
    <row r="624" spans="1:204" x14ac:dyDescent="0.2">
      <c r="A624" s="278"/>
      <c r="B624" s="279"/>
      <c r="GG624" s="276" t="s">
        <v>955</v>
      </c>
      <c r="GH624" s="276" t="s">
        <v>955</v>
      </c>
      <c r="GI624" s="276" t="s">
        <v>955</v>
      </c>
      <c r="GJ624" s="276" t="s">
        <v>955</v>
      </c>
      <c r="GK624" s="276" t="s">
        <v>955</v>
      </c>
      <c r="GL624" s="276" t="s">
        <v>955</v>
      </c>
      <c r="GM624" s="276" t="s">
        <v>955</v>
      </c>
      <c r="GN624" s="276" t="s">
        <v>955</v>
      </c>
      <c r="GO624" s="276" t="s">
        <v>955</v>
      </c>
      <c r="GP624" s="276" t="s">
        <v>955</v>
      </c>
      <c r="GQ624" s="276" t="s">
        <v>955</v>
      </c>
      <c r="GR624" s="276" t="s">
        <v>955</v>
      </c>
      <c r="GS624" s="276" t="s">
        <v>955</v>
      </c>
      <c r="GT624" s="276" t="s">
        <v>955</v>
      </c>
      <c r="GU624" s="276" t="s">
        <v>955</v>
      </c>
      <c r="GV624" s="276" t="s">
        <v>955</v>
      </c>
    </row>
    <row r="625" spans="1:204" x14ac:dyDescent="0.2">
      <c r="A625" s="278"/>
      <c r="B625" s="279"/>
      <c r="GG625" s="276" t="s">
        <v>955</v>
      </c>
      <c r="GH625" s="276" t="s">
        <v>955</v>
      </c>
      <c r="GI625" s="276" t="s">
        <v>955</v>
      </c>
      <c r="GJ625" s="276" t="s">
        <v>955</v>
      </c>
      <c r="GK625" s="276" t="s">
        <v>955</v>
      </c>
      <c r="GL625" s="276" t="s">
        <v>955</v>
      </c>
      <c r="GM625" s="276" t="s">
        <v>955</v>
      </c>
      <c r="GN625" s="276" t="s">
        <v>955</v>
      </c>
      <c r="GO625" s="276" t="s">
        <v>955</v>
      </c>
      <c r="GP625" s="276" t="s">
        <v>955</v>
      </c>
      <c r="GQ625" s="276" t="s">
        <v>955</v>
      </c>
      <c r="GR625" s="276" t="s">
        <v>955</v>
      </c>
      <c r="GS625" s="276" t="s">
        <v>955</v>
      </c>
      <c r="GT625" s="276" t="s">
        <v>955</v>
      </c>
      <c r="GU625" s="276" t="s">
        <v>955</v>
      </c>
      <c r="GV625" s="276" t="s">
        <v>955</v>
      </c>
    </row>
    <row r="626" spans="1:204" x14ac:dyDescent="0.2">
      <c r="A626" s="278"/>
      <c r="B626" s="279"/>
      <c r="GG626" s="276" t="s">
        <v>955</v>
      </c>
      <c r="GH626" s="276" t="s">
        <v>955</v>
      </c>
      <c r="GI626" s="276" t="s">
        <v>955</v>
      </c>
      <c r="GJ626" s="276" t="s">
        <v>955</v>
      </c>
      <c r="GK626" s="276" t="s">
        <v>955</v>
      </c>
      <c r="GL626" s="276" t="s">
        <v>955</v>
      </c>
      <c r="GM626" s="276" t="s">
        <v>955</v>
      </c>
      <c r="GN626" s="276" t="s">
        <v>955</v>
      </c>
      <c r="GO626" s="276" t="s">
        <v>955</v>
      </c>
      <c r="GP626" s="276" t="s">
        <v>955</v>
      </c>
      <c r="GQ626" s="276" t="s">
        <v>955</v>
      </c>
      <c r="GR626" s="276" t="s">
        <v>955</v>
      </c>
      <c r="GS626" s="276" t="s">
        <v>955</v>
      </c>
      <c r="GT626" s="276" t="s">
        <v>955</v>
      </c>
      <c r="GU626" s="276" t="s">
        <v>955</v>
      </c>
      <c r="GV626" s="276" t="s">
        <v>955</v>
      </c>
    </row>
    <row r="627" spans="1:204" x14ac:dyDescent="0.2">
      <c r="A627" s="278"/>
      <c r="B627" s="279"/>
      <c r="GG627" s="276" t="s">
        <v>955</v>
      </c>
      <c r="GH627" s="276" t="s">
        <v>955</v>
      </c>
      <c r="GI627" s="276" t="s">
        <v>955</v>
      </c>
      <c r="GJ627" s="276" t="s">
        <v>955</v>
      </c>
      <c r="GK627" s="276" t="s">
        <v>955</v>
      </c>
      <c r="GL627" s="276" t="s">
        <v>955</v>
      </c>
      <c r="GM627" s="276" t="s">
        <v>955</v>
      </c>
      <c r="GN627" s="276" t="s">
        <v>955</v>
      </c>
      <c r="GO627" s="276" t="s">
        <v>955</v>
      </c>
      <c r="GP627" s="276" t="s">
        <v>955</v>
      </c>
      <c r="GQ627" s="276" t="s">
        <v>955</v>
      </c>
      <c r="GR627" s="276" t="s">
        <v>955</v>
      </c>
      <c r="GS627" s="276" t="s">
        <v>955</v>
      </c>
      <c r="GT627" s="276" t="s">
        <v>955</v>
      </c>
      <c r="GU627" s="276" t="s">
        <v>955</v>
      </c>
      <c r="GV627" s="276" t="s">
        <v>955</v>
      </c>
    </row>
    <row r="628" spans="1:204" x14ac:dyDescent="0.2">
      <c r="A628" s="278"/>
      <c r="B628" s="279"/>
      <c r="GG628" s="276" t="s">
        <v>955</v>
      </c>
      <c r="GH628" s="276" t="s">
        <v>955</v>
      </c>
      <c r="GI628" s="276" t="s">
        <v>955</v>
      </c>
      <c r="GJ628" s="276" t="s">
        <v>955</v>
      </c>
      <c r="GK628" s="276" t="s">
        <v>955</v>
      </c>
      <c r="GL628" s="276" t="s">
        <v>955</v>
      </c>
      <c r="GM628" s="276" t="s">
        <v>955</v>
      </c>
      <c r="GN628" s="276" t="s">
        <v>955</v>
      </c>
      <c r="GO628" s="276" t="s">
        <v>955</v>
      </c>
      <c r="GP628" s="276" t="s">
        <v>955</v>
      </c>
      <c r="GQ628" s="276" t="s">
        <v>955</v>
      </c>
      <c r="GR628" s="276" t="s">
        <v>955</v>
      </c>
      <c r="GS628" s="276" t="s">
        <v>955</v>
      </c>
      <c r="GT628" s="276" t="s">
        <v>955</v>
      </c>
      <c r="GU628" s="276" t="s">
        <v>955</v>
      </c>
      <c r="GV628" s="276" t="s">
        <v>955</v>
      </c>
    </row>
    <row r="629" spans="1:204" x14ac:dyDescent="0.2">
      <c r="A629" s="278"/>
      <c r="B629" s="279"/>
      <c r="GG629" s="276" t="s">
        <v>955</v>
      </c>
      <c r="GH629" s="276" t="s">
        <v>955</v>
      </c>
      <c r="GI629" s="276" t="s">
        <v>955</v>
      </c>
      <c r="GJ629" s="276" t="s">
        <v>955</v>
      </c>
      <c r="GK629" s="276" t="s">
        <v>955</v>
      </c>
      <c r="GL629" s="276" t="s">
        <v>955</v>
      </c>
      <c r="GM629" s="276" t="s">
        <v>955</v>
      </c>
      <c r="GN629" s="276" t="s">
        <v>955</v>
      </c>
      <c r="GO629" s="276" t="s">
        <v>955</v>
      </c>
      <c r="GP629" s="276" t="s">
        <v>955</v>
      </c>
      <c r="GQ629" s="276" t="s">
        <v>955</v>
      </c>
      <c r="GR629" s="276" t="s">
        <v>955</v>
      </c>
      <c r="GS629" s="276" t="s">
        <v>955</v>
      </c>
      <c r="GT629" s="276" t="s">
        <v>955</v>
      </c>
      <c r="GU629" s="276" t="s">
        <v>955</v>
      </c>
      <c r="GV629" s="276" t="s">
        <v>955</v>
      </c>
    </row>
    <row r="630" spans="1:204" x14ac:dyDescent="0.2">
      <c r="A630" s="278"/>
      <c r="B630" s="279"/>
      <c r="GG630" s="276" t="s">
        <v>955</v>
      </c>
      <c r="GH630" s="276" t="s">
        <v>955</v>
      </c>
      <c r="GI630" s="276" t="s">
        <v>955</v>
      </c>
      <c r="GJ630" s="276" t="s">
        <v>955</v>
      </c>
      <c r="GK630" s="276" t="s">
        <v>955</v>
      </c>
      <c r="GL630" s="276" t="s">
        <v>955</v>
      </c>
      <c r="GM630" s="276" t="s">
        <v>955</v>
      </c>
      <c r="GN630" s="276" t="s">
        <v>955</v>
      </c>
      <c r="GO630" s="276" t="s">
        <v>955</v>
      </c>
      <c r="GP630" s="276" t="s">
        <v>955</v>
      </c>
      <c r="GQ630" s="276" t="s">
        <v>955</v>
      </c>
      <c r="GR630" s="276" t="s">
        <v>955</v>
      </c>
      <c r="GS630" s="276" t="s">
        <v>955</v>
      </c>
      <c r="GT630" s="276" t="s">
        <v>955</v>
      </c>
      <c r="GU630" s="276" t="s">
        <v>955</v>
      </c>
      <c r="GV630" s="276" t="s">
        <v>955</v>
      </c>
    </row>
    <row r="631" spans="1:204" x14ac:dyDescent="0.2">
      <c r="A631" s="278"/>
      <c r="B631" s="279"/>
      <c r="GG631" s="276" t="s">
        <v>955</v>
      </c>
      <c r="GH631" s="276" t="s">
        <v>955</v>
      </c>
      <c r="GI631" s="276" t="s">
        <v>955</v>
      </c>
      <c r="GJ631" s="276" t="s">
        <v>955</v>
      </c>
      <c r="GK631" s="276" t="s">
        <v>955</v>
      </c>
      <c r="GL631" s="276" t="s">
        <v>955</v>
      </c>
      <c r="GM631" s="276" t="s">
        <v>955</v>
      </c>
      <c r="GN631" s="276" t="s">
        <v>955</v>
      </c>
      <c r="GO631" s="276" t="s">
        <v>955</v>
      </c>
      <c r="GP631" s="276" t="s">
        <v>955</v>
      </c>
      <c r="GQ631" s="276" t="s">
        <v>955</v>
      </c>
      <c r="GR631" s="276" t="s">
        <v>955</v>
      </c>
      <c r="GS631" s="276" t="s">
        <v>955</v>
      </c>
      <c r="GT631" s="276" t="s">
        <v>955</v>
      </c>
      <c r="GU631" s="276" t="s">
        <v>955</v>
      </c>
      <c r="GV631" s="276" t="s">
        <v>955</v>
      </c>
    </row>
    <row r="632" spans="1:204" x14ac:dyDescent="0.2">
      <c r="A632" s="278"/>
      <c r="B632" s="279"/>
      <c r="GG632" s="276" t="s">
        <v>955</v>
      </c>
      <c r="GH632" s="276" t="s">
        <v>955</v>
      </c>
      <c r="GI632" s="276" t="s">
        <v>955</v>
      </c>
      <c r="GJ632" s="276" t="s">
        <v>955</v>
      </c>
      <c r="GK632" s="276" t="s">
        <v>955</v>
      </c>
      <c r="GL632" s="276" t="s">
        <v>955</v>
      </c>
      <c r="GM632" s="276" t="s">
        <v>955</v>
      </c>
      <c r="GN632" s="276" t="s">
        <v>955</v>
      </c>
      <c r="GO632" s="276" t="s">
        <v>955</v>
      </c>
      <c r="GP632" s="276" t="s">
        <v>955</v>
      </c>
      <c r="GQ632" s="276" t="s">
        <v>955</v>
      </c>
      <c r="GR632" s="276" t="s">
        <v>955</v>
      </c>
      <c r="GS632" s="276" t="s">
        <v>955</v>
      </c>
      <c r="GT632" s="276" t="s">
        <v>955</v>
      </c>
      <c r="GU632" s="276" t="s">
        <v>955</v>
      </c>
      <c r="GV632" s="276" t="s">
        <v>955</v>
      </c>
    </row>
    <row r="633" spans="1:204" x14ac:dyDescent="0.2">
      <c r="A633" s="278"/>
      <c r="B633" s="279"/>
      <c r="GG633" s="276" t="s">
        <v>955</v>
      </c>
      <c r="GH633" s="276" t="s">
        <v>955</v>
      </c>
      <c r="GI633" s="276" t="s">
        <v>955</v>
      </c>
      <c r="GJ633" s="276" t="s">
        <v>955</v>
      </c>
      <c r="GK633" s="276" t="s">
        <v>955</v>
      </c>
      <c r="GL633" s="276" t="s">
        <v>955</v>
      </c>
      <c r="GM633" s="276" t="s">
        <v>955</v>
      </c>
      <c r="GN633" s="276" t="s">
        <v>955</v>
      </c>
      <c r="GO633" s="276" t="s">
        <v>955</v>
      </c>
      <c r="GP633" s="276" t="s">
        <v>955</v>
      </c>
      <c r="GQ633" s="276" t="s">
        <v>955</v>
      </c>
      <c r="GR633" s="276" t="s">
        <v>955</v>
      </c>
      <c r="GS633" s="276" t="s">
        <v>955</v>
      </c>
      <c r="GT633" s="276" t="s">
        <v>955</v>
      </c>
      <c r="GU633" s="276" t="s">
        <v>955</v>
      </c>
      <c r="GV633" s="276" t="s">
        <v>955</v>
      </c>
    </row>
    <row r="634" spans="1:204" x14ac:dyDescent="0.2">
      <c r="A634" s="278"/>
      <c r="B634" s="279"/>
      <c r="GG634" s="276" t="s">
        <v>955</v>
      </c>
      <c r="GH634" s="276" t="s">
        <v>955</v>
      </c>
      <c r="GI634" s="276" t="s">
        <v>955</v>
      </c>
      <c r="GJ634" s="276" t="s">
        <v>955</v>
      </c>
      <c r="GK634" s="276" t="s">
        <v>955</v>
      </c>
      <c r="GL634" s="276" t="s">
        <v>955</v>
      </c>
      <c r="GM634" s="276" t="s">
        <v>955</v>
      </c>
      <c r="GN634" s="276" t="s">
        <v>955</v>
      </c>
      <c r="GO634" s="276" t="s">
        <v>955</v>
      </c>
      <c r="GP634" s="276" t="s">
        <v>955</v>
      </c>
      <c r="GQ634" s="276" t="s">
        <v>955</v>
      </c>
      <c r="GR634" s="276" t="s">
        <v>955</v>
      </c>
      <c r="GS634" s="276" t="s">
        <v>955</v>
      </c>
      <c r="GT634" s="276" t="s">
        <v>955</v>
      </c>
      <c r="GU634" s="276" t="s">
        <v>955</v>
      </c>
      <c r="GV634" s="276" t="s">
        <v>955</v>
      </c>
    </row>
    <row r="635" spans="1:204" x14ac:dyDescent="0.2">
      <c r="A635" s="278"/>
      <c r="B635" s="279"/>
      <c r="GG635" s="276" t="s">
        <v>955</v>
      </c>
      <c r="GH635" s="276" t="s">
        <v>955</v>
      </c>
      <c r="GI635" s="276" t="s">
        <v>955</v>
      </c>
      <c r="GJ635" s="276" t="s">
        <v>955</v>
      </c>
      <c r="GK635" s="276" t="s">
        <v>955</v>
      </c>
      <c r="GL635" s="276" t="s">
        <v>955</v>
      </c>
      <c r="GM635" s="276" t="s">
        <v>955</v>
      </c>
      <c r="GN635" s="276" t="s">
        <v>955</v>
      </c>
      <c r="GO635" s="276" t="s">
        <v>955</v>
      </c>
      <c r="GP635" s="276" t="s">
        <v>955</v>
      </c>
      <c r="GQ635" s="276" t="s">
        <v>955</v>
      </c>
      <c r="GR635" s="276" t="s">
        <v>955</v>
      </c>
      <c r="GS635" s="276" t="s">
        <v>955</v>
      </c>
      <c r="GT635" s="276" t="s">
        <v>955</v>
      </c>
      <c r="GU635" s="276" t="s">
        <v>955</v>
      </c>
      <c r="GV635" s="276" t="s">
        <v>955</v>
      </c>
    </row>
    <row r="636" spans="1:204" x14ac:dyDescent="0.2">
      <c r="A636" s="278"/>
      <c r="B636" s="279"/>
      <c r="GG636" s="276" t="s">
        <v>955</v>
      </c>
      <c r="GH636" s="276" t="s">
        <v>955</v>
      </c>
      <c r="GI636" s="276" t="s">
        <v>955</v>
      </c>
      <c r="GJ636" s="276" t="s">
        <v>955</v>
      </c>
      <c r="GK636" s="276" t="s">
        <v>955</v>
      </c>
      <c r="GL636" s="276" t="s">
        <v>955</v>
      </c>
      <c r="GM636" s="276" t="s">
        <v>955</v>
      </c>
      <c r="GN636" s="276" t="s">
        <v>955</v>
      </c>
      <c r="GO636" s="276" t="s">
        <v>955</v>
      </c>
      <c r="GP636" s="276" t="s">
        <v>955</v>
      </c>
      <c r="GQ636" s="276" t="s">
        <v>955</v>
      </c>
      <c r="GR636" s="276" t="s">
        <v>955</v>
      </c>
      <c r="GS636" s="276" t="s">
        <v>955</v>
      </c>
      <c r="GT636" s="276" t="s">
        <v>955</v>
      </c>
      <c r="GU636" s="276" t="s">
        <v>955</v>
      </c>
      <c r="GV636" s="276" t="s">
        <v>955</v>
      </c>
    </row>
    <row r="637" spans="1:204" x14ac:dyDescent="0.2">
      <c r="A637" s="278"/>
      <c r="B637" s="279"/>
      <c r="GG637" s="276" t="s">
        <v>955</v>
      </c>
      <c r="GH637" s="276" t="s">
        <v>955</v>
      </c>
      <c r="GI637" s="276" t="s">
        <v>955</v>
      </c>
      <c r="GJ637" s="276" t="s">
        <v>955</v>
      </c>
      <c r="GK637" s="276" t="s">
        <v>955</v>
      </c>
      <c r="GL637" s="276" t="s">
        <v>955</v>
      </c>
      <c r="GM637" s="276" t="s">
        <v>955</v>
      </c>
      <c r="GN637" s="276" t="s">
        <v>955</v>
      </c>
      <c r="GO637" s="276" t="s">
        <v>955</v>
      </c>
      <c r="GP637" s="276" t="s">
        <v>955</v>
      </c>
      <c r="GQ637" s="276" t="s">
        <v>955</v>
      </c>
      <c r="GR637" s="276" t="s">
        <v>955</v>
      </c>
      <c r="GS637" s="276" t="s">
        <v>955</v>
      </c>
      <c r="GT637" s="276" t="s">
        <v>955</v>
      </c>
      <c r="GU637" s="276" t="s">
        <v>955</v>
      </c>
      <c r="GV637" s="276" t="s">
        <v>955</v>
      </c>
    </row>
    <row r="638" spans="1:204" x14ac:dyDescent="0.2">
      <c r="A638" s="278"/>
      <c r="B638" s="279"/>
      <c r="GG638" s="276" t="s">
        <v>955</v>
      </c>
      <c r="GH638" s="276" t="s">
        <v>955</v>
      </c>
      <c r="GI638" s="276" t="s">
        <v>955</v>
      </c>
      <c r="GJ638" s="276" t="s">
        <v>955</v>
      </c>
      <c r="GK638" s="276" t="s">
        <v>955</v>
      </c>
      <c r="GL638" s="276" t="s">
        <v>955</v>
      </c>
      <c r="GM638" s="276" t="s">
        <v>955</v>
      </c>
      <c r="GN638" s="276" t="s">
        <v>955</v>
      </c>
      <c r="GO638" s="276" t="s">
        <v>955</v>
      </c>
      <c r="GP638" s="276" t="s">
        <v>955</v>
      </c>
      <c r="GQ638" s="276" t="s">
        <v>955</v>
      </c>
      <c r="GR638" s="276" t="s">
        <v>955</v>
      </c>
      <c r="GS638" s="276" t="s">
        <v>955</v>
      </c>
      <c r="GT638" s="276" t="s">
        <v>955</v>
      </c>
      <c r="GU638" s="276" t="s">
        <v>955</v>
      </c>
      <c r="GV638" s="276" t="s">
        <v>955</v>
      </c>
    </row>
    <row r="639" spans="1:204" x14ac:dyDescent="0.2">
      <c r="A639" s="278"/>
      <c r="B639" s="279"/>
      <c r="GG639" s="276" t="s">
        <v>955</v>
      </c>
      <c r="GH639" s="276" t="s">
        <v>955</v>
      </c>
      <c r="GI639" s="276" t="s">
        <v>955</v>
      </c>
      <c r="GJ639" s="276" t="s">
        <v>955</v>
      </c>
      <c r="GK639" s="276" t="s">
        <v>955</v>
      </c>
      <c r="GL639" s="276" t="s">
        <v>955</v>
      </c>
      <c r="GM639" s="276" t="s">
        <v>955</v>
      </c>
      <c r="GN639" s="276" t="s">
        <v>955</v>
      </c>
      <c r="GO639" s="276" t="s">
        <v>955</v>
      </c>
      <c r="GP639" s="276" t="s">
        <v>955</v>
      </c>
      <c r="GQ639" s="276" t="s">
        <v>955</v>
      </c>
      <c r="GR639" s="276" t="s">
        <v>955</v>
      </c>
      <c r="GS639" s="276" t="s">
        <v>955</v>
      </c>
      <c r="GT639" s="276" t="s">
        <v>955</v>
      </c>
      <c r="GU639" s="276" t="s">
        <v>955</v>
      </c>
      <c r="GV639" s="276" t="s">
        <v>955</v>
      </c>
    </row>
    <row r="640" spans="1:204" x14ac:dyDescent="0.2">
      <c r="A640" s="278"/>
      <c r="B640" s="279"/>
      <c r="GG640" s="276" t="s">
        <v>955</v>
      </c>
      <c r="GH640" s="276" t="s">
        <v>955</v>
      </c>
      <c r="GI640" s="276" t="s">
        <v>955</v>
      </c>
      <c r="GJ640" s="276" t="s">
        <v>955</v>
      </c>
      <c r="GK640" s="276" t="s">
        <v>955</v>
      </c>
      <c r="GL640" s="276" t="s">
        <v>955</v>
      </c>
      <c r="GM640" s="276" t="s">
        <v>955</v>
      </c>
      <c r="GN640" s="276" t="s">
        <v>955</v>
      </c>
      <c r="GO640" s="276" t="s">
        <v>955</v>
      </c>
      <c r="GP640" s="276" t="s">
        <v>955</v>
      </c>
      <c r="GQ640" s="276" t="s">
        <v>955</v>
      </c>
      <c r="GR640" s="276" t="s">
        <v>955</v>
      </c>
      <c r="GS640" s="276" t="s">
        <v>955</v>
      </c>
      <c r="GT640" s="276" t="s">
        <v>955</v>
      </c>
      <c r="GU640" s="276" t="s">
        <v>955</v>
      </c>
      <c r="GV640" s="276" t="s">
        <v>955</v>
      </c>
    </row>
    <row r="641" spans="1:204" x14ac:dyDescent="0.2">
      <c r="A641" s="278"/>
      <c r="B641" s="279"/>
      <c r="GG641" s="276" t="s">
        <v>955</v>
      </c>
      <c r="GH641" s="276" t="s">
        <v>955</v>
      </c>
      <c r="GI641" s="276" t="s">
        <v>955</v>
      </c>
      <c r="GJ641" s="276" t="s">
        <v>955</v>
      </c>
      <c r="GK641" s="276" t="s">
        <v>955</v>
      </c>
      <c r="GL641" s="276" t="s">
        <v>955</v>
      </c>
      <c r="GM641" s="276" t="s">
        <v>955</v>
      </c>
      <c r="GN641" s="276" t="s">
        <v>955</v>
      </c>
      <c r="GO641" s="276" t="s">
        <v>955</v>
      </c>
      <c r="GP641" s="276" t="s">
        <v>955</v>
      </c>
      <c r="GQ641" s="276" t="s">
        <v>955</v>
      </c>
      <c r="GR641" s="276" t="s">
        <v>955</v>
      </c>
      <c r="GS641" s="276" t="s">
        <v>955</v>
      </c>
      <c r="GT641" s="276" t="s">
        <v>955</v>
      </c>
      <c r="GU641" s="276" t="s">
        <v>955</v>
      </c>
      <c r="GV641" s="276" t="s">
        <v>955</v>
      </c>
    </row>
    <row r="642" spans="1:204" x14ac:dyDescent="0.2">
      <c r="A642" s="278"/>
      <c r="B642" s="279"/>
      <c r="GG642" s="276" t="s">
        <v>955</v>
      </c>
      <c r="GH642" s="276" t="s">
        <v>955</v>
      </c>
      <c r="GI642" s="276" t="s">
        <v>955</v>
      </c>
      <c r="GJ642" s="276" t="s">
        <v>955</v>
      </c>
      <c r="GK642" s="276" t="s">
        <v>955</v>
      </c>
      <c r="GL642" s="276" t="s">
        <v>955</v>
      </c>
      <c r="GM642" s="276" t="s">
        <v>955</v>
      </c>
      <c r="GN642" s="276" t="s">
        <v>955</v>
      </c>
      <c r="GO642" s="276" t="s">
        <v>955</v>
      </c>
      <c r="GP642" s="276" t="s">
        <v>955</v>
      </c>
      <c r="GQ642" s="276" t="s">
        <v>955</v>
      </c>
      <c r="GR642" s="276" t="s">
        <v>955</v>
      </c>
      <c r="GS642" s="276" t="s">
        <v>955</v>
      </c>
      <c r="GT642" s="276" t="s">
        <v>955</v>
      </c>
      <c r="GU642" s="276" t="s">
        <v>955</v>
      </c>
      <c r="GV642" s="276" t="s">
        <v>955</v>
      </c>
    </row>
    <row r="643" spans="1:204" x14ac:dyDescent="0.2">
      <c r="A643" s="278"/>
      <c r="B643" s="279"/>
      <c r="GG643" s="276" t="s">
        <v>955</v>
      </c>
      <c r="GH643" s="276" t="s">
        <v>955</v>
      </c>
      <c r="GI643" s="276" t="s">
        <v>955</v>
      </c>
      <c r="GJ643" s="276" t="s">
        <v>955</v>
      </c>
      <c r="GK643" s="276" t="s">
        <v>955</v>
      </c>
      <c r="GL643" s="276" t="s">
        <v>955</v>
      </c>
      <c r="GM643" s="276" t="s">
        <v>955</v>
      </c>
      <c r="GN643" s="276" t="s">
        <v>955</v>
      </c>
      <c r="GO643" s="276" t="s">
        <v>955</v>
      </c>
      <c r="GP643" s="276" t="s">
        <v>955</v>
      </c>
      <c r="GQ643" s="276" t="s">
        <v>955</v>
      </c>
      <c r="GR643" s="276" t="s">
        <v>955</v>
      </c>
      <c r="GS643" s="276" t="s">
        <v>955</v>
      </c>
      <c r="GT643" s="276" t="s">
        <v>955</v>
      </c>
      <c r="GU643" s="276" t="s">
        <v>955</v>
      </c>
      <c r="GV643" s="276" t="s">
        <v>955</v>
      </c>
    </row>
    <row r="644" spans="1:204" x14ac:dyDescent="0.2">
      <c r="A644" s="278"/>
      <c r="B644" s="279"/>
      <c r="GG644" s="276" t="s">
        <v>955</v>
      </c>
      <c r="GH644" s="276" t="s">
        <v>955</v>
      </c>
      <c r="GI644" s="276" t="s">
        <v>955</v>
      </c>
      <c r="GJ644" s="276" t="s">
        <v>955</v>
      </c>
      <c r="GK644" s="276" t="s">
        <v>955</v>
      </c>
      <c r="GL644" s="276" t="s">
        <v>955</v>
      </c>
      <c r="GM644" s="276" t="s">
        <v>955</v>
      </c>
      <c r="GN644" s="276" t="s">
        <v>955</v>
      </c>
      <c r="GO644" s="276" t="s">
        <v>955</v>
      </c>
      <c r="GP644" s="276" t="s">
        <v>955</v>
      </c>
      <c r="GQ644" s="276" t="s">
        <v>955</v>
      </c>
      <c r="GR644" s="276" t="s">
        <v>955</v>
      </c>
      <c r="GS644" s="276" t="s">
        <v>955</v>
      </c>
      <c r="GT644" s="276" t="s">
        <v>955</v>
      </c>
      <c r="GU644" s="276" t="s">
        <v>955</v>
      </c>
      <c r="GV644" s="276" t="s">
        <v>955</v>
      </c>
    </row>
    <row r="645" spans="1:204" x14ac:dyDescent="0.2">
      <c r="A645" s="278"/>
      <c r="B645" s="279"/>
      <c r="GG645" s="276" t="s">
        <v>955</v>
      </c>
      <c r="GH645" s="276" t="s">
        <v>955</v>
      </c>
      <c r="GI645" s="276" t="s">
        <v>955</v>
      </c>
      <c r="GJ645" s="276" t="s">
        <v>955</v>
      </c>
      <c r="GK645" s="276" t="s">
        <v>955</v>
      </c>
      <c r="GL645" s="276" t="s">
        <v>955</v>
      </c>
      <c r="GM645" s="276" t="s">
        <v>955</v>
      </c>
      <c r="GN645" s="276" t="s">
        <v>955</v>
      </c>
      <c r="GO645" s="276" t="s">
        <v>955</v>
      </c>
      <c r="GP645" s="276" t="s">
        <v>955</v>
      </c>
      <c r="GQ645" s="276" t="s">
        <v>955</v>
      </c>
      <c r="GR645" s="276" t="s">
        <v>955</v>
      </c>
      <c r="GS645" s="276" t="s">
        <v>955</v>
      </c>
      <c r="GT645" s="276" t="s">
        <v>955</v>
      </c>
      <c r="GU645" s="276" t="s">
        <v>955</v>
      </c>
      <c r="GV645" s="276" t="s">
        <v>955</v>
      </c>
    </row>
    <row r="646" spans="1:204" x14ac:dyDescent="0.2">
      <c r="A646" s="278"/>
      <c r="B646" s="279"/>
      <c r="GG646" s="276" t="s">
        <v>955</v>
      </c>
      <c r="GH646" s="276" t="s">
        <v>955</v>
      </c>
      <c r="GI646" s="276" t="s">
        <v>955</v>
      </c>
      <c r="GJ646" s="276" t="s">
        <v>955</v>
      </c>
      <c r="GK646" s="276" t="s">
        <v>955</v>
      </c>
      <c r="GL646" s="276" t="s">
        <v>955</v>
      </c>
      <c r="GM646" s="276" t="s">
        <v>955</v>
      </c>
      <c r="GN646" s="276" t="s">
        <v>955</v>
      </c>
      <c r="GO646" s="276" t="s">
        <v>955</v>
      </c>
      <c r="GP646" s="276" t="s">
        <v>955</v>
      </c>
      <c r="GQ646" s="276" t="s">
        <v>955</v>
      </c>
      <c r="GR646" s="276" t="s">
        <v>955</v>
      </c>
      <c r="GS646" s="276" t="s">
        <v>955</v>
      </c>
      <c r="GT646" s="276" t="s">
        <v>955</v>
      </c>
      <c r="GU646" s="276" t="s">
        <v>955</v>
      </c>
      <c r="GV646" s="276" t="s">
        <v>955</v>
      </c>
    </row>
    <row r="647" spans="1:204" x14ac:dyDescent="0.2">
      <c r="A647" s="278"/>
      <c r="B647" s="279"/>
      <c r="GG647" s="276" t="s">
        <v>955</v>
      </c>
      <c r="GH647" s="276" t="s">
        <v>955</v>
      </c>
      <c r="GI647" s="276" t="s">
        <v>955</v>
      </c>
      <c r="GJ647" s="276" t="s">
        <v>955</v>
      </c>
      <c r="GK647" s="276" t="s">
        <v>955</v>
      </c>
      <c r="GL647" s="276" t="s">
        <v>955</v>
      </c>
      <c r="GM647" s="276" t="s">
        <v>955</v>
      </c>
      <c r="GN647" s="276" t="s">
        <v>955</v>
      </c>
      <c r="GO647" s="276" t="s">
        <v>955</v>
      </c>
      <c r="GP647" s="276" t="s">
        <v>955</v>
      </c>
      <c r="GQ647" s="276" t="s">
        <v>955</v>
      </c>
      <c r="GR647" s="276" t="s">
        <v>955</v>
      </c>
      <c r="GS647" s="276" t="s">
        <v>955</v>
      </c>
      <c r="GT647" s="276" t="s">
        <v>955</v>
      </c>
      <c r="GU647" s="276" t="s">
        <v>955</v>
      </c>
      <c r="GV647" s="276" t="s">
        <v>955</v>
      </c>
    </row>
    <row r="648" spans="1:204" x14ac:dyDescent="0.2">
      <c r="A648" s="278"/>
      <c r="B648" s="279"/>
      <c r="GG648" s="276" t="s">
        <v>955</v>
      </c>
      <c r="GH648" s="276" t="s">
        <v>955</v>
      </c>
      <c r="GI648" s="276" t="s">
        <v>955</v>
      </c>
      <c r="GJ648" s="276" t="s">
        <v>955</v>
      </c>
      <c r="GK648" s="276" t="s">
        <v>955</v>
      </c>
      <c r="GL648" s="276" t="s">
        <v>955</v>
      </c>
      <c r="GM648" s="276" t="s">
        <v>955</v>
      </c>
      <c r="GN648" s="276" t="s">
        <v>955</v>
      </c>
      <c r="GO648" s="276" t="s">
        <v>955</v>
      </c>
      <c r="GP648" s="276" t="s">
        <v>955</v>
      </c>
      <c r="GQ648" s="276" t="s">
        <v>955</v>
      </c>
      <c r="GR648" s="276" t="s">
        <v>955</v>
      </c>
      <c r="GS648" s="276" t="s">
        <v>955</v>
      </c>
      <c r="GT648" s="276" t="s">
        <v>955</v>
      </c>
      <c r="GU648" s="276" t="s">
        <v>955</v>
      </c>
      <c r="GV648" s="276" t="s">
        <v>955</v>
      </c>
    </row>
    <row r="649" spans="1:204" x14ac:dyDescent="0.2">
      <c r="A649" s="278"/>
      <c r="B649" s="279"/>
      <c r="GG649" s="276" t="s">
        <v>955</v>
      </c>
      <c r="GH649" s="276" t="s">
        <v>955</v>
      </c>
      <c r="GI649" s="276" t="s">
        <v>955</v>
      </c>
      <c r="GJ649" s="276" t="s">
        <v>955</v>
      </c>
      <c r="GK649" s="276" t="s">
        <v>955</v>
      </c>
      <c r="GL649" s="276" t="s">
        <v>955</v>
      </c>
      <c r="GM649" s="276" t="s">
        <v>955</v>
      </c>
      <c r="GN649" s="276" t="s">
        <v>955</v>
      </c>
      <c r="GO649" s="276" t="s">
        <v>955</v>
      </c>
      <c r="GP649" s="276" t="s">
        <v>955</v>
      </c>
      <c r="GQ649" s="276" t="s">
        <v>955</v>
      </c>
      <c r="GR649" s="276" t="s">
        <v>955</v>
      </c>
      <c r="GS649" s="276" t="s">
        <v>955</v>
      </c>
      <c r="GT649" s="276" t="s">
        <v>955</v>
      </c>
      <c r="GU649" s="276" t="s">
        <v>955</v>
      </c>
      <c r="GV649" s="276" t="s">
        <v>955</v>
      </c>
    </row>
    <row r="650" spans="1:204" x14ac:dyDescent="0.2">
      <c r="A650" s="278"/>
      <c r="B650" s="279"/>
      <c r="GG650" s="276" t="s">
        <v>955</v>
      </c>
      <c r="GH650" s="276" t="s">
        <v>955</v>
      </c>
      <c r="GI650" s="276" t="s">
        <v>955</v>
      </c>
      <c r="GJ650" s="276" t="s">
        <v>955</v>
      </c>
      <c r="GK650" s="276" t="s">
        <v>955</v>
      </c>
      <c r="GL650" s="276" t="s">
        <v>955</v>
      </c>
      <c r="GM650" s="276" t="s">
        <v>955</v>
      </c>
      <c r="GN650" s="276" t="s">
        <v>955</v>
      </c>
      <c r="GO650" s="276" t="s">
        <v>955</v>
      </c>
      <c r="GP650" s="276" t="s">
        <v>955</v>
      </c>
      <c r="GQ650" s="276" t="s">
        <v>955</v>
      </c>
      <c r="GR650" s="276" t="s">
        <v>955</v>
      </c>
      <c r="GS650" s="276" t="s">
        <v>955</v>
      </c>
      <c r="GT650" s="276" t="s">
        <v>955</v>
      </c>
      <c r="GU650" s="276" t="s">
        <v>955</v>
      </c>
      <c r="GV650" s="276" t="s">
        <v>955</v>
      </c>
    </row>
    <row r="651" spans="1:204" x14ac:dyDescent="0.2">
      <c r="A651" s="278"/>
      <c r="B651" s="279"/>
      <c r="GG651" s="276" t="s">
        <v>955</v>
      </c>
      <c r="GH651" s="276" t="s">
        <v>955</v>
      </c>
      <c r="GI651" s="276" t="s">
        <v>955</v>
      </c>
      <c r="GJ651" s="276" t="s">
        <v>955</v>
      </c>
      <c r="GK651" s="276" t="s">
        <v>955</v>
      </c>
      <c r="GL651" s="276" t="s">
        <v>955</v>
      </c>
      <c r="GM651" s="276" t="s">
        <v>955</v>
      </c>
      <c r="GN651" s="276" t="s">
        <v>955</v>
      </c>
      <c r="GO651" s="276" t="s">
        <v>955</v>
      </c>
      <c r="GP651" s="276" t="s">
        <v>955</v>
      </c>
      <c r="GQ651" s="276" t="s">
        <v>955</v>
      </c>
      <c r="GR651" s="276" t="s">
        <v>955</v>
      </c>
      <c r="GS651" s="276" t="s">
        <v>955</v>
      </c>
      <c r="GT651" s="276" t="s">
        <v>955</v>
      </c>
      <c r="GU651" s="276" t="s">
        <v>955</v>
      </c>
      <c r="GV651" s="276" t="s">
        <v>955</v>
      </c>
    </row>
    <row r="652" spans="1:204" x14ac:dyDescent="0.2">
      <c r="A652" s="278"/>
      <c r="B652" s="279"/>
      <c r="GG652" s="276" t="s">
        <v>955</v>
      </c>
      <c r="GH652" s="276" t="s">
        <v>955</v>
      </c>
      <c r="GI652" s="276" t="s">
        <v>955</v>
      </c>
      <c r="GJ652" s="276" t="s">
        <v>955</v>
      </c>
      <c r="GK652" s="276" t="s">
        <v>955</v>
      </c>
      <c r="GL652" s="276" t="s">
        <v>955</v>
      </c>
      <c r="GM652" s="276" t="s">
        <v>955</v>
      </c>
      <c r="GN652" s="276" t="s">
        <v>955</v>
      </c>
      <c r="GO652" s="276" t="s">
        <v>955</v>
      </c>
      <c r="GP652" s="276" t="s">
        <v>955</v>
      </c>
      <c r="GQ652" s="276" t="s">
        <v>955</v>
      </c>
      <c r="GR652" s="276" t="s">
        <v>955</v>
      </c>
      <c r="GS652" s="276" t="s">
        <v>955</v>
      </c>
      <c r="GT652" s="276" t="s">
        <v>955</v>
      </c>
      <c r="GU652" s="276" t="s">
        <v>955</v>
      </c>
      <c r="GV652" s="276" t="s">
        <v>955</v>
      </c>
    </row>
    <row r="653" spans="1:204" x14ac:dyDescent="0.2">
      <c r="A653" s="278"/>
      <c r="B653" s="279"/>
      <c r="GG653" s="276" t="s">
        <v>955</v>
      </c>
      <c r="GH653" s="276" t="s">
        <v>955</v>
      </c>
      <c r="GI653" s="276" t="s">
        <v>955</v>
      </c>
      <c r="GJ653" s="276" t="s">
        <v>955</v>
      </c>
      <c r="GK653" s="276" t="s">
        <v>955</v>
      </c>
      <c r="GL653" s="276" t="s">
        <v>955</v>
      </c>
      <c r="GM653" s="276" t="s">
        <v>955</v>
      </c>
      <c r="GN653" s="276" t="s">
        <v>955</v>
      </c>
      <c r="GO653" s="276" t="s">
        <v>955</v>
      </c>
      <c r="GP653" s="276" t="s">
        <v>955</v>
      </c>
      <c r="GQ653" s="276" t="s">
        <v>955</v>
      </c>
      <c r="GR653" s="276" t="s">
        <v>955</v>
      </c>
      <c r="GS653" s="276" t="s">
        <v>955</v>
      </c>
      <c r="GT653" s="276" t="s">
        <v>955</v>
      </c>
      <c r="GU653" s="276" t="s">
        <v>955</v>
      </c>
      <c r="GV653" s="276" t="s">
        <v>955</v>
      </c>
    </row>
    <row r="654" spans="1:204" x14ac:dyDescent="0.2">
      <c r="A654" s="278"/>
      <c r="B654" s="279"/>
      <c r="GG654" s="276" t="s">
        <v>955</v>
      </c>
      <c r="GH654" s="276" t="s">
        <v>955</v>
      </c>
      <c r="GI654" s="276" t="s">
        <v>955</v>
      </c>
      <c r="GJ654" s="276" t="s">
        <v>955</v>
      </c>
      <c r="GK654" s="276" t="s">
        <v>955</v>
      </c>
      <c r="GL654" s="276" t="s">
        <v>955</v>
      </c>
      <c r="GM654" s="276" t="s">
        <v>955</v>
      </c>
      <c r="GN654" s="276" t="s">
        <v>955</v>
      </c>
      <c r="GO654" s="276" t="s">
        <v>955</v>
      </c>
      <c r="GP654" s="276" t="s">
        <v>955</v>
      </c>
      <c r="GQ654" s="276" t="s">
        <v>955</v>
      </c>
      <c r="GR654" s="276" t="s">
        <v>955</v>
      </c>
      <c r="GS654" s="276" t="s">
        <v>955</v>
      </c>
      <c r="GT654" s="276" t="s">
        <v>955</v>
      </c>
      <c r="GU654" s="276" t="s">
        <v>955</v>
      </c>
      <c r="GV654" s="276" t="s">
        <v>955</v>
      </c>
    </row>
    <row r="655" spans="1:204" x14ac:dyDescent="0.2">
      <c r="A655" s="278"/>
      <c r="B655" s="279"/>
      <c r="GG655" s="276" t="s">
        <v>955</v>
      </c>
      <c r="GH655" s="276" t="s">
        <v>955</v>
      </c>
      <c r="GI655" s="276" t="s">
        <v>955</v>
      </c>
      <c r="GJ655" s="276" t="s">
        <v>955</v>
      </c>
      <c r="GK655" s="276" t="s">
        <v>955</v>
      </c>
      <c r="GL655" s="276" t="s">
        <v>955</v>
      </c>
      <c r="GM655" s="276" t="s">
        <v>955</v>
      </c>
      <c r="GN655" s="276" t="s">
        <v>955</v>
      </c>
      <c r="GO655" s="276" t="s">
        <v>955</v>
      </c>
      <c r="GP655" s="276" t="s">
        <v>955</v>
      </c>
      <c r="GQ655" s="276" t="s">
        <v>955</v>
      </c>
      <c r="GR655" s="276" t="s">
        <v>955</v>
      </c>
      <c r="GS655" s="276" t="s">
        <v>955</v>
      </c>
      <c r="GT655" s="276" t="s">
        <v>955</v>
      </c>
      <c r="GU655" s="276" t="s">
        <v>955</v>
      </c>
      <c r="GV655" s="276" t="s">
        <v>955</v>
      </c>
    </row>
    <row r="656" spans="1:204" x14ac:dyDescent="0.2">
      <c r="A656" s="278"/>
      <c r="B656" s="279"/>
      <c r="GG656" s="276" t="s">
        <v>955</v>
      </c>
      <c r="GH656" s="276" t="s">
        <v>955</v>
      </c>
      <c r="GI656" s="276" t="s">
        <v>955</v>
      </c>
      <c r="GJ656" s="276" t="s">
        <v>955</v>
      </c>
      <c r="GK656" s="276" t="s">
        <v>955</v>
      </c>
      <c r="GL656" s="276" t="s">
        <v>955</v>
      </c>
      <c r="GM656" s="276" t="s">
        <v>955</v>
      </c>
      <c r="GN656" s="276" t="s">
        <v>955</v>
      </c>
      <c r="GO656" s="276" t="s">
        <v>955</v>
      </c>
      <c r="GP656" s="276" t="s">
        <v>955</v>
      </c>
      <c r="GQ656" s="276" t="s">
        <v>955</v>
      </c>
      <c r="GR656" s="276" t="s">
        <v>955</v>
      </c>
      <c r="GS656" s="276" t="s">
        <v>955</v>
      </c>
      <c r="GT656" s="276" t="s">
        <v>955</v>
      </c>
      <c r="GU656" s="276" t="s">
        <v>955</v>
      </c>
      <c r="GV656" s="276" t="s">
        <v>955</v>
      </c>
    </row>
    <row r="657" spans="1:204" x14ac:dyDescent="0.2">
      <c r="A657" s="278"/>
      <c r="B657" s="279"/>
      <c r="GG657" s="276" t="s">
        <v>955</v>
      </c>
      <c r="GH657" s="276" t="s">
        <v>955</v>
      </c>
      <c r="GI657" s="276" t="s">
        <v>955</v>
      </c>
      <c r="GJ657" s="276" t="s">
        <v>955</v>
      </c>
      <c r="GK657" s="276" t="s">
        <v>955</v>
      </c>
      <c r="GL657" s="276" t="s">
        <v>955</v>
      </c>
      <c r="GM657" s="276" t="s">
        <v>955</v>
      </c>
      <c r="GN657" s="276" t="s">
        <v>955</v>
      </c>
      <c r="GO657" s="276" t="s">
        <v>955</v>
      </c>
      <c r="GP657" s="276" t="s">
        <v>955</v>
      </c>
      <c r="GQ657" s="276" t="s">
        <v>955</v>
      </c>
      <c r="GR657" s="276" t="s">
        <v>955</v>
      </c>
      <c r="GS657" s="276" t="s">
        <v>955</v>
      </c>
      <c r="GT657" s="276" t="s">
        <v>955</v>
      </c>
      <c r="GU657" s="276" t="s">
        <v>955</v>
      </c>
      <c r="GV657" s="276" t="s">
        <v>955</v>
      </c>
    </row>
    <row r="658" spans="1:204" x14ac:dyDescent="0.2">
      <c r="A658" s="278"/>
      <c r="B658" s="279"/>
      <c r="GG658" s="276" t="s">
        <v>955</v>
      </c>
      <c r="GH658" s="276" t="s">
        <v>955</v>
      </c>
      <c r="GI658" s="276" t="s">
        <v>955</v>
      </c>
      <c r="GJ658" s="276" t="s">
        <v>955</v>
      </c>
      <c r="GK658" s="276" t="s">
        <v>955</v>
      </c>
      <c r="GL658" s="276" t="s">
        <v>955</v>
      </c>
      <c r="GM658" s="276" t="s">
        <v>955</v>
      </c>
      <c r="GN658" s="276" t="s">
        <v>955</v>
      </c>
      <c r="GO658" s="276" t="s">
        <v>955</v>
      </c>
      <c r="GP658" s="276" t="s">
        <v>955</v>
      </c>
      <c r="GQ658" s="276" t="s">
        <v>955</v>
      </c>
      <c r="GR658" s="276" t="s">
        <v>955</v>
      </c>
      <c r="GS658" s="276" t="s">
        <v>955</v>
      </c>
      <c r="GT658" s="276" t="s">
        <v>955</v>
      </c>
      <c r="GU658" s="276" t="s">
        <v>955</v>
      </c>
      <c r="GV658" s="276" t="s">
        <v>955</v>
      </c>
    </row>
    <row r="659" spans="1:204" x14ac:dyDescent="0.2">
      <c r="A659" s="278"/>
      <c r="B659" s="279"/>
      <c r="GG659" s="276" t="s">
        <v>955</v>
      </c>
      <c r="GH659" s="276" t="s">
        <v>955</v>
      </c>
      <c r="GI659" s="276" t="s">
        <v>955</v>
      </c>
      <c r="GJ659" s="276" t="s">
        <v>955</v>
      </c>
      <c r="GK659" s="276" t="s">
        <v>955</v>
      </c>
      <c r="GL659" s="276" t="s">
        <v>955</v>
      </c>
      <c r="GM659" s="276" t="s">
        <v>955</v>
      </c>
      <c r="GN659" s="276" t="s">
        <v>955</v>
      </c>
      <c r="GO659" s="276" t="s">
        <v>955</v>
      </c>
      <c r="GP659" s="276" t="s">
        <v>955</v>
      </c>
      <c r="GQ659" s="276" t="s">
        <v>955</v>
      </c>
      <c r="GR659" s="276" t="s">
        <v>955</v>
      </c>
      <c r="GS659" s="276" t="s">
        <v>955</v>
      </c>
      <c r="GT659" s="276" t="s">
        <v>955</v>
      </c>
      <c r="GU659" s="276" t="s">
        <v>955</v>
      </c>
      <c r="GV659" s="276" t="s">
        <v>955</v>
      </c>
    </row>
    <row r="660" spans="1:204" x14ac:dyDescent="0.2">
      <c r="A660" s="278"/>
      <c r="B660" s="279"/>
      <c r="GG660" s="276" t="s">
        <v>955</v>
      </c>
      <c r="GH660" s="276" t="s">
        <v>955</v>
      </c>
      <c r="GI660" s="276" t="s">
        <v>955</v>
      </c>
      <c r="GJ660" s="276" t="s">
        <v>955</v>
      </c>
      <c r="GK660" s="276" t="s">
        <v>955</v>
      </c>
      <c r="GL660" s="276" t="s">
        <v>955</v>
      </c>
      <c r="GM660" s="276" t="s">
        <v>955</v>
      </c>
      <c r="GN660" s="276" t="s">
        <v>955</v>
      </c>
      <c r="GO660" s="276" t="s">
        <v>955</v>
      </c>
      <c r="GP660" s="276" t="s">
        <v>955</v>
      </c>
      <c r="GQ660" s="276" t="s">
        <v>955</v>
      </c>
      <c r="GR660" s="276" t="s">
        <v>955</v>
      </c>
      <c r="GS660" s="276" t="s">
        <v>955</v>
      </c>
      <c r="GT660" s="276" t="s">
        <v>955</v>
      </c>
      <c r="GU660" s="276" t="s">
        <v>955</v>
      </c>
      <c r="GV660" s="276" t="s">
        <v>955</v>
      </c>
    </row>
    <row r="661" spans="1:204" x14ac:dyDescent="0.2">
      <c r="A661" s="278"/>
      <c r="B661" s="279"/>
      <c r="GG661" s="276" t="s">
        <v>955</v>
      </c>
      <c r="GH661" s="276" t="s">
        <v>955</v>
      </c>
      <c r="GI661" s="276" t="s">
        <v>955</v>
      </c>
      <c r="GJ661" s="276" t="s">
        <v>955</v>
      </c>
      <c r="GK661" s="276" t="s">
        <v>955</v>
      </c>
      <c r="GL661" s="276" t="s">
        <v>955</v>
      </c>
      <c r="GM661" s="276" t="s">
        <v>955</v>
      </c>
      <c r="GN661" s="276" t="s">
        <v>955</v>
      </c>
      <c r="GO661" s="276" t="s">
        <v>955</v>
      </c>
      <c r="GP661" s="276" t="s">
        <v>955</v>
      </c>
      <c r="GQ661" s="276" t="s">
        <v>955</v>
      </c>
      <c r="GR661" s="276" t="s">
        <v>955</v>
      </c>
      <c r="GS661" s="276" t="s">
        <v>955</v>
      </c>
      <c r="GT661" s="276" t="s">
        <v>955</v>
      </c>
      <c r="GU661" s="276" t="s">
        <v>955</v>
      </c>
      <c r="GV661" s="276" t="s">
        <v>955</v>
      </c>
    </row>
    <row r="662" spans="1:204" x14ac:dyDescent="0.2">
      <c r="A662" s="278"/>
      <c r="B662" s="279"/>
      <c r="GG662" s="276" t="s">
        <v>955</v>
      </c>
      <c r="GH662" s="276" t="s">
        <v>955</v>
      </c>
      <c r="GI662" s="276" t="s">
        <v>955</v>
      </c>
      <c r="GJ662" s="276" t="s">
        <v>955</v>
      </c>
      <c r="GK662" s="276" t="s">
        <v>955</v>
      </c>
      <c r="GL662" s="276" t="s">
        <v>955</v>
      </c>
      <c r="GM662" s="276" t="s">
        <v>955</v>
      </c>
      <c r="GN662" s="276" t="s">
        <v>955</v>
      </c>
      <c r="GO662" s="276" t="s">
        <v>955</v>
      </c>
      <c r="GP662" s="276" t="s">
        <v>955</v>
      </c>
      <c r="GQ662" s="276" t="s">
        <v>955</v>
      </c>
      <c r="GR662" s="276" t="s">
        <v>955</v>
      </c>
      <c r="GS662" s="276" t="s">
        <v>955</v>
      </c>
      <c r="GT662" s="276" t="s">
        <v>955</v>
      </c>
      <c r="GU662" s="276" t="s">
        <v>955</v>
      </c>
      <c r="GV662" s="276" t="s">
        <v>955</v>
      </c>
    </row>
    <row r="663" spans="1:204" x14ac:dyDescent="0.2">
      <c r="A663" s="278"/>
      <c r="B663" s="279"/>
      <c r="GG663" s="276" t="s">
        <v>955</v>
      </c>
      <c r="GH663" s="276" t="s">
        <v>955</v>
      </c>
      <c r="GI663" s="276" t="s">
        <v>955</v>
      </c>
      <c r="GJ663" s="276" t="s">
        <v>955</v>
      </c>
      <c r="GK663" s="276" t="s">
        <v>955</v>
      </c>
      <c r="GL663" s="276" t="s">
        <v>955</v>
      </c>
      <c r="GM663" s="276" t="s">
        <v>955</v>
      </c>
      <c r="GN663" s="276" t="s">
        <v>955</v>
      </c>
      <c r="GO663" s="276" t="s">
        <v>955</v>
      </c>
      <c r="GP663" s="276" t="s">
        <v>955</v>
      </c>
      <c r="GQ663" s="276" t="s">
        <v>955</v>
      </c>
      <c r="GR663" s="276" t="s">
        <v>955</v>
      </c>
      <c r="GS663" s="276" t="s">
        <v>955</v>
      </c>
      <c r="GT663" s="276" t="s">
        <v>955</v>
      </c>
      <c r="GU663" s="276" t="s">
        <v>955</v>
      </c>
      <c r="GV663" s="276" t="s">
        <v>955</v>
      </c>
    </row>
    <row r="664" spans="1:204" x14ac:dyDescent="0.2">
      <c r="A664" s="278"/>
      <c r="B664" s="279"/>
      <c r="GG664" s="276" t="s">
        <v>955</v>
      </c>
      <c r="GH664" s="276" t="s">
        <v>955</v>
      </c>
      <c r="GI664" s="276" t="s">
        <v>955</v>
      </c>
      <c r="GJ664" s="276" t="s">
        <v>955</v>
      </c>
      <c r="GK664" s="276" t="s">
        <v>955</v>
      </c>
      <c r="GL664" s="276" t="s">
        <v>955</v>
      </c>
      <c r="GM664" s="276" t="s">
        <v>955</v>
      </c>
      <c r="GN664" s="276" t="s">
        <v>955</v>
      </c>
      <c r="GO664" s="276" t="s">
        <v>955</v>
      </c>
      <c r="GP664" s="276" t="s">
        <v>955</v>
      </c>
      <c r="GQ664" s="276" t="s">
        <v>955</v>
      </c>
      <c r="GR664" s="276" t="s">
        <v>955</v>
      </c>
      <c r="GS664" s="276" t="s">
        <v>955</v>
      </c>
      <c r="GT664" s="276" t="s">
        <v>955</v>
      </c>
      <c r="GU664" s="276" t="s">
        <v>955</v>
      </c>
      <c r="GV664" s="276" t="s">
        <v>955</v>
      </c>
    </row>
    <row r="665" spans="1:204" x14ac:dyDescent="0.2">
      <c r="A665" s="278"/>
      <c r="B665" s="279"/>
      <c r="GG665" s="276" t="s">
        <v>955</v>
      </c>
      <c r="GH665" s="276" t="s">
        <v>955</v>
      </c>
      <c r="GI665" s="276" t="s">
        <v>955</v>
      </c>
      <c r="GJ665" s="276" t="s">
        <v>955</v>
      </c>
      <c r="GK665" s="276" t="s">
        <v>955</v>
      </c>
      <c r="GL665" s="276" t="s">
        <v>955</v>
      </c>
      <c r="GM665" s="276" t="s">
        <v>955</v>
      </c>
      <c r="GN665" s="276" t="s">
        <v>955</v>
      </c>
      <c r="GO665" s="276" t="s">
        <v>955</v>
      </c>
      <c r="GP665" s="276" t="s">
        <v>955</v>
      </c>
      <c r="GQ665" s="276" t="s">
        <v>955</v>
      </c>
      <c r="GR665" s="276" t="s">
        <v>955</v>
      </c>
      <c r="GS665" s="276" t="s">
        <v>955</v>
      </c>
      <c r="GT665" s="276" t="s">
        <v>955</v>
      </c>
      <c r="GU665" s="276" t="s">
        <v>955</v>
      </c>
      <c r="GV665" s="276" t="s">
        <v>955</v>
      </c>
    </row>
    <row r="666" spans="1:204" x14ac:dyDescent="0.2">
      <c r="A666" s="278"/>
      <c r="B666" s="279"/>
      <c r="GG666" s="276" t="s">
        <v>955</v>
      </c>
      <c r="GH666" s="276" t="s">
        <v>955</v>
      </c>
      <c r="GI666" s="276" t="s">
        <v>955</v>
      </c>
      <c r="GJ666" s="276" t="s">
        <v>955</v>
      </c>
      <c r="GK666" s="276" t="s">
        <v>955</v>
      </c>
      <c r="GL666" s="276" t="s">
        <v>955</v>
      </c>
      <c r="GM666" s="276" t="s">
        <v>955</v>
      </c>
      <c r="GN666" s="276" t="s">
        <v>955</v>
      </c>
      <c r="GO666" s="276" t="s">
        <v>955</v>
      </c>
      <c r="GP666" s="276" t="s">
        <v>955</v>
      </c>
      <c r="GQ666" s="276" t="s">
        <v>955</v>
      </c>
      <c r="GR666" s="276" t="s">
        <v>955</v>
      </c>
      <c r="GS666" s="276" t="s">
        <v>955</v>
      </c>
      <c r="GT666" s="276" t="s">
        <v>955</v>
      </c>
      <c r="GU666" s="276" t="s">
        <v>955</v>
      </c>
      <c r="GV666" s="276" t="s">
        <v>955</v>
      </c>
    </row>
    <row r="667" spans="1:204" x14ac:dyDescent="0.2">
      <c r="A667" s="278"/>
      <c r="B667" s="279"/>
      <c r="GG667" s="276" t="s">
        <v>955</v>
      </c>
      <c r="GH667" s="276" t="s">
        <v>955</v>
      </c>
      <c r="GI667" s="276" t="s">
        <v>955</v>
      </c>
      <c r="GJ667" s="276" t="s">
        <v>955</v>
      </c>
      <c r="GK667" s="276" t="s">
        <v>955</v>
      </c>
      <c r="GL667" s="276" t="s">
        <v>955</v>
      </c>
      <c r="GM667" s="276" t="s">
        <v>955</v>
      </c>
      <c r="GN667" s="276" t="s">
        <v>955</v>
      </c>
      <c r="GO667" s="276" t="s">
        <v>955</v>
      </c>
      <c r="GP667" s="276" t="s">
        <v>955</v>
      </c>
      <c r="GQ667" s="276" t="s">
        <v>955</v>
      </c>
      <c r="GR667" s="276" t="s">
        <v>955</v>
      </c>
      <c r="GS667" s="276" t="s">
        <v>955</v>
      </c>
      <c r="GT667" s="276" t="s">
        <v>955</v>
      </c>
      <c r="GU667" s="276" t="s">
        <v>955</v>
      </c>
      <c r="GV667" s="276" t="s">
        <v>955</v>
      </c>
    </row>
    <row r="668" spans="1:204" x14ac:dyDescent="0.2">
      <c r="A668" s="278"/>
      <c r="B668" s="279"/>
      <c r="GG668" s="276" t="s">
        <v>955</v>
      </c>
      <c r="GH668" s="276" t="s">
        <v>955</v>
      </c>
      <c r="GI668" s="276" t="s">
        <v>955</v>
      </c>
      <c r="GJ668" s="276" t="s">
        <v>955</v>
      </c>
      <c r="GK668" s="276" t="s">
        <v>955</v>
      </c>
      <c r="GL668" s="276" t="s">
        <v>955</v>
      </c>
      <c r="GM668" s="276" t="s">
        <v>955</v>
      </c>
      <c r="GN668" s="276" t="s">
        <v>955</v>
      </c>
      <c r="GO668" s="276" t="s">
        <v>955</v>
      </c>
      <c r="GP668" s="276" t="s">
        <v>955</v>
      </c>
      <c r="GQ668" s="276" t="s">
        <v>955</v>
      </c>
      <c r="GR668" s="276" t="s">
        <v>955</v>
      </c>
      <c r="GS668" s="276" t="s">
        <v>955</v>
      </c>
      <c r="GT668" s="276" t="s">
        <v>955</v>
      </c>
      <c r="GU668" s="276" t="s">
        <v>955</v>
      </c>
      <c r="GV668" s="276" t="s">
        <v>955</v>
      </c>
    </row>
    <row r="669" spans="1:204" x14ac:dyDescent="0.2">
      <c r="A669" s="278"/>
      <c r="B669" s="279"/>
      <c r="GG669" s="276" t="s">
        <v>955</v>
      </c>
      <c r="GH669" s="276" t="s">
        <v>955</v>
      </c>
      <c r="GI669" s="276" t="s">
        <v>955</v>
      </c>
      <c r="GJ669" s="276" t="s">
        <v>955</v>
      </c>
      <c r="GK669" s="276" t="s">
        <v>955</v>
      </c>
      <c r="GL669" s="276" t="s">
        <v>955</v>
      </c>
      <c r="GM669" s="276" t="s">
        <v>955</v>
      </c>
      <c r="GN669" s="276" t="s">
        <v>955</v>
      </c>
      <c r="GO669" s="276" t="s">
        <v>955</v>
      </c>
      <c r="GP669" s="276" t="s">
        <v>955</v>
      </c>
      <c r="GQ669" s="276" t="s">
        <v>955</v>
      </c>
      <c r="GR669" s="276" t="s">
        <v>955</v>
      </c>
      <c r="GS669" s="276" t="s">
        <v>955</v>
      </c>
      <c r="GT669" s="276" t="s">
        <v>955</v>
      </c>
      <c r="GU669" s="276" t="s">
        <v>955</v>
      </c>
      <c r="GV669" s="276" t="s">
        <v>955</v>
      </c>
    </row>
    <row r="670" spans="1:204" x14ac:dyDescent="0.2">
      <c r="A670" s="278"/>
      <c r="B670" s="279"/>
      <c r="GG670" s="276" t="s">
        <v>955</v>
      </c>
      <c r="GH670" s="276" t="s">
        <v>955</v>
      </c>
      <c r="GI670" s="276" t="s">
        <v>955</v>
      </c>
      <c r="GJ670" s="276" t="s">
        <v>955</v>
      </c>
      <c r="GK670" s="276" t="s">
        <v>955</v>
      </c>
      <c r="GL670" s="276" t="s">
        <v>955</v>
      </c>
      <c r="GM670" s="276" t="s">
        <v>955</v>
      </c>
      <c r="GN670" s="276" t="s">
        <v>955</v>
      </c>
      <c r="GO670" s="276" t="s">
        <v>955</v>
      </c>
      <c r="GP670" s="276" t="s">
        <v>955</v>
      </c>
      <c r="GQ670" s="276" t="s">
        <v>955</v>
      </c>
      <c r="GR670" s="276" t="s">
        <v>955</v>
      </c>
      <c r="GS670" s="276" t="s">
        <v>955</v>
      </c>
      <c r="GT670" s="276" t="s">
        <v>955</v>
      </c>
      <c r="GU670" s="276" t="s">
        <v>955</v>
      </c>
      <c r="GV670" s="276" t="s">
        <v>955</v>
      </c>
    </row>
    <row r="671" spans="1:204" x14ac:dyDescent="0.2">
      <c r="A671" s="278"/>
      <c r="B671" s="279"/>
      <c r="GG671" s="276" t="s">
        <v>955</v>
      </c>
      <c r="GH671" s="276" t="s">
        <v>955</v>
      </c>
      <c r="GI671" s="276" t="s">
        <v>955</v>
      </c>
      <c r="GJ671" s="276" t="s">
        <v>955</v>
      </c>
      <c r="GK671" s="276" t="s">
        <v>955</v>
      </c>
      <c r="GL671" s="276" t="s">
        <v>955</v>
      </c>
      <c r="GM671" s="276" t="s">
        <v>955</v>
      </c>
      <c r="GN671" s="276" t="s">
        <v>955</v>
      </c>
      <c r="GO671" s="276" t="s">
        <v>955</v>
      </c>
      <c r="GP671" s="276" t="s">
        <v>955</v>
      </c>
      <c r="GQ671" s="276" t="s">
        <v>955</v>
      </c>
      <c r="GR671" s="276" t="s">
        <v>955</v>
      </c>
      <c r="GS671" s="276" t="s">
        <v>955</v>
      </c>
      <c r="GT671" s="276" t="s">
        <v>955</v>
      </c>
      <c r="GU671" s="276" t="s">
        <v>955</v>
      </c>
      <c r="GV671" s="276" t="s">
        <v>955</v>
      </c>
    </row>
    <row r="672" spans="1:204" x14ac:dyDescent="0.2">
      <c r="A672" s="278"/>
      <c r="B672" s="279"/>
      <c r="GG672" s="276" t="s">
        <v>955</v>
      </c>
      <c r="GH672" s="276" t="s">
        <v>955</v>
      </c>
      <c r="GI672" s="276" t="s">
        <v>955</v>
      </c>
      <c r="GJ672" s="276" t="s">
        <v>955</v>
      </c>
      <c r="GK672" s="276" t="s">
        <v>955</v>
      </c>
      <c r="GL672" s="276" t="s">
        <v>955</v>
      </c>
      <c r="GM672" s="276" t="s">
        <v>955</v>
      </c>
      <c r="GN672" s="276" t="s">
        <v>955</v>
      </c>
      <c r="GO672" s="276" t="s">
        <v>955</v>
      </c>
      <c r="GP672" s="276" t="s">
        <v>955</v>
      </c>
      <c r="GQ672" s="276" t="s">
        <v>955</v>
      </c>
      <c r="GR672" s="276" t="s">
        <v>955</v>
      </c>
      <c r="GS672" s="276" t="s">
        <v>955</v>
      </c>
      <c r="GT672" s="276" t="s">
        <v>955</v>
      </c>
      <c r="GU672" s="276" t="s">
        <v>955</v>
      </c>
      <c r="GV672" s="276" t="s">
        <v>955</v>
      </c>
    </row>
    <row r="673" spans="1:204" x14ac:dyDescent="0.2">
      <c r="A673" s="278"/>
      <c r="B673" s="279"/>
      <c r="GG673" s="276" t="s">
        <v>955</v>
      </c>
      <c r="GH673" s="276" t="s">
        <v>955</v>
      </c>
      <c r="GI673" s="276" t="s">
        <v>955</v>
      </c>
      <c r="GJ673" s="276" t="s">
        <v>955</v>
      </c>
      <c r="GK673" s="276" t="s">
        <v>955</v>
      </c>
      <c r="GL673" s="276" t="s">
        <v>955</v>
      </c>
      <c r="GM673" s="276" t="s">
        <v>955</v>
      </c>
      <c r="GN673" s="276" t="s">
        <v>955</v>
      </c>
      <c r="GO673" s="276" t="s">
        <v>955</v>
      </c>
      <c r="GP673" s="276" t="s">
        <v>955</v>
      </c>
      <c r="GQ673" s="276" t="s">
        <v>955</v>
      </c>
      <c r="GR673" s="276" t="s">
        <v>955</v>
      </c>
      <c r="GS673" s="276" t="s">
        <v>955</v>
      </c>
      <c r="GT673" s="276" t="s">
        <v>955</v>
      </c>
      <c r="GU673" s="276" t="s">
        <v>955</v>
      </c>
      <c r="GV673" s="276" t="s">
        <v>955</v>
      </c>
    </row>
    <row r="674" spans="1:204" x14ac:dyDescent="0.2">
      <c r="A674" s="278"/>
      <c r="B674" s="279"/>
      <c r="GG674" s="276" t="s">
        <v>955</v>
      </c>
      <c r="GH674" s="276" t="s">
        <v>955</v>
      </c>
      <c r="GI674" s="276" t="s">
        <v>955</v>
      </c>
      <c r="GJ674" s="276" t="s">
        <v>955</v>
      </c>
      <c r="GK674" s="276" t="s">
        <v>955</v>
      </c>
      <c r="GL674" s="276" t="s">
        <v>955</v>
      </c>
      <c r="GM674" s="276" t="s">
        <v>955</v>
      </c>
      <c r="GN674" s="276" t="s">
        <v>955</v>
      </c>
      <c r="GO674" s="276" t="s">
        <v>955</v>
      </c>
      <c r="GP674" s="276" t="s">
        <v>955</v>
      </c>
      <c r="GQ674" s="276" t="s">
        <v>955</v>
      </c>
      <c r="GR674" s="276" t="s">
        <v>955</v>
      </c>
      <c r="GS674" s="276" t="s">
        <v>955</v>
      </c>
      <c r="GT674" s="276" t="s">
        <v>955</v>
      </c>
      <c r="GU674" s="276" t="s">
        <v>955</v>
      </c>
      <c r="GV674" s="276" t="s">
        <v>955</v>
      </c>
    </row>
    <row r="675" spans="1:204" x14ac:dyDescent="0.2">
      <c r="A675" s="278"/>
      <c r="B675" s="279"/>
      <c r="GG675" s="276" t="s">
        <v>955</v>
      </c>
      <c r="GH675" s="276" t="s">
        <v>955</v>
      </c>
      <c r="GI675" s="276" t="s">
        <v>955</v>
      </c>
      <c r="GJ675" s="276" t="s">
        <v>955</v>
      </c>
      <c r="GK675" s="276" t="s">
        <v>955</v>
      </c>
      <c r="GL675" s="276" t="s">
        <v>955</v>
      </c>
      <c r="GM675" s="276" t="s">
        <v>955</v>
      </c>
      <c r="GN675" s="276" t="s">
        <v>955</v>
      </c>
      <c r="GO675" s="276" t="s">
        <v>955</v>
      </c>
      <c r="GP675" s="276" t="s">
        <v>955</v>
      </c>
      <c r="GQ675" s="276" t="s">
        <v>955</v>
      </c>
      <c r="GR675" s="276" t="s">
        <v>955</v>
      </c>
      <c r="GS675" s="276" t="s">
        <v>955</v>
      </c>
      <c r="GT675" s="276" t="s">
        <v>955</v>
      </c>
      <c r="GU675" s="276" t="s">
        <v>955</v>
      </c>
      <c r="GV675" s="276" t="s">
        <v>955</v>
      </c>
    </row>
    <row r="676" spans="1:204" x14ac:dyDescent="0.2">
      <c r="A676" s="278"/>
      <c r="B676" s="279"/>
      <c r="GG676" s="276" t="s">
        <v>955</v>
      </c>
      <c r="GH676" s="276" t="s">
        <v>955</v>
      </c>
      <c r="GI676" s="276" t="s">
        <v>955</v>
      </c>
      <c r="GJ676" s="276" t="s">
        <v>955</v>
      </c>
      <c r="GK676" s="276" t="s">
        <v>955</v>
      </c>
      <c r="GL676" s="276" t="s">
        <v>955</v>
      </c>
      <c r="GM676" s="276" t="s">
        <v>955</v>
      </c>
      <c r="GN676" s="276" t="s">
        <v>955</v>
      </c>
      <c r="GO676" s="276" t="s">
        <v>955</v>
      </c>
      <c r="GP676" s="276" t="s">
        <v>955</v>
      </c>
      <c r="GQ676" s="276" t="s">
        <v>955</v>
      </c>
      <c r="GR676" s="276" t="s">
        <v>955</v>
      </c>
      <c r="GS676" s="276" t="s">
        <v>955</v>
      </c>
      <c r="GT676" s="276" t="s">
        <v>955</v>
      </c>
      <c r="GU676" s="276" t="s">
        <v>955</v>
      </c>
      <c r="GV676" s="276" t="s">
        <v>955</v>
      </c>
    </row>
    <row r="677" spans="1:204" x14ac:dyDescent="0.2">
      <c r="A677" s="278"/>
      <c r="B677" s="279"/>
      <c r="GG677" s="276" t="s">
        <v>955</v>
      </c>
      <c r="GH677" s="276" t="s">
        <v>955</v>
      </c>
      <c r="GI677" s="276" t="s">
        <v>955</v>
      </c>
      <c r="GJ677" s="276" t="s">
        <v>955</v>
      </c>
      <c r="GK677" s="276" t="s">
        <v>955</v>
      </c>
      <c r="GL677" s="276" t="s">
        <v>955</v>
      </c>
      <c r="GM677" s="276" t="s">
        <v>955</v>
      </c>
      <c r="GN677" s="276" t="s">
        <v>955</v>
      </c>
      <c r="GO677" s="276" t="s">
        <v>955</v>
      </c>
      <c r="GP677" s="276" t="s">
        <v>955</v>
      </c>
      <c r="GQ677" s="276" t="s">
        <v>955</v>
      </c>
      <c r="GR677" s="276" t="s">
        <v>955</v>
      </c>
      <c r="GS677" s="276" t="s">
        <v>955</v>
      </c>
      <c r="GT677" s="276" t="s">
        <v>955</v>
      </c>
      <c r="GU677" s="276" t="s">
        <v>955</v>
      </c>
      <c r="GV677" s="276" t="s">
        <v>955</v>
      </c>
    </row>
    <row r="678" spans="1:204" x14ac:dyDescent="0.2">
      <c r="A678" s="278"/>
      <c r="B678" s="279"/>
      <c r="GG678" s="276" t="s">
        <v>955</v>
      </c>
      <c r="GH678" s="276" t="s">
        <v>955</v>
      </c>
      <c r="GI678" s="276" t="s">
        <v>955</v>
      </c>
      <c r="GJ678" s="276" t="s">
        <v>955</v>
      </c>
      <c r="GK678" s="276" t="s">
        <v>955</v>
      </c>
      <c r="GL678" s="276" t="s">
        <v>955</v>
      </c>
      <c r="GM678" s="276" t="s">
        <v>955</v>
      </c>
      <c r="GN678" s="276" t="s">
        <v>955</v>
      </c>
      <c r="GO678" s="276" t="s">
        <v>955</v>
      </c>
      <c r="GP678" s="276" t="s">
        <v>955</v>
      </c>
      <c r="GQ678" s="276" t="s">
        <v>955</v>
      </c>
      <c r="GR678" s="276" t="s">
        <v>955</v>
      </c>
      <c r="GS678" s="276" t="s">
        <v>955</v>
      </c>
      <c r="GT678" s="276" t="s">
        <v>955</v>
      </c>
      <c r="GU678" s="276" t="s">
        <v>955</v>
      </c>
      <c r="GV678" s="276" t="s">
        <v>955</v>
      </c>
    </row>
    <row r="679" spans="1:204" x14ac:dyDescent="0.2">
      <c r="A679" s="278"/>
      <c r="B679" s="279"/>
      <c r="GG679" s="276" t="s">
        <v>955</v>
      </c>
      <c r="GH679" s="276" t="s">
        <v>955</v>
      </c>
      <c r="GI679" s="276" t="s">
        <v>955</v>
      </c>
      <c r="GJ679" s="276" t="s">
        <v>955</v>
      </c>
      <c r="GK679" s="276" t="s">
        <v>955</v>
      </c>
      <c r="GL679" s="276" t="s">
        <v>955</v>
      </c>
      <c r="GM679" s="276" t="s">
        <v>955</v>
      </c>
      <c r="GN679" s="276" t="s">
        <v>955</v>
      </c>
      <c r="GO679" s="276" t="s">
        <v>955</v>
      </c>
      <c r="GP679" s="276" t="s">
        <v>955</v>
      </c>
      <c r="GQ679" s="276" t="s">
        <v>955</v>
      </c>
      <c r="GR679" s="276" t="s">
        <v>955</v>
      </c>
      <c r="GS679" s="276" t="s">
        <v>955</v>
      </c>
      <c r="GT679" s="276" t="s">
        <v>955</v>
      </c>
      <c r="GU679" s="276" t="s">
        <v>955</v>
      </c>
      <c r="GV679" s="276" t="s">
        <v>955</v>
      </c>
    </row>
    <row r="680" spans="1:204" x14ac:dyDescent="0.2">
      <c r="A680" s="278"/>
      <c r="B680" s="279"/>
      <c r="GG680" s="276" t="s">
        <v>955</v>
      </c>
      <c r="GH680" s="276" t="s">
        <v>955</v>
      </c>
      <c r="GI680" s="276" t="s">
        <v>955</v>
      </c>
      <c r="GJ680" s="276" t="s">
        <v>955</v>
      </c>
      <c r="GK680" s="276" t="s">
        <v>955</v>
      </c>
      <c r="GL680" s="276" t="s">
        <v>955</v>
      </c>
      <c r="GM680" s="276" t="s">
        <v>955</v>
      </c>
      <c r="GN680" s="276" t="s">
        <v>955</v>
      </c>
      <c r="GO680" s="276" t="s">
        <v>955</v>
      </c>
      <c r="GP680" s="276" t="s">
        <v>955</v>
      </c>
      <c r="GQ680" s="276" t="s">
        <v>955</v>
      </c>
      <c r="GR680" s="276" t="s">
        <v>955</v>
      </c>
      <c r="GS680" s="276" t="s">
        <v>955</v>
      </c>
      <c r="GT680" s="276" t="s">
        <v>955</v>
      </c>
      <c r="GU680" s="276" t="s">
        <v>955</v>
      </c>
      <c r="GV680" s="276" t="s">
        <v>955</v>
      </c>
    </row>
    <row r="681" spans="1:204" x14ac:dyDescent="0.2">
      <c r="A681" s="278"/>
      <c r="B681" s="279"/>
      <c r="GG681" s="276" t="s">
        <v>955</v>
      </c>
      <c r="GH681" s="276" t="s">
        <v>955</v>
      </c>
      <c r="GI681" s="276" t="s">
        <v>955</v>
      </c>
      <c r="GJ681" s="276" t="s">
        <v>955</v>
      </c>
      <c r="GK681" s="276" t="s">
        <v>955</v>
      </c>
      <c r="GL681" s="276" t="s">
        <v>955</v>
      </c>
      <c r="GM681" s="276" t="s">
        <v>955</v>
      </c>
      <c r="GN681" s="276" t="s">
        <v>955</v>
      </c>
      <c r="GO681" s="276" t="s">
        <v>955</v>
      </c>
      <c r="GP681" s="276" t="s">
        <v>955</v>
      </c>
      <c r="GQ681" s="276" t="s">
        <v>955</v>
      </c>
      <c r="GR681" s="276" t="s">
        <v>955</v>
      </c>
      <c r="GS681" s="276" t="s">
        <v>955</v>
      </c>
      <c r="GT681" s="276" t="s">
        <v>955</v>
      </c>
      <c r="GU681" s="276" t="s">
        <v>955</v>
      </c>
      <c r="GV681" s="276" t="s">
        <v>955</v>
      </c>
    </row>
    <row r="682" spans="1:204" x14ac:dyDescent="0.2">
      <c r="A682" s="278"/>
      <c r="B682" s="279"/>
      <c r="GG682" s="276" t="s">
        <v>955</v>
      </c>
      <c r="GH682" s="276" t="s">
        <v>955</v>
      </c>
      <c r="GI682" s="276" t="s">
        <v>955</v>
      </c>
      <c r="GJ682" s="276" t="s">
        <v>955</v>
      </c>
      <c r="GK682" s="276" t="s">
        <v>955</v>
      </c>
      <c r="GL682" s="276" t="s">
        <v>955</v>
      </c>
      <c r="GM682" s="276" t="s">
        <v>955</v>
      </c>
      <c r="GN682" s="276" t="s">
        <v>955</v>
      </c>
      <c r="GO682" s="276" t="s">
        <v>955</v>
      </c>
      <c r="GP682" s="276" t="s">
        <v>955</v>
      </c>
      <c r="GQ682" s="276" t="s">
        <v>955</v>
      </c>
      <c r="GR682" s="276" t="s">
        <v>955</v>
      </c>
      <c r="GS682" s="276" t="s">
        <v>955</v>
      </c>
      <c r="GT682" s="276" t="s">
        <v>955</v>
      </c>
      <c r="GU682" s="276" t="s">
        <v>955</v>
      </c>
      <c r="GV682" s="276" t="s">
        <v>955</v>
      </c>
    </row>
    <row r="683" spans="1:204" x14ac:dyDescent="0.2">
      <c r="A683" s="278"/>
      <c r="B683" s="279"/>
      <c r="GG683" s="276" t="s">
        <v>955</v>
      </c>
      <c r="GH683" s="276" t="s">
        <v>955</v>
      </c>
      <c r="GI683" s="276" t="s">
        <v>955</v>
      </c>
      <c r="GJ683" s="276" t="s">
        <v>955</v>
      </c>
      <c r="GK683" s="276" t="s">
        <v>955</v>
      </c>
      <c r="GL683" s="276" t="s">
        <v>955</v>
      </c>
      <c r="GM683" s="276" t="s">
        <v>955</v>
      </c>
      <c r="GN683" s="276" t="s">
        <v>955</v>
      </c>
      <c r="GO683" s="276" t="s">
        <v>955</v>
      </c>
      <c r="GP683" s="276" t="s">
        <v>955</v>
      </c>
      <c r="GQ683" s="276" t="s">
        <v>955</v>
      </c>
      <c r="GR683" s="276" t="s">
        <v>955</v>
      </c>
      <c r="GS683" s="276" t="s">
        <v>955</v>
      </c>
      <c r="GT683" s="276" t="s">
        <v>955</v>
      </c>
      <c r="GU683" s="276" t="s">
        <v>955</v>
      </c>
      <c r="GV683" s="276" t="s">
        <v>955</v>
      </c>
    </row>
    <row r="684" spans="1:204" x14ac:dyDescent="0.2">
      <c r="A684" s="278"/>
      <c r="B684" s="279"/>
      <c r="GG684" s="276" t="s">
        <v>955</v>
      </c>
      <c r="GH684" s="276" t="s">
        <v>955</v>
      </c>
      <c r="GI684" s="276" t="s">
        <v>955</v>
      </c>
      <c r="GJ684" s="276" t="s">
        <v>955</v>
      </c>
      <c r="GK684" s="276" t="s">
        <v>955</v>
      </c>
      <c r="GL684" s="276" t="s">
        <v>955</v>
      </c>
      <c r="GM684" s="276" t="s">
        <v>955</v>
      </c>
      <c r="GN684" s="276" t="s">
        <v>955</v>
      </c>
      <c r="GO684" s="276" t="s">
        <v>955</v>
      </c>
      <c r="GP684" s="276" t="s">
        <v>955</v>
      </c>
      <c r="GQ684" s="276" t="s">
        <v>955</v>
      </c>
      <c r="GR684" s="276" t="s">
        <v>955</v>
      </c>
      <c r="GS684" s="276" t="s">
        <v>955</v>
      </c>
      <c r="GT684" s="276" t="s">
        <v>955</v>
      </c>
      <c r="GU684" s="276" t="s">
        <v>955</v>
      </c>
      <c r="GV684" s="276" t="s">
        <v>955</v>
      </c>
    </row>
    <row r="685" spans="1:204" x14ac:dyDescent="0.2">
      <c r="A685" s="278"/>
      <c r="B685" s="279"/>
      <c r="GG685" s="276" t="s">
        <v>955</v>
      </c>
      <c r="GH685" s="276" t="s">
        <v>955</v>
      </c>
      <c r="GI685" s="276" t="s">
        <v>955</v>
      </c>
      <c r="GJ685" s="276" t="s">
        <v>955</v>
      </c>
      <c r="GK685" s="276" t="s">
        <v>955</v>
      </c>
      <c r="GL685" s="276" t="s">
        <v>955</v>
      </c>
      <c r="GM685" s="276" t="s">
        <v>955</v>
      </c>
      <c r="GN685" s="276" t="s">
        <v>955</v>
      </c>
      <c r="GO685" s="276" t="s">
        <v>955</v>
      </c>
      <c r="GP685" s="276" t="s">
        <v>955</v>
      </c>
      <c r="GQ685" s="276" t="s">
        <v>955</v>
      </c>
      <c r="GR685" s="276" t="s">
        <v>955</v>
      </c>
      <c r="GS685" s="276" t="s">
        <v>955</v>
      </c>
      <c r="GT685" s="276" t="s">
        <v>955</v>
      </c>
      <c r="GU685" s="276" t="s">
        <v>955</v>
      </c>
      <c r="GV685" s="276" t="s">
        <v>955</v>
      </c>
    </row>
    <row r="686" spans="1:204" x14ac:dyDescent="0.2">
      <c r="A686" s="278"/>
      <c r="B686" s="279"/>
      <c r="GG686" s="276" t="s">
        <v>955</v>
      </c>
      <c r="GH686" s="276" t="s">
        <v>955</v>
      </c>
      <c r="GI686" s="276" t="s">
        <v>955</v>
      </c>
      <c r="GJ686" s="276" t="s">
        <v>955</v>
      </c>
      <c r="GK686" s="276" t="s">
        <v>955</v>
      </c>
      <c r="GL686" s="276" t="s">
        <v>955</v>
      </c>
      <c r="GM686" s="276" t="s">
        <v>955</v>
      </c>
      <c r="GN686" s="276" t="s">
        <v>955</v>
      </c>
      <c r="GO686" s="276" t="s">
        <v>955</v>
      </c>
      <c r="GP686" s="276" t="s">
        <v>955</v>
      </c>
      <c r="GQ686" s="276" t="s">
        <v>955</v>
      </c>
      <c r="GR686" s="276" t="s">
        <v>955</v>
      </c>
      <c r="GS686" s="276" t="s">
        <v>955</v>
      </c>
      <c r="GT686" s="276" t="s">
        <v>955</v>
      </c>
      <c r="GU686" s="276" t="s">
        <v>955</v>
      </c>
      <c r="GV686" s="276" t="s">
        <v>955</v>
      </c>
    </row>
    <row r="687" spans="1:204" x14ac:dyDescent="0.2">
      <c r="A687" s="278"/>
      <c r="B687" s="279"/>
      <c r="GG687" s="276" t="s">
        <v>955</v>
      </c>
      <c r="GH687" s="276" t="s">
        <v>955</v>
      </c>
      <c r="GI687" s="276" t="s">
        <v>955</v>
      </c>
      <c r="GJ687" s="276" t="s">
        <v>955</v>
      </c>
      <c r="GK687" s="276" t="s">
        <v>955</v>
      </c>
      <c r="GL687" s="276" t="s">
        <v>955</v>
      </c>
      <c r="GM687" s="276" t="s">
        <v>955</v>
      </c>
      <c r="GN687" s="276" t="s">
        <v>955</v>
      </c>
      <c r="GO687" s="276" t="s">
        <v>955</v>
      </c>
      <c r="GP687" s="276" t="s">
        <v>955</v>
      </c>
      <c r="GQ687" s="276" t="s">
        <v>955</v>
      </c>
      <c r="GR687" s="276" t="s">
        <v>955</v>
      </c>
      <c r="GS687" s="276" t="s">
        <v>955</v>
      </c>
      <c r="GT687" s="276" t="s">
        <v>955</v>
      </c>
      <c r="GU687" s="276" t="s">
        <v>955</v>
      </c>
      <c r="GV687" s="276" t="s">
        <v>955</v>
      </c>
    </row>
    <row r="688" spans="1:204" x14ac:dyDescent="0.2">
      <c r="A688" s="278"/>
      <c r="B688" s="279"/>
      <c r="GG688" s="276" t="s">
        <v>955</v>
      </c>
      <c r="GH688" s="276" t="s">
        <v>955</v>
      </c>
      <c r="GI688" s="276" t="s">
        <v>955</v>
      </c>
      <c r="GJ688" s="276" t="s">
        <v>955</v>
      </c>
      <c r="GK688" s="276" t="s">
        <v>955</v>
      </c>
      <c r="GL688" s="276" t="s">
        <v>955</v>
      </c>
      <c r="GM688" s="276" t="s">
        <v>955</v>
      </c>
      <c r="GN688" s="276" t="s">
        <v>955</v>
      </c>
      <c r="GO688" s="276" t="s">
        <v>955</v>
      </c>
      <c r="GP688" s="276" t="s">
        <v>955</v>
      </c>
      <c r="GQ688" s="276" t="s">
        <v>955</v>
      </c>
      <c r="GR688" s="276" t="s">
        <v>955</v>
      </c>
      <c r="GS688" s="276" t="s">
        <v>955</v>
      </c>
      <c r="GT688" s="276" t="s">
        <v>955</v>
      </c>
      <c r="GU688" s="276" t="s">
        <v>955</v>
      </c>
      <c r="GV688" s="276" t="s">
        <v>955</v>
      </c>
    </row>
    <row r="689" spans="1:204" x14ac:dyDescent="0.2">
      <c r="A689" s="278"/>
      <c r="B689" s="279"/>
      <c r="GG689" s="276" t="s">
        <v>955</v>
      </c>
      <c r="GH689" s="276" t="s">
        <v>955</v>
      </c>
      <c r="GI689" s="276" t="s">
        <v>955</v>
      </c>
      <c r="GJ689" s="276" t="s">
        <v>955</v>
      </c>
      <c r="GK689" s="276" t="s">
        <v>955</v>
      </c>
      <c r="GL689" s="276" t="s">
        <v>955</v>
      </c>
      <c r="GM689" s="276" t="s">
        <v>955</v>
      </c>
      <c r="GN689" s="276" t="s">
        <v>955</v>
      </c>
      <c r="GO689" s="276" t="s">
        <v>955</v>
      </c>
      <c r="GP689" s="276" t="s">
        <v>955</v>
      </c>
      <c r="GQ689" s="276" t="s">
        <v>955</v>
      </c>
      <c r="GR689" s="276" t="s">
        <v>955</v>
      </c>
      <c r="GS689" s="276" t="s">
        <v>955</v>
      </c>
      <c r="GT689" s="276" t="s">
        <v>955</v>
      </c>
      <c r="GU689" s="276" t="s">
        <v>955</v>
      </c>
      <c r="GV689" s="276" t="s">
        <v>955</v>
      </c>
    </row>
    <row r="690" spans="1:204" x14ac:dyDescent="0.2">
      <c r="A690" s="278"/>
      <c r="B690" s="279"/>
      <c r="GG690" s="276" t="s">
        <v>955</v>
      </c>
      <c r="GH690" s="276" t="s">
        <v>955</v>
      </c>
      <c r="GI690" s="276" t="s">
        <v>955</v>
      </c>
      <c r="GJ690" s="276" t="s">
        <v>955</v>
      </c>
      <c r="GK690" s="276" t="s">
        <v>955</v>
      </c>
      <c r="GL690" s="276" t="s">
        <v>955</v>
      </c>
      <c r="GM690" s="276" t="s">
        <v>955</v>
      </c>
      <c r="GN690" s="276" t="s">
        <v>955</v>
      </c>
      <c r="GO690" s="276" t="s">
        <v>955</v>
      </c>
      <c r="GP690" s="276" t="s">
        <v>955</v>
      </c>
      <c r="GQ690" s="276" t="s">
        <v>955</v>
      </c>
      <c r="GR690" s="276" t="s">
        <v>955</v>
      </c>
      <c r="GS690" s="276" t="s">
        <v>955</v>
      </c>
      <c r="GT690" s="276" t="s">
        <v>955</v>
      </c>
      <c r="GU690" s="276" t="s">
        <v>955</v>
      </c>
      <c r="GV690" s="276" t="s">
        <v>955</v>
      </c>
    </row>
    <row r="691" spans="1:204" x14ac:dyDescent="0.2">
      <c r="A691" s="278"/>
      <c r="B691" s="279"/>
      <c r="GG691" s="276" t="s">
        <v>955</v>
      </c>
      <c r="GH691" s="276" t="s">
        <v>955</v>
      </c>
      <c r="GI691" s="276" t="s">
        <v>955</v>
      </c>
      <c r="GJ691" s="276" t="s">
        <v>955</v>
      </c>
      <c r="GK691" s="276" t="s">
        <v>955</v>
      </c>
      <c r="GL691" s="276" t="s">
        <v>955</v>
      </c>
      <c r="GM691" s="276" t="s">
        <v>955</v>
      </c>
      <c r="GN691" s="276" t="s">
        <v>955</v>
      </c>
      <c r="GO691" s="276" t="s">
        <v>955</v>
      </c>
      <c r="GP691" s="276" t="s">
        <v>955</v>
      </c>
      <c r="GQ691" s="276" t="s">
        <v>955</v>
      </c>
      <c r="GR691" s="276" t="s">
        <v>955</v>
      </c>
      <c r="GS691" s="276" t="s">
        <v>955</v>
      </c>
      <c r="GT691" s="276" t="s">
        <v>955</v>
      </c>
      <c r="GU691" s="276" t="s">
        <v>955</v>
      </c>
      <c r="GV691" s="276" t="s">
        <v>955</v>
      </c>
    </row>
    <row r="692" spans="1:204" x14ac:dyDescent="0.2">
      <c r="A692" s="278"/>
      <c r="B692" s="279"/>
      <c r="GG692" s="276" t="s">
        <v>955</v>
      </c>
      <c r="GH692" s="276" t="s">
        <v>955</v>
      </c>
      <c r="GI692" s="276" t="s">
        <v>955</v>
      </c>
      <c r="GJ692" s="276" t="s">
        <v>955</v>
      </c>
      <c r="GK692" s="276" t="s">
        <v>955</v>
      </c>
      <c r="GL692" s="276" t="s">
        <v>955</v>
      </c>
      <c r="GM692" s="276" t="s">
        <v>955</v>
      </c>
      <c r="GN692" s="276" t="s">
        <v>955</v>
      </c>
      <c r="GO692" s="276" t="s">
        <v>955</v>
      </c>
      <c r="GP692" s="276" t="s">
        <v>955</v>
      </c>
      <c r="GQ692" s="276" t="s">
        <v>955</v>
      </c>
      <c r="GR692" s="276" t="s">
        <v>955</v>
      </c>
      <c r="GS692" s="276" t="s">
        <v>955</v>
      </c>
      <c r="GT692" s="276" t="s">
        <v>955</v>
      </c>
      <c r="GU692" s="276" t="s">
        <v>955</v>
      </c>
      <c r="GV692" s="276" t="s">
        <v>955</v>
      </c>
    </row>
    <row r="693" spans="1:204" x14ac:dyDescent="0.2">
      <c r="A693" s="278"/>
      <c r="B693" s="279"/>
      <c r="GG693" s="276" t="s">
        <v>955</v>
      </c>
      <c r="GH693" s="276" t="s">
        <v>955</v>
      </c>
      <c r="GI693" s="276" t="s">
        <v>955</v>
      </c>
      <c r="GJ693" s="276" t="s">
        <v>955</v>
      </c>
      <c r="GK693" s="276" t="s">
        <v>955</v>
      </c>
      <c r="GL693" s="276" t="s">
        <v>955</v>
      </c>
      <c r="GM693" s="276" t="s">
        <v>955</v>
      </c>
      <c r="GN693" s="276" t="s">
        <v>955</v>
      </c>
      <c r="GO693" s="276" t="s">
        <v>955</v>
      </c>
      <c r="GP693" s="276" t="s">
        <v>955</v>
      </c>
      <c r="GQ693" s="276" t="s">
        <v>955</v>
      </c>
      <c r="GR693" s="276" t="s">
        <v>955</v>
      </c>
      <c r="GS693" s="276" t="s">
        <v>955</v>
      </c>
      <c r="GT693" s="276" t="s">
        <v>955</v>
      </c>
      <c r="GU693" s="276" t="s">
        <v>955</v>
      </c>
      <c r="GV693" s="276" t="s">
        <v>955</v>
      </c>
    </row>
    <row r="694" spans="1:204" x14ac:dyDescent="0.2">
      <c r="A694" s="278"/>
      <c r="B694" s="279"/>
      <c r="GG694" s="276" t="s">
        <v>955</v>
      </c>
      <c r="GH694" s="276" t="s">
        <v>955</v>
      </c>
      <c r="GI694" s="276" t="s">
        <v>955</v>
      </c>
      <c r="GJ694" s="276" t="s">
        <v>955</v>
      </c>
      <c r="GK694" s="276" t="s">
        <v>955</v>
      </c>
      <c r="GL694" s="276" t="s">
        <v>955</v>
      </c>
      <c r="GM694" s="276" t="s">
        <v>955</v>
      </c>
      <c r="GN694" s="276" t="s">
        <v>955</v>
      </c>
      <c r="GO694" s="276" t="s">
        <v>955</v>
      </c>
      <c r="GP694" s="276" t="s">
        <v>955</v>
      </c>
      <c r="GQ694" s="276" t="s">
        <v>955</v>
      </c>
      <c r="GR694" s="276" t="s">
        <v>955</v>
      </c>
      <c r="GS694" s="276" t="s">
        <v>955</v>
      </c>
      <c r="GT694" s="276" t="s">
        <v>955</v>
      </c>
      <c r="GU694" s="276" t="s">
        <v>955</v>
      </c>
      <c r="GV694" s="276" t="s">
        <v>955</v>
      </c>
    </row>
    <row r="695" spans="1:204" x14ac:dyDescent="0.2">
      <c r="A695" s="278"/>
      <c r="B695" s="279"/>
      <c r="GG695" s="276" t="s">
        <v>955</v>
      </c>
      <c r="GH695" s="276" t="s">
        <v>955</v>
      </c>
      <c r="GI695" s="276" t="s">
        <v>955</v>
      </c>
      <c r="GJ695" s="276" t="s">
        <v>955</v>
      </c>
      <c r="GK695" s="276" t="s">
        <v>955</v>
      </c>
      <c r="GL695" s="276" t="s">
        <v>955</v>
      </c>
      <c r="GM695" s="276" t="s">
        <v>955</v>
      </c>
      <c r="GN695" s="276" t="s">
        <v>955</v>
      </c>
      <c r="GO695" s="276" t="s">
        <v>955</v>
      </c>
      <c r="GP695" s="276" t="s">
        <v>955</v>
      </c>
      <c r="GQ695" s="276" t="s">
        <v>955</v>
      </c>
      <c r="GR695" s="276" t="s">
        <v>955</v>
      </c>
      <c r="GS695" s="276" t="s">
        <v>955</v>
      </c>
      <c r="GT695" s="276" t="s">
        <v>955</v>
      </c>
      <c r="GU695" s="276" t="s">
        <v>955</v>
      </c>
      <c r="GV695" s="276" t="s">
        <v>955</v>
      </c>
    </row>
    <row r="696" spans="1:204" x14ac:dyDescent="0.2">
      <c r="A696" s="278"/>
      <c r="B696" s="279"/>
      <c r="GG696" s="276" t="s">
        <v>955</v>
      </c>
      <c r="GH696" s="276" t="s">
        <v>955</v>
      </c>
      <c r="GI696" s="276" t="s">
        <v>955</v>
      </c>
      <c r="GJ696" s="276" t="s">
        <v>955</v>
      </c>
      <c r="GK696" s="276" t="s">
        <v>955</v>
      </c>
      <c r="GL696" s="276" t="s">
        <v>955</v>
      </c>
      <c r="GM696" s="276" t="s">
        <v>955</v>
      </c>
      <c r="GN696" s="276" t="s">
        <v>955</v>
      </c>
      <c r="GO696" s="276" t="s">
        <v>955</v>
      </c>
      <c r="GP696" s="276" t="s">
        <v>955</v>
      </c>
      <c r="GQ696" s="276" t="s">
        <v>955</v>
      </c>
      <c r="GR696" s="276" t="s">
        <v>955</v>
      </c>
      <c r="GS696" s="276" t="s">
        <v>955</v>
      </c>
      <c r="GT696" s="276" t="s">
        <v>955</v>
      </c>
      <c r="GU696" s="276" t="s">
        <v>955</v>
      </c>
      <c r="GV696" s="276" t="s">
        <v>955</v>
      </c>
    </row>
    <row r="697" spans="1:204" x14ac:dyDescent="0.2">
      <c r="A697" s="278"/>
      <c r="B697" s="279"/>
      <c r="GG697" s="276" t="s">
        <v>955</v>
      </c>
      <c r="GH697" s="276" t="s">
        <v>955</v>
      </c>
      <c r="GI697" s="276" t="s">
        <v>955</v>
      </c>
      <c r="GJ697" s="276" t="s">
        <v>955</v>
      </c>
      <c r="GK697" s="276" t="s">
        <v>955</v>
      </c>
      <c r="GL697" s="276" t="s">
        <v>955</v>
      </c>
      <c r="GM697" s="276" t="s">
        <v>955</v>
      </c>
      <c r="GN697" s="276" t="s">
        <v>955</v>
      </c>
      <c r="GO697" s="276" t="s">
        <v>955</v>
      </c>
      <c r="GP697" s="276" t="s">
        <v>955</v>
      </c>
      <c r="GQ697" s="276" t="s">
        <v>955</v>
      </c>
      <c r="GR697" s="276" t="s">
        <v>955</v>
      </c>
      <c r="GS697" s="276" t="s">
        <v>955</v>
      </c>
      <c r="GT697" s="276" t="s">
        <v>955</v>
      </c>
      <c r="GU697" s="276" t="s">
        <v>955</v>
      </c>
      <c r="GV697" s="276" t="s">
        <v>955</v>
      </c>
    </row>
    <row r="698" spans="1:204" x14ac:dyDescent="0.2">
      <c r="A698" s="278"/>
      <c r="B698" s="279"/>
      <c r="GG698" s="276" t="s">
        <v>955</v>
      </c>
      <c r="GH698" s="276" t="s">
        <v>955</v>
      </c>
      <c r="GI698" s="276" t="s">
        <v>955</v>
      </c>
      <c r="GJ698" s="276" t="s">
        <v>955</v>
      </c>
      <c r="GK698" s="276" t="s">
        <v>955</v>
      </c>
      <c r="GL698" s="276" t="s">
        <v>955</v>
      </c>
      <c r="GM698" s="276" t="s">
        <v>955</v>
      </c>
      <c r="GN698" s="276" t="s">
        <v>955</v>
      </c>
      <c r="GO698" s="276" t="s">
        <v>955</v>
      </c>
      <c r="GP698" s="276" t="s">
        <v>955</v>
      </c>
      <c r="GQ698" s="276" t="s">
        <v>955</v>
      </c>
      <c r="GR698" s="276" t="s">
        <v>955</v>
      </c>
      <c r="GS698" s="276" t="s">
        <v>955</v>
      </c>
      <c r="GT698" s="276" t="s">
        <v>955</v>
      </c>
      <c r="GU698" s="276" t="s">
        <v>955</v>
      </c>
      <c r="GV698" s="276" t="s">
        <v>955</v>
      </c>
    </row>
    <row r="699" spans="1:204" x14ac:dyDescent="0.2">
      <c r="A699" s="278"/>
      <c r="B699" s="279"/>
      <c r="GG699" s="276" t="s">
        <v>955</v>
      </c>
      <c r="GH699" s="276" t="s">
        <v>955</v>
      </c>
      <c r="GI699" s="276" t="s">
        <v>955</v>
      </c>
      <c r="GJ699" s="276" t="s">
        <v>955</v>
      </c>
      <c r="GK699" s="276" t="s">
        <v>955</v>
      </c>
      <c r="GL699" s="276" t="s">
        <v>955</v>
      </c>
      <c r="GM699" s="276" t="s">
        <v>955</v>
      </c>
      <c r="GN699" s="276" t="s">
        <v>955</v>
      </c>
      <c r="GO699" s="276" t="s">
        <v>955</v>
      </c>
      <c r="GP699" s="276" t="s">
        <v>955</v>
      </c>
      <c r="GQ699" s="276" t="s">
        <v>955</v>
      </c>
      <c r="GR699" s="276" t="s">
        <v>955</v>
      </c>
      <c r="GS699" s="276" t="s">
        <v>955</v>
      </c>
      <c r="GT699" s="276" t="s">
        <v>955</v>
      </c>
      <c r="GU699" s="276" t="s">
        <v>955</v>
      </c>
      <c r="GV699" s="276" t="s">
        <v>955</v>
      </c>
    </row>
    <row r="700" spans="1:204" x14ac:dyDescent="0.2">
      <c r="A700" s="278"/>
      <c r="B700" s="279"/>
      <c r="GG700" s="276" t="s">
        <v>955</v>
      </c>
      <c r="GH700" s="276" t="s">
        <v>955</v>
      </c>
      <c r="GI700" s="276" t="s">
        <v>955</v>
      </c>
      <c r="GJ700" s="276" t="s">
        <v>955</v>
      </c>
      <c r="GK700" s="276" t="s">
        <v>955</v>
      </c>
      <c r="GL700" s="276" t="s">
        <v>955</v>
      </c>
      <c r="GM700" s="276" t="s">
        <v>955</v>
      </c>
      <c r="GN700" s="276" t="s">
        <v>955</v>
      </c>
      <c r="GO700" s="276" t="s">
        <v>955</v>
      </c>
      <c r="GP700" s="276" t="s">
        <v>955</v>
      </c>
      <c r="GQ700" s="276" t="s">
        <v>955</v>
      </c>
      <c r="GR700" s="276" t="s">
        <v>955</v>
      </c>
      <c r="GS700" s="276" t="s">
        <v>955</v>
      </c>
      <c r="GT700" s="276" t="s">
        <v>955</v>
      </c>
      <c r="GU700" s="276" t="s">
        <v>955</v>
      </c>
      <c r="GV700" s="276" t="s">
        <v>955</v>
      </c>
    </row>
    <row r="701" spans="1:204" x14ac:dyDescent="0.2">
      <c r="A701" s="278"/>
      <c r="B701" s="279"/>
      <c r="GG701" s="276" t="s">
        <v>955</v>
      </c>
      <c r="GH701" s="276" t="s">
        <v>955</v>
      </c>
      <c r="GI701" s="276" t="s">
        <v>955</v>
      </c>
      <c r="GJ701" s="276" t="s">
        <v>955</v>
      </c>
      <c r="GK701" s="276" t="s">
        <v>955</v>
      </c>
      <c r="GL701" s="276" t="s">
        <v>955</v>
      </c>
      <c r="GM701" s="276" t="s">
        <v>955</v>
      </c>
      <c r="GN701" s="276" t="s">
        <v>955</v>
      </c>
      <c r="GO701" s="276" t="s">
        <v>955</v>
      </c>
      <c r="GP701" s="276" t="s">
        <v>955</v>
      </c>
      <c r="GQ701" s="276" t="s">
        <v>955</v>
      </c>
      <c r="GR701" s="276" t="s">
        <v>955</v>
      </c>
      <c r="GS701" s="276" t="s">
        <v>955</v>
      </c>
      <c r="GT701" s="276" t="s">
        <v>955</v>
      </c>
      <c r="GU701" s="276" t="s">
        <v>955</v>
      </c>
      <c r="GV701" s="276" t="s">
        <v>955</v>
      </c>
    </row>
    <row r="702" spans="1:204" x14ac:dyDescent="0.2">
      <c r="A702" s="278"/>
      <c r="B702" s="279"/>
      <c r="GG702" s="276" t="s">
        <v>955</v>
      </c>
      <c r="GH702" s="276" t="s">
        <v>955</v>
      </c>
      <c r="GI702" s="276" t="s">
        <v>955</v>
      </c>
      <c r="GJ702" s="276" t="s">
        <v>955</v>
      </c>
      <c r="GK702" s="276" t="s">
        <v>955</v>
      </c>
      <c r="GL702" s="276" t="s">
        <v>955</v>
      </c>
      <c r="GM702" s="276" t="s">
        <v>955</v>
      </c>
      <c r="GN702" s="276" t="s">
        <v>955</v>
      </c>
      <c r="GO702" s="276" t="s">
        <v>955</v>
      </c>
      <c r="GP702" s="276" t="s">
        <v>955</v>
      </c>
      <c r="GQ702" s="276" t="s">
        <v>955</v>
      </c>
      <c r="GR702" s="276" t="s">
        <v>955</v>
      </c>
      <c r="GS702" s="276" t="s">
        <v>955</v>
      </c>
      <c r="GT702" s="276" t="s">
        <v>955</v>
      </c>
      <c r="GU702" s="276" t="s">
        <v>955</v>
      </c>
      <c r="GV702" s="276" t="s">
        <v>955</v>
      </c>
    </row>
    <row r="703" spans="1:204" x14ac:dyDescent="0.2">
      <c r="A703" s="278"/>
      <c r="B703" s="279"/>
      <c r="GG703" s="276" t="s">
        <v>955</v>
      </c>
      <c r="GH703" s="276" t="s">
        <v>955</v>
      </c>
      <c r="GI703" s="276" t="s">
        <v>955</v>
      </c>
      <c r="GJ703" s="276" t="s">
        <v>955</v>
      </c>
      <c r="GK703" s="276" t="s">
        <v>955</v>
      </c>
      <c r="GL703" s="276" t="s">
        <v>955</v>
      </c>
      <c r="GM703" s="276" t="s">
        <v>955</v>
      </c>
      <c r="GN703" s="276" t="s">
        <v>955</v>
      </c>
      <c r="GO703" s="276" t="s">
        <v>955</v>
      </c>
      <c r="GP703" s="276" t="s">
        <v>955</v>
      </c>
      <c r="GQ703" s="276" t="s">
        <v>955</v>
      </c>
      <c r="GR703" s="276" t="s">
        <v>955</v>
      </c>
      <c r="GS703" s="276" t="s">
        <v>955</v>
      </c>
      <c r="GT703" s="276" t="s">
        <v>955</v>
      </c>
      <c r="GU703" s="276" t="s">
        <v>955</v>
      </c>
      <c r="GV703" s="276" t="s">
        <v>955</v>
      </c>
    </row>
    <row r="704" spans="1:204" x14ac:dyDescent="0.2">
      <c r="A704" s="278"/>
      <c r="B704" s="279"/>
      <c r="GG704" s="276" t="s">
        <v>955</v>
      </c>
      <c r="GH704" s="276" t="s">
        <v>955</v>
      </c>
      <c r="GI704" s="276" t="s">
        <v>955</v>
      </c>
      <c r="GJ704" s="276" t="s">
        <v>955</v>
      </c>
      <c r="GK704" s="276" t="s">
        <v>955</v>
      </c>
      <c r="GL704" s="276" t="s">
        <v>955</v>
      </c>
      <c r="GM704" s="276" t="s">
        <v>955</v>
      </c>
      <c r="GN704" s="276" t="s">
        <v>955</v>
      </c>
      <c r="GO704" s="276" t="s">
        <v>955</v>
      </c>
      <c r="GP704" s="276" t="s">
        <v>955</v>
      </c>
      <c r="GQ704" s="276" t="s">
        <v>955</v>
      </c>
      <c r="GR704" s="276" t="s">
        <v>955</v>
      </c>
      <c r="GS704" s="276" t="s">
        <v>955</v>
      </c>
      <c r="GT704" s="276" t="s">
        <v>955</v>
      </c>
      <c r="GU704" s="276" t="s">
        <v>955</v>
      </c>
      <c r="GV704" s="276" t="s">
        <v>955</v>
      </c>
    </row>
    <row r="705" spans="1:204" x14ac:dyDescent="0.2">
      <c r="A705" s="278"/>
      <c r="B705" s="279"/>
      <c r="GG705" s="276" t="s">
        <v>955</v>
      </c>
      <c r="GH705" s="276" t="s">
        <v>955</v>
      </c>
      <c r="GI705" s="276" t="s">
        <v>955</v>
      </c>
      <c r="GJ705" s="276" t="s">
        <v>955</v>
      </c>
      <c r="GK705" s="276" t="s">
        <v>955</v>
      </c>
      <c r="GL705" s="276" t="s">
        <v>955</v>
      </c>
      <c r="GM705" s="276" t="s">
        <v>955</v>
      </c>
      <c r="GN705" s="276" t="s">
        <v>955</v>
      </c>
      <c r="GO705" s="276" t="s">
        <v>955</v>
      </c>
      <c r="GP705" s="276" t="s">
        <v>955</v>
      </c>
      <c r="GQ705" s="276" t="s">
        <v>955</v>
      </c>
      <c r="GR705" s="276" t="s">
        <v>955</v>
      </c>
      <c r="GS705" s="276" t="s">
        <v>955</v>
      </c>
      <c r="GT705" s="276" t="s">
        <v>955</v>
      </c>
      <c r="GU705" s="276" t="s">
        <v>955</v>
      </c>
      <c r="GV705" s="276" t="s">
        <v>955</v>
      </c>
    </row>
    <row r="706" spans="1:204" x14ac:dyDescent="0.2">
      <c r="A706" s="278"/>
      <c r="B706" s="279"/>
      <c r="GG706" s="276" t="s">
        <v>955</v>
      </c>
      <c r="GH706" s="276" t="s">
        <v>955</v>
      </c>
      <c r="GI706" s="276" t="s">
        <v>955</v>
      </c>
      <c r="GJ706" s="276" t="s">
        <v>955</v>
      </c>
      <c r="GK706" s="276" t="s">
        <v>955</v>
      </c>
      <c r="GL706" s="276" t="s">
        <v>955</v>
      </c>
      <c r="GM706" s="276" t="s">
        <v>955</v>
      </c>
      <c r="GN706" s="276" t="s">
        <v>955</v>
      </c>
      <c r="GO706" s="276" t="s">
        <v>955</v>
      </c>
      <c r="GP706" s="276" t="s">
        <v>955</v>
      </c>
      <c r="GQ706" s="276" t="s">
        <v>955</v>
      </c>
      <c r="GR706" s="276" t="s">
        <v>955</v>
      </c>
      <c r="GS706" s="276" t="s">
        <v>955</v>
      </c>
      <c r="GT706" s="276" t="s">
        <v>955</v>
      </c>
      <c r="GU706" s="276" t="s">
        <v>955</v>
      </c>
      <c r="GV706" s="276" t="s">
        <v>955</v>
      </c>
    </row>
    <row r="707" spans="1:204" x14ac:dyDescent="0.2">
      <c r="A707" s="278"/>
      <c r="B707" s="279"/>
      <c r="GG707" s="276" t="s">
        <v>955</v>
      </c>
      <c r="GH707" s="276" t="s">
        <v>955</v>
      </c>
      <c r="GI707" s="276" t="s">
        <v>955</v>
      </c>
      <c r="GJ707" s="276" t="s">
        <v>955</v>
      </c>
      <c r="GK707" s="276" t="s">
        <v>955</v>
      </c>
      <c r="GL707" s="276" t="s">
        <v>955</v>
      </c>
      <c r="GM707" s="276" t="s">
        <v>955</v>
      </c>
      <c r="GN707" s="276" t="s">
        <v>955</v>
      </c>
      <c r="GO707" s="276" t="s">
        <v>955</v>
      </c>
      <c r="GP707" s="276" t="s">
        <v>955</v>
      </c>
      <c r="GQ707" s="276" t="s">
        <v>955</v>
      </c>
      <c r="GR707" s="276" t="s">
        <v>955</v>
      </c>
      <c r="GS707" s="276" t="s">
        <v>955</v>
      </c>
      <c r="GT707" s="276" t="s">
        <v>955</v>
      </c>
      <c r="GU707" s="276" t="s">
        <v>955</v>
      </c>
      <c r="GV707" s="276" t="s">
        <v>955</v>
      </c>
    </row>
    <row r="708" spans="1:204" x14ac:dyDescent="0.2">
      <c r="A708" s="278"/>
      <c r="B708" s="279"/>
      <c r="GG708" s="276" t="s">
        <v>955</v>
      </c>
      <c r="GH708" s="276" t="s">
        <v>955</v>
      </c>
      <c r="GI708" s="276" t="s">
        <v>955</v>
      </c>
      <c r="GJ708" s="276" t="s">
        <v>955</v>
      </c>
      <c r="GK708" s="276" t="s">
        <v>955</v>
      </c>
      <c r="GL708" s="276" t="s">
        <v>955</v>
      </c>
      <c r="GM708" s="276" t="s">
        <v>955</v>
      </c>
      <c r="GN708" s="276" t="s">
        <v>955</v>
      </c>
      <c r="GO708" s="276" t="s">
        <v>955</v>
      </c>
      <c r="GP708" s="276" t="s">
        <v>955</v>
      </c>
      <c r="GQ708" s="276" t="s">
        <v>955</v>
      </c>
      <c r="GR708" s="276" t="s">
        <v>955</v>
      </c>
      <c r="GS708" s="276" t="s">
        <v>955</v>
      </c>
      <c r="GT708" s="276" t="s">
        <v>955</v>
      </c>
      <c r="GU708" s="276" t="s">
        <v>955</v>
      </c>
      <c r="GV708" s="276" t="s">
        <v>955</v>
      </c>
    </row>
    <row r="709" spans="1:204" x14ac:dyDescent="0.2">
      <c r="A709" s="278"/>
      <c r="B709" s="279"/>
      <c r="GG709" s="276" t="s">
        <v>955</v>
      </c>
      <c r="GH709" s="276" t="s">
        <v>955</v>
      </c>
      <c r="GI709" s="276" t="s">
        <v>955</v>
      </c>
      <c r="GJ709" s="276" t="s">
        <v>955</v>
      </c>
      <c r="GK709" s="276" t="s">
        <v>955</v>
      </c>
      <c r="GL709" s="276" t="s">
        <v>955</v>
      </c>
      <c r="GM709" s="276" t="s">
        <v>955</v>
      </c>
      <c r="GN709" s="276" t="s">
        <v>955</v>
      </c>
      <c r="GO709" s="276" t="s">
        <v>955</v>
      </c>
      <c r="GP709" s="276" t="s">
        <v>955</v>
      </c>
      <c r="GQ709" s="276" t="s">
        <v>955</v>
      </c>
      <c r="GR709" s="276" t="s">
        <v>955</v>
      </c>
      <c r="GS709" s="276" t="s">
        <v>955</v>
      </c>
      <c r="GT709" s="276" t="s">
        <v>955</v>
      </c>
      <c r="GU709" s="276" t="s">
        <v>955</v>
      </c>
      <c r="GV709" s="276" t="s">
        <v>955</v>
      </c>
    </row>
    <row r="710" spans="1:204" x14ac:dyDescent="0.2">
      <c r="A710" s="278"/>
      <c r="B710" s="279"/>
      <c r="GG710" s="276" t="s">
        <v>955</v>
      </c>
      <c r="GH710" s="276" t="s">
        <v>955</v>
      </c>
      <c r="GI710" s="276" t="s">
        <v>955</v>
      </c>
      <c r="GJ710" s="276" t="s">
        <v>955</v>
      </c>
      <c r="GK710" s="276" t="s">
        <v>955</v>
      </c>
      <c r="GL710" s="276" t="s">
        <v>955</v>
      </c>
      <c r="GM710" s="276" t="s">
        <v>955</v>
      </c>
      <c r="GN710" s="276" t="s">
        <v>955</v>
      </c>
      <c r="GO710" s="276" t="s">
        <v>955</v>
      </c>
      <c r="GP710" s="276" t="s">
        <v>955</v>
      </c>
      <c r="GQ710" s="276" t="s">
        <v>955</v>
      </c>
      <c r="GR710" s="276" t="s">
        <v>955</v>
      </c>
      <c r="GS710" s="276" t="s">
        <v>955</v>
      </c>
      <c r="GT710" s="276" t="s">
        <v>955</v>
      </c>
      <c r="GU710" s="276" t="s">
        <v>955</v>
      </c>
      <c r="GV710" s="276" t="s">
        <v>955</v>
      </c>
    </row>
    <row r="711" spans="1:204" x14ac:dyDescent="0.2">
      <c r="A711" s="278"/>
      <c r="B711" s="279"/>
      <c r="GG711" s="276" t="s">
        <v>955</v>
      </c>
      <c r="GH711" s="276" t="s">
        <v>955</v>
      </c>
      <c r="GI711" s="276" t="s">
        <v>955</v>
      </c>
      <c r="GJ711" s="276" t="s">
        <v>955</v>
      </c>
      <c r="GK711" s="276" t="s">
        <v>955</v>
      </c>
      <c r="GL711" s="276" t="s">
        <v>955</v>
      </c>
      <c r="GM711" s="276" t="s">
        <v>955</v>
      </c>
      <c r="GN711" s="276" t="s">
        <v>955</v>
      </c>
      <c r="GO711" s="276" t="s">
        <v>955</v>
      </c>
      <c r="GP711" s="276" t="s">
        <v>955</v>
      </c>
      <c r="GQ711" s="276" t="s">
        <v>955</v>
      </c>
      <c r="GR711" s="276" t="s">
        <v>955</v>
      </c>
      <c r="GS711" s="276" t="s">
        <v>955</v>
      </c>
      <c r="GT711" s="276" t="s">
        <v>955</v>
      </c>
      <c r="GU711" s="276" t="s">
        <v>955</v>
      </c>
      <c r="GV711" s="276" t="s">
        <v>955</v>
      </c>
    </row>
    <row r="712" spans="1:204" x14ac:dyDescent="0.2">
      <c r="A712" s="278"/>
      <c r="GG712" s="276" t="s">
        <v>955</v>
      </c>
      <c r="GH712" s="276" t="s">
        <v>955</v>
      </c>
      <c r="GI712" s="276" t="s">
        <v>955</v>
      </c>
      <c r="GJ712" s="276" t="s">
        <v>955</v>
      </c>
      <c r="GK712" s="276" t="s">
        <v>955</v>
      </c>
      <c r="GL712" s="276" t="s">
        <v>955</v>
      </c>
      <c r="GM712" s="276" t="s">
        <v>955</v>
      </c>
      <c r="GN712" s="276" t="s">
        <v>955</v>
      </c>
      <c r="GO712" s="276" t="s">
        <v>955</v>
      </c>
      <c r="GP712" s="276" t="s">
        <v>955</v>
      </c>
      <c r="GQ712" s="276" t="s">
        <v>955</v>
      </c>
      <c r="GR712" s="276" t="s">
        <v>955</v>
      </c>
      <c r="GS712" s="276" t="s">
        <v>955</v>
      </c>
      <c r="GT712" s="276" t="s">
        <v>955</v>
      </c>
      <c r="GU712" s="276" t="s">
        <v>955</v>
      </c>
      <c r="GV712" s="276" t="s">
        <v>955</v>
      </c>
    </row>
    <row r="713" spans="1:204" x14ac:dyDescent="0.2">
      <c r="A713" s="278"/>
      <c r="GG713" s="276" t="s">
        <v>955</v>
      </c>
      <c r="GH713" s="276" t="s">
        <v>955</v>
      </c>
      <c r="GI713" s="276" t="s">
        <v>955</v>
      </c>
      <c r="GJ713" s="276" t="s">
        <v>955</v>
      </c>
      <c r="GK713" s="276" t="s">
        <v>955</v>
      </c>
      <c r="GL713" s="276" t="s">
        <v>955</v>
      </c>
      <c r="GM713" s="276" t="s">
        <v>955</v>
      </c>
      <c r="GN713" s="276" t="s">
        <v>955</v>
      </c>
      <c r="GO713" s="276" t="s">
        <v>955</v>
      </c>
      <c r="GP713" s="276" t="s">
        <v>955</v>
      </c>
      <c r="GQ713" s="276" t="s">
        <v>955</v>
      </c>
      <c r="GR713" s="276" t="s">
        <v>955</v>
      </c>
      <c r="GS713" s="276" t="s">
        <v>955</v>
      </c>
      <c r="GT713" s="276" t="s">
        <v>955</v>
      </c>
      <c r="GU713" s="276" t="s">
        <v>955</v>
      </c>
      <c r="GV713" s="276" t="s">
        <v>955</v>
      </c>
    </row>
    <row r="714" spans="1:204" x14ac:dyDescent="0.2">
      <c r="A714" s="278"/>
      <c r="GG714" s="276" t="s">
        <v>955</v>
      </c>
      <c r="GH714" s="276" t="s">
        <v>955</v>
      </c>
      <c r="GI714" s="276" t="s">
        <v>955</v>
      </c>
      <c r="GJ714" s="276" t="s">
        <v>955</v>
      </c>
      <c r="GK714" s="276" t="s">
        <v>955</v>
      </c>
      <c r="GL714" s="276" t="s">
        <v>955</v>
      </c>
      <c r="GM714" s="276" t="s">
        <v>955</v>
      </c>
      <c r="GN714" s="276" t="s">
        <v>955</v>
      </c>
      <c r="GO714" s="276" t="s">
        <v>955</v>
      </c>
      <c r="GP714" s="276" t="s">
        <v>955</v>
      </c>
      <c r="GQ714" s="276" t="s">
        <v>955</v>
      </c>
      <c r="GR714" s="276" t="s">
        <v>955</v>
      </c>
      <c r="GS714" s="276" t="s">
        <v>955</v>
      </c>
      <c r="GT714" s="276" t="s">
        <v>955</v>
      </c>
      <c r="GU714" s="276" t="s">
        <v>955</v>
      </c>
      <c r="GV714" s="276" t="s">
        <v>955</v>
      </c>
    </row>
    <row r="715" spans="1:204" x14ac:dyDescent="0.2">
      <c r="A715" s="278"/>
      <c r="GG715" s="276" t="s">
        <v>955</v>
      </c>
      <c r="GH715" s="276" t="s">
        <v>955</v>
      </c>
      <c r="GI715" s="276" t="s">
        <v>955</v>
      </c>
      <c r="GJ715" s="276" t="s">
        <v>955</v>
      </c>
      <c r="GK715" s="276" t="s">
        <v>955</v>
      </c>
      <c r="GL715" s="276" t="s">
        <v>955</v>
      </c>
      <c r="GM715" s="276" t="s">
        <v>955</v>
      </c>
      <c r="GN715" s="276" t="s">
        <v>955</v>
      </c>
      <c r="GO715" s="276" t="s">
        <v>955</v>
      </c>
      <c r="GP715" s="276" t="s">
        <v>955</v>
      </c>
      <c r="GQ715" s="276" t="s">
        <v>955</v>
      </c>
      <c r="GR715" s="276" t="s">
        <v>955</v>
      </c>
      <c r="GS715" s="276" t="s">
        <v>955</v>
      </c>
      <c r="GT715" s="276" t="s">
        <v>955</v>
      </c>
      <c r="GU715" s="276" t="s">
        <v>955</v>
      </c>
      <c r="GV715" s="276" t="s">
        <v>955</v>
      </c>
    </row>
    <row r="716" spans="1:204" x14ac:dyDescent="0.2">
      <c r="A716" s="278"/>
      <c r="GG716" s="276" t="s">
        <v>955</v>
      </c>
      <c r="GH716" s="276" t="s">
        <v>955</v>
      </c>
      <c r="GI716" s="276" t="s">
        <v>955</v>
      </c>
      <c r="GJ716" s="276" t="s">
        <v>955</v>
      </c>
      <c r="GK716" s="276" t="s">
        <v>955</v>
      </c>
      <c r="GL716" s="276" t="s">
        <v>955</v>
      </c>
      <c r="GM716" s="276" t="s">
        <v>955</v>
      </c>
      <c r="GN716" s="276" t="s">
        <v>955</v>
      </c>
      <c r="GO716" s="276" t="s">
        <v>955</v>
      </c>
      <c r="GP716" s="276" t="s">
        <v>955</v>
      </c>
      <c r="GQ716" s="276" t="s">
        <v>955</v>
      </c>
      <c r="GR716" s="276" t="s">
        <v>955</v>
      </c>
      <c r="GS716" s="276" t="s">
        <v>955</v>
      </c>
      <c r="GT716" s="276" t="s">
        <v>955</v>
      </c>
      <c r="GU716" s="276" t="s">
        <v>955</v>
      </c>
      <c r="GV716" s="276" t="s">
        <v>955</v>
      </c>
    </row>
    <row r="717" spans="1:204" x14ac:dyDescent="0.2">
      <c r="A717" s="278"/>
      <c r="GG717" s="276" t="s">
        <v>955</v>
      </c>
      <c r="GH717" s="276" t="s">
        <v>955</v>
      </c>
      <c r="GI717" s="276" t="s">
        <v>955</v>
      </c>
      <c r="GJ717" s="276" t="s">
        <v>955</v>
      </c>
      <c r="GK717" s="276" t="s">
        <v>955</v>
      </c>
      <c r="GL717" s="276" t="s">
        <v>955</v>
      </c>
      <c r="GM717" s="276" t="s">
        <v>955</v>
      </c>
      <c r="GN717" s="276" t="s">
        <v>955</v>
      </c>
      <c r="GO717" s="276" t="s">
        <v>955</v>
      </c>
      <c r="GP717" s="276" t="s">
        <v>955</v>
      </c>
      <c r="GQ717" s="276" t="s">
        <v>955</v>
      </c>
      <c r="GR717" s="276" t="s">
        <v>955</v>
      </c>
      <c r="GS717" s="276" t="s">
        <v>955</v>
      </c>
      <c r="GT717" s="276" t="s">
        <v>955</v>
      </c>
      <c r="GU717" s="276" t="s">
        <v>955</v>
      </c>
      <c r="GV717" s="276" t="s">
        <v>955</v>
      </c>
    </row>
    <row r="718" spans="1:204" x14ac:dyDescent="0.2">
      <c r="A718" s="278"/>
      <c r="GG718" s="276" t="s">
        <v>955</v>
      </c>
      <c r="GH718" s="276" t="s">
        <v>955</v>
      </c>
      <c r="GI718" s="276" t="s">
        <v>955</v>
      </c>
      <c r="GJ718" s="276" t="s">
        <v>955</v>
      </c>
      <c r="GK718" s="276" t="s">
        <v>955</v>
      </c>
      <c r="GL718" s="276" t="s">
        <v>955</v>
      </c>
      <c r="GM718" s="276" t="s">
        <v>955</v>
      </c>
      <c r="GN718" s="276" t="s">
        <v>955</v>
      </c>
      <c r="GO718" s="276" t="s">
        <v>955</v>
      </c>
      <c r="GP718" s="276" t="s">
        <v>955</v>
      </c>
      <c r="GQ718" s="276" t="s">
        <v>955</v>
      </c>
      <c r="GR718" s="276" t="s">
        <v>955</v>
      </c>
      <c r="GS718" s="276" t="s">
        <v>955</v>
      </c>
      <c r="GT718" s="276" t="s">
        <v>955</v>
      </c>
      <c r="GU718" s="276" t="s">
        <v>955</v>
      </c>
      <c r="GV718" s="276" t="s">
        <v>955</v>
      </c>
    </row>
    <row r="719" spans="1:204" x14ac:dyDescent="0.2">
      <c r="A719" s="278"/>
      <c r="GG719" s="276" t="s">
        <v>955</v>
      </c>
      <c r="GH719" s="276" t="s">
        <v>955</v>
      </c>
      <c r="GI719" s="276" t="s">
        <v>955</v>
      </c>
      <c r="GJ719" s="276" t="s">
        <v>955</v>
      </c>
      <c r="GK719" s="276" t="s">
        <v>955</v>
      </c>
      <c r="GL719" s="276" t="s">
        <v>955</v>
      </c>
      <c r="GM719" s="276" t="s">
        <v>955</v>
      </c>
      <c r="GN719" s="276" t="s">
        <v>955</v>
      </c>
      <c r="GO719" s="276" t="s">
        <v>955</v>
      </c>
      <c r="GP719" s="276" t="s">
        <v>955</v>
      </c>
      <c r="GQ719" s="276" t="s">
        <v>955</v>
      </c>
      <c r="GR719" s="276" t="s">
        <v>955</v>
      </c>
      <c r="GS719" s="276" t="s">
        <v>955</v>
      </c>
      <c r="GT719" s="276" t="s">
        <v>955</v>
      </c>
      <c r="GU719" s="276" t="s">
        <v>955</v>
      </c>
      <c r="GV719" s="276" t="s">
        <v>955</v>
      </c>
    </row>
    <row r="720" spans="1:204" x14ac:dyDescent="0.2">
      <c r="A720" s="278"/>
      <c r="GG720" s="276" t="s">
        <v>955</v>
      </c>
      <c r="GH720" s="276" t="s">
        <v>955</v>
      </c>
      <c r="GI720" s="276" t="s">
        <v>955</v>
      </c>
      <c r="GJ720" s="276" t="s">
        <v>955</v>
      </c>
      <c r="GK720" s="276" t="s">
        <v>955</v>
      </c>
      <c r="GL720" s="276" t="s">
        <v>955</v>
      </c>
      <c r="GM720" s="276" t="s">
        <v>955</v>
      </c>
      <c r="GN720" s="276" t="s">
        <v>955</v>
      </c>
      <c r="GO720" s="276" t="s">
        <v>955</v>
      </c>
      <c r="GP720" s="276" t="s">
        <v>955</v>
      </c>
      <c r="GQ720" s="276" t="s">
        <v>955</v>
      </c>
      <c r="GR720" s="276" t="s">
        <v>955</v>
      </c>
      <c r="GS720" s="276" t="s">
        <v>955</v>
      </c>
      <c r="GT720" s="276" t="s">
        <v>955</v>
      </c>
      <c r="GU720" s="276" t="s">
        <v>955</v>
      </c>
      <c r="GV720" s="276" t="s">
        <v>955</v>
      </c>
    </row>
    <row r="721" spans="1:204" x14ac:dyDescent="0.2">
      <c r="A721" s="278"/>
      <c r="GG721" s="276" t="s">
        <v>955</v>
      </c>
      <c r="GH721" s="276" t="s">
        <v>955</v>
      </c>
      <c r="GI721" s="276" t="s">
        <v>955</v>
      </c>
      <c r="GJ721" s="276" t="s">
        <v>955</v>
      </c>
      <c r="GK721" s="276" t="s">
        <v>955</v>
      </c>
      <c r="GL721" s="276" t="s">
        <v>955</v>
      </c>
      <c r="GM721" s="276" t="s">
        <v>955</v>
      </c>
      <c r="GN721" s="276" t="s">
        <v>955</v>
      </c>
      <c r="GO721" s="276" t="s">
        <v>955</v>
      </c>
      <c r="GP721" s="276" t="s">
        <v>955</v>
      </c>
      <c r="GQ721" s="276" t="s">
        <v>955</v>
      </c>
      <c r="GR721" s="276" t="s">
        <v>955</v>
      </c>
      <c r="GS721" s="276" t="s">
        <v>955</v>
      </c>
      <c r="GT721" s="276" t="s">
        <v>955</v>
      </c>
      <c r="GU721" s="276" t="s">
        <v>955</v>
      </c>
      <c r="GV721" s="276" t="s">
        <v>955</v>
      </c>
    </row>
    <row r="722" spans="1:204" x14ac:dyDescent="0.2">
      <c r="A722" s="278"/>
      <c r="GG722" s="276" t="s">
        <v>955</v>
      </c>
      <c r="GH722" s="276" t="s">
        <v>955</v>
      </c>
      <c r="GI722" s="276" t="s">
        <v>955</v>
      </c>
      <c r="GJ722" s="276" t="s">
        <v>955</v>
      </c>
      <c r="GK722" s="276" t="s">
        <v>955</v>
      </c>
      <c r="GL722" s="276" t="s">
        <v>955</v>
      </c>
      <c r="GM722" s="276" t="s">
        <v>955</v>
      </c>
      <c r="GN722" s="276" t="s">
        <v>955</v>
      </c>
      <c r="GO722" s="276" t="s">
        <v>955</v>
      </c>
      <c r="GP722" s="276" t="s">
        <v>955</v>
      </c>
      <c r="GQ722" s="276" t="s">
        <v>955</v>
      </c>
      <c r="GR722" s="276" t="s">
        <v>955</v>
      </c>
      <c r="GS722" s="276" t="s">
        <v>955</v>
      </c>
      <c r="GT722" s="276" t="s">
        <v>955</v>
      </c>
      <c r="GU722" s="276" t="s">
        <v>955</v>
      </c>
      <c r="GV722" s="276" t="s">
        <v>955</v>
      </c>
    </row>
    <row r="723" spans="1:204" x14ac:dyDescent="0.2">
      <c r="A723" s="278"/>
      <c r="GG723" s="276" t="s">
        <v>955</v>
      </c>
      <c r="GH723" s="276" t="s">
        <v>955</v>
      </c>
      <c r="GI723" s="276" t="s">
        <v>955</v>
      </c>
      <c r="GJ723" s="276" t="s">
        <v>955</v>
      </c>
      <c r="GK723" s="276" t="s">
        <v>955</v>
      </c>
      <c r="GL723" s="276" t="s">
        <v>955</v>
      </c>
      <c r="GM723" s="276" t="s">
        <v>955</v>
      </c>
      <c r="GN723" s="276" t="s">
        <v>955</v>
      </c>
      <c r="GO723" s="276" t="s">
        <v>955</v>
      </c>
      <c r="GP723" s="276" t="s">
        <v>955</v>
      </c>
      <c r="GQ723" s="276" t="s">
        <v>955</v>
      </c>
      <c r="GR723" s="276" t="s">
        <v>955</v>
      </c>
      <c r="GS723" s="276" t="s">
        <v>955</v>
      </c>
      <c r="GT723" s="276" t="s">
        <v>955</v>
      </c>
      <c r="GU723" s="276" t="s">
        <v>955</v>
      </c>
      <c r="GV723" s="276" t="s">
        <v>955</v>
      </c>
    </row>
    <row r="724" spans="1:204" x14ac:dyDescent="0.2">
      <c r="A724" s="278"/>
      <c r="GG724" s="276" t="s">
        <v>955</v>
      </c>
      <c r="GH724" s="276" t="s">
        <v>955</v>
      </c>
      <c r="GI724" s="276" t="s">
        <v>955</v>
      </c>
      <c r="GJ724" s="276" t="s">
        <v>955</v>
      </c>
      <c r="GK724" s="276" t="s">
        <v>955</v>
      </c>
      <c r="GL724" s="276" t="s">
        <v>955</v>
      </c>
      <c r="GM724" s="276" t="s">
        <v>955</v>
      </c>
      <c r="GN724" s="276" t="s">
        <v>955</v>
      </c>
      <c r="GO724" s="276" t="s">
        <v>955</v>
      </c>
      <c r="GP724" s="276" t="s">
        <v>955</v>
      </c>
      <c r="GQ724" s="276" t="s">
        <v>955</v>
      </c>
      <c r="GR724" s="276" t="s">
        <v>955</v>
      </c>
      <c r="GS724" s="276" t="s">
        <v>955</v>
      </c>
      <c r="GT724" s="276" t="s">
        <v>955</v>
      </c>
      <c r="GU724" s="276" t="s">
        <v>955</v>
      </c>
      <c r="GV724" s="276" t="s">
        <v>955</v>
      </c>
    </row>
    <row r="725" spans="1:204" x14ac:dyDescent="0.2">
      <c r="A725" s="278"/>
      <c r="GG725" s="276" t="s">
        <v>955</v>
      </c>
      <c r="GH725" s="276" t="s">
        <v>955</v>
      </c>
      <c r="GI725" s="276" t="s">
        <v>955</v>
      </c>
      <c r="GJ725" s="276" t="s">
        <v>955</v>
      </c>
      <c r="GK725" s="276" t="s">
        <v>955</v>
      </c>
      <c r="GL725" s="276" t="s">
        <v>955</v>
      </c>
      <c r="GM725" s="276" t="s">
        <v>955</v>
      </c>
      <c r="GN725" s="276" t="s">
        <v>955</v>
      </c>
      <c r="GO725" s="276" t="s">
        <v>955</v>
      </c>
      <c r="GP725" s="276" t="s">
        <v>955</v>
      </c>
      <c r="GQ725" s="276" t="s">
        <v>955</v>
      </c>
      <c r="GR725" s="276" t="s">
        <v>955</v>
      </c>
      <c r="GS725" s="276" t="s">
        <v>955</v>
      </c>
      <c r="GT725" s="276" t="s">
        <v>955</v>
      </c>
      <c r="GU725" s="276" t="s">
        <v>955</v>
      </c>
      <c r="GV725" s="276" t="s">
        <v>955</v>
      </c>
    </row>
    <row r="726" spans="1:204" x14ac:dyDescent="0.2">
      <c r="A726" s="278"/>
      <c r="GG726" s="276" t="s">
        <v>955</v>
      </c>
      <c r="GH726" s="276" t="s">
        <v>955</v>
      </c>
      <c r="GI726" s="276" t="s">
        <v>955</v>
      </c>
      <c r="GJ726" s="276" t="s">
        <v>955</v>
      </c>
      <c r="GK726" s="276" t="s">
        <v>955</v>
      </c>
      <c r="GL726" s="276" t="s">
        <v>955</v>
      </c>
      <c r="GM726" s="276" t="s">
        <v>955</v>
      </c>
      <c r="GN726" s="276" t="s">
        <v>955</v>
      </c>
      <c r="GO726" s="276" t="s">
        <v>955</v>
      </c>
      <c r="GP726" s="276" t="s">
        <v>955</v>
      </c>
      <c r="GQ726" s="276" t="s">
        <v>955</v>
      </c>
      <c r="GR726" s="276" t="s">
        <v>955</v>
      </c>
      <c r="GS726" s="276" t="s">
        <v>955</v>
      </c>
      <c r="GT726" s="276" t="s">
        <v>955</v>
      </c>
      <c r="GU726" s="276" t="s">
        <v>955</v>
      </c>
      <c r="GV726" s="276" t="s">
        <v>955</v>
      </c>
    </row>
    <row r="727" spans="1:204" x14ac:dyDescent="0.2">
      <c r="A727" s="278"/>
      <c r="GG727" s="276" t="s">
        <v>955</v>
      </c>
      <c r="GH727" s="276" t="s">
        <v>955</v>
      </c>
      <c r="GI727" s="276" t="s">
        <v>955</v>
      </c>
      <c r="GJ727" s="276" t="s">
        <v>955</v>
      </c>
      <c r="GK727" s="276" t="s">
        <v>955</v>
      </c>
      <c r="GL727" s="276" t="s">
        <v>955</v>
      </c>
      <c r="GM727" s="276" t="s">
        <v>955</v>
      </c>
      <c r="GN727" s="276" t="s">
        <v>955</v>
      </c>
      <c r="GO727" s="276" t="s">
        <v>955</v>
      </c>
      <c r="GP727" s="276" t="s">
        <v>955</v>
      </c>
      <c r="GQ727" s="276" t="s">
        <v>955</v>
      </c>
      <c r="GR727" s="276" t="s">
        <v>955</v>
      </c>
      <c r="GS727" s="276" t="s">
        <v>955</v>
      </c>
      <c r="GT727" s="276" t="s">
        <v>955</v>
      </c>
      <c r="GU727" s="276" t="s">
        <v>955</v>
      </c>
      <c r="GV727" s="276" t="s">
        <v>955</v>
      </c>
    </row>
    <row r="728" spans="1:204" x14ac:dyDescent="0.2">
      <c r="A728" s="278"/>
      <c r="GG728" s="276" t="s">
        <v>955</v>
      </c>
      <c r="GH728" s="276" t="s">
        <v>955</v>
      </c>
      <c r="GI728" s="276" t="s">
        <v>955</v>
      </c>
      <c r="GJ728" s="276" t="s">
        <v>955</v>
      </c>
      <c r="GK728" s="276" t="s">
        <v>955</v>
      </c>
      <c r="GL728" s="276" t="s">
        <v>955</v>
      </c>
      <c r="GM728" s="276" t="s">
        <v>955</v>
      </c>
      <c r="GN728" s="276" t="s">
        <v>955</v>
      </c>
      <c r="GO728" s="276" t="s">
        <v>955</v>
      </c>
      <c r="GP728" s="276" t="s">
        <v>955</v>
      </c>
      <c r="GQ728" s="276" t="s">
        <v>955</v>
      </c>
      <c r="GR728" s="276" t="s">
        <v>955</v>
      </c>
      <c r="GS728" s="276" t="s">
        <v>955</v>
      </c>
      <c r="GT728" s="276" t="s">
        <v>955</v>
      </c>
      <c r="GU728" s="276" t="s">
        <v>955</v>
      </c>
      <c r="GV728" s="276" t="s">
        <v>955</v>
      </c>
    </row>
    <row r="729" spans="1:204" x14ac:dyDescent="0.2">
      <c r="A729" s="278"/>
      <c r="B729" s="279"/>
      <c r="GG729" s="276" t="s">
        <v>955</v>
      </c>
      <c r="GH729" s="276" t="s">
        <v>955</v>
      </c>
      <c r="GI729" s="276" t="s">
        <v>955</v>
      </c>
      <c r="GJ729" s="276" t="s">
        <v>955</v>
      </c>
      <c r="GK729" s="276" t="s">
        <v>955</v>
      </c>
      <c r="GL729" s="276" t="s">
        <v>955</v>
      </c>
      <c r="GM729" s="276" t="s">
        <v>955</v>
      </c>
      <c r="GN729" s="276" t="s">
        <v>955</v>
      </c>
      <c r="GO729" s="276" t="s">
        <v>955</v>
      </c>
      <c r="GP729" s="276" t="s">
        <v>955</v>
      </c>
      <c r="GQ729" s="276" t="s">
        <v>955</v>
      </c>
      <c r="GR729" s="276" t="s">
        <v>955</v>
      </c>
      <c r="GS729" s="276" t="s">
        <v>955</v>
      </c>
      <c r="GT729" s="276" t="s">
        <v>955</v>
      </c>
      <c r="GU729" s="276" t="s">
        <v>955</v>
      </c>
      <c r="GV729" s="276" t="s">
        <v>955</v>
      </c>
    </row>
    <row r="730" spans="1:204" x14ac:dyDescent="0.2">
      <c r="A730" s="278"/>
      <c r="B730" s="279"/>
      <c r="GG730" s="276" t="s">
        <v>955</v>
      </c>
      <c r="GH730" s="276" t="s">
        <v>955</v>
      </c>
      <c r="GI730" s="276" t="s">
        <v>955</v>
      </c>
      <c r="GJ730" s="276" t="s">
        <v>955</v>
      </c>
      <c r="GK730" s="276" t="s">
        <v>955</v>
      </c>
      <c r="GL730" s="276" t="s">
        <v>955</v>
      </c>
      <c r="GM730" s="276" t="s">
        <v>955</v>
      </c>
      <c r="GN730" s="276" t="s">
        <v>955</v>
      </c>
      <c r="GO730" s="276" t="s">
        <v>955</v>
      </c>
      <c r="GP730" s="276" t="s">
        <v>955</v>
      </c>
      <c r="GQ730" s="276" t="s">
        <v>955</v>
      </c>
      <c r="GR730" s="276" t="s">
        <v>955</v>
      </c>
      <c r="GS730" s="276" t="s">
        <v>955</v>
      </c>
      <c r="GT730" s="276" t="s">
        <v>955</v>
      </c>
      <c r="GU730" s="276" t="s">
        <v>955</v>
      </c>
      <c r="GV730" s="276" t="s">
        <v>955</v>
      </c>
    </row>
    <row r="731" spans="1:204" x14ac:dyDescent="0.2">
      <c r="A731" s="278"/>
      <c r="B731" s="279"/>
      <c r="GG731" s="276" t="s">
        <v>955</v>
      </c>
      <c r="GH731" s="276" t="s">
        <v>955</v>
      </c>
      <c r="GI731" s="276" t="s">
        <v>955</v>
      </c>
      <c r="GJ731" s="276" t="s">
        <v>955</v>
      </c>
      <c r="GK731" s="276" t="s">
        <v>955</v>
      </c>
      <c r="GL731" s="276" t="s">
        <v>955</v>
      </c>
      <c r="GM731" s="276" t="s">
        <v>955</v>
      </c>
      <c r="GN731" s="276" t="s">
        <v>955</v>
      </c>
      <c r="GO731" s="276" t="s">
        <v>955</v>
      </c>
      <c r="GP731" s="276" t="s">
        <v>955</v>
      </c>
      <c r="GQ731" s="276" t="s">
        <v>955</v>
      </c>
      <c r="GR731" s="276" t="s">
        <v>955</v>
      </c>
      <c r="GS731" s="276" t="s">
        <v>955</v>
      </c>
      <c r="GT731" s="276" t="s">
        <v>955</v>
      </c>
      <c r="GU731" s="276" t="s">
        <v>955</v>
      </c>
      <c r="GV731" s="276" t="s">
        <v>955</v>
      </c>
    </row>
    <row r="732" spans="1:204" x14ac:dyDescent="0.2">
      <c r="A732" s="278"/>
      <c r="B732" s="279"/>
      <c r="GG732" s="276" t="s">
        <v>955</v>
      </c>
      <c r="GH732" s="276" t="s">
        <v>955</v>
      </c>
      <c r="GI732" s="276" t="s">
        <v>955</v>
      </c>
      <c r="GJ732" s="276" t="s">
        <v>955</v>
      </c>
      <c r="GK732" s="276" t="s">
        <v>955</v>
      </c>
      <c r="GL732" s="276" t="s">
        <v>955</v>
      </c>
      <c r="GM732" s="276" t="s">
        <v>955</v>
      </c>
      <c r="GN732" s="276" t="s">
        <v>955</v>
      </c>
      <c r="GO732" s="276" t="s">
        <v>955</v>
      </c>
      <c r="GP732" s="276" t="s">
        <v>955</v>
      </c>
      <c r="GQ732" s="276" t="s">
        <v>955</v>
      </c>
      <c r="GR732" s="276" t="s">
        <v>955</v>
      </c>
      <c r="GS732" s="276" t="s">
        <v>955</v>
      </c>
      <c r="GT732" s="276" t="s">
        <v>955</v>
      </c>
      <c r="GU732" s="276" t="s">
        <v>955</v>
      </c>
      <c r="GV732" s="276" t="s">
        <v>955</v>
      </c>
    </row>
    <row r="733" spans="1:204" x14ac:dyDescent="0.2">
      <c r="A733" s="278"/>
      <c r="B733" s="279"/>
      <c r="GG733" s="276" t="s">
        <v>955</v>
      </c>
      <c r="GH733" s="276" t="s">
        <v>955</v>
      </c>
      <c r="GI733" s="276" t="s">
        <v>955</v>
      </c>
      <c r="GJ733" s="276" t="s">
        <v>955</v>
      </c>
      <c r="GK733" s="276" t="s">
        <v>955</v>
      </c>
      <c r="GL733" s="276" t="s">
        <v>955</v>
      </c>
      <c r="GM733" s="276" t="s">
        <v>955</v>
      </c>
      <c r="GN733" s="276" t="s">
        <v>955</v>
      </c>
      <c r="GO733" s="276" t="s">
        <v>955</v>
      </c>
      <c r="GP733" s="276" t="s">
        <v>955</v>
      </c>
      <c r="GQ733" s="276" t="s">
        <v>955</v>
      </c>
      <c r="GR733" s="276" t="s">
        <v>955</v>
      </c>
      <c r="GS733" s="276" t="s">
        <v>955</v>
      </c>
      <c r="GT733" s="276" t="s">
        <v>955</v>
      </c>
      <c r="GU733" s="276" t="s">
        <v>955</v>
      </c>
      <c r="GV733" s="276" t="s">
        <v>955</v>
      </c>
    </row>
    <row r="734" spans="1:204" x14ac:dyDescent="0.2">
      <c r="A734" s="278"/>
      <c r="B734" s="279"/>
      <c r="GG734" s="276" t="s">
        <v>955</v>
      </c>
      <c r="GH734" s="276" t="s">
        <v>955</v>
      </c>
      <c r="GI734" s="276" t="s">
        <v>955</v>
      </c>
      <c r="GJ734" s="276" t="s">
        <v>955</v>
      </c>
      <c r="GK734" s="276" t="s">
        <v>955</v>
      </c>
      <c r="GL734" s="276" t="s">
        <v>955</v>
      </c>
      <c r="GM734" s="276" t="s">
        <v>955</v>
      </c>
      <c r="GN734" s="276" t="s">
        <v>955</v>
      </c>
      <c r="GO734" s="276" t="s">
        <v>955</v>
      </c>
      <c r="GP734" s="276" t="s">
        <v>955</v>
      </c>
      <c r="GQ734" s="276" t="s">
        <v>955</v>
      </c>
      <c r="GR734" s="276" t="s">
        <v>955</v>
      </c>
      <c r="GS734" s="276" t="s">
        <v>955</v>
      </c>
      <c r="GT734" s="276" t="s">
        <v>955</v>
      </c>
      <c r="GU734" s="276" t="s">
        <v>955</v>
      </c>
      <c r="GV734" s="276" t="s">
        <v>955</v>
      </c>
    </row>
    <row r="735" spans="1:204" x14ac:dyDescent="0.2">
      <c r="A735" s="278"/>
      <c r="B735" s="279"/>
      <c r="GG735" s="276" t="s">
        <v>955</v>
      </c>
      <c r="GH735" s="276" t="s">
        <v>955</v>
      </c>
      <c r="GI735" s="276" t="s">
        <v>955</v>
      </c>
      <c r="GJ735" s="276" t="s">
        <v>955</v>
      </c>
      <c r="GK735" s="276" t="s">
        <v>955</v>
      </c>
      <c r="GL735" s="276" t="s">
        <v>955</v>
      </c>
      <c r="GM735" s="276" t="s">
        <v>955</v>
      </c>
      <c r="GN735" s="276" t="s">
        <v>955</v>
      </c>
      <c r="GO735" s="276" t="s">
        <v>955</v>
      </c>
      <c r="GP735" s="276" t="s">
        <v>955</v>
      </c>
      <c r="GQ735" s="276" t="s">
        <v>955</v>
      </c>
      <c r="GR735" s="276" t="s">
        <v>955</v>
      </c>
      <c r="GS735" s="276" t="s">
        <v>955</v>
      </c>
      <c r="GT735" s="276" t="s">
        <v>955</v>
      </c>
      <c r="GU735" s="276" t="s">
        <v>955</v>
      </c>
      <c r="GV735" s="276" t="s">
        <v>955</v>
      </c>
    </row>
    <row r="736" spans="1:204" x14ac:dyDescent="0.2">
      <c r="A736" s="278"/>
      <c r="B736" s="279"/>
      <c r="GG736" s="276" t="s">
        <v>955</v>
      </c>
      <c r="GH736" s="276" t="s">
        <v>955</v>
      </c>
      <c r="GI736" s="276" t="s">
        <v>955</v>
      </c>
      <c r="GJ736" s="276" t="s">
        <v>955</v>
      </c>
      <c r="GK736" s="276" t="s">
        <v>955</v>
      </c>
      <c r="GL736" s="276" t="s">
        <v>955</v>
      </c>
      <c r="GM736" s="276" t="s">
        <v>955</v>
      </c>
      <c r="GN736" s="276" t="s">
        <v>955</v>
      </c>
      <c r="GO736" s="276" t="s">
        <v>955</v>
      </c>
      <c r="GP736" s="276" t="s">
        <v>955</v>
      </c>
      <c r="GQ736" s="276" t="s">
        <v>955</v>
      </c>
      <c r="GR736" s="276" t="s">
        <v>955</v>
      </c>
      <c r="GS736" s="276" t="s">
        <v>955</v>
      </c>
      <c r="GT736" s="276" t="s">
        <v>955</v>
      </c>
      <c r="GU736" s="276" t="s">
        <v>955</v>
      </c>
      <c r="GV736" s="276" t="s">
        <v>955</v>
      </c>
    </row>
    <row r="737" spans="1:204" x14ac:dyDescent="0.2">
      <c r="A737" s="278"/>
      <c r="B737" s="279"/>
      <c r="GG737" s="276" t="s">
        <v>955</v>
      </c>
      <c r="GH737" s="276" t="s">
        <v>955</v>
      </c>
      <c r="GI737" s="276" t="s">
        <v>955</v>
      </c>
      <c r="GJ737" s="276" t="s">
        <v>955</v>
      </c>
      <c r="GK737" s="276" t="s">
        <v>955</v>
      </c>
      <c r="GL737" s="276" t="s">
        <v>955</v>
      </c>
      <c r="GM737" s="276" t="s">
        <v>955</v>
      </c>
      <c r="GN737" s="276" t="s">
        <v>955</v>
      </c>
      <c r="GO737" s="276" t="s">
        <v>955</v>
      </c>
      <c r="GP737" s="276" t="s">
        <v>955</v>
      </c>
      <c r="GQ737" s="276" t="s">
        <v>955</v>
      </c>
      <c r="GR737" s="276" t="s">
        <v>955</v>
      </c>
      <c r="GS737" s="276" t="s">
        <v>955</v>
      </c>
      <c r="GT737" s="276" t="s">
        <v>955</v>
      </c>
      <c r="GU737" s="276" t="s">
        <v>955</v>
      </c>
      <c r="GV737" s="276" t="s">
        <v>955</v>
      </c>
    </row>
    <row r="738" spans="1:204" x14ac:dyDescent="0.2">
      <c r="A738" s="278"/>
      <c r="B738" s="279"/>
      <c r="GG738" s="276" t="s">
        <v>955</v>
      </c>
      <c r="GH738" s="276" t="s">
        <v>955</v>
      </c>
      <c r="GI738" s="276" t="s">
        <v>955</v>
      </c>
      <c r="GJ738" s="276" t="s">
        <v>955</v>
      </c>
      <c r="GK738" s="276" t="s">
        <v>955</v>
      </c>
      <c r="GL738" s="276" t="s">
        <v>955</v>
      </c>
      <c r="GM738" s="276" t="s">
        <v>955</v>
      </c>
      <c r="GN738" s="276" t="s">
        <v>955</v>
      </c>
      <c r="GO738" s="276" t="s">
        <v>955</v>
      </c>
      <c r="GP738" s="276" t="s">
        <v>955</v>
      </c>
      <c r="GQ738" s="276" t="s">
        <v>955</v>
      </c>
      <c r="GR738" s="276" t="s">
        <v>955</v>
      </c>
      <c r="GS738" s="276" t="s">
        <v>955</v>
      </c>
      <c r="GT738" s="276" t="s">
        <v>955</v>
      </c>
      <c r="GU738" s="276" t="s">
        <v>955</v>
      </c>
      <c r="GV738" s="276" t="s">
        <v>955</v>
      </c>
    </row>
    <row r="739" spans="1:204" x14ac:dyDescent="0.2">
      <c r="A739" s="278"/>
      <c r="B739" s="279"/>
      <c r="GG739" s="276" t="s">
        <v>955</v>
      </c>
      <c r="GH739" s="276" t="s">
        <v>955</v>
      </c>
      <c r="GI739" s="276" t="s">
        <v>955</v>
      </c>
      <c r="GJ739" s="276" t="s">
        <v>955</v>
      </c>
      <c r="GK739" s="276" t="s">
        <v>955</v>
      </c>
      <c r="GL739" s="276" t="s">
        <v>955</v>
      </c>
      <c r="GM739" s="276" t="s">
        <v>955</v>
      </c>
      <c r="GN739" s="276" t="s">
        <v>955</v>
      </c>
      <c r="GO739" s="276" t="s">
        <v>955</v>
      </c>
      <c r="GP739" s="276" t="s">
        <v>955</v>
      </c>
      <c r="GQ739" s="276" t="s">
        <v>955</v>
      </c>
      <c r="GR739" s="276" t="s">
        <v>955</v>
      </c>
      <c r="GS739" s="276" t="s">
        <v>955</v>
      </c>
      <c r="GT739" s="276" t="s">
        <v>955</v>
      </c>
      <c r="GU739" s="276" t="s">
        <v>955</v>
      </c>
      <c r="GV739" s="276" t="s">
        <v>955</v>
      </c>
    </row>
    <row r="740" spans="1:204" x14ac:dyDescent="0.2">
      <c r="A740" s="278"/>
      <c r="B740" s="279"/>
      <c r="GG740" s="276" t="s">
        <v>955</v>
      </c>
      <c r="GH740" s="276" t="s">
        <v>955</v>
      </c>
      <c r="GI740" s="276" t="s">
        <v>955</v>
      </c>
      <c r="GJ740" s="276" t="s">
        <v>955</v>
      </c>
      <c r="GK740" s="276" t="s">
        <v>955</v>
      </c>
      <c r="GL740" s="276" t="s">
        <v>955</v>
      </c>
      <c r="GM740" s="276" t="s">
        <v>955</v>
      </c>
      <c r="GN740" s="276" t="s">
        <v>955</v>
      </c>
      <c r="GO740" s="276" t="s">
        <v>955</v>
      </c>
      <c r="GP740" s="276" t="s">
        <v>955</v>
      </c>
      <c r="GQ740" s="276" t="s">
        <v>955</v>
      </c>
      <c r="GR740" s="276" t="s">
        <v>955</v>
      </c>
      <c r="GS740" s="276" t="s">
        <v>955</v>
      </c>
      <c r="GT740" s="276" t="s">
        <v>955</v>
      </c>
      <c r="GU740" s="276" t="s">
        <v>955</v>
      </c>
      <c r="GV740" s="276" t="s">
        <v>955</v>
      </c>
    </row>
    <row r="741" spans="1:204" x14ac:dyDescent="0.2">
      <c r="A741" s="278"/>
      <c r="B741" s="279"/>
      <c r="GG741" s="276" t="s">
        <v>955</v>
      </c>
      <c r="GH741" s="276" t="s">
        <v>955</v>
      </c>
      <c r="GI741" s="276" t="s">
        <v>955</v>
      </c>
      <c r="GJ741" s="276" t="s">
        <v>955</v>
      </c>
      <c r="GK741" s="276" t="s">
        <v>955</v>
      </c>
      <c r="GL741" s="276" t="s">
        <v>955</v>
      </c>
      <c r="GM741" s="276" t="s">
        <v>955</v>
      </c>
      <c r="GN741" s="276" t="s">
        <v>955</v>
      </c>
      <c r="GO741" s="276" t="s">
        <v>955</v>
      </c>
      <c r="GP741" s="276" t="s">
        <v>955</v>
      </c>
      <c r="GQ741" s="276" t="s">
        <v>955</v>
      </c>
      <c r="GR741" s="276" t="s">
        <v>955</v>
      </c>
      <c r="GS741" s="276" t="s">
        <v>955</v>
      </c>
      <c r="GT741" s="276" t="s">
        <v>955</v>
      </c>
      <c r="GU741" s="276" t="s">
        <v>955</v>
      </c>
      <c r="GV741" s="276" t="s">
        <v>955</v>
      </c>
    </row>
    <row r="742" spans="1:204" x14ac:dyDescent="0.2">
      <c r="A742" s="278"/>
      <c r="B742" s="279"/>
      <c r="GG742" s="276" t="s">
        <v>955</v>
      </c>
      <c r="GH742" s="276" t="s">
        <v>955</v>
      </c>
      <c r="GI742" s="276" t="s">
        <v>955</v>
      </c>
      <c r="GJ742" s="276" t="s">
        <v>955</v>
      </c>
      <c r="GK742" s="276" t="s">
        <v>955</v>
      </c>
      <c r="GL742" s="276" t="s">
        <v>955</v>
      </c>
      <c r="GM742" s="276" t="s">
        <v>955</v>
      </c>
      <c r="GN742" s="276" t="s">
        <v>955</v>
      </c>
      <c r="GO742" s="276" t="s">
        <v>955</v>
      </c>
      <c r="GP742" s="276" t="s">
        <v>955</v>
      </c>
      <c r="GQ742" s="276" t="s">
        <v>955</v>
      </c>
      <c r="GR742" s="276" t="s">
        <v>955</v>
      </c>
      <c r="GS742" s="276" t="s">
        <v>955</v>
      </c>
      <c r="GT742" s="276" t="s">
        <v>955</v>
      </c>
      <c r="GU742" s="276" t="s">
        <v>955</v>
      </c>
      <c r="GV742" s="276" t="s">
        <v>955</v>
      </c>
    </row>
    <row r="743" spans="1:204" x14ac:dyDescent="0.2">
      <c r="A743" s="278"/>
      <c r="B743" s="279"/>
      <c r="GG743" s="276" t="s">
        <v>955</v>
      </c>
      <c r="GH743" s="276" t="s">
        <v>955</v>
      </c>
      <c r="GI743" s="276" t="s">
        <v>955</v>
      </c>
      <c r="GJ743" s="276" t="s">
        <v>955</v>
      </c>
      <c r="GK743" s="276" t="s">
        <v>955</v>
      </c>
      <c r="GL743" s="276" t="s">
        <v>955</v>
      </c>
      <c r="GM743" s="276" t="s">
        <v>955</v>
      </c>
      <c r="GN743" s="276" t="s">
        <v>955</v>
      </c>
      <c r="GO743" s="276" t="s">
        <v>955</v>
      </c>
      <c r="GP743" s="276" t="s">
        <v>955</v>
      </c>
      <c r="GQ743" s="276" t="s">
        <v>955</v>
      </c>
      <c r="GR743" s="276" t="s">
        <v>955</v>
      </c>
      <c r="GS743" s="276" t="s">
        <v>955</v>
      </c>
      <c r="GT743" s="276" t="s">
        <v>955</v>
      </c>
      <c r="GU743" s="276" t="s">
        <v>955</v>
      </c>
      <c r="GV743" s="276" t="s">
        <v>955</v>
      </c>
    </row>
    <row r="744" spans="1:204" x14ac:dyDescent="0.2">
      <c r="A744" s="278"/>
      <c r="B744" s="279"/>
      <c r="GG744" s="276" t="s">
        <v>955</v>
      </c>
      <c r="GH744" s="276" t="s">
        <v>955</v>
      </c>
      <c r="GI744" s="276" t="s">
        <v>955</v>
      </c>
      <c r="GJ744" s="276" t="s">
        <v>955</v>
      </c>
      <c r="GK744" s="276" t="s">
        <v>955</v>
      </c>
      <c r="GL744" s="276" t="s">
        <v>955</v>
      </c>
      <c r="GM744" s="276" t="s">
        <v>955</v>
      </c>
      <c r="GN744" s="276" t="s">
        <v>955</v>
      </c>
      <c r="GO744" s="276" t="s">
        <v>955</v>
      </c>
      <c r="GP744" s="276" t="s">
        <v>955</v>
      </c>
      <c r="GQ744" s="276" t="s">
        <v>955</v>
      </c>
      <c r="GR744" s="276" t="s">
        <v>955</v>
      </c>
      <c r="GS744" s="276" t="s">
        <v>955</v>
      </c>
      <c r="GT744" s="276" t="s">
        <v>955</v>
      </c>
      <c r="GU744" s="276" t="s">
        <v>955</v>
      </c>
      <c r="GV744" s="276" t="s">
        <v>955</v>
      </c>
    </row>
    <row r="745" spans="1:204" x14ac:dyDescent="0.2">
      <c r="A745" s="278"/>
      <c r="B745" s="279"/>
      <c r="GG745" s="276" t="s">
        <v>955</v>
      </c>
      <c r="GH745" s="276" t="s">
        <v>955</v>
      </c>
      <c r="GI745" s="276" t="s">
        <v>955</v>
      </c>
      <c r="GJ745" s="276" t="s">
        <v>955</v>
      </c>
      <c r="GK745" s="276" t="s">
        <v>955</v>
      </c>
      <c r="GL745" s="276" t="s">
        <v>955</v>
      </c>
      <c r="GM745" s="276" t="s">
        <v>955</v>
      </c>
      <c r="GN745" s="276" t="s">
        <v>955</v>
      </c>
      <c r="GO745" s="276" t="s">
        <v>955</v>
      </c>
      <c r="GP745" s="276" t="s">
        <v>955</v>
      </c>
      <c r="GQ745" s="276" t="s">
        <v>955</v>
      </c>
      <c r="GR745" s="276" t="s">
        <v>955</v>
      </c>
      <c r="GS745" s="276" t="s">
        <v>955</v>
      </c>
      <c r="GT745" s="276" t="s">
        <v>955</v>
      </c>
      <c r="GU745" s="276" t="s">
        <v>955</v>
      </c>
      <c r="GV745" s="276" t="s">
        <v>955</v>
      </c>
    </row>
    <row r="746" spans="1:204" x14ac:dyDescent="0.2">
      <c r="A746" s="278"/>
      <c r="B746" s="279"/>
      <c r="GG746" s="276" t="s">
        <v>955</v>
      </c>
      <c r="GH746" s="276" t="s">
        <v>955</v>
      </c>
      <c r="GI746" s="276" t="s">
        <v>955</v>
      </c>
      <c r="GJ746" s="276" t="s">
        <v>955</v>
      </c>
      <c r="GK746" s="276" t="s">
        <v>955</v>
      </c>
      <c r="GL746" s="276" t="s">
        <v>955</v>
      </c>
      <c r="GM746" s="276" t="s">
        <v>955</v>
      </c>
      <c r="GN746" s="276" t="s">
        <v>955</v>
      </c>
      <c r="GO746" s="276" t="s">
        <v>955</v>
      </c>
      <c r="GP746" s="276" t="s">
        <v>955</v>
      </c>
      <c r="GQ746" s="276" t="s">
        <v>955</v>
      </c>
      <c r="GR746" s="276" t="s">
        <v>955</v>
      </c>
      <c r="GS746" s="276" t="s">
        <v>955</v>
      </c>
      <c r="GT746" s="276" t="s">
        <v>955</v>
      </c>
      <c r="GU746" s="276" t="s">
        <v>955</v>
      </c>
      <c r="GV746" s="276" t="s">
        <v>955</v>
      </c>
    </row>
    <row r="747" spans="1:204" x14ac:dyDescent="0.2">
      <c r="A747" s="278"/>
      <c r="B747" s="279"/>
      <c r="GG747" s="276" t="s">
        <v>955</v>
      </c>
      <c r="GH747" s="276" t="s">
        <v>955</v>
      </c>
      <c r="GI747" s="276" t="s">
        <v>955</v>
      </c>
      <c r="GJ747" s="276" t="s">
        <v>955</v>
      </c>
      <c r="GK747" s="276" t="s">
        <v>955</v>
      </c>
      <c r="GL747" s="276" t="s">
        <v>955</v>
      </c>
      <c r="GM747" s="276" t="s">
        <v>955</v>
      </c>
      <c r="GN747" s="276" t="s">
        <v>955</v>
      </c>
      <c r="GO747" s="276" t="s">
        <v>955</v>
      </c>
      <c r="GP747" s="276" t="s">
        <v>955</v>
      </c>
      <c r="GQ747" s="276" t="s">
        <v>955</v>
      </c>
      <c r="GR747" s="276" t="s">
        <v>955</v>
      </c>
      <c r="GS747" s="276" t="s">
        <v>955</v>
      </c>
      <c r="GT747" s="276" t="s">
        <v>955</v>
      </c>
      <c r="GU747" s="276" t="s">
        <v>955</v>
      </c>
      <c r="GV747" s="276" t="s">
        <v>955</v>
      </c>
    </row>
    <row r="748" spans="1:204" x14ac:dyDescent="0.2">
      <c r="A748" s="278"/>
      <c r="B748" s="279"/>
      <c r="GG748" s="276" t="s">
        <v>955</v>
      </c>
      <c r="GH748" s="276" t="s">
        <v>955</v>
      </c>
      <c r="GI748" s="276" t="s">
        <v>955</v>
      </c>
      <c r="GJ748" s="276" t="s">
        <v>955</v>
      </c>
      <c r="GK748" s="276" t="s">
        <v>955</v>
      </c>
      <c r="GL748" s="276" t="s">
        <v>955</v>
      </c>
      <c r="GM748" s="276" t="s">
        <v>955</v>
      </c>
      <c r="GN748" s="276" t="s">
        <v>955</v>
      </c>
      <c r="GO748" s="276" t="s">
        <v>955</v>
      </c>
      <c r="GP748" s="276" t="s">
        <v>955</v>
      </c>
      <c r="GQ748" s="276" t="s">
        <v>955</v>
      </c>
      <c r="GR748" s="276" t="s">
        <v>955</v>
      </c>
      <c r="GS748" s="276" t="s">
        <v>955</v>
      </c>
      <c r="GT748" s="276" t="s">
        <v>955</v>
      </c>
      <c r="GU748" s="276" t="s">
        <v>955</v>
      </c>
      <c r="GV748" s="276" t="s">
        <v>955</v>
      </c>
    </row>
    <row r="749" spans="1:204" x14ac:dyDescent="0.2">
      <c r="A749" s="278"/>
      <c r="B749" s="279"/>
      <c r="GG749" s="276" t="s">
        <v>955</v>
      </c>
      <c r="GH749" s="276" t="s">
        <v>955</v>
      </c>
      <c r="GI749" s="276" t="s">
        <v>955</v>
      </c>
      <c r="GJ749" s="276" t="s">
        <v>955</v>
      </c>
      <c r="GK749" s="276" t="s">
        <v>955</v>
      </c>
      <c r="GL749" s="276" t="s">
        <v>955</v>
      </c>
      <c r="GM749" s="276" t="s">
        <v>955</v>
      </c>
      <c r="GN749" s="276" t="s">
        <v>955</v>
      </c>
      <c r="GO749" s="276" t="s">
        <v>955</v>
      </c>
      <c r="GP749" s="276" t="s">
        <v>955</v>
      </c>
      <c r="GQ749" s="276" t="s">
        <v>955</v>
      </c>
      <c r="GR749" s="276" t="s">
        <v>955</v>
      </c>
      <c r="GS749" s="276" t="s">
        <v>955</v>
      </c>
      <c r="GT749" s="276" t="s">
        <v>955</v>
      </c>
      <c r="GU749" s="276" t="s">
        <v>955</v>
      </c>
      <c r="GV749" s="276" t="s">
        <v>955</v>
      </c>
    </row>
    <row r="750" spans="1:204" x14ac:dyDescent="0.2">
      <c r="A750" s="278"/>
      <c r="B750" s="279"/>
      <c r="GG750" s="276" t="s">
        <v>955</v>
      </c>
      <c r="GH750" s="276" t="s">
        <v>955</v>
      </c>
      <c r="GI750" s="276" t="s">
        <v>955</v>
      </c>
      <c r="GJ750" s="276" t="s">
        <v>955</v>
      </c>
      <c r="GK750" s="276" t="s">
        <v>955</v>
      </c>
      <c r="GL750" s="276" t="s">
        <v>955</v>
      </c>
      <c r="GM750" s="276" t="s">
        <v>955</v>
      </c>
      <c r="GN750" s="276" t="s">
        <v>955</v>
      </c>
      <c r="GO750" s="276" t="s">
        <v>955</v>
      </c>
      <c r="GP750" s="276" t="s">
        <v>955</v>
      </c>
      <c r="GQ750" s="276" t="s">
        <v>955</v>
      </c>
      <c r="GR750" s="276" t="s">
        <v>955</v>
      </c>
      <c r="GS750" s="276" t="s">
        <v>955</v>
      </c>
      <c r="GT750" s="276" t="s">
        <v>955</v>
      </c>
      <c r="GU750" s="276" t="s">
        <v>955</v>
      </c>
      <c r="GV750" s="276" t="s">
        <v>955</v>
      </c>
    </row>
    <row r="751" spans="1:204" x14ac:dyDescent="0.2">
      <c r="A751" s="278"/>
      <c r="B751" s="279"/>
      <c r="GG751" s="276" t="s">
        <v>955</v>
      </c>
      <c r="GH751" s="276" t="s">
        <v>955</v>
      </c>
      <c r="GI751" s="276" t="s">
        <v>955</v>
      </c>
      <c r="GJ751" s="276" t="s">
        <v>955</v>
      </c>
      <c r="GK751" s="276" t="s">
        <v>955</v>
      </c>
      <c r="GL751" s="276" t="s">
        <v>955</v>
      </c>
      <c r="GM751" s="276" t="s">
        <v>955</v>
      </c>
      <c r="GN751" s="276" t="s">
        <v>955</v>
      </c>
      <c r="GO751" s="276" t="s">
        <v>955</v>
      </c>
      <c r="GP751" s="276" t="s">
        <v>955</v>
      </c>
      <c r="GQ751" s="276" t="s">
        <v>955</v>
      </c>
      <c r="GR751" s="276" t="s">
        <v>955</v>
      </c>
      <c r="GS751" s="276" t="s">
        <v>955</v>
      </c>
      <c r="GT751" s="276" t="s">
        <v>955</v>
      </c>
      <c r="GU751" s="276" t="s">
        <v>955</v>
      </c>
      <c r="GV751" s="276" t="s">
        <v>955</v>
      </c>
    </row>
    <row r="752" spans="1:204" x14ac:dyDescent="0.2">
      <c r="A752" s="278"/>
      <c r="B752" s="279"/>
      <c r="GG752" s="276" t="s">
        <v>955</v>
      </c>
      <c r="GH752" s="276" t="s">
        <v>955</v>
      </c>
      <c r="GI752" s="276" t="s">
        <v>955</v>
      </c>
      <c r="GJ752" s="276" t="s">
        <v>955</v>
      </c>
      <c r="GK752" s="276" t="s">
        <v>955</v>
      </c>
      <c r="GL752" s="276" t="s">
        <v>955</v>
      </c>
      <c r="GM752" s="276" t="s">
        <v>955</v>
      </c>
      <c r="GN752" s="276" t="s">
        <v>955</v>
      </c>
      <c r="GO752" s="276" t="s">
        <v>955</v>
      </c>
      <c r="GP752" s="276" t="s">
        <v>955</v>
      </c>
      <c r="GQ752" s="276" t="s">
        <v>955</v>
      </c>
      <c r="GR752" s="276" t="s">
        <v>955</v>
      </c>
      <c r="GS752" s="276" t="s">
        <v>955</v>
      </c>
      <c r="GT752" s="276" t="s">
        <v>955</v>
      </c>
      <c r="GU752" s="276" t="s">
        <v>955</v>
      </c>
      <c r="GV752" s="276" t="s">
        <v>955</v>
      </c>
    </row>
    <row r="753" spans="1:204" x14ac:dyDescent="0.2">
      <c r="A753" s="278"/>
      <c r="B753" s="279"/>
      <c r="GG753" s="276" t="s">
        <v>955</v>
      </c>
      <c r="GH753" s="276" t="s">
        <v>955</v>
      </c>
      <c r="GI753" s="276" t="s">
        <v>955</v>
      </c>
      <c r="GJ753" s="276" t="s">
        <v>955</v>
      </c>
      <c r="GK753" s="276" t="s">
        <v>955</v>
      </c>
      <c r="GL753" s="276" t="s">
        <v>955</v>
      </c>
      <c r="GM753" s="276" t="s">
        <v>955</v>
      </c>
      <c r="GN753" s="276" t="s">
        <v>955</v>
      </c>
      <c r="GO753" s="276" t="s">
        <v>955</v>
      </c>
      <c r="GP753" s="276" t="s">
        <v>955</v>
      </c>
      <c r="GQ753" s="276" t="s">
        <v>955</v>
      </c>
      <c r="GR753" s="276" t="s">
        <v>955</v>
      </c>
      <c r="GS753" s="276" t="s">
        <v>955</v>
      </c>
      <c r="GT753" s="276" t="s">
        <v>955</v>
      </c>
      <c r="GU753" s="276" t="s">
        <v>955</v>
      </c>
      <c r="GV753" s="276" t="s">
        <v>955</v>
      </c>
    </row>
    <row r="754" spans="1:204" x14ac:dyDescent="0.2">
      <c r="A754" s="278"/>
      <c r="B754" s="279"/>
      <c r="GG754" s="276" t="s">
        <v>955</v>
      </c>
      <c r="GH754" s="276" t="s">
        <v>955</v>
      </c>
      <c r="GI754" s="276" t="s">
        <v>955</v>
      </c>
      <c r="GJ754" s="276" t="s">
        <v>955</v>
      </c>
      <c r="GK754" s="276" t="s">
        <v>955</v>
      </c>
      <c r="GL754" s="276" t="s">
        <v>955</v>
      </c>
      <c r="GM754" s="276" t="s">
        <v>955</v>
      </c>
      <c r="GN754" s="276" t="s">
        <v>955</v>
      </c>
      <c r="GO754" s="276" t="s">
        <v>955</v>
      </c>
      <c r="GP754" s="276" t="s">
        <v>955</v>
      </c>
      <c r="GQ754" s="276" t="s">
        <v>955</v>
      </c>
      <c r="GR754" s="276" t="s">
        <v>955</v>
      </c>
      <c r="GS754" s="276" t="s">
        <v>955</v>
      </c>
      <c r="GT754" s="276" t="s">
        <v>955</v>
      </c>
      <c r="GU754" s="276" t="s">
        <v>955</v>
      </c>
      <c r="GV754" s="276" t="s">
        <v>955</v>
      </c>
    </row>
    <row r="755" spans="1:204" x14ac:dyDescent="0.2">
      <c r="A755" s="278"/>
      <c r="B755" s="279"/>
      <c r="GG755" s="276" t="s">
        <v>955</v>
      </c>
      <c r="GH755" s="276" t="s">
        <v>955</v>
      </c>
      <c r="GI755" s="276" t="s">
        <v>955</v>
      </c>
      <c r="GJ755" s="276" t="s">
        <v>955</v>
      </c>
      <c r="GK755" s="276" t="s">
        <v>955</v>
      </c>
      <c r="GL755" s="276" t="s">
        <v>955</v>
      </c>
      <c r="GM755" s="276" t="s">
        <v>955</v>
      </c>
      <c r="GN755" s="276" t="s">
        <v>955</v>
      </c>
      <c r="GO755" s="276" t="s">
        <v>955</v>
      </c>
      <c r="GP755" s="276" t="s">
        <v>955</v>
      </c>
      <c r="GQ755" s="276" t="s">
        <v>955</v>
      </c>
      <c r="GR755" s="276" t="s">
        <v>955</v>
      </c>
      <c r="GS755" s="276" t="s">
        <v>955</v>
      </c>
      <c r="GT755" s="276" t="s">
        <v>955</v>
      </c>
      <c r="GU755" s="276" t="s">
        <v>955</v>
      </c>
      <c r="GV755" s="276" t="s">
        <v>955</v>
      </c>
    </row>
    <row r="756" spans="1:204" x14ac:dyDescent="0.2">
      <c r="A756" s="278"/>
      <c r="B756" s="279"/>
      <c r="GG756" s="276" t="s">
        <v>955</v>
      </c>
      <c r="GH756" s="276" t="s">
        <v>955</v>
      </c>
      <c r="GI756" s="276" t="s">
        <v>955</v>
      </c>
      <c r="GJ756" s="276" t="s">
        <v>955</v>
      </c>
      <c r="GK756" s="276" t="s">
        <v>955</v>
      </c>
      <c r="GL756" s="276" t="s">
        <v>955</v>
      </c>
      <c r="GM756" s="276" t="s">
        <v>955</v>
      </c>
      <c r="GN756" s="276" t="s">
        <v>955</v>
      </c>
      <c r="GO756" s="276" t="s">
        <v>955</v>
      </c>
      <c r="GP756" s="276" t="s">
        <v>955</v>
      </c>
      <c r="GQ756" s="276" t="s">
        <v>955</v>
      </c>
      <c r="GR756" s="276" t="s">
        <v>955</v>
      </c>
      <c r="GS756" s="276" t="s">
        <v>955</v>
      </c>
      <c r="GT756" s="276" t="s">
        <v>955</v>
      </c>
      <c r="GU756" s="276" t="s">
        <v>955</v>
      </c>
      <c r="GV756" s="276" t="s">
        <v>955</v>
      </c>
    </row>
    <row r="757" spans="1:204" x14ac:dyDescent="0.2">
      <c r="A757" s="278"/>
      <c r="B757" s="279"/>
      <c r="GG757" s="276" t="s">
        <v>955</v>
      </c>
      <c r="GH757" s="276" t="s">
        <v>955</v>
      </c>
      <c r="GI757" s="276" t="s">
        <v>955</v>
      </c>
      <c r="GJ757" s="276" t="s">
        <v>955</v>
      </c>
      <c r="GK757" s="276" t="s">
        <v>955</v>
      </c>
      <c r="GL757" s="276" t="s">
        <v>955</v>
      </c>
      <c r="GM757" s="276" t="s">
        <v>955</v>
      </c>
      <c r="GN757" s="276" t="s">
        <v>955</v>
      </c>
      <c r="GO757" s="276" t="s">
        <v>955</v>
      </c>
      <c r="GP757" s="276" t="s">
        <v>955</v>
      </c>
      <c r="GQ757" s="276" t="s">
        <v>955</v>
      </c>
      <c r="GR757" s="276" t="s">
        <v>955</v>
      </c>
      <c r="GS757" s="276" t="s">
        <v>955</v>
      </c>
      <c r="GT757" s="276" t="s">
        <v>955</v>
      </c>
      <c r="GU757" s="276" t="s">
        <v>955</v>
      </c>
      <c r="GV757" s="276" t="s">
        <v>955</v>
      </c>
    </row>
    <row r="758" spans="1:204" x14ac:dyDescent="0.2">
      <c r="A758" s="278"/>
      <c r="B758" s="279"/>
      <c r="GG758" s="276" t="s">
        <v>955</v>
      </c>
      <c r="GH758" s="276" t="s">
        <v>955</v>
      </c>
      <c r="GI758" s="276" t="s">
        <v>955</v>
      </c>
      <c r="GJ758" s="276" t="s">
        <v>955</v>
      </c>
      <c r="GK758" s="276" t="s">
        <v>955</v>
      </c>
      <c r="GL758" s="276" t="s">
        <v>955</v>
      </c>
      <c r="GM758" s="276" t="s">
        <v>955</v>
      </c>
      <c r="GN758" s="276" t="s">
        <v>955</v>
      </c>
      <c r="GO758" s="276" t="s">
        <v>955</v>
      </c>
      <c r="GP758" s="276" t="s">
        <v>955</v>
      </c>
      <c r="GQ758" s="276" t="s">
        <v>955</v>
      </c>
      <c r="GR758" s="276" t="s">
        <v>955</v>
      </c>
      <c r="GS758" s="276" t="s">
        <v>955</v>
      </c>
      <c r="GT758" s="276" t="s">
        <v>955</v>
      </c>
      <c r="GU758" s="276" t="s">
        <v>955</v>
      </c>
      <c r="GV758" s="276" t="s">
        <v>955</v>
      </c>
    </row>
    <row r="759" spans="1:204" x14ac:dyDescent="0.2">
      <c r="A759" s="278"/>
      <c r="B759" s="279"/>
      <c r="GG759" s="276" t="s">
        <v>955</v>
      </c>
      <c r="GH759" s="276" t="s">
        <v>955</v>
      </c>
      <c r="GI759" s="276" t="s">
        <v>955</v>
      </c>
      <c r="GJ759" s="276" t="s">
        <v>955</v>
      </c>
      <c r="GK759" s="276" t="s">
        <v>955</v>
      </c>
      <c r="GL759" s="276" t="s">
        <v>955</v>
      </c>
      <c r="GM759" s="276" t="s">
        <v>955</v>
      </c>
      <c r="GN759" s="276" t="s">
        <v>955</v>
      </c>
      <c r="GO759" s="276" t="s">
        <v>955</v>
      </c>
      <c r="GP759" s="276" t="s">
        <v>955</v>
      </c>
      <c r="GQ759" s="276" t="s">
        <v>955</v>
      </c>
      <c r="GR759" s="276" t="s">
        <v>955</v>
      </c>
      <c r="GS759" s="276" t="s">
        <v>955</v>
      </c>
      <c r="GT759" s="276" t="s">
        <v>955</v>
      </c>
      <c r="GU759" s="276" t="s">
        <v>955</v>
      </c>
      <c r="GV759" s="276" t="s">
        <v>955</v>
      </c>
    </row>
    <row r="760" spans="1:204" x14ac:dyDescent="0.2">
      <c r="A760" s="278"/>
      <c r="B760" s="279"/>
      <c r="GG760" s="276" t="s">
        <v>955</v>
      </c>
      <c r="GH760" s="276" t="s">
        <v>955</v>
      </c>
      <c r="GI760" s="276" t="s">
        <v>955</v>
      </c>
      <c r="GJ760" s="276" t="s">
        <v>955</v>
      </c>
      <c r="GK760" s="276" t="s">
        <v>955</v>
      </c>
      <c r="GL760" s="276" t="s">
        <v>955</v>
      </c>
      <c r="GM760" s="276" t="s">
        <v>955</v>
      </c>
      <c r="GN760" s="276" t="s">
        <v>955</v>
      </c>
      <c r="GO760" s="276" t="s">
        <v>955</v>
      </c>
      <c r="GP760" s="276" t="s">
        <v>955</v>
      </c>
      <c r="GQ760" s="276" t="s">
        <v>955</v>
      </c>
      <c r="GR760" s="276" t="s">
        <v>955</v>
      </c>
      <c r="GS760" s="276" t="s">
        <v>955</v>
      </c>
      <c r="GT760" s="276" t="s">
        <v>955</v>
      </c>
      <c r="GU760" s="276" t="s">
        <v>955</v>
      </c>
      <c r="GV760" s="276" t="s">
        <v>955</v>
      </c>
    </row>
    <row r="761" spans="1:204" x14ac:dyDescent="0.2">
      <c r="A761" s="278"/>
      <c r="GG761" s="276" t="s">
        <v>955</v>
      </c>
      <c r="GH761" s="276" t="s">
        <v>955</v>
      </c>
      <c r="GI761" s="276" t="s">
        <v>955</v>
      </c>
      <c r="GJ761" s="276" t="s">
        <v>955</v>
      </c>
      <c r="GK761" s="276" t="s">
        <v>955</v>
      </c>
      <c r="GL761" s="276" t="s">
        <v>955</v>
      </c>
      <c r="GM761" s="276" t="s">
        <v>955</v>
      </c>
      <c r="GN761" s="276" t="s">
        <v>955</v>
      </c>
      <c r="GO761" s="276" t="s">
        <v>955</v>
      </c>
      <c r="GP761" s="276" t="s">
        <v>955</v>
      </c>
      <c r="GQ761" s="276" t="s">
        <v>955</v>
      </c>
      <c r="GR761" s="276" t="s">
        <v>955</v>
      </c>
      <c r="GS761" s="276" t="s">
        <v>955</v>
      </c>
      <c r="GT761" s="276" t="s">
        <v>955</v>
      </c>
      <c r="GU761" s="276" t="s">
        <v>955</v>
      </c>
      <c r="GV761" s="276" t="s">
        <v>955</v>
      </c>
    </row>
    <row r="762" spans="1:204" x14ac:dyDescent="0.2">
      <c r="A762" s="278"/>
      <c r="GG762" s="276" t="s">
        <v>955</v>
      </c>
      <c r="GH762" s="276" t="s">
        <v>955</v>
      </c>
      <c r="GI762" s="276" t="s">
        <v>955</v>
      </c>
      <c r="GJ762" s="276" t="s">
        <v>955</v>
      </c>
      <c r="GK762" s="276" t="s">
        <v>955</v>
      </c>
      <c r="GL762" s="276" t="s">
        <v>955</v>
      </c>
      <c r="GM762" s="276" t="s">
        <v>955</v>
      </c>
      <c r="GN762" s="276" t="s">
        <v>955</v>
      </c>
      <c r="GO762" s="276" t="s">
        <v>955</v>
      </c>
      <c r="GP762" s="276" t="s">
        <v>955</v>
      </c>
      <c r="GQ762" s="276" t="s">
        <v>955</v>
      </c>
      <c r="GR762" s="276" t="s">
        <v>955</v>
      </c>
      <c r="GS762" s="276" t="s">
        <v>955</v>
      </c>
      <c r="GT762" s="276" t="s">
        <v>955</v>
      </c>
      <c r="GU762" s="276" t="s">
        <v>955</v>
      </c>
      <c r="GV762" s="276" t="s">
        <v>955</v>
      </c>
    </row>
    <row r="763" spans="1:204" x14ac:dyDescent="0.2">
      <c r="A763" s="278"/>
      <c r="GG763" s="276" t="s">
        <v>955</v>
      </c>
      <c r="GH763" s="276" t="s">
        <v>955</v>
      </c>
      <c r="GI763" s="276" t="s">
        <v>955</v>
      </c>
      <c r="GJ763" s="276" t="s">
        <v>955</v>
      </c>
      <c r="GK763" s="276" t="s">
        <v>955</v>
      </c>
      <c r="GL763" s="276" t="s">
        <v>955</v>
      </c>
      <c r="GM763" s="276" t="s">
        <v>955</v>
      </c>
      <c r="GN763" s="276" t="s">
        <v>955</v>
      </c>
      <c r="GO763" s="276" t="s">
        <v>955</v>
      </c>
      <c r="GP763" s="276" t="s">
        <v>955</v>
      </c>
      <c r="GQ763" s="276" t="s">
        <v>955</v>
      </c>
      <c r="GR763" s="276" t="s">
        <v>955</v>
      </c>
      <c r="GS763" s="276" t="s">
        <v>955</v>
      </c>
      <c r="GT763" s="276" t="s">
        <v>955</v>
      </c>
      <c r="GU763" s="276" t="s">
        <v>955</v>
      </c>
      <c r="GV763" s="276" t="s">
        <v>955</v>
      </c>
    </row>
    <row r="764" spans="1:204" x14ac:dyDescent="0.2">
      <c r="A764" s="278"/>
      <c r="B764" s="330"/>
      <c r="GG764" s="276" t="s">
        <v>955</v>
      </c>
      <c r="GH764" s="276" t="s">
        <v>955</v>
      </c>
      <c r="GI764" s="276" t="s">
        <v>955</v>
      </c>
      <c r="GJ764" s="276" t="s">
        <v>955</v>
      </c>
      <c r="GK764" s="276" t="s">
        <v>955</v>
      </c>
      <c r="GL764" s="276" t="s">
        <v>955</v>
      </c>
      <c r="GM764" s="276" t="s">
        <v>955</v>
      </c>
      <c r="GN764" s="276" t="s">
        <v>955</v>
      </c>
      <c r="GO764" s="276" t="s">
        <v>955</v>
      </c>
      <c r="GP764" s="276" t="s">
        <v>955</v>
      </c>
      <c r="GQ764" s="276" t="s">
        <v>955</v>
      </c>
      <c r="GR764" s="276" t="s">
        <v>955</v>
      </c>
      <c r="GS764" s="276" t="s">
        <v>955</v>
      </c>
      <c r="GT764" s="276" t="s">
        <v>955</v>
      </c>
      <c r="GU764" s="276" t="s">
        <v>955</v>
      </c>
      <c r="GV764" s="276" t="s">
        <v>955</v>
      </c>
    </row>
    <row r="765" spans="1:204" x14ac:dyDescent="0.2">
      <c r="A765" s="278"/>
      <c r="GG765" s="276" t="s">
        <v>955</v>
      </c>
      <c r="GH765" s="276" t="s">
        <v>955</v>
      </c>
      <c r="GI765" s="276" t="s">
        <v>955</v>
      </c>
      <c r="GJ765" s="276" t="s">
        <v>955</v>
      </c>
      <c r="GK765" s="276" t="s">
        <v>955</v>
      </c>
      <c r="GL765" s="276" t="s">
        <v>955</v>
      </c>
      <c r="GM765" s="276" t="s">
        <v>955</v>
      </c>
      <c r="GN765" s="276" t="s">
        <v>955</v>
      </c>
      <c r="GO765" s="276" t="s">
        <v>955</v>
      </c>
      <c r="GP765" s="276" t="s">
        <v>955</v>
      </c>
      <c r="GQ765" s="276" t="s">
        <v>955</v>
      </c>
      <c r="GR765" s="276" t="s">
        <v>955</v>
      </c>
      <c r="GS765" s="276" t="s">
        <v>955</v>
      </c>
      <c r="GT765" s="276" t="s">
        <v>955</v>
      </c>
      <c r="GU765" s="276" t="s">
        <v>955</v>
      </c>
      <c r="GV765" s="276" t="s">
        <v>955</v>
      </c>
    </row>
    <row r="766" spans="1:204" x14ac:dyDescent="0.2">
      <c r="A766" s="278"/>
      <c r="GG766" s="276" t="s">
        <v>955</v>
      </c>
      <c r="GH766" s="276" t="s">
        <v>955</v>
      </c>
      <c r="GI766" s="276" t="s">
        <v>955</v>
      </c>
      <c r="GJ766" s="276" t="s">
        <v>955</v>
      </c>
      <c r="GK766" s="276" t="s">
        <v>955</v>
      </c>
      <c r="GL766" s="276" t="s">
        <v>955</v>
      </c>
      <c r="GM766" s="276" t="s">
        <v>955</v>
      </c>
      <c r="GN766" s="276" t="s">
        <v>955</v>
      </c>
      <c r="GO766" s="276" t="s">
        <v>955</v>
      </c>
      <c r="GP766" s="276" t="s">
        <v>955</v>
      </c>
      <c r="GQ766" s="276" t="s">
        <v>955</v>
      </c>
      <c r="GR766" s="276" t="s">
        <v>955</v>
      </c>
      <c r="GS766" s="276" t="s">
        <v>955</v>
      </c>
      <c r="GT766" s="276" t="s">
        <v>955</v>
      </c>
      <c r="GU766" s="276" t="s">
        <v>955</v>
      </c>
      <c r="GV766" s="276" t="s">
        <v>955</v>
      </c>
    </row>
    <row r="767" spans="1:204" x14ac:dyDescent="0.2">
      <c r="A767" s="278"/>
      <c r="GG767" s="276" t="s">
        <v>955</v>
      </c>
      <c r="GH767" s="276" t="s">
        <v>955</v>
      </c>
      <c r="GI767" s="276" t="s">
        <v>955</v>
      </c>
      <c r="GJ767" s="276" t="s">
        <v>955</v>
      </c>
      <c r="GK767" s="276" t="s">
        <v>955</v>
      </c>
      <c r="GL767" s="276" t="s">
        <v>955</v>
      </c>
      <c r="GM767" s="276" t="s">
        <v>955</v>
      </c>
      <c r="GN767" s="276" t="s">
        <v>955</v>
      </c>
      <c r="GO767" s="276" t="s">
        <v>955</v>
      </c>
      <c r="GP767" s="276" t="s">
        <v>955</v>
      </c>
      <c r="GQ767" s="276" t="s">
        <v>955</v>
      </c>
      <c r="GR767" s="276" t="s">
        <v>955</v>
      </c>
      <c r="GS767" s="276" t="s">
        <v>955</v>
      </c>
      <c r="GT767" s="276" t="s">
        <v>955</v>
      </c>
      <c r="GU767" s="276" t="s">
        <v>955</v>
      </c>
      <c r="GV767" s="276" t="s">
        <v>955</v>
      </c>
    </row>
    <row r="768" spans="1:204" x14ac:dyDescent="0.2">
      <c r="A768" s="278"/>
      <c r="GG768" s="276" t="s">
        <v>955</v>
      </c>
      <c r="GH768" s="276" t="s">
        <v>955</v>
      </c>
      <c r="GI768" s="276" t="s">
        <v>955</v>
      </c>
      <c r="GJ768" s="276" t="s">
        <v>955</v>
      </c>
      <c r="GK768" s="276" t="s">
        <v>955</v>
      </c>
      <c r="GL768" s="276" t="s">
        <v>955</v>
      </c>
      <c r="GM768" s="276" t="s">
        <v>955</v>
      </c>
      <c r="GN768" s="276" t="s">
        <v>955</v>
      </c>
      <c r="GO768" s="276" t="s">
        <v>955</v>
      </c>
      <c r="GP768" s="276" t="s">
        <v>955</v>
      </c>
      <c r="GQ768" s="276" t="s">
        <v>955</v>
      </c>
      <c r="GR768" s="276" t="s">
        <v>955</v>
      </c>
      <c r="GS768" s="276" t="s">
        <v>955</v>
      </c>
      <c r="GT768" s="276" t="s">
        <v>955</v>
      </c>
      <c r="GU768" s="276" t="s">
        <v>955</v>
      </c>
      <c r="GV768" s="276" t="s">
        <v>955</v>
      </c>
    </row>
    <row r="769" spans="1:204" x14ac:dyDescent="0.2">
      <c r="A769" s="278"/>
      <c r="GG769" s="276" t="s">
        <v>955</v>
      </c>
      <c r="GH769" s="276" t="s">
        <v>955</v>
      </c>
      <c r="GI769" s="276" t="s">
        <v>955</v>
      </c>
      <c r="GJ769" s="276" t="s">
        <v>955</v>
      </c>
      <c r="GK769" s="276" t="s">
        <v>955</v>
      </c>
      <c r="GL769" s="276" t="s">
        <v>955</v>
      </c>
      <c r="GM769" s="276" t="s">
        <v>955</v>
      </c>
      <c r="GN769" s="276" t="s">
        <v>955</v>
      </c>
      <c r="GO769" s="276" t="s">
        <v>955</v>
      </c>
      <c r="GP769" s="276" t="s">
        <v>955</v>
      </c>
      <c r="GQ769" s="276" t="s">
        <v>955</v>
      </c>
      <c r="GR769" s="276" t="s">
        <v>955</v>
      </c>
      <c r="GS769" s="276" t="s">
        <v>955</v>
      </c>
      <c r="GT769" s="276" t="s">
        <v>955</v>
      </c>
      <c r="GU769" s="276" t="s">
        <v>955</v>
      </c>
      <c r="GV769" s="276" t="s">
        <v>955</v>
      </c>
    </row>
    <row r="770" spans="1:204" x14ac:dyDescent="0.2">
      <c r="A770" s="278"/>
      <c r="GG770" s="276" t="s">
        <v>955</v>
      </c>
      <c r="GH770" s="276" t="s">
        <v>955</v>
      </c>
      <c r="GI770" s="276" t="s">
        <v>955</v>
      </c>
      <c r="GJ770" s="276" t="s">
        <v>955</v>
      </c>
      <c r="GK770" s="276" t="s">
        <v>955</v>
      </c>
      <c r="GL770" s="276" t="s">
        <v>955</v>
      </c>
      <c r="GM770" s="276" t="s">
        <v>955</v>
      </c>
      <c r="GN770" s="276" t="s">
        <v>955</v>
      </c>
      <c r="GO770" s="276" t="s">
        <v>955</v>
      </c>
      <c r="GP770" s="276" t="s">
        <v>955</v>
      </c>
      <c r="GQ770" s="276" t="s">
        <v>955</v>
      </c>
      <c r="GR770" s="276" t="s">
        <v>955</v>
      </c>
      <c r="GS770" s="276" t="s">
        <v>955</v>
      </c>
      <c r="GT770" s="276" t="s">
        <v>955</v>
      </c>
      <c r="GU770" s="276" t="s">
        <v>955</v>
      </c>
      <c r="GV770" s="276" t="s">
        <v>955</v>
      </c>
    </row>
    <row r="771" spans="1:204" x14ac:dyDescent="0.2">
      <c r="A771" s="278"/>
      <c r="GG771" s="276" t="s">
        <v>955</v>
      </c>
      <c r="GH771" s="276" t="s">
        <v>955</v>
      </c>
      <c r="GI771" s="276" t="s">
        <v>955</v>
      </c>
      <c r="GJ771" s="276" t="s">
        <v>955</v>
      </c>
      <c r="GK771" s="276" t="s">
        <v>955</v>
      </c>
      <c r="GL771" s="276" t="s">
        <v>955</v>
      </c>
      <c r="GM771" s="276" t="s">
        <v>955</v>
      </c>
      <c r="GN771" s="276" t="s">
        <v>955</v>
      </c>
      <c r="GO771" s="276" t="s">
        <v>955</v>
      </c>
      <c r="GP771" s="276" t="s">
        <v>955</v>
      </c>
      <c r="GQ771" s="276" t="s">
        <v>955</v>
      </c>
      <c r="GR771" s="276" t="s">
        <v>955</v>
      </c>
      <c r="GS771" s="276" t="s">
        <v>955</v>
      </c>
      <c r="GT771" s="276" t="s">
        <v>955</v>
      </c>
      <c r="GU771" s="276" t="s">
        <v>955</v>
      </c>
      <c r="GV771" s="276" t="s">
        <v>955</v>
      </c>
    </row>
    <row r="772" spans="1:204" x14ac:dyDescent="0.2">
      <c r="A772" s="278"/>
      <c r="GG772" s="276" t="s">
        <v>955</v>
      </c>
      <c r="GH772" s="276" t="s">
        <v>955</v>
      </c>
      <c r="GI772" s="276" t="s">
        <v>955</v>
      </c>
      <c r="GJ772" s="276" t="s">
        <v>955</v>
      </c>
      <c r="GK772" s="276" t="s">
        <v>955</v>
      </c>
      <c r="GL772" s="276" t="s">
        <v>955</v>
      </c>
      <c r="GM772" s="276" t="s">
        <v>955</v>
      </c>
      <c r="GN772" s="276" t="s">
        <v>955</v>
      </c>
      <c r="GO772" s="276" t="s">
        <v>955</v>
      </c>
      <c r="GP772" s="276" t="s">
        <v>955</v>
      </c>
      <c r="GQ772" s="276" t="s">
        <v>955</v>
      </c>
      <c r="GR772" s="276" t="s">
        <v>955</v>
      </c>
      <c r="GS772" s="276" t="s">
        <v>955</v>
      </c>
      <c r="GT772" s="276" t="s">
        <v>955</v>
      </c>
      <c r="GU772" s="276" t="s">
        <v>955</v>
      </c>
      <c r="GV772" s="276" t="s">
        <v>955</v>
      </c>
    </row>
    <row r="773" spans="1:204" x14ac:dyDescent="0.2">
      <c r="A773" s="278"/>
      <c r="GG773" s="276" t="s">
        <v>955</v>
      </c>
      <c r="GH773" s="276" t="s">
        <v>955</v>
      </c>
      <c r="GI773" s="276" t="s">
        <v>955</v>
      </c>
      <c r="GJ773" s="276" t="s">
        <v>955</v>
      </c>
      <c r="GK773" s="276" t="s">
        <v>955</v>
      </c>
      <c r="GL773" s="276" t="s">
        <v>955</v>
      </c>
      <c r="GM773" s="276" t="s">
        <v>955</v>
      </c>
      <c r="GN773" s="276" t="s">
        <v>955</v>
      </c>
      <c r="GO773" s="276" t="s">
        <v>955</v>
      </c>
      <c r="GP773" s="276" t="s">
        <v>955</v>
      </c>
      <c r="GQ773" s="276" t="s">
        <v>955</v>
      </c>
      <c r="GR773" s="276" t="s">
        <v>955</v>
      </c>
      <c r="GS773" s="276" t="s">
        <v>955</v>
      </c>
      <c r="GT773" s="276" t="s">
        <v>955</v>
      </c>
      <c r="GU773" s="276" t="s">
        <v>955</v>
      </c>
      <c r="GV773" s="276" t="s">
        <v>955</v>
      </c>
    </row>
    <row r="774" spans="1:204" x14ac:dyDescent="0.2">
      <c r="A774" s="278"/>
      <c r="GG774" s="276" t="s">
        <v>955</v>
      </c>
      <c r="GH774" s="276" t="s">
        <v>955</v>
      </c>
      <c r="GI774" s="276" t="s">
        <v>955</v>
      </c>
      <c r="GJ774" s="276" t="s">
        <v>955</v>
      </c>
      <c r="GK774" s="276" t="s">
        <v>955</v>
      </c>
      <c r="GL774" s="276" t="s">
        <v>955</v>
      </c>
      <c r="GM774" s="276" t="s">
        <v>955</v>
      </c>
      <c r="GN774" s="276" t="s">
        <v>955</v>
      </c>
      <c r="GO774" s="276" t="s">
        <v>955</v>
      </c>
      <c r="GP774" s="276" t="s">
        <v>955</v>
      </c>
      <c r="GQ774" s="276" t="s">
        <v>955</v>
      </c>
      <c r="GR774" s="276" t="s">
        <v>955</v>
      </c>
      <c r="GS774" s="276" t="s">
        <v>955</v>
      </c>
      <c r="GT774" s="276" t="s">
        <v>955</v>
      </c>
      <c r="GU774" s="276" t="s">
        <v>955</v>
      </c>
      <c r="GV774" s="276" t="s">
        <v>955</v>
      </c>
    </row>
    <row r="775" spans="1:204" x14ac:dyDescent="0.2">
      <c r="A775" s="278"/>
      <c r="GG775" s="276" t="s">
        <v>955</v>
      </c>
      <c r="GH775" s="276" t="s">
        <v>955</v>
      </c>
      <c r="GI775" s="276" t="s">
        <v>955</v>
      </c>
      <c r="GJ775" s="276" t="s">
        <v>955</v>
      </c>
      <c r="GK775" s="276" t="s">
        <v>955</v>
      </c>
      <c r="GL775" s="276" t="s">
        <v>955</v>
      </c>
      <c r="GM775" s="276" t="s">
        <v>955</v>
      </c>
      <c r="GN775" s="276" t="s">
        <v>955</v>
      </c>
      <c r="GO775" s="276" t="s">
        <v>955</v>
      </c>
      <c r="GP775" s="276" t="s">
        <v>955</v>
      </c>
      <c r="GQ775" s="276" t="s">
        <v>955</v>
      </c>
      <c r="GR775" s="276" t="s">
        <v>955</v>
      </c>
      <c r="GS775" s="276" t="s">
        <v>955</v>
      </c>
      <c r="GT775" s="276" t="s">
        <v>955</v>
      </c>
      <c r="GU775" s="276" t="s">
        <v>955</v>
      </c>
      <c r="GV775" s="276" t="s">
        <v>955</v>
      </c>
    </row>
    <row r="776" spans="1:204" x14ac:dyDescent="0.2">
      <c r="A776" s="278"/>
      <c r="GG776" s="276" t="s">
        <v>955</v>
      </c>
      <c r="GH776" s="276" t="s">
        <v>955</v>
      </c>
      <c r="GI776" s="276" t="s">
        <v>955</v>
      </c>
      <c r="GJ776" s="276" t="s">
        <v>955</v>
      </c>
      <c r="GK776" s="276" t="s">
        <v>955</v>
      </c>
      <c r="GL776" s="276" t="s">
        <v>955</v>
      </c>
      <c r="GM776" s="276" t="s">
        <v>955</v>
      </c>
      <c r="GN776" s="276" t="s">
        <v>955</v>
      </c>
      <c r="GO776" s="276" t="s">
        <v>955</v>
      </c>
      <c r="GP776" s="276" t="s">
        <v>955</v>
      </c>
      <c r="GQ776" s="276" t="s">
        <v>955</v>
      </c>
      <c r="GR776" s="276" t="s">
        <v>955</v>
      </c>
      <c r="GS776" s="276" t="s">
        <v>955</v>
      </c>
      <c r="GT776" s="276" t="s">
        <v>955</v>
      </c>
      <c r="GU776" s="276" t="s">
        <v>955</v>
      </c>
      <c r="GV776" s="276" t="s">
        <v>955</v>
      </c>
    </row>
    <row r="777" spans="1:204" x14ac:dyDescent="0.2">
      <c r="A777" s="278"/>
      <c r="GG777" s="276" t="s">
        <v>955</v>
      </c>
      <c r="GH777" s="276" t="s">
        <v>955</v>
      </c>
      <c r="GI777" s="276" t="s">
        <v>955</v>
      </c>
      <c r="GJ777" s="276" t="s">
        <v>955</v>
      </c>
      <c r="GK777" s="276" t="s">
        <v>955</v>
      </c>
      <c r="GL777" s="276" t="s">
        <v>955</v>
      </c>
      <c r="GM777" s="276" t="s">
        <v>955</v>
      </c>
      <c r="GN777" s="276" t="s">
        <v>955</v>
      </c>
      <c r="GO777" s="276" t="s">
        <v>955</v>
      </c>
      <c r="GP777" s="276" t="s">
        <v>955</v>
      </c>
      <c r="GQ777" s="276" t="s">
        <v>955</v>
      </c>
      <c r="GR777" s="276" t="s">
        <v>955</v>
      </c>
      <c r="GS777" s="276" t="s">
        <v>955</v>
      </c>
      <c r="GT777" s="276" t="s">
        <v>955</v>
      </c>
      <c r="GU777" s="276" t="s">
        <v>955</v>
      </c>
      <c r="GV777" s="276" t="s">
        <v>955</v>
      </c>
    </row>
    <row r="778" spans="1:204" x14ac:dyDescent="0.2">
      <c r="A778" s="278"/>
      <c r="GG778" s="276" t="s">
        <v>955</v>
      </c>
      <c r="GH778" s="276" t="s">
        <v>955</v>
      </c>
      <c r="GI778" s="276" t="s">
        <v>955</v>
      </c>
      <c r="GJ778" s="276" t="s">
        <v>955</v>
      </c>
      <c r="GK778" s="276" t="s">
        <v>955</v>
      </c>
      <c r="GL778" s="276" t="s">
        <v>955</v>
      </c>
      <c r="GM778" s="276" t="s">
        <v>955</v>
      </c>
      <c r="GN778" s="276" t="s">
        <v>955</v>
      </c>
      <c r="GO778" s="276" t="s">
        <v>955</v>
      </c>
      <c r="GP778" s="276" t="s">
        <v>955</v>
      </c>
      <c r="GQ778" s="276" t="s">
        <v>955</v>
      </c>
      <c r="GR778" s="276" t="s">
        <v>955</v>
      </c>
      <c r="GS778" s="276" t="s">
        <v>955</v>
      </c>
      <c r="GT778" s="276" t="s">
        <v>955</v>
      </c>
      <c r="GU778" s="276" t="s">
        <v>955</v>
      </c>
      <c r="GV778" s="276" t="s">
        <v>955</v>
      </c>
    </row>
    <row r="779" spans="1:204" x14ac:dyDescent="0.2">
      <c r="A779" s="278"/>
      <c r="B779" s="279"/>
      <c r="GG779" s="276" t="s">
        <v>955</v>
      </c>
      <c r="GH779" s="276" t="s">
        <v>955</v>
      </c>
      <c r="GI779" s="276" t="s">
        <v>955</v>
      </c>
      <c r="GJ779" s="276" t="s">
        <v>955</v>
      </c>
      <c r="GK779" s="276" t="s">
        <v>955</v>
      </c>
      <c r="GL779" s="276" t="s">
        <v>955</v>
      </c>
      <c r="GM779" s="276" t="s">
        <v>955</v>
      </c>
      <c r="GN779" s="276" t="s">
        <v>955</v>
      </c>
      <c r="GO779" s="276" t="s">
        <v>955</v>
      </c>
      <c r="GP779" s="276" t="s">
        <v>955</v>
      </c>
      <c r="GQ779" s="276" t="s">
        <v>955</v>
      </c>
      <c r="GR779" s="276" t="s">
        <v>955</v>
      </c>
      <c r="GS779" s="276" t="s">
        <v>955</v>
      </c>
      <c r="GT779" s="276" t="s">
        <v>955</v>
      </c>
      <c r="GU779" s="276" t="s">
        <v>955</v>
      </c>
      <c r="GV779" s="276" t="s">
        <v>955</v>
      </c>
    </row>
    <row r="780" spans="1:204" x14ac:dyDescent="0.2">
      <c r="A780" s="278"/>
      <c r="B780" s="279"/>
      <c r="GG780" s="276" t="s">
        <v>955</v>
      </c>
      <c r="GH780" s="276" t="s">
        <v>955</v>
      </c>
      <c r="GI780" s="276" t="s">
        <v>955</v>
      </c>
      <c r="GJ780" s="276" t="s">
        <v>955</v>
      </c>
      <c r="GK780" s="276" t="s">
        <v>955</v>
      </c>
      <c r="GL780" s="276" t="s">
        <v>955</v>
      </c>
      <c r="GM780" s="276" t="s">
        <v>955</v>
      </c>
      <c r="GN780" s="276" t="s">
        <v>955</v>
      </c>
      <c r="GO780" s="276" t="s">
        <v>955</v>
      </c>
      <c r="GP780" s="276" t="s">
        <v>955</v>
      </c>
      <c r="GQ780" s="276" t="s">
        <v>955</v>
      </c>
      <c r="GR780" s="276" t="s">
        <v>955</v>
      </c>
      <c r="GS780" s="276" t="s">
        <v>955</v>
      </c>
      <c r="GT780" s="276" t="s">
        <v>955</v>
      </c>
      <c r="GU780" s="276" t="s">
        <v>955</v>
      </c>
      <c r="GV780" s="276" t="s">
        <v>955</v>
      </c>
    </row>
    <row r="781" spans="1:204" x14ac:dyDescent="0.2">
      <c r="A781" s="278"/>
      <c r="B781" s="279"/>
      <c r="GG781" s="276" t="s">
        <v>955</v>
      </c>
      <c r="GH781" s="276" t="s">
        <v>955</v>
      </c>
      <c r="GI781" s="276" t="s">
        <v>955</v>
      </c>
      <c r="GJ781" s="276" t="s">
        <v>955</v>
      </c>
      <c r="GK781" s="276" t="s">
        <v>955</v>
      </c>
      <c r="GL781" s="276" t="s">
        <v>955</v>
      </c>
      <c r="GM781" s="276" t="s">
        <v>955</v>
      </c>
      <c r="GN781" s="276" t="s">
        <v>955</v>
      </c>
      <c r="GO781" s="276" t="s">
        <v>955</v>
      </c>
      <c r="GP781" s="276" t="s">
        <v>955</v>
      </c>
      <c r="GQ781" s="276" t="s">
        <v>955</v>
      </c>
      <c r="GR781" s="276" t="s">
        <v>955</v>
      </c>
      <c r="GS781" s="276" t="s">
        <v>955</v>
      </c>
      <c r="GT781" s="276" t="s">
        <v>955</v>
      </c>
      <c r="GU781" s="276" t="s">
        <v>955</v>
      </c>
      <c r="GV781" s="276" t="s">
        <v>955</v>
      </c>
    </row>
    <row r="782" spans="1:204" x14ac:dyDescent="0.2">
      <c r="A782" s="278"/>
      <c r="B782" s="279"/>
      <c r="GG782" s="276" t="s">
        <v>955</v>
      </c>
      <c r="GH782" s="276" t="s">
        <v>955</v>
      </c>
      <c r="GI782" s="276" t="s">
        <v>955</v>
      </c>
      <c r="GJ782" s="276" t="s">
        <v>955</v>
      </c>
      <c r="GK782" s="276" t="s">
        <v>955</v>
      </c>
      <c r="GL782" s="276" t="s">
        <v>955</v>
      </c>
      <c r="GM782" s="276" t="s">
        <v>955</v>
      </c>
      <c r="GN782" s="276" t="s">
        <v>955</v>
      </c>
      <c r="GO782" s="276" t="s">
        <v>955</v>
      </c>
      <c r="GP782" s="276" t="s">
        <v>955</v>
      </c>
      <c r="GQ782" s="276" t="s">
        <v>955</v>
      </c>
      <c r="GR782" s="276" t="s">
        <v>955</v>
      </c>
      <c r="GS782" s="276" t="s">
        <v>955</v>
      </c>
      <c r="GT782" s="276" t="s">
        <v>955</v>
      </c>
      <c r="GU782" s="276" t="s">
        <v>955</v>
      </c>
      <c r="GV782" s="276" t="s">
        <v>955</v>
      </c>
    </row>
    <row r="783" spans="1:204" x14ac:dyDescent="0.2">
      <c r="A783" s="278"/>
      <c r="B783" s="279"/>
      <c r="GG783" s="276" t="s">
        <v>955</v>
      </c>
      <c r="GH783" s="276" t="s">
        <v>955</v>
      </c>
      <c r="GI783" s="276" t="s">
        <v>955</v>
      </c>
      <c r="GJ783" s="276" t="s">
        <v>955</v>
      </c>
      <c r="GK783" s="276" t="s">
        <v>955</v>
      </c>
      <c r="GL783" s="276" t="s">
        <v>955</v>
      </c>
      <c r="GM783" s="276" t="s">
        <v>955</v>
      </c>
      <c r="GN783" s="276" t="s">
        <v>955</v>
      </c>
      <c r="GO783" s="276" t="s">
        <v>955</v>
      </c>
      <c r="GP783" s="276" t="s">
        <v>955</v>
      </c>
      <c r="GQ783" s="276" t="s">
        <v>955</v>
      </c>
      <c r="GR783" s="276" t="s">
        <v>955</v>
      </c>
      <c r="GS783" s="276" t="s">
        <v>955</v>
      </c>
      <c r="GT783" s="276" t="s">
        <v>955</v>
      </c>
      <c r="GU783" s="276" t="s">
        <v>955</v>
      </c>
      <c r="GV783" s="276" t="s">
        <v>955</v>
      </c>
    </row>
    <row r="784" spans="1:204" x14ac:dyDescent="0.2">
      <c r="A784" s="278"/>
      <c r="B784" s="279"/>
      <c r="GG784" s="276" t="s">
        <v>955</v>
      </c>
      <c r="GH784" s="276" t="s">
        <v>955</v>
      </c>
      <c r="GI784" s="276" t="s">
        <v>955</v>
      </c>
      <c r="GJ784" s="276" t="s">
        <v>955</v>
      </c>
      <c r="GK784" s="276" t="s">
        <v>955</v>
      </c>
      <c r="GL784" s="276" t="s">
        <v>955</v>
      </c>
      <c r="GM784" s="276" t="s">
        <v>955</v>
      </c>
      <c r="GN784" s="276" t="s">
        <v>955</v>
      </c>
      <c r="GO784" s="276" t="s">
        <v>955</v>
      </c>
      <c r="GP784" s="276" t="s">
        <v>955</v>
      </c>
      <c r="GQ784" s="276" t="s">
        <v>955</v>
      </c>
      <c r="GR784" s="276" t="s">
        <v>955</v>
      </c>
      <c r="GS784" s="276" t="s">
        <v>955</v>
      </c>
      <c r="GT784" s="276" t="s">
        <v>955</v>
      </c>
      <c r="GU784" s="276" t="s">
        <v>955</v>
      </c>
      <c r="GV784" s="276" t="s">
        <v>955</v>
      </c>
    </row>
    <row r="785" spans="1:204" x14ac:dyDescent="0.2">
      <c r="A785" s="278"/>
      <c r="B785" s="279"/>
      <c r="GG785" s="276" t="s">
        <v>955</v>
      </c>
      <c r="GH785" s="276" t="s">
        <v>955</v>
      </c>
      <c r="GI785" s="276" t="s">
        <v>955</v>
      </c>
      <c r="GJ785" s="276" t="s">
        <v>955</v>
      </c>
      <c r="GK785" s="276" t="s">
        <v>955</v>
      </c>
      <c r="GL785" s="276" t="s">
        <v>955</v>
      </c>
      <c r="GM785" s="276" t="s">
        <v>955</v>
      </c>
      <c r="GN785" s="276" t="s">
        <v>955</v>
      </c>
      <c r="GO785" s="276" t="s">
        <v>955</v>
      </c>
      <c r="GP785" s="276" t="s">
        <v>955</v>
      </c>
      <c r="GQ785" s="276" t="s">
        <v>955</v>
      </c>
      <c r="GR785" s="276" t="s">
        <v>955</v>
      </c>
      <c r="GS785" s="276" t="s">
        <v>955</v>
      </c>
      <c r="GT785" s="276" t="s">
        <v>955</v>
      </c>
      <c r="GU785" s="276" t="s">
        <v>955</v>
      </c>
      <c r="GV785" s="276" t="s">
        <v>955</v>
      </c>
    </row>
    <row r="786" spans="1:204" x14ac:dyDescent="0.2">
      <c r="A786" s="278"/>
      <c r="B786" s="279"/>
      <c r="GG786" s="276" t="s">
        <v>955</v>
      </c>
      <c r="GH786" s="276" t="s">
        <v>955</v>
      </c>
      <c r="GI786" s="276" t="s">
        <v>955</v>
      </c>
      <c r="GJ786" s="276" t="s">
        <v>955</v>
      </c>
      <c r="GK786" s="276" t="s">
        <v>955</v>
      </c>
      <c r="GL786" s="276" t="s">
        <v>955</v>
      </c>
      <c r="GM786" s="276" t="s">
        <v>955</v>
      </c>
      <c r="GN786" s="276" t="s">
        <v>955</v>
      </c>
      <c r="GO786" s="276" t="s">
        <v>955</v>
      </c>
      <c r="GP786" s="276" t="s">
        <v>955</v>
      </c>
      <c r="GQ786" s="276" t="s">
        <v>955</v>
      </c>
      <c r="GR786" s="276" t="s">
        <v>955</v>
      </c>
      <c r="GS786" s="276" t="s">
        <v>955</v>
      </c>
      <c r="GT786" s="276" t="s">
        <v>955</v>
      </c>
      <c r="GU786" s="276" t="s">
        <v>955</v>
      </c>
      <c r="GV786" s="276" t="s">
        <v>955</v>
      </c>
    </row>
    <row r="787" spans="1:204" x14ac:dyDescent="0.2">
      <c r="A787" s="278"/>
      <c r="B787" s="279"/>
      <c r="GG787" s="276" t="s">
        <v>955</v>
      </c>
      <c r="GH787" s="276" t="s">
        <v>955</v>
      </c>
      <c r="GI787" s="276" t="s">
        <v>955</v>
      </c>
      <c r="GJ787" s="276" t="s">
        <v>955</v>
      </c>
      <c r="GK787" s="276" t="s">
        <v>955</v>
      </c>
      <c r="GL787" s="276" t="s">
        <v>955</v>
      </c>
      <c r="GM787" s="276" t="s">
        <v>955</v>
      </c>
      <c r="GN787" s="276" t="s">
        <v>955</v>
      </c>
      <c r="GO787" s="276" t="s">
        <v>955</v>
      </c>
      <c r="GP787" s="276" t="s">
        <v>955</v>
      </c>
      <c r="GQ787" s="276" t="s">
        <v>955</v>
      </c>
      <c r="GR787" s="276" t="s">
        <v>955</v>
      </c>
      <c r="GS787" s="276" t="s">
        <v>955</v>
      </c>
      <c r="GT787" s="276" t="s">
        <v>955</v>
      </c>
      <c r="GU787" s="276" t="s">
        <v>955</v>
      </c>
      <c r="GV787" s="276" t="s">
        <v>955</v>
      </c>
    </row>
    <row r="788" spans="1:204" x14ac:dyDescent="0.2">
      <c r="A788" s="278"/>
      <c r="B788" s="279"/>
      <c r="GG788" s="276" t="s">
        <v>955</v>
      </c>
      <c r="GH788" s="276" t="s">
        <v>955</v>
      </c>
      <c r="GI788" s="276" t="s">
        <v>955</v>
      </c>
      <c r="GJ788" s="276" t="s">
        <v>955</v>
      </c>
      <c r="GK788" s="276" t="s">
        <v>955</v>
      </c>
      <c r="GL788" s="276" t="s">
        <v>955</v>
      </c>
      <c r="GM788" s="276" t="s">
        <v>955</v>
      </c>
      <c r="GN788" s="276" t="s">
        <v>955</v>
      </c>
      <c r="GO788" s="276" t="s">
        <v>955</v>
      </c>
      <c r="GP788" s="276" t="s">
        <v>955</v>
      </c>
      <c r="GQ788" s="276" t="s">
        <v>955</v>
      </c>
      <c r="GR788" s="276" t="s">
        <v>955</v>
      </c>
      <c r="GS788" s="276" t="s">
        <v>955</v>
      </c>
      <c r="GT788" s="276" t="s">
        <v>955</v>
      </c>
      <c r="GU788" s="276" t="s">
        <v>955</v>
      </c>
      <c r="GV788" s="276" t="s">
        <v>955</v>
      </c>
    </row>
    <row r="789" spans="1:204" x14ac:dyDescent="0.2">
      <c r="A789" s="278"/>
      <c r="B789" s="279"/>
      <c r="GG789" s="276" t="s">
        <v>955</v>
      </c>
      <c r="GH789" s="276" t="s">
        <v>955</v>
      </c>
      <c r="GI789" s="276" t="s">
        <v>955</v>
      </c>
      <c r="GJ789" s="276" t="s">
        <v>955</v>
      </c>
      <c r="GK789" s="276" t="s">
        <v>955</v>
      </c>
      <c r="GL789" s="276" t="s">
        <v>955</v>
      </c>
      <c r="GM789" s="276" t="s">
        <v>955</v>
      </c>
      <c r="GN789" s="276" t="s">
        <v>955</v>
      </c>
      <c r="GO789" s="276" t="s">
        <v>955</v>
      </c>
      <c r="GP789" s="276" t="s">
        <v>955</v>
      </c>
      <c r="GQ789" s="276" t="s">
        <v>955</v>
      </c>
      <c r="GR789" s="276" t="s">
        <v>955</v>
      </c>
      <c r="GS789" s="276" t="s">
        <v>955</v>
      </c>
      <c r="GT789" s="276" t="s">
        <v>955</v>
      </c>
      <c r="GU789" s="276" t="s">
        <v>955</v>
      </c>
      <c r="GV789" s="276" t="s">
        <v>955</v>
      </c>
    </row>
    <row r="790" spans="1:204" x14ac:dyDescent="0.2">
      <c r="A790" s="278"/>
      <c r="B790" s="279"/>
      <c r="GG790" s="276" t="s">
        <v>955</v>
      </c>
      <c r="GH790" s="276" t="s">
        <v>955</v>
      </c>
      <c r="GI790" s="276" t="s">
        <v>955</v>
      </c>
      <c r="GJ790" s="276" t="s">
        <v>955</v>
      </c>
      <c r="GK790" s="276" t="s">
        <v>955</v>
      </c>
      <c r="GL790" s="276" t="s">
        <v>955</v>
      </c>
      <c r="GM790" s="276" t="s">
        <v>955</v>
      </c>
      <c r="GN790" s="276" t="s">
        <v>955</v>
      </c>
      <c r="GO790" s="276" t="s">
        <v>955</v>
      </c>
      <c r="GP790" s="276" t="s">
        <v>955</v>
      </c>
      <c r="GQ790" s="276" t="s">
        <v>955</v>
      </c>
      <c r="GR790" s="276" t="s">
        <v>955</v>
      </c>
      <c r="GS790" s="276" t="s">
        <v>955</v>
      </c>
      <c r="GT790" s="276" t="s">
        <v>955</v>
      </c>
      <c r="GU790" s="276" t="s">
        <v>955</v>
      </c>
      <c r="GV790" s="276" t="s">
        <v>955</v>
      </c>
    </row>
    <row r="791" spans="1:204" x14ac:dyDescent="0.2">
      <c r="A791" s="278"/>
      <c r="B791" s="279"/>
      <c r="GG791" s="276" t="s">
        <v>955</v>
      </c>
      <c r="GH791" s="276" t="s">
        <v>955</v>
      </c>
      <c r="GI791" s="276" t="s">
        <v>955</v>
      </c>
      <c r="GJ791" s="276" t="s">
        <v>955</v>
      </c>
      <c r="GK791" s="276" t="s">
        <v>955</v>
      </c>
      <c r="GL791" s="276" t="s">
        <v>955</v>
      </c>
      <c r="GM791" s="276" t="s">
        <v>955</v>
      </c>
      <c r="GN791" s="276" t="s">
        <v>955</v>
      </c>
      <c r="GO791" s="276" t="s">
        <v>955</v>
      </c>
      <c r="GP791" s="276" t="s">
        <v>955</v>
      </c>
      <c r="GQ791" s="276" t="s">
        <v>955</v>
      </c>
      <c r="GR791" s="276" t="s">
        <v>955</v>
      </c>
      <c r="GS791" s="276" t="s">
        <v>955</v>
      </c>
      <c r="GT791" s="276" t="s">
        <v>955</v>
      </c>
      <c r="GU791" s="276" t="s">
        <v>955</v>
      </c>
      <c r="GV791" s="276" t="s">
        <v>955</v>
      </c>
    </row>
    <row r="792" spans="1:204" x14ac:dyDescent="0.2">
      <c r="A792" s="278"/>
      <c r="B792" s="279"/>
      <c r="GG792" s="276" t="s">
        <v>955</v>
      </c>
      <c r="GH792" s="276" t="s">
        <v>955</v>
      </c>
      <c r="GI792" s="276" t="s">
        <v>955</v>
      </c>
      <c r="GJ792" s="276" t="s">
        <v>955</v>
      </c>
      <c r="GK792" s="276" t="s">
        <v>955</v>
      </c>
      <c r="GL792" s="276" t="s">
        <v>955</v>
      </c>
      <c r="GM792" s="276" t="s">
        <v>955</v>
      </c>
      <c r="GN792" s="276" t="s">
        <v>955</v>
      </c>
      <c r="GO792" s="276" t="s">
        <v>955</v>
      </c>
      <c r="GP792" s="276" t="s">
        <v>955</v>
      </c>
      <c r="GQ792" s="276" t="s">
        <v>955</v>
      </c>
      <c r="GR792" s="276" t="s">
        <v>955</v>
      </c>
      <c r="GS792" s="276" t="s">
        <v>955</v>
      </c>
      <c r="GT792" s="276" t="s">
        <v>955</v>
      </c>
      <c r="GU792" s="276" t="s">
        <v>955</v>
      </c>
      <c r="GV792" s="276" t="s">
        <v>955</v>
      </c>
    </row>
    <row r="793" spans="1:204" x14ac:dyDescent="0.2">
      <c r="A793" s="278"/>
      <c r="B793" s="279"/>
      <c r="GG793" s="276" t="s">
        <v>955</v>
      </c>
      <c r="GH793" s="276" t="s">
        <v>955</v>
      </c>
      <c r="GI793" s="276" t="s">
        <v>955</v>
      </c>
      <c r="GJ793" s="276" t="s">
        <v>955</v>
      </c>
      <c r="GK793" s="276" t="s">
        <v>955</v>
      </c>
      <c r="GL793" s="276" t="s">
        <v>955</v>
      </c>
      <c r="GM793" s="276" t="s">
        <v>955</v>
      </c>
      <c r="GN793" s="276" t="s">
        <v>955</v>
      </c>
      <c r="GO793" s="276" t="s">
        <v>955</v>
      </c>
      <c r="GP793" s="276" t="s">
        <v>955</v>
      </c>
      <c r="GQ793" s="276" t="s">
        <v>955</v>
      </c>
      <c r="GR793" s="276" t="s">
        <v>955</v>
      </c>
      <c r="GS793" s="276" t="s">
        <v>955</v>
      </c>
      <c r="GT793" s="276" t="s">
        <v>955</v>
      </c>
      <c r="GU793" s="276" t="s">
        <v>955</v>
      </c>
      <c r="GV793" s="276" t="s">
        <v>955</v>
      </c>
    </row>
    <row r="794" spans="1:204" x14ac:dyDescent="0.2">
      <c r="A794" s="278"/>
      <c r="B794" s="279"/>
      <c r="GG794" s="276" t="s">
        <v>955</v>
      </c>
      <c r="GH794" s="276" t="s">
        <v>955</v>
      </c>
      <c r="GI794" s="276" t="s">
        <v>955</v>
      </c>
      <c r="GJ794" s="276" t="s">
        <v>955</v>
      </c>
      <c r="GK794" s="276" t="s">
        <v>955</v>
      </c>
      <c r="GL794" s="276" t="s">
        <v>955</v>
      </c>
      <c r="GM794" s="276" t="s">
        <v>955</v>
      </c>
      <c r="GN794" s="276" t="s">
        <v>955</v>
      </c>
      <c r="GO794" s="276" t="s">
        <v>955</v>
      </c>
      <c r="GP794" s="276" t="s">
        <v>955</v>
      </c>
      <c r="GQ794" s="276" t="s">
        <v>955</v>
      </c>
      <c r="GR794" s="276" t="s">
        <v>955</v>
      </c>
      <c r="GS794" s="276" t="s">
        <v>955</v>
      </c>
      <c r="GT794" s="276" t="s">
        <v>955</v>
      </c>
      <c r="GU794" s="276" t="s">
        <v>955</v>
      </c>
      <c r="GV794" s="276" t="s">
        <v>955</v>
      </c>
    </row>
    <row r="795" spans="1:204" x14ac:dyDescent="0.2">
      <c r="A795" s="278"/>
      <c r="B795" s="279"/>
      <c r="GG795" s="276" t="s">
        <v>955</v>
      </c>
      <c r="GH795" s="276" t="s">
        <v>955</v>
      </c>
      <c r="GI795" s="276" t="s">
        <v>955</v>
      </c>
      <c r="GJ795" s="276" t="s">
        <v>955</v>
      </c>
      <c r="GK795" s="276" t="s">
        <v>955</v>
      </c>
      <c r="GL795" s="276" t="s">
        <v>955</v>
      </c>
      <c r="GM795" s="276" t="s">
        <v>955</v>
      </c>
      <c r="GN795" s="276" t="s">
        <v>955</v>
      </c>
      <c r="GO795" s="276" t="s">
        <v>955</v>
      </c>
      <c r="GP795" s="276" t="s">
        <v>955</v>
      </c>
      <c r="GQ795" s="276" t="s">
        <v>955</v>
      </c>
      <c r="GR795" s="276" t="s">
        <v>955</v>
      </c>
      <c r="GS795" s="276" t="s">
        <v>955</v>
      </c>
      <c r="GT795" s="276" t="s">
        <v>955</v>
      </c>
      <c r="GU795" s="276" t="s">
        <v>955</v>
      </c>
      <c r="GV795" s="276" t="s">
        <v>955</v>
      </c>
    </row>
    <row r="796" spans="1:204" x14ac:dyDescent="0.2">
      <c r="A796" s="278"/>
      <c r="B796" s="279"/>
      <c r="GG796" s="276" t="s">
        <v>955</v>
      </c>
      <c r="GH796" s="276" t="s">
        <v>955</v>
      </c>
      <c r="GI796" s="276" t="s">
        <v>955</v>
      </c>
      <c r="GJ796" s="276" t="s">
        <v>955</v>
      </c>
      <c r="GK796" s="276" t="s">
        <v>955</v>
      </c>
      <c r="GL796" s="276" t="s">
        <v>955</v>
      </c>
      <c r="GM796" s="276" t="s">
        <v>955</v>
      </c>
      <c r="GN796" s="276" t="s">
        <v>955</v>
      </c>
      <c r="GO796" s="276" t="s">
        <v>955</v>
      </c>
      <c r="GP796" s="276" t="s">
        <v>955</v>
      </c>
      <c r="GQ796" s="276" t="s">
        <v>955</v>
      </c>
      <c r="GR796" s="276" t="s">
        <v>955</v>
      </c>
      <c r="GS796" s="276" t="s">
        <v>955</v>
      </c>
      <c r="GT796" s="276" t="s">
        <v>955</v>
      </c>
      <c r="GU796" s="276" t="s">
        <v>955</v>
      </c>
      <c r="GV796" s="276" t="s">
        <v>955</v>
      </c>
    </row>
    <row r="797" spans="1:204" x14ac:dyDescent="0.2">
      <c r="A797" s="278"/>
      <c r="B797" s="279"/>
      <c r="GG797" s="276" t="s">
        <v>955</v>
      </c>
      <c r="GH797" s="276" t="s">
        <v>955</v>
      </c>
      <c r="GI797" s="276" t="s">
        <v>955</v>
      </c>
      <c r="GJ797" s="276" t="s">
        <v>955</v>
      </c>
      <c r="GK797" s="276" t="s">
        <v>955</v>
      </c>
      <c r="GL797" s="276" t="s">
        <v>955</v>
      </c>
      <c r="GM797" s="276" t="s">
        <v>955</v>
      </c>
      <c r="GN797" s="276" t="s">
        <v>955</v>
      </c>
      <c r="GO797" s="276" t="s">
        <v>955</v>
      </c>
      <c r="GP797" s="276" t="s">
        <v>955</v>
      </c>
      <c r="GQ797" s="276" t="s">
        <v>955</v>
      </c>
      <c r="GR797" s="276" t="s">
        <v>955</v>
      </c>
      <c r="GS797" s="276" t="s">
        <v>955</v>
      </c>
      <c r="GT797" s="276" t="s">
        <v>955</v>
      </c>
      <c r="GU797" s="276" t="s">
        <v>955</v>
      </c>
      <c r="GV797" s="276" t="s">
        <v>955</v>
      </c>
    </row>
    <row r="798" spans="1:204" x14ac:dyDescent="0.2">
      <c r="A798" s="278"/>
      <c r="B798" s="279"/>
      <c r="GG798" s="276" t="s">
        <v>955</v>
      </c>
      <c r="GH798" s="276" t="s">
        <v>955</v>
      </c>
      <c r="GI798" s="276" t="s">
        <v>955</v>
      </c>
      <c r="GJ798" s="276" t="s">
        <v>955</v>
      </c>
      <c r="GK798" s="276" t="s">
        <v>955</v>
      </c>
      <c r="GL798" s="276" t="s">
        <v>955</v>
      </c>
      <c r="GM798" s="276" t="s">
        <v>955</v>
      </c>
      <c r="GN798" s="276" t="s">
        <v>955</v>
      </c>
      <c r="GO798" s="276" t="s">
        <v>955</v>
      </c>
      <c r="GP798" s="276" t="s">
        <v>955</v>
      </c>
      <c r="GQ798" s="276" t="s">
        <v>955</v>
      </c>
      <c r="GR798" s="276" t="s">
        <v>955</v>
      </c>
      <c r="GS798" s="276" t="s">
        <v>955</v>
      </c>
      <c r="GT798" s="276" t="s">
        <v>955</v>
      </c>
      <c r="GU798" s="276" t="s">
        <v>955</v>
      </c>
      <c r="GV798" s="276" t="s">
        <v>955</v>
      </c>
    </row>
    <row r="799" spans="1:204" x14ac:dyDescent="0.2">
      <c r="A799" s="278"/>
      <c r="B799" s="279"/>
      <c r="GG799" s="276" t="s">
        <v>955</v>
      </c>
      <c r="GH799" s="276" t="s">
        <v>955</v>
      </c>
      <c r="GI799" s="276" t="s">
        <v>955</v>
      </c>
      <c r="GJ799" s="276" t="s">
        <v>955</v>
      </c>
      <c r="GK799" s="276" t="s">
        <v>955</v>
      </c>
      <c r="GL799" s="276" t="s">
        <v>955</v>
      </c>
      <c r="GM799" s="276" t="s">
        <v>955</v>
      </c>
      <c r="GN799" s="276" t="s">
        <v>955</v>
      </c>
      <c r="GO799" s="276" t="s">
        <v>955</v>
      </c>
      <c r="GP799" s="276" t="s">
        <v>955</v>
      </c>
      <c r="GQ799" s="276" t="s">
        <v>955</v>
      </c>
      <c r="GR799" s="276" t="s">
        <v>955</v>
      </c>
      <c r="GS799" s="276" t="s">
        <v>955</v>
      </c>
      <c r="GT799" s="276" t="s">
        <v>955</v>
      </c>
      <c r="GU799" s="276" t="s">
        <v>955</v>
      </c>
      <c r="GV799" s="276" t="s">
        <v>955</v>
      </c>
    </row>
    <row r="800" spans="1:204" x14ac:dyDescent="0.2">
      <c r="A800" s="278"/>
      <c r="B800" s="279"/>
      <c r="GG800" s="276" t="s">
        <v>955</v>
      </c>
      <c r="GH800" s="276" t="s">
        <v>955</v>
      </c>
      <c r="GI800" s="276" t="s">
        <v>955</v>
      </c>
      <c r="GJ800" s="276" t="s">
        <v>955</v>
      </c>
      <c r="GK800" s="276" t="s">
        <v>955</v>
      </c>
      <c r="GL800" s="276" t="s">
        <v>955</v>
      </c>
      <c r="GM800" s="276" t="s">
        <v>955</v>
      </c>
      <c r="GN800" s="276" t="s">
        <v>955</v>
      </c>
      <c r="GO800" s="276" t="s">
        <v>955</v>
      </c>
      <c r="GP800" s="276" t="s">
        <v>955</v>
      </c>
      <c r="GQ800" s="276" t="s">
        <v>955</v>
      </c>
      <c r="GR800" s="276" t="s">
        <v>955</v>
      </c>
      <c r="GS800" s="276" t="s">
        <v>955</v>
      </c>
      <c r="GT800" s="276" t="s">
        <v>955</v>
      </c>
      <c r="GU800" s="276" t="s">
        <v>955</v>
      </c>
      <c r="GV800" s="276" t="s">
        <v>955</v>
      </c>
    </row>
    <row r="801" spans="1:204" x14ac:dyDescent="0.2">
      <c r="A801" s="278"/>
      <c r="B801" s="279"/>
      <c r="GG801" s="276" t="s">
        <v>955</v>
      </c>
      <c r="GH801" s="276" t="s">
        <v>955</v>
      </c>
      <c r="GI801" s="276" t="s">
        <v>955</v>
      </c>
      <c r="GJ801" s="276" t="s">
        <v>955</v>
      </c>
      <c r="GK801" s="276" t="s">
        <v>955</v>
      </c>
      <c r="GL801" s="276" t="s">
        <v>955</v>
      </c>
      <c r="GM801" s="276" t="s">
        <v>955</v>
      </c>
      <c r="GN801" s="276" t="s">
        <v>955</v>
      </c>
      <c r="GO801" s="276" t="s">
        <v>955</v>
      </c>
      <c r="GP801" s="276" t="s">
        <v>955</v>
      </c>
      <c r="GQ801" s="276" t="s">
        <v>955</v>
      </c>
      <c r="GR801" s="276" t="s">
        <v>955</v>
      </c>
      <c r="GS801" s="276" t="s">
        <v>955</v>
      </c>
      <c r="GT801" s="276" t="s">
        <v>955</v>
      </c>
      <c r="GU801" s="276" t="s">
        <v>955</v>
      </c>
      <c r="GV801" s="276" t="s">
        <v>955</v>
      </c>
    </row>
    <row r="802" spans="1:204" x14ac:dyDescent="0.2">
      <c r="A802" s="278"/>
      <c r="B802" s="279"/>
      <c r="GG802" s="276" t="s">
        <v>955</v>
      </c>
      <c r="GH802" s="276" t="s">
        <v>955</v>
      </c>
      <c r="GI802" s="276" t="s">
        <v>955</v>
      </c>
      <c r="GJ802" s="276" t="s">
        <v>955</v>
      </c>
      <c r="GK802" s="276" t="s">
        <v>955</v>
      </c>
      <c r="GL802" s="276" t="s">
        <v>955</v>
      </c>
      <c r="GM802" s="276" t="s">
        <v>955</v>
      </c>
      <c r="GN802" s="276" t="s">
        <v>955</v>
      </c>
      <c r="GO802" s="276" t="s">
        <v>955</v>
      </c>
      <c r="GP802" s="276" t="s">
        <v>955</v>
      </c>
      <c r="GQ802" s="276" t="s">
        <v>955</v>
      </c>
      <c r="GR802" s="276" t="s">
        <v>955</v>
      </c>
      <c r="GS802" s="276" t="s">
        <v>955</v>
      </c>
      <c r="GT802" s="276" t="s">
        <v>955</v>
      </c>
      <c r="GU802" s="276" t="s">
        <v>955</v>
      </c>
      <c r="GV802" s="276" t="s">
        <v>955</v>
      </c>
    </row>
    <row r="803" spans="1:204" x14ac:dyDescent="0.2">
      <c r="A803" s="278"/>
      <c r="B803" s="279"/>
      <c r="GG803" s="276" t="s">
        <v>955</v>
      </c>
      <c r="GH803" s="276" t="s">
        <v>955</v>
      </c>
      <c r="GI803" s="276" t="s">
        <v>955</v>
      </c>
      <c r="GJ803" s="276" t="s">
        <v>955</v>
      </c>
      <c r="GK803" s="276" t="s">
        <v>955</v>
      </c>
      <c r="GL803" s="276" t="s">
        <v>955</v>
      </c>
      <c r="GM803" s="276" t="s">
        <v>955</v>
      </c>
      <c r="GN803" s="276" t="s">
        <v>955</v>
      </c>
      <c r="GO803" s="276" t="s">
        <v>955</v>
      </c>
      <c r="GP803" s="276" t="s">
        <v>955</v>
      </c>
      <c r="GQ803" s="276" t="s">
        <v>955</v>
      </c>
      <c r="GR803" s="276" t="s">
        <v>955</v>
      </c>
      <c r="GS803" s="276" t="s">
        <v>955</v>
      </c>
      <c r="GT803" s="276" t="s">
        <v>955</v>
      </c>
      <c r="GU803" s="276" t="s">
        <v>955</v>
      </c>
      <c r="GV803" s="276" t="s">
        <v>955</v>
      </c>
    </row>
    <row r="804" spans="1:204" x14ac:dyDescent="0.2">
      <c r="A804" s="278"/>
      <c r="B804" s="279"/>
      <c r="GG804" s="276" t="s">
        <v>955</v>
      </c>
      <c r="GH804" s="276" t="s">
        <v>955</v>
      </c>
      <c r="GI804" s="276" t="s">
        <v>955</v>
      </c>
      <c r="GJ804" s="276" t="s">
        <v>955</v>
      </c>
      <c r="GK804" s="276" t="s">
        <v>955</v>
      </c>
      <c r="GL804" s="276" t="s">
        <v>955</v>
      </c>
      <c r="GM804" s="276" t="s">
        <v>955</v>
      </c>
      <c r="GN804" s="276" t="s">
        <v>955</v>
      </c>
      <c r="GO804" s="276" t="s">
        <v>955</v>
      </c>
      <c r="GP804" s="276" t="s">
        <v>955</v>
      </c>
      <c r="GQ804" s="276" t="s">
        <v>955</v>
      </c>
      <c r="GR804" s="276" t="s">
        <v>955</v>
      </c>
      <c r="GS804" s="276" t="s">
        <v>955</v>
      </c>
      <c r="GT804" s="276" t="s">
        <v>955</v>
      </c>
      <c r="GU804" s="276" t="s">
        <v>955</v>
      </c>
      <c r="GV804" s="276" t="s">
        <v>955</v>
      </c>
    </row>
    <row r="805" spans="1:204" x14ac:dyDescent="0.2">
      <c r="A805" s="278"/>
      <c r="B805" s="279"/>
      <c r="GG805" s="276" t="s">
        <v>955</v>
      </c>
      <c r="GH805" s="276" t="s">
        <v>955</v>
      </c>
      <c r="GI805" s="276" t="s">
        <v>955</v>
      </c>
      <c r="GJ805" s="276" t="s">
        <v>955</v>
      </c>
      <c r="GK805" s="276" t="s">
        <v>955</v>
      </c>
      <c r="GL805" s="276" t="s">
        <v>955</v>
      </c>
      <c r="GM805" s="276" t="s">
        <v>955</v>
      </c>
      <c r="GN805" s="276" t="s">
        <v>955</v>
      </c>
      <c r="GO805" s="276" t="s">
        <v>955</v>
      </c>
      <c r="GP805" s="276" t="s">
        <v>955</v>
      </c>
      <c r="GQ805" s="276" t="s">
        <v>955</v>
      </c>
      <c r="GR805" s="276" t="s">
        <v>955</v>
      </c>
      <c r="GS805" s="276" t="s">
        <v>955</v>
      </c>
      <c r="GT805" s="276" t="s">
        <v>955</v>
      </c>
      <c r="GU805" s="276" t="s">
        <v>955</v>
      </c>
      <c r="GV805" s="276" t="s">
        <v>955</v>
      </c>
    </row>
    <row r="806" spans="1:204" x14ac:dyDescent="0.2">
      <c r="A806" s="278"/>
      <c r="B806" s="279"/>
      <c r="GG806" s="276" t="s">
        <v>955</v>
      </c>
      <c r="GH806" s="276" t="s">
        <v>955</v>
      </c>
      <c r="GI806" s="276" t="s">
        <v>955</v>
      </c>
      <c r="GJ806" s="276" t="s">
        <v>955</v>
      </c>
      <c r="GK806" s="276" t="s">
        <v>955</v>
      </c>
      <c r="GL806" s="276" t="s">
        <v>955</v>
      </c>
      <c r="GM806" s="276" t="s">
        <v>955</v>
      </c>
      <c r="GN806" s="276" t="s">
        <v>955</v>
      </c>
      <c r="GO806" s="276" t="s">
        <v>955</v>
      </c>
      <c r="GP806" s="276" t="s">
        <v>955</v>
      </c>
      <c r="GQ806" s="276" t="s">
        <v>955</v>
      </c>
      <c r="GR806" s="276" t="s">
        <v>955</v>
      </c>
      <c r="GS806" s="276" t="s">
        <v>955</v>
      </c>
      <c r="GT806" s="276" t="s">
        <v>955</v>
      </c>
      <c r="GU806" s="276" t="s">
        <v>955</v>
      </c>
      <c r="GV806" s="276" t="s">
        <v>955</v>
      </c>
    </row>
    <row r="807" spans="1:204" x14ac:dyDescent="0.2">
      <c r="A807" s="278"/>
      <c r="B807" s="279"/>
      <c r="GG807" s="276" t="s">
        <v>955</v>
      </c>
      <c r="GH807" s="276" t="s">
        <v>955</v>
      </c>
      <c r="GI807" s="276" t="s">
        <v>955</v>
      </c>
      <c r="GJ807" s="276" t="s">
        <v>955</v>
      </c>
      <c r="GK807" s="276" t="s">
        <v>955</v>
      </c>
      <c r="GL807" s="276" t="s">
        <v>955</v>
      </c>
      <c r="GM807" s="276" t="s">
        <v>955</v>
      </c>
      <c r="GN807" s="276" t="s">
        <v>955</v>
      </c>
      <c r="GO807" s="276" t="s">
        <v>955</v>
      </c>
      <c r="GP807" s="276" t="s">
        <v>955</v>
      </c>
      <c r="GQ807" s="276" t="s">
        <v>955</v>
      </c>
      <c r="GR807" s="276" t="s">
        <v>955</v>
      </c>
      <c r="GS807" s="276" t="s">
        <v>955</v>
      </c>
      <c r="GT807" s="276" t="s">
        <v>955</v>
      </c>
      <c r="GU807" s="276" t="s">
        <v>955</v>
      </c>
      <c r="GV807" s="276" t="s">
        <v>955</v>
      </c>
    </row>
    <row r="808" spans="1:204" x14ac:dyDescent="0.2">
      <c r="A808" s="278"/>
      <c r="B808" s="279"/>
      <c r="GG808" s="276" t="s">
        <v>955</v>
      </c>
      <c r="GH808" s="276" t="s">
        <v>955</v>
      </c>
      <c r="GI808" s="276" t="s">
        <v>955</v>
      </c>
      <c r="GJ808" s="276" t="s">
        <v>955</v>
      </c>
      <c r="GK808" s="276" t="s">
        <v>955</v>
      </c>
      <c r="GL808" s="276" t="s">
        <v>955</v>
      </c>
      <c r="GM808" s="276" t="s">
        <v>955</v>
      </c>
      <c r="GN808" s="276" t="s">
        <v>955</v>
      </c>
      <c r="GO808" s="276" t="s">
        <v>955</v>
      </c>
      <c r="GP808" s="276" t="s">
        <v>955</v>
      </c>
      <c r="GQ808" s="276" t="s">
        <v>955</v>
      </c>
      <c r="GR808" s="276" t="s">
        <v>955</v>
      </c>
      <c r="GS808" s="276" t="s">
        <v>955</v>
      </c>
      <c r="GT808" s="276" t="s">
        <v>955</v>
      </c>
      <c r="GU808" s="276" t="s">
        <v>955</v>
      </c>
      <c r="GV808" s="276" t="s">
        <v>955</v>
      </c>
    </row>
    <row r="809" spans="1:204" x14ac:dyDescent="0.2">
      <c r="A809" s="278"/>
      <c r="B809" s="279"/>
      <c r="GG809" s="276" t="s">
        <v>955</v>
      </c>
      <c r="GH809" s="276" t="s">
        <v>955</v>
      </c>
      <c r="GI809" s="276" t="s">
        <v>955</v>
      </c>
      <c r="GJ809" s="276" t="s">
        <v>955</v>
      </c>
      <c r="GK809" s="276" t="s">
        <v>955</v>
      </c>
      <c r="GL809" s="276" t="s">
        <v>955</v>
      </c>
      <c r="GM809" s="276" t="s">
        <v>955</v>
      </c>
      <c r="GN809" s="276" t="s">
        <v>955</v>
      </c>
      <c r="GO809" s="276" t="s">
        <v>955</v>
      </c>
      <c r="GP809" s="276" t="s">
        <v>955</v>
      </c>
      <c r="GQ809" s="276" t="s">
        <v>955</v>
      </c>
      <c r="GR809" s="276" t="s">
        <v>955</v>
      </c>
      <c r="GS809" s="276" t="s">
        <v>955</v>
      </c>
      <c r="GT809" s="276" t="s">
        <v>955</v>
      </c>
      <c r="GU809" s="276" t="s">
        <v>955</v>
      </c>
      <c r="GV809" s="276" t="s">
        <v>955</v>
      </c>
    </row>
    <row r="810" spans="1:204" x14ac:dyDescent="0.2">
      <c r="A810" s="278"/>
      <c r="B810" s="279"/>
      <c r="GG810" s="276" t="s">
        <v>955</v>
      </c>
      <c r="GH810" s="276" t="s">
        <v>955</v>
      </c>
      <c r="GI810" s="276" t="s">
        <v>955</v>
      </c>
      <c r="GJ810" s="276" t="s">
        <v>955</v>
      </c>
      <c r="GK810" s="276" t="s">
        <v>955</v>
      </c>
      <c r="GL810" s="276" t="s">
        <v>955</v>
      </c>
      <c r="GM810" s="276" t="s">
        <v>955</v>
      </c>
      <c r="GN810" s="276" t="s">
        <v>955</v>
      </c>
      <c r="GO810" s="276" t="s">
        <v>955</v>
      </c>
      <c r="GP810" s="276" t="s">
        <v>955</v>
      </c>
      <c r="GQ810" s="276" t="s">
        <v>955</v>
      </c>
      <c r="GR810" s="276" t="s">
        <v>955</v>
      </c>
      <c r="GS810" s="276" t="s">
        <v>955</v>
      </c>
      <c r="GT810" s="276" t="s">
        <v>955</v>
      </c>
      <c r="GU810" s="276" t="s">
        <v>955</v>
      </c>
      <c r="GV810" s="276" t="s">
        <v>955</v>
      </c>
    </row>
    <row r="811" spans="1:204" x14ac:dyDescent="0.2">
      <c r="A811" s="278"/>
      <c r="B811" s="279"/>
      <c r="GG811" s="276" t="s">
        <v>955</v>
      </c>
      <c r="GH811" s="276" t="s">
        <v>955</v>
      </c>
      <c r="GI811" s="276" t="s">
        <v>955</v>
      </c>
      <c r="GJ811" s="276" t="s">
        <v>955</v>
      </c>
      <c r="GK811" s="276" t="s">
        <v>955</v>
      </c>
      <c r="GL811" s="276" t="s">
        <v>955</v>
      </c>
      <c r="GM811" s="276" t="s">
        <v>955</v>
      </c>
      <c r="GN811" s="276" t="s">
        <v>955</v>
      </c>
      <c r="GO811" s="276" t="s">
        <v>955</v>
      </c>
      <c r="GP811" s="276" t="s">
        <v>955</v>
      </c>
      <c r="GQ811" s="276" t="s">
        <v>955</v>
      </c>
      <c r="GR811" s="276" t="s">
        <v>955</v>
      </c>
      <c r="GS811" s="276" t="s">
        <v>955</v>
      </c>
      <c r="GT811" s="276" t="s">
        <v>955</v>
      </c>
      <c r="GU811" s="276" t="s">
        <v>955</v>
      </c>
      <c r="GV811" s="276" t="s">
        <v>955</v>
      </c>
    </row>
    <row r="812" spans="1:204" x14ac:dyDescent="0.2">
      <c r="A812" s="278"/>
      <c r="B812" s="279"/>
      <c r="GG812" s="276" t="s">
        <v>955</v>
      </c>
      <c r="GH812" s="276" t="s">
        <v>955</v>
      </c>
      <c r="GI812" s="276" t="s">
        <v>955</v>
      </c>
      <c r="GJ812" s="276" t="s">
        <v>955</v>
      </c>
      <c r="GK812" s="276" t="s">
        <v>955</v>
      </c>
      <c r="GL812" s="276" t="s">
        <v>955</v>
      </c>
      <c r="GM812" s="276" t="s">
        <v>955</v>
      </c>
      <c r="GN812" s="276" t="s">
        <v>955</v>
      </c>
      <c r="GO812" s="276" t="s">
        <v>955</v>
      </c>
      <c r="GP812" s="276" t="s">
        <v>955</v>
      </c>
      <c r="GQ812" s="276" t="s">
        <v>955</v>
      </c>
      <c r="GR812" s="276" t="s">
        <v>955</v>
      </c>
      <c r="GS812" s="276" t="s">
        <v>955</v>
      </c>
      <c r="GT812" s="276" t="s">
        <v>955</v>
      </c>
      <c r="GU812" s="276" t="s">
        <v>955</v>
      </c>
      <c r="GV812" s="276" t="s">
        <v>955</v>
      </c>
    </row>
    <row r="813" spans="1:204" x14ac:dyDescent="0.2">
      <c r="A813" s="278"/>
      <c r="B813" s="279"/>
      <c r="GG813" s="276" t="s">
        <v>955</v>
      </c>
      <c r="GH813" s="276" t="s">
        <v>955</v>
      </c>
      <c r="GI813" s="276" t="s">
        <v>955</v>
      </c>
      <c r="GJ813" s="276" t="s">
        <v>955</v>
      </c>
      <c r="GK813" s="276" t="s">
        <v>955</v>
      </c>
      <c r="GL813" s="276" t="s">
        <v>955</v>
      </c>
      <c r="GM813" s="276" t="s">
        <v>955</v>
      </c>
      <c r="GN813" s="276" t="s">
        <v>955</v>
      </c>
      <c r="GO813" s="276" t="s">
        <v>955</v>
      </c>
      <c r="GP813" s="276" t="s">
        <v>955</v>
      </c>
      <c r="GQ813" s="276" t="s">
        <v>955</v>
      </c>
      <c r="GR813" s="276" t="s">
        <v>955</v>
      </c>
      <c r="GS813" s="276" t="s">
        <v>955</v>
      </c>
      <c r="GT813" s="276" t="s">
        <v>955</v>
      </c>
      <c r="GU813" s="276" t="s">
        <v>955</v>
      </c>
      <c r="GV813" s="276" t="s">
        <v>955</v>
      </c>
    </row>
    <row r="814" spans="1:204" x14ac:dyDescent="0.2">
      <c r="A814" s="278"/>
      <c r="B814" s="279"/>
      <c r="GG814" s="276" t="s">
        <v>955</v>
      </c>
      <c r="GH814" s="276" t="s">
        <v>955</v>
      </c>
      <c r="GI814" s="276" t="s">
        <v>955</v>
      </c>
      <c r="GJ814" s="276" t="s">
        <v>955</v>
      </c>
      <c r="GK814" s="276" t="s">
        <v>955</v>
      </c>
      <c r="GL814" s="276" t="s">
        <v>955</v>
      </c>
      <c r="GM814" s="276" t="s">
        <v>955</v>
      </c>
      <c r="GN814" s="276" t="s">
        <v>955</v>
      </c>
      <c r="GO814" s="276" t="s">
        <v>955</v>
      </c>
      <c r="GP814" s="276" t="s">
        <v>955</v>
      </c>
      <c r="GQ814" s="276" t="s">
        <v>955</v>
      </c>
      <c r="GR814" s="276" t="s">
        <v>955</v>
      </c>
      <c r="GS814" s="276" t="s">
        <v>955</v>
      </c>
      <c r="GT814" s="276" t="s">
        <v>955</v>
      </c>
      <c r="GU814" s="276" t="s">
        <v>955</v>
      </c>
      <c r="GV814" s="276" t="s">
        <v>955</v>
      </c>
    </row>
    <row r="815" spans="1:204" x14ac:dyDescent="0.2">
      <c r="A815" s="278"/>
      <c r="B815" s="279"/>
      <c r="GG815" s="276" t="s">
        <v>955</v>
      </c>
      <c r="GH815" s="276" t="s">
        <v>955</v>
      </c>
      <c r="GI815" s="276" t="s">
        <v>955</v>
      </c>
      <c r="GJ815" s="276" t="s">
        <v>955</v>
      </c>
      <c r="GK815" s="276" t="s">
        <v>955</v>
      </c>
      <c r="GL815" s="276" t="s">
        <v>955</v>
      </c>
      <c r="GM815" s="276" t="s">
        <v>955</v>
      </c>
      <c r="GN815" s="276" t="s">
        <v>955</v>
      </c>
      <c r="GO815" s="276" t="s">
        <v>955</v>
      </c>
      <c r="GP815" s="276" t="s">
        <v>955</v>
      </c>
      <c r="GQ815" s="276" t="s">
        <v>955</v>
      </c>
      <c r="GR815" s="276" t="s">
        <v>955</v>
      </c>
      <c r="GS815" s="276" t="s">
        <v>955</v>
      </c>
      <c r="GT815" s="276" t="s">
        <v>955</v>
      </c>
      <c r="GU815" s="276" t="s">
        <v>955</v>
      </c>
      <c r="GV815" s="276" t="s">
        <v>955</v>
      </c>
    </row>
    <row r="816" spans="1:204" x14ac:dyDescent="0.2">
      <c r="A816" s="278"/>
      <c r="B816" s="279"/>
      <c r="GG816" s="276" t="s">
        <v>955</v>
      </c>
      <c r="GH816" s="276" t="s">
        <v>955</v>
      </c>
      <c r="GI816" s="276" t="s">
        <v>955</v>
      </c>
      <c r="GJ816" s="276" t="s">
        <v>955</v>
      </c>
      <c r="GK816" s="276" t="s">
        <v>955</v>
      </c>
      <c r="GL816" s="276" t="s">
        <v>955</v>
      </c>
      <c r="GM816" s="276" t="s">
        <v>955</v>
      </c>
      <c r="GN816" s="276" t="s">
        <v>955</v>
      </c>
      <c r="GO816" s="276" t="s">
        <v>955</v>
      </c>
      <c r="GP816" s="276" t="s">
        <v>955</v>
      </c>
      <c r="GQ816" s="276" t="s">
        <v>955</v>
      </c>
      <c r="GR816" s="276" t="s">
        <v>955</v>
      </c>
      <c r="GS816" s="276" t="s">
        <v>955</v>
      </c>
      <c r="GT816" s="276" t="s">
        <v>955</v>
      </c>
      <c r="GU816" s="276" t="s">
        <v>955</v>
      </c>
      <c r="GV816" s="276" t="s">
        <v>955</v>
      </c>
    </row>
    <row r="817" spans="1:204" x14ac:dyDescent="0.2">
      <c r="A817" s="278"/>
      <c r="B817" s="279"/>
      <c r="GG817" s="276" t="s">
        <v>955</v>
      </c>
      <c r="GH817" s="276" t="s">
        <v>955</v>
      </c>
      <c r="GI817" s="276" t="s">
        <v>955</v>
      </c>
      <c r="GJ817" s="276" t="s">
        <v>955</v>
      </c>
      <c r="GK817" s="276" t="s">
        <v>955</v>
      </c>
      <c r="GL817" s="276" t="s">
        <v>955</v>
      </c>
      <c r="GM817" s="276" t="s">
        <v>955</v>
      </c>
      <c r="GN817" s="276" t="s">
        <v>955</v>
      </c>
      <c r="GO817" s="276" t="s">
        <v>955</v>
      </c>
      <c r="GP817" s="276" t="s">
        <v>955</v>
      </c>
      <c r="GQ817" s="276" t="s">
        <v>955</v>
      </c>
      <c r="GR817" s="276" t="s">
        <v>955</v>
      </c>
      <c r="GS817" s="276" t="s">
        <v>955</v>
      </c>
      <c r="GT817" s="276" t="s">
        <v>955</v>
      </c>
      <c r="GU817" s="276" t="s">
        <v>955</v>
      </c>
      <c r="GV817" s="276" t="s">
        <v>955</v>
      </c>
    </row>
    <row r="818" spans="1:204" x14ac:dyDescent="0.2">
      <c r="A818" s="278"/>
      <c r="B818" s="279"/>
      <c r="GG818" s="276" t="s">
        <v>955</v>
      </c>
      <c r="GH818" s="276" t="s">
        <v>955</v>
      </c>
      <c r="GI818" s="276" t="s">
        <v>955</v>
      </c>
      <c r="GJ818" s="276" t="s">
        <v>955</v>
      </c>
      <c r="GK818" s="276" t="s">
        <v>955</v>
      </c>
      <c r="GL818" s="276" t="s">
        <v>955</v>
      </c>
      <c r="GM818" s="276" t="s">
        <v>955</v>
      </c>
      <c r="GN818" s="276" t="s">
        <v>955</v>
      </c>
      <c r="GO818" s="276" t="s">
        <v>955</v>
      </c>
      <c r="GP818" s="276" t="s">
        <v>955</v>
      </c>
      <c r="GQ818" s="276" t="s">
        <v>955</v>
      </c>
      <c r="GR818" s="276" t="s">
        <v>955</v>
      </c>
      <c r="GS818" s="276" t="s">
        <v>955</v>
      </c>
      <c r="GT818" s="276" t="s">
        <v>955</v>
      </c>
      <c r="GU818" s="276" t="s">
        <v>955</v>
      </c>
      <c r="GV818" s="276" t="s">
        <v>955</v>
      </c>
    </row>
    <row r="819" spans="1:204" x14ac:dyDescent="0.2">
      <c r="A819" s="278"/>
      <c r="B819" s="279"/>
      <c r="GG819" s="276" t="s">
        <v>955</v>
      </c>
      <c r="GH819" s="276" t="s">
        <v>955</v>
      </c>
      <c r="GI819" s="276" t="s">
        <v>955</v>
      </c>
      <c r="GJ819" s="276" t="s">
        <v>955</v>
      </c>
      <c r="GK819" s="276" t="s">
        <v>955</v>
      </c>
      <c r="GL819" s="276" t="s">
        <v>955</v>
      </c>
      <c r="GM819" s="276" t="s">
        <v>955</v>
      </c>
      <c r="GN819" s="276" t="s">
        <v>955</v>
      </c>
      <c r="GO819" s="276" t="s">
        <v>955</v>
      </c>
      <c r="GP819" s="276" t="s">
        <v>955</v>
      </c>
      <c r="GQ819" s="276" t="s">
        <v>955</v>
      </c>
      <c r="GR819" s="276" t="s">
        <v>955</v>
      </c>
      <c r="GS819" s="276" t="s">
        <v>955</v>
      </c>
      <c r="GT819" s="276" t="s">
        <v>955</v>
      </c>
      <c r="GU819" s="276" t="s">
        <v>955</v>
      </c>
      <c r="GV819" s="276" t="s">
        <v>955</v>
      </c>
    </row>
    <row r="820" spans="1:204" x14ac:dyDescent="0.2">
      <c r="A820" s="278"/>
      <c r="B820" s="279"/>
      <c r="GG820" s="276" t="s">
        <v>955</v>
      </c>
      <c r="GH820" s="276" t="s">
        <v>955</v>
      </c>
      <c r="GI820" s="276" t="s">
        <v>955</v>
      </c>
      <c r="GJ820" s="276" t="s">
        <v>955</v>
      </c>
      <c r="GK820" s="276" t="s">
        <v>955</v>
      </c>
      <c r="GL820" s="276" t="s">
        <v>955</v>
      </c>
      <c r="GM820" s="276" t="s">
        <v>955</v>
      </c>
      <c r="GN820" s="276" t="s">
        <v>955</v>
      </c>
      <c r="GO820" s="276" t="s">
        <v>955</v>
      </c>
      <c r="GP820" s="276" t="s">
        <v>955</v>
      </c>
      <c r="GQ820" s="276" t="s">
        <v>955</v>
      </c>
      <c r="GR820" s="276" t="s">
        <v>955</v>
      </c>
      <c r="GS820" s="276" t="s">
        <v>955</v>
      </c>
      <c r="GT820" s="276" t="s">
        <v>955</v>
      </c>
      <c r="GU820" s="276" t="s">
        <v>955</v>
      </c>
      <c r="GV820" s="276" t="s">
        <v>955</v>
      </c>
    </row>
    <row r="821" spans="1:204" x14ac:dyDescent="0.2">
      <c r="A821" s="278"/>
      <c r="B821" s="279"/>
      <c r="GG821" s="276" t="s">
        <v>955</v>
      </c>
      <c r="GH821" s="276" t="s">
        <v>955</v>
      </c>
      <c r="GI821" s="276" t="s">
        <v>955</v>
      </c>
      <c r="GJ821" s="276" t="s">
        <v>955</v>
      </c>
      <c r="GK821" s="276" t="s">
        <v>955</v>
      </c>
      <c r="GL821" s="276" t="s">
        <v>955</v>
      </c>
      <c r="GM821" s="276" t="s">
        <v>955</v>
      </c>
      <c r="GN821" s="276" t="s">
        <v>955</v>
      </c>
      <c r="GO821" s="276" t="s">
        <v>955</v>
      </c>
      <c r="GP821" s="276" t="s">
        <v>955</v>
      </c>
      <c r="GQ821" s="276" t="s">
        <v>955</v>
      </c>
      <c r="GR821" s="276" t="s">
        <v>955</v>
      </c>
      <c r="GS821" s="276" t="s">
        <v>955</v>
      </c>
      <c r="GT821" s="276" t="s">
        <v>955</v>
      </c>
      <c r="GU821" s="276" t="s">
        <v>955</v>
      </c>
      <c r="GV821" s="276" t="s">
        <v>955</v>
      </c>
    </row>
    <row r="822" spans="1:204" x14ac:dyDescent="0.2">
      <c r="A822" s="278"/>
      <c r="B822" s="279"/>
      <c r="GG822" s="276" t="s">
        <v>955</v>
      </c>
      <c r="GH822" s="276" t="s">
        <v>955</v>
      </c>
      <c r="GI822" s="276" t="s">
        <v>955</v>
      </c>
      <c r="GJ822" s="276" t="s">
        <v>955</v>
      </c>
      <c r="GK822" s="276" t="s">
        <v>955</v>
      </c>
      <c r="GL822" s="276" t="s">
        <v>955</v>
      </c>
      <c r="GM822" s="276" t="s">
        <v>955</v>
      </c>
      <c r="GN822" s="276" t="s">
        <v>955</v>
      </c>
      <c r="GO822" s="276" t="s">
        <v>955</v>
      </c>
      <c r="GP822" s="276" t="s">
        <v>955</v>
      </c>
      <c r="GQ822" s="276" t="s">
        <v>955</v>
      </c>
      <c r="GR822" s="276" t="s">
        <v>955</v>
      </c>
      <c r="GS822" s="276" t="s">
        <v>955</v>
      </c>
      <c r="GT822" s="276" t="s">
        <v>955</v>
      </c>
      <c r="GU822" s="276" t="s">
        <v>955</v>
      </c>
      <c r="GV822" s="276" t="s">
        <v>955</v>
      </c>
    </row>
    <row r="823" spans="1:204" x14ac:dyDescent="0.2">
      <c r="A823" s="278"/>
      <c r="B823" s="279"/>
      <c r="GG823" s="276" t="s">
        <v>955</v>
      </c>
      <c r="GH823" s="276" t="s">
        <v>955</v>
      </c>
      <c r="GI823" s="276" t="s">
        <v>955</v>
      </c>
      <c r="GJ823" s="276" t="s">
        <v>955</v>
      </c>
      <c r="GK823" s="276" t="s">
        <v>955</v>
      </c>
      <c r="GL823" s="276" t="s">
        <v>955</v>
      </c>
      <c r="GM823" s="276" t="s">
        <v>955</v>
      </c>
      <c r="GN823" s="276" t="s">
        <v>955</v>
      </c>
      <c r="GO823" s="276" t="s">
        <v>955</v>
      </c>
      <c r="GP823" s="276" t="s">
        <v>955</v>
      </c>
      <c r="GQ823" s="276" t="s">
        <v>955</v>
      </c>
      <c r="GR823" s="276" t="s">
        <v>955</v>
      </c>
      <c r="GS823" s="276" t="s">
        <v>955</v>
      </c>
      <c r="GT823" s="276" t="s">
        <v>955</v>
      </c>
      <c r="GU823" s="276" t="s">
        <v>955</v>
      </c>
      <c r="GV823" s="276" t="s">
        <v>955</v>
      </c>
    </row>
    <row r="824" spans="1:204" x14ac:dyDescent="0.2">
      <c r="A824" s="278"/>
      <c r="B824" s="279"/>
      <c r="GG824" s="276" t="s">
        <v>955</v>
      </c>
      <c r="GH824" s="276" t="s">
        <v>955</v>
      </c>
      <c r="GI824" s="276" t="s">
        <v>955</v>
      </c>
      <c r="GJ824" s="276" t="s">
        <v>955</v>
      </c>
      <c r="GK824" s="276" t="s">
        <v>955</v>
      </c>
      <c r="GL824" s="276" t="s">
        <v>955</v>
      </c>
      <c r="GM824" s="276" t="s">
        <v>955</v>
      </c>
      <c r="GN824" s="276" t="s">
        <v>955</v>
      </c>
      <c r="GO824" s="276" t="s">
        <v>955</v>
      </c>
      <c r="GP824" s="276" t="s">
        <v>955</v>
      </c>
      <c r="GQ824" s="276" t="s">
        <v>955</v>
      </c>
      <c r="GR824" s="276" t="s">
        <v>955</v>
      </c>
      <c r="GS824" s="276" t="s">
        <v>955</v>
      </c>
      <c r="GT824" s="276" t="s">
        <v>955</v>
      </c>
      <c r="GU824" s="276" t="s">
        <v>955</v>
      </c>
      <c r="GV824" s="276" t="s">
        <v>955</v>
      </c>
    </row>
    <row r="825" spans="1:204" x14ac:dyDescent="0.2">
      <c r="A825" s="278"/>
      <c r="B825" s="279"/>
      <c r="GG825" s="276" t="s">
        <v>955</v>
      </c>
      <c r="GH825" s="276" t="s">
        <v>955</v>
      </c>
      <c r="GI825" s="276" t="s">
        <v>955</v>
      </c>
      <c r="GJ825" s="276" t="s">
        <v>955</v>
      </c>
      <c r="GK825" s="276" t="s">
        <v>955</v>
      </c>
      <c r="GL825" s="276" t="s">
        <v>955</v>
      </c>
      <c r="GM825" s="276" t="s">
        <v>955</v>
      </c>
      <c r="GN825" s="276" t="s">
        <v>955</v>
      </c>
      <c r="GO825" s="276" t="s">
        <v>955</v>
      </c>
      <c r="GP825" s="276" t="s">
        <v>955</v>
      </c>
      <c r="GQ825" s="276" t="s">
        <v>955</v>
      </c>
      <c r="GR825" s="276" t="s">
        <v>955</v>
      </c>
      <c r="GS825" s="276" t="s">
        <v>955</v>
      </c>
      <c r="GT825" s="276" t="s">
        <v>955</v>
      </c>
      <c r="GU825" s="276" t="s">
        <v>955</v>
      </c>
      <c r="GV825" s="276" t="s">
        <v>955</v>
      </c>
    </row>
    <row r="826" spans="1:204" x14ac:dyDescent="0.2">
      <c r="A826" s="278"/>
      <c r="B826" s="279"/>
      <c r="GG826" s="276" t="s">
        <v>955</v>
      </c>
      <c r="GH826" s="276" t="s">
        <v>955</v>
      </c>
      <c r="GI826" s="276" t="s">
        <v>955</v>
      </c>
      <c r="GJ826" s="276" t="s">
        <v>955</v>
      </c>
      <c r="GK826" s="276" t="s">
        <v>955</v>
      </c>
      <c r="GL826" s="276" t="s">
        <v>955</v>
      </c>
      <c r="GM826" s="276" t="s">
        <v>955</v>
      </c>
      <c r="GN826" s="276" t="s">
        <v>955</v>
      </c>
      <c r="GO826" s="276" t="s">
        <v>955</v>
      </c>
      <c r="GP826" s="276" t="s">
        <v>955</v>
      </c>
      <c r="GQ826" s="276" t="s">
        <v>955</v>
      </c>
      <c r="GR826" s="276" t="s">
        <v>955</v>
      </c>
      <c r="GS826" s="276" t="s">
        <v>955</v>
      </c>
      <c r="GT826" s="276" t="s">
        <v>955</v>
      </c>
      <c r="GU826" s="276" t="s">
        <v>955</v>
      </c>
      <c r="GV826" s="276" t="s">
        <v>955</v>
      </c>
    </row>
    <row r="827" spans="1:204" x14ac:dyDescent="0.2">
      <c r="A827" s="278"/>
      <c r="B827" s="279"/>
      <c r="GG827" s="276" t="s">
        <v>955</v>
      </c>
      <c r="GH827" s="276" t="s">
        <v>955</v>
      </c>
      <c r="GI827" s="276" t="s">
        <v>955</v>
      </c>
      <c r="GJ827" s="276" t="s">
        <v>955</v>
      </c>
      <c r="GK827" s="276" t="s">
        <v>955</v>
      </c>
      <c r="GL827" s="276" t="s">
        <v>955</v>
      </c>
      <c r="GM827" s="276" t="s">
        <v>955</v>
      </c>
      <c r="GN827" s="276" t="s">
        <v>955</v>
      </c>
      <c r="GO827" s="276" t="s">
        <v>955</v>
      </c>
      <c r="GP827" s="276" t="s">
        <v>955</v>
      </c>
      <c r="GQ827" s="276" t="s">
        <v>955</v>
      </c>
      <c r="GR827" s="276" t="s">
        <v>955</v>
      </c>
      <c r="GS827" s="276" t="s">
        <v>955</v>
      </c>
      <c r="GT827" s="276" t="s">
        <v>955</v>
      </c>
      <c r="GU827" s="276" t="s">
        <v>955</v>
      </c>
      <c r="GV827" s="276" t="s">
        <v>955</v>
      </c>
    </row>
    <row r="828" spans="1:204" x14ac:dyDescent="0.2">
      <c r="A828" s="278"/>
      <c r="B828" s="279"/>
      <c r="GG828" s="276" t="s">
        <v>955</v>
      </c>
      <c r="GH828" s="276" t="s">
        <v>955</v>
      </c>
      <c r="GI828" s="276" t="s">
        <v>955</v>
      </c>
      <c r="GJ828" s="276" t="s">
        <v>955</v>
      </c>
      <c r="GK828" s="276" t="s">
        <v>955</v>
      </c>
      <c r="GL828" s="276" t="s">
        <v>955</v>
      </c>
      <c r="GM828" s="276" t="s">
        <v>955</v>
      </c>
      <c r="GN828" s="276" t="s">
        <v>955</v>
      </c>
      <c r="GO828" s="276" t="s">
        <v>955</v>
      </c>
      <c r="GP828" s="276" t="s">
        <v>955</v>
      </c>
      <c r="GQ828" s="276" t="s">
        <v>955</v>
      </c>
      <c r="GR828" s="276" t="s">
        <v>955</v>
      </c>
      <c r="GS828" s="276" t="s">
        <v>955</v>
      </c>
      <c r="GT828" s="276" t="s">
        <v>955</v>
      </c>
      <c r="GU828" s="276" t="s">
        <v>955</v>
      </c>
      <c r="GV828" s="276" t="s">
        <v>955</v>
      </c>
    </row>
    <row r="829" spans="1:204" x14ac:dyDescent="0.2">
      <c r="A829" s="278"/>
      <c r="B829" s="279"/>
      <c r="GG829" s="276" t="s">
        <v>955</v>
      </c>
      <c r="GH829" s="276" t="s">
        <v>955</v>
      </c>
      <c r="GI829" s="276" t="s">
        <v>955</v>
      </c>
      <c r="GJ829" s="276" t="s">
        <v>955</v>
      </c>
      <c r="GK829" s="276" t="s">
        <v>955</v>
      </c>
      <c r="GL829" s="276" t="s">
        <v>955</v>
      </c>
      <c r="GM829" s="276" t="s">
        <v>955</v>
      </c>
      <c r="GN829" s="276" t="s">
        <v>955</v>
      </c>
      <c r="GO829" s="276" t="s">
        <v>955</v>
      </c>
      <c r="GP829" s="276" t="s">
        <v>955</v>
      </c>
      <c r="GQ829" s="276" t="s">
        <v>955</v>
      </c>
      <c r="GR829" s="276" t="s">
        <v>955</v>
      </c>
      <c r="GS829" s="276" t="s">
        <v>955</v>
      </c>
      <c r="GT829" s="276" t="s">
        <v>955</v>
      </c>
      <c r="GU829" s="276" t="s">
        <v>955</v>
      </c>
      <c r="GV829" s="276" t="s">
        <v>955</v>
      </c>
    </row>
    <row r="830" spans="1:204" x14ac:dyDescent="0.2">
      <c r="A830" s="278"/>
      <c r="B830" s="279"/>
      <c r="GG830" s="276" t="s">
        <v>955</v>
      </c>
      <c r="GH830" s="276" t="s">
        <v>955</v>
      </c>
      <c r="GI830" s="276" t="s">
        <v>955</v>
      </c>
      <c r="GJ830" s="276" t="s">
        <v>955</v>
      </c>
      <c r="GK830" s="276" t="s">
        <v>955</v>
      </c>
      <c r="GL830" s="276" t="s">
        <v>955</v>
      </c>
      <c r="GM830" s="276" t="s">
        <v>955</v>
      </c>
      <c r="GN830" s="276" t="s">
        <v>955</v>
      </c>
      <c r="GO830" s="276" t="s">
        <v>955</v>
      </c>
      <c r="GP830" s="276" t="s">
        <v>955</v>
      </c>
      <c r="GQ830" s="276" t="s">
        <v>955</v>
      </c>
      <c r="GR830" s="276" t="s">
        <v>955</v>
      </c>
      <c r="GS830" s="276" t="s">
        <v>955</v>
      </c>
      <c r="GT830" s="276" t="s">
        <v>955</v>
      </c>
      <c r="GU830" s="276" t="s">
        <v>955</v>
      </c>
      <c r="GV830" s="276" t="s">
        <v>955</v>
      </c>
    </row>
    <row r="831" spans="1:204" x14ac:dyDescent="0.2">
      <c r="A831" s="278"/>
      <c r="B831" s="279"/>
      <c r="GG831" s="276" t="s">
        <v>955</v>
      </c>
      <c r="GH831" s="276" t="s">
        <v>955</v>
      </c>
      <c r="GI831" s="276" t="s">
        <v>955</v>
      </c>
      <c r="GJ831" s="276" t="s">
        <v>955</v>
      </c>
      <c r="GK831" s="276" t="s">
        <v>955</v>
      </c>
      <c r="GL831" s="276" t="s">
        <v>955</v>
      </c>
      <c r="GM831" s="276" t="s">
        <v>955</v>
      </c>
      <c r="GN831" s="276" t="s">
        <v>955</v>
      </c>
      <c r="GO831" s="276" t="s">
        <v>955</v>
      </c>
      <c r="GP831" s="276" t="s">
        <v>955</v>
      </c>
      <c r="GQ831" s="276" t="s">
        <v>955</v>
      </c>
      <c r="GR831" s="276" t="s">
        <v>955</v>
      </c>
      <c r="GS831" s="276" t="s">
        <v>955</v>
      </c>
      <c r="GT831" s="276" t="s">
        <v>955</v>
      </c>
      <c r="GU831" s="276" t="s">
        <v>955</v>
      </c>
      <c r="GV831" s="276" t="s">
        <v>955</v>
      </c>
    </row>
    <row r="832" spans="1:204" x14ac:dyDescent="0.2">
      <c r="A832" s="278"/>
      <c r="B832" s="279"/>
      <c r="GG832" s="276" t="s">
        <v>955</v>
      </c>
      <c r="GH832" s="276" t="s">
        <v>955</v>
      </c>
      <c r="GI832" s="276" t="s">
        <v>955</v>
      </c>
      <c r="GJ832" s="276" t="s">
        <v>955</v>
      </c>
      <c r="GK832" s="276" t="s">
        <v>955</v>
      </c>
      <c r="GL832" s="276" t="s">
        <v>955</v>
      </c>
      <c r="GM832" s="276" t="s">
        <v>955</v>
      </c>
      <c r="GN832" s="276" t="s">
        <v>955</v>
      </c>
      <c r="GO832" s="276" t="s">
        <v>955</v>
      </c>
      <c r="GP832" s="276" t="s">
        <v>955</v>
      </c>
      <c r="GQ832" s="276" t="s">
        <v>955</v>
      </c>
      <c r="GR832" s="276" t="s">
        <v>955</v>
      </c>
      <c r="GS832" s="276" t="s">
        <v>955</v>
      </c>
      <c r="GT832" s="276" t="s">
        <v>955</v>
      </c>
      <c r="GU832" s="276" t="s">
        <v>955</v>
      </c>
      <c r="GV832" s="276" t="s">
        <v>955</v>
      </c>
    </row>
    <row r="833" spans="1:204" x14ac:dyDescent="0.2">
      <c r="A833" s="278"/>
      <c r="B833" s="279"/>
      <c r="GG833" s="276" t="s">
        <v>955</v>
      </c>
      <c r="GH833" s="276" t="s">
        <v>955</v>
      </c>
      <c r="GI833" s="276" t="s">
        <v>955</v>
      </c>
      <c r="GJ833" s="276" t="s">
        <v>955</v>
      </c>
      <c r="GK833" s="276" t="s">
        <v>955</v>
      </c>
      <c r="GL833" s="276" t="s">
        <v>955</v>
      </c>
      <c r="GM833" s="276" t="s">
        <v>955</v>
      </c>
      <c r="GN833" s="276" t="s">
        <v>955</v>
      </c>
      <c r="GO833" s="276" t="s">
        <v>955</v>
      </c>
      <c r="GP833" s="276" t="s">
        <v>955</v>
      </c>
      <c r="GQ833" s="276" t="s">
        <v>955</v>
      </c>
      <c r="GR833" s="276" t="s">
        <v>955</v>
      </c>
      <c r="GS833" s="276" t="s">
        <v>955</v>
      </c>
      <c r="GT833" s="276" t="s">
        <v>955</v>
      </c>
      <c r="GU833" s="276" t="s">
        <v>955</v>
      </c>
      <c r="GV833" s="276" t="s">
        <v>955</v>
      </c>
    </row>
    <row r="834" spans="1:204" x14ac:dyDescent="0.2">
      <c r="A834" s="278"/>
      <c r="B834" s="279"/>
      <c r="GG834" s="276" t="s">
        <v>955</v>
      </c>
      <c r="GH834" s="276" t="s">
        <v>955</v>
      </c>
      <c r="GI834" s="276" t="s">
        <v>955</v>
      </c>
      <c r="GJ834" s="276" t="s">
        <v>955</v>
      </c>
      <c r="GK834" s="276" t="s">
        <v>955</v>
      </c>
      <c r="GL834" s="276" t="s">
        <v>955</v>
      </c>
      <c r="GM834" s="276" t="s">
        <v>955</v>
      </c>
      <c r="GN834" s="276" t="s">
        <v>955</v>
      </c>
      <c r="GO834" s="276" t="s">
        <v>955</v>
      </c>
      <c r="GP834" s="276" t="s">
        <v>955</v>
      </c>
      <c r="GQ834" s="276" t="s">
        <v>955</v>
      </c>
      <c r="GR834" s="276" t="s">
        <v>955</v>
      </c>
      <c r="GS834" s="276" t="s">
        <v>955</v>
      </c>
      <c r="GT834" s="276" t="s">
        <v>955</v>
      </c>
      <c r="GU834" s="276" t="s">
        <v>955</v>
      </c>
      <c r="GV834" s="276" t="s">
        <v>955</v>
      </c>
    </row>
    <row r="835" spans="1:204" x14ac:dyDescent="0.2">
      <c r="A835" s="278"/>
      <c r="B835" s="279"/>
      <c r="GG835" s="276" t="s">
        <v>955</v>
      </c>
      <c r="GH835" s="276" t="s">
        <v>955</v>
      </c>
      <c r="GI835" s="276" t="s">
        <v>955</v>
      </c>
      <c r="GJ835" s="276" t="s">
        <v>955</v>
      </c>
      <c r="GK835" s="276" t="s">
        <v>955</v>
      </c>
      <c r="GL835" s="276" t="s">
        <v>955</v>
      </c>
      <c r="GM835" s="276" t="s">
        <v>955</v>
      </c>
      <c r="GN835" s="276" t="s">
        <v>955</v>
      </c>
      <c r="GO835" s="276" t="s">
        <v>955</v>
      </c>
      <c r="GP835" s="276" t="s">
        <v>955</v>
      </c>
      <c r="GQ835" s="276" t="s">
        <v>955</v>
      </c>
      <c r="GR835" s="276" t="s">
        <v>955</v>
      </c>
      <c r="GS835" s="276" t="s">
        <v>955</v>
      </c>
      <c r="GT835" s="276" t="s">
        <v>955</v>
      </c>
      <c r="GU835" s="276" t="s">
        <v>955</v>
      </c>
      <c r="GV835" s="276" t="s">
        <v>955</v>
      </c>
    </row>
    <row r="836" spans="1:204" x14ac:dyDescent="0.2">
      <c r="A836" s="278"/>
      <c r="B836" s="279"/>
      <c r="GG836" s="276" t="s">
        <v>955</v>
      </c>
      <c r="GH836" s="276" t="s">
        <v>955</v>
      </c>
      <c r="GI836" s="276" t="s">
        <v>955</v>
      </c>
      <c r="GJ836" s="276" t="s">
        <v>955</v>
      </c>
      <c r="GK836" s="276" t="s">
        <v>955</v>
      </c>
      <c r="GL836" s="276" t="s">
        <v>955</v>
      </c>
      <c r="GM836" s="276" t="s">
        <v>955</v>
      </c>
      <c r="GN836" s="276" t="s">
        <v>955</v>
      </c>
      <c r="GO836" s="276" t="s">
        <v>955</v>
      </c>
      <c r="GP836" s="276" t="s">
        <v>955</v>
      </c>
      <c r="GQ836" s="276" t="s">
        <v>955</v>
      </c>
      <c r="GR836" s="276" t="s">
        <v>955</v>
      </c>
      <c r="GS836" s="276" t="s">
        <v>955</v>
      </c>
      <c r="GT836" s="276" t="s">
        <v>955</v>
      </c>
      <c r="GU836" s="276" t="s">
        <v>955</v>
      </c>
      <c r="GV836" s="276" t="s">
        <v>955</v>
      </c>
    </row>
    <row r="837" spans="1:204" x14ac:dyDescent="0.2">
      <c r="A837" s="278"/>
      <c r="B837" s="279"/>
      <c r="GG837" s="276" t="s">
        <v>955</v>
      </c>
      <c r="GH837" s="276" t="s">
        <v>955</v>
      </c>
      <c r="GI837" s="276" t="s">
        <v>955</v>
      </c>
      <c r="GJ837" s="276" t="s">
        <v>955</v>
      </c>
      <c r="GK837" s="276" t="s">
        <v>955</v>
      </c>
      <c r="GL837" s="276" t="s">
        <v>955</v>
      </c>
      <c r="GM837" s="276" t="s">
        <v>955</v>
      </c>
      <c r="GN837" s="276" t="s">
        <v>955</v>
      </c>
      <c r="GO837" s="276" t="s">
        <v>955</v>
      </c>
      <c r="GP837" s="276" t="s">
        <v>955</v>
      </c>
      <c r="GQ837" s="276" t="s">
        <v>955</v>
      </c>
      <c r="GR837" s="276" t="s">
        <v>955</v>
      </c>
      <c r="GS837" s="276" t="s">
        <v>955</v>
      </c>
      <c r="GT837" s="276" t="s">
        <v>955</v>
      </c>
      <c r="GU837" s="276" t="s">
        <v>955</v>
      </c>
      <c r="GV837" s="276" t="s">
        <v>955</v>
      </c>
    </row>
    <row r="838" spans="1:204" x14ac:dyDescent="0.2">
      <c r="A838" s="278"/>
      <c r="B838" s="279"/>
      <c r="GG838" s="276" t="s">
        <v>955</v>
      </c>
      <c r="GH838" s="276" t="s">
        <v>955</v>
      </c>
      <c r="GI838" s="276" t="s">
        <v>955</v>
      </c>
      <c r="GJ838" s="276" t="s">
        <v>955</v>
      </c>
      <c r="GK838" s="276" t="s">
        <v>955</v>
      </c>
      <c r="GL838" s="276" t="s">
        <v>955</v>
      </c>
      <c r="GM838" s="276" t="s">
        <v>955</v>
      </c>
      <c r="GN838" s="276" t="s">
        <v>955</v>
      </c>
      <c r="GO838" s="276" t="s">
        <v>955</v>
      </c>
      <c r="GP838" s="276" t="s">
        <v>955</v>
      </c>
      <c r="GQ838" s="276" t="s">
        <v>955</v>
      </c>
      <c r="GR838" s="276" t="s">
        <v>955</v>
      </c>
      <c r="GS838" s="276" t="s">
        <v>955</v>
      </c>
      <c r="GT838" s="276" t="s">
        <v>955</v>
      </c>
      <c r="GU838" s="276" t="s">
        <v>955</v>
      </c>
      <c r="GV838" s="276" t="s">
        <v>955</v>
      </c>
    </row>
    <row r="839" spans="1:204" x14ac:dyDescent="0.2">
      <c r="A839" s="278"/>
      <c r="B839" s="279"/>
      <c r="GG839" s="276" t="s">
        <v>955</v>
      </c>
      <c r="GH839" s="276" t="s">
        <v>955</v>
      </c>
      <c r="GI839" s="276" t="s">
        <v>955</v>
      </c>
      <c r="GJ839" s="276" t="s">
        <v>955</v>
      </c>
      <c r="GK839" s="276" t="s">
        <v>955</v>
      </c>
      <c r="GL839" s="276" t="s">
        <v>955</v>
      </c>
      <c r="GM839" s="276" t="s">
        <v>955</v>
      </c>
      <c r="GN839" s="276" t="s">
        <v>955</v>
      </c>
      <c r="GO839" s="276" t="s">
        <v>955</v>
      </c>
      <c r="GP839" s="276" t="s">
        <v>955</v>
      </c>
      <c r="GQ839" s="276" t="s">
        <v>955</v>
      </c>
      <c r="GR839" s="276" t="s">
        <v>955</v>
      </c>
      <c r="GS839" s="276" t="s">
        <v>955</v>
      </c>
      <c r="GT839" s="276" t="s">
        <v>955</v>
      </c>
      <c r="GU839" s="276" t="s">
        <v>955</v>
      </c>
      <c r="GV839" s="276" t="s">
        <v>955</v>
      </c>
    </row>
    <row r="840" spans="1:204" x14ac:dyDescent="0.2">
      <c r="A840" s="278"/>
      <c r="B840" s="279"/>
      <c r="GG840" s="276" t="s">
        <v>955</v>
      </c>
      <c r="GH840" s="276" t="s">
        <v>955</v>
      </c>
      <c r="GI840" s="276" t="s">
        <v>955</v>
      </c>
      <c r="GJ840" s="276" t="s">
        <v>955</v>
      </c>
      <c r="GK840" s="276" t="s">
        <v>955</v>
      </c>
      <c r="GL840" s="276" t="s">
        <v>955</v>
      </c>
      <c r="GM840" s="276" t="s">
        <v>955</v>
      </c>
      <c r="GN840" s="276" t="s">
        <v>955</v>
      </c>
      <c r="GO840" s="276" t="s">
        <v>955</v>
      </c>
      <c r="GP840" s="276" t="s">
        <v>955</v>
      </c>
      <c r="GQ840" s="276" t="s">
        <v>955</v>
      </c>
      <c r="GR840" s="276" t="s">
        <v>955</v>
      </c>
      <c r="GS840" s="276" t="s">
        <v>955</v>
      </c>
      <c r="GT840" s="276" t="s">
        <v>955</v>
      </c>
      <c r="GU840" s="276" t="s">
        <v>955</v>
      </c>
      <c r="GV840" s="276" t="s">
        <v>955</v>
      </c>
    </row>
    <row r="841" spans="1:204" x14ac:dyDescent="0.2">
      <c r="A841" s="278"/>
      <c r="B841" s="279"/>
      <c r="GG841" s="276" t="s">
        <v>955</v>
      </c>
      <c r="GH841" s="276" t="s">
        <v>955</v>
      </c>
      <c r="GI841" s="276" t="s">
        <v>955</v>
      </c>
      <c r="GJ841" s="276" t="s">
        <v>955</v>
      </c>
      <c r="GK841" s="276" t="s">
        <v>955</v>
      </c>
      <c r="GL841" s="276" t="s">
        <v>955</v>
      </c>
      <c r="GM841" s="276" t="s">
        <v>955</v>
      </c>
      <c r="GN841" s="276" t="s">
        <v>955</v>
      </c>
      <c r="GO841" s="276" t="s">
        <v>955</v>
      </c>
      <c r="GP841" s="276" t="s">
        <v>955</v>
      </c>
      <c r="GQ841" s="276" t="s">
        <v>955</v>
      </c>
      <c r="GR841" s="276" t="s">
        <v>955</v>
      </c>
      <c r="GS841" s="276" t="s">
        <v>955</v>
      </c>
      <c r="GT841" s="276" t="s">
        <v>955</v>
      </c>
      <c r="GU841" s="276" t="s">
        <v>955</v>
      </c>
      <c r="GV841" s="276" t="s">
        <v>955</v>
      </c>
    </row>
    <row r="842" spans="1:204" x14ac:dyDescent="0.2">
      <c r="A842" s="278"/>
      <c r="B842" s="279"/>
      <c r="GG842" s="276" t="s">
        <v>955</v>
      </c>
      <c r="GH842" s="276" t="s">
        <v>955</v>
      </c>
      <c r="GI842" s="276" t="s">
        <v>955</v>
      </c>
      <c r="GJ842" s="276" t="s">
        <v>955</v>
      </c>
      <c r="GK842" s="276" t="s">
        <v>955</v>
      </c>
      <c r="GL842" s="276" t="s">
        <v>955</v>
      </c>
      <c r="GM842" s="276" t="s">
        <v>955</v>
      </c>
      <c r="GN842" s="276" t="s">
        <v>955</v>
      </c>
      <c r="GO842" s="276" t="s">
        <v>955</v>
      </c>
      <c r="GP842" s="276" t="s">
        <v>955</v>
      </c>
      <c r="GQ842" s="276" t="s">
        <v>955</v>
      </c>
      <c r="GR842" s="276" t="s">
        <v>955</v>
      </c>
      <c r="GS842" s="276" t="s">
        <v>955</v>
      </c>
      <c r="GT842" s="276" t="s">
        <v>955</v>
      </c>
      <c r="GU842" s="276" t="s">
        <v>955</v>
      </c>
      <c r="GV842" s="276" t="s">
        <v>955</v>
      </c>
    </row>
    <row r="843" spans="1:204" x14ac:dyDescent="0.2">
      <c r="A843" s="278"/>
      <c r="B843" s="279"/>
      <c r="GG843" s="276" t="s">
        <v>955</v>
      </c>
      <c r="GH843" s="276" t="s">
        <v>955</v>
      </c>
      <c r="GI843" s="276" t="s">
        <v>955</v>
      </c>
      <c r="GJ843" s="276" t="s">
        <v>955</v>
      </c>
      <c r="GK843" s="276" t="s">
        <v>955</v>
      </c>
      <c r="GL843" s="276" t="s">
        <v>955</v>
      </c>
      <c r="GM843" s="276" t="s">
        <v>955</v>
      </c>
      <c r="GN843" s="276" t="s">
        <v>955</v>
      </c>
      <c r="GO843" s="276" t="s">
        <v>955</v>
      </c>
      <c r="GP843" s="276" t="s">
        <v>955</v>
      </c>
      <c r="GQ843" s="276" t="s">
        <v>955</v>
      </c>
      <c r="GR843" s="276" t="s">
        <v>955</v>
      </c>
      <c r="GS843" s="276" t="s">
        <v>955</v>
      </c>
      <c r="GT843" s="276" t="s">
        <v>955</v>
      </c>
      <c r="GU843" s="276" t="s">
        <v>955</v>
      </c>
      <c r="GV843" s="276" t="s">
        <v>955</v>
      </c>
    </row>
    <row r="844" spans="1:204" x14ac:dyDescent="0.2">
      <c r="A844" s="278"/>
      <c r="B844" s="279"/>
      <c r="GG844" s="276" t="s">
        <v>955</v>
      </c>
      <c r="GH844" s="276" t="s">
        <v>955</v>
      </c>
      <c r="GI844" s="276" t="s">
        <v>955</v>
      </c>
      <c r="GJ844" s="276" t="s">
        <v>955</v>
      </c>
      <c r="GK844" s="276" t="s">
        <v>955</v>
      </c>
      <c r="GL844" s="276" t="s">
        <v>955</v>
      </c>
      <c r="GM844" s="276" t="s">
        <v>955</v>
      </c>
      <c r="GN844" s="276" t="s">
        <v>955</v>
      </c>
      <c r="GO844" s="276" t="s">
        <v>955</v>
      </c>
      <c r="GP844" s="276" t="s">
        <v>955</v>
      </c>
      <c r="GQ844" s="276" t="s">
        <v>955</v>
      </c>
      <c r="GR844" s="276" t="s">
        <v>955</v>
      </c>
      <c r="GS844" s="276" t="s">
        <v>955</v>
      </c>
      <c r="GT844" s="276" t="s">
        <v>955</v>
      </c>
      <c r="GU844" s="276" t="s">
        <v>955</v>
      </c>
      <c r="GV844" s="276" t="s">
        <v>955</v>
      </c>
    </row>
    <row r="845" spans="1:204" x14ac:dyDescent="0.2">
      <c r="A845" s="278"/>
      <c r="B845" s="279"/>
      <c r="GG845" s="276" t="s">
        <v>955</v>
      </c>
      <c r="GH845" s="276" t="s">
        <v>955</v>
      </c>
      <c r="GI845" s="276" t="s">
        <v>955</v>
      </c>
      <c r="GJ845" s="276" t="s">
        <v>955</v>
      </c>
      <c r="GK845" s="276" t="s">
        <v>955</v>
      </c>
      <c r="GL845" s="276" t="s">
        <v>955</v>
      </c>
      <c r="GM845" s="276" t="s">
        <v>955</v>
      </c>
      <c r="GN845" s="276" t="s">
        <v>955</v>
      </c>
      <c r="GO845" s="276" t="s">
        <v>955</v>
      </c>
      <c r="GP845" s="276" t="s">
        <v>955</v>
      </c>
      <c r="GQ845" s="276" t="s">
        <v>955</v>
      </c>
      <c r="GR845" s="276" t="s">
        <v>955</v>
      </c>
      <c r="GS845" s="276" t="s">
        <v>955</v>
      </c>
      <c r="GT845" s="276" t="s">
        <v>955</v>
      </c>
      <c r="GU845" s="276" t="s">
        <v>955</v>
      </c>
      <c r="GV845" s="276" t="s">
        <v>955</v>
      </c>
    </row>
    <row r="846" spans="1:204" x14ac:dyDescent="0.2">
      <c r="A846" s="278"/>
      <c r="B846" s="279"/>
      <c r="GG846" s="276" t="s">
        <v>955</v>
      </c>
      <c r="GH846" s="276" t="s">
        <v>955</v>
      </c>
      <c r="GI846" s="276" t="s">
        <v>955</v>
      </c>
      <c r="GJ846" s="276" t="s">
        <v>955</v>
      </c>
      <c r="GK846" s="276" t="s">
        <v>955</v>
      </c>
      <c r="GL846" s="276" t="s">
        <v>955</v>
      </c>
      <c r="GM846" s="276" t="s">
        <v>955</v>
      </c>
      <c r="GN846" s="276" t="s">
        <v>955</v>
      </c>
      <c r="GO846" s="276" t="s">
        <v>955</v>
      </c>
      <c r="GP846" s="276" t="s">
        <v>955</v>
      </c>
      <c r="GQ846" s="276" t="s">
        <v>955</v>
      </c>
      <c r="GR846" s="276" t="s">
        <v>955</v>
      </c>
      <c r="GS846" s="276" t="s">
        <v>955</v>
      </c>
      <c r="GT846" s="276" t="s">
        <v>955</v>
      </c>
      <c r="GU846" s="276" t="s">
        <v>955</v>
      </c>
      <c r="GV846" s="276" t="s">
        <v>955</v>
      </c>
    </row>
    <row r="847" spans="1:204" x14ac:dyDescent="0.2">
      <c r="A847" s="278"/>
      <c r="B847" s="279"/>
      <c r="GG847" s="276" t="s">
        <v>955</v>
      </c>
      <c r="GH847" s="276" t="s">
        <v>955</v>
      </c>
      <c r="GI847" s="276" t="s">
        <v>955</v>
      </c>
      <c r="GJ847" s="276" t="s">
        <v>955</v>
      </c>
      <c r="GK847" s="276" t="s">
        <v>955</v>
      </c>
      <c r="GL847" s="276" t="s">
        <v>955</v>
      </c>
      <c r="GM847" s="276" t="s">
        <v>955</v>
      </c>
      <c r="GN847" s="276" t="s">
        <v>955</v>
      </c>
      <c r="GO847" s="276" t="s">
        <v>955</v>
      </c>
      <c r="GP847" s="276" t="s">
        <v>955</v>
      </c>
      <c r="GQ847" s="276" t="s">
        <v>955</v>
      </c>
      <c r="GR847" s="276" t="s">
        <v>955</v>
      </c>
      <c r="GS847" s="276" t="s">
        <v>955</v>
      </c>
      <c r="GT847" s="276" t="s">
        <v>955</v>
      </c>
      <c r="GU847" s="276" t="s">
        <v>955</v>
      </c>
      <c r="GV847" s="276" t="s">
        <v>955</v>
      </c>
    </row>
    <row r="848" spans="1:204" x14ac:dyDescent="0.2">
      <c r="A848" s="278"/>
      <c r="B848" s="279"/>
      <c r="GG848" s="276" t="s">
        <v>955</v>
      </c>
      <c r="GH848" s="276" t="s">
        <v>955</v>
      </c>
      <c r="GI848" s="276" t="s">
        <v>955</v>
      </c>
      <c r="GJ848" s="276" t="s">
        <v>955</v>
      </c>
      <c r="GK848" s="276" t="s">
        <v>955</v>
      </c>
      <c r="GL848" s="276" t="s">
        <v>955</v>
      </c>
      <c r="GM848" s="276" t="s">
        <v>955</v>
      </c>
      <c r="GN848" s="276" t="s">
        <v>955</v>
      </c>
      <c r="GO848" s="276" t="s">
        <v>955</v>
      </c>
      <c r="GP848" s="276" t="s">
        <v>955</v>
      </c>
      <c r="GQ848" s="276" t="s">
        <v>955</v>
      </c>
      <c r="GR848" s="276" t="s">
        <v>955</v>
      </c>
      <c r="GS848" s="276" t="s">
        <v>955</v>
      </c>
      <c r="GT848" s="276" t="s">
        <v>955</v>
      </c>
      <c r="GU848" s="276" t="s">
        <v>955</v>
      </c>
      <c r="GV848" s="276" t="s">
        <v>955</v>
      </c>
    </row>
    <row r="849" spans="1:204" x14ac:dyDescent="0.2">
      <c r="A849" s="278"/>
      <c r="B849" s="279"/>
      <c r="GG849" s="276" t="s">
        <v>955</v>
      </c>
      <c r="GH849" s="276" t="s">
        <v>955</v>
      </c>
      <c r="GI849" s="276" t="s">
        <v>955</v>
      </c>
      <c r="GJ849" s="276" t="s">
        <v>955</v>
      </c>
      <c r="GK849" s="276" t="s">
        <v>955</v>
      </c>
      <c r="GL849" s="276" t="s">
        <v>955</v>
      </c>
      <c r="GM849" s="276" t="s">
        <v>955</v>
      </c>
      <c r="GN849" s="276" t="s">
        <v>955</v>
      </c>
      <c r="GO849" s="276" t="s">
        <v>955</v>
      </c>
      <c r="GP849" s="276" t="s">
        <v>955</v>
      </c>
      <c r="GQ849" s="276" t="s">
        <v>955</v>
      </c>
      <c r="GR849" s="276" t="s">
        <v>955</v>
      </c>
      <c r="GS849" s="276" t="s">
        <v>955</v>
      </c>
      <c r="GT849" s="276" t="s">
        <v>955</v>
      </c>
      <c r="GU849" s="276" t="s">
        <v>955</v>
      </c>
      <c r="GV849" s="276" t="s">
        <v>955</v>
      </c>
    </row>
    <row r="850" spans="1:204" x14ac:dyDescent="0.2">
      <c r="A850" s="278"/>
      <c r="B850" s="279"/>
      <c r="GG850" s="276" t="s">
        <v>955</v>
      </c>
      <c r="GH850" s="276" t="s">
        <v>955</v>
      </c>
      <c r="GI850" s="276" t="s">
        <v>955</v>
      </c>
      <c r="GJ850" s="276" t="s">
        <v>955</v>
      </c>
      <c r="GK850" s="276" t="s">
        <v>955</v>
      </c>
      <c r="GL850" s="276" t="s">
        <v>955</v>
      </c>
      <c r="GM850" s="276" t="s">
        <v>955</v>
      </c>
      <c r="GN850" s="276" t="s">
        <v>955</v>
      </c>
      <c r="GO850" s="276" t="s">
        <v>955</v>
      </c>
      <c r="GP850" s="276" t="s">
        <v>955</v>
      </c>
      <c r="GQ850" s="276" t="s">
        <v>955</v>
      </c>
      <c r="GR850" s="276" t="s">
        <v>955</v>
      </c>
      <c r="GS850" s="276" t="s">
        <v>955</v>
      </c>
      <c r="GT850" s="276" t="s">
        <v>955</v>
      </c>
      <c r="GU850" s="276" t="s">
        <v>955</v>
      </c>
      <c r="GV850" s="276" t="s">
        <v>955</v>
      </c>
    </row>
    <row r="851" spans="1:204" x14ac:dyDescent="0.2">
      <c r="A851" s="278"/>
      <c r="B851" s="279"/>
      <c r="GG851" s="276" t="s">
        <v>955</v>
      </c>
      <c r="GH851" s="276" t="s">
        <v>955</v>
      </c>
      <c r="GI851" s="276" t="s">
        <v>955</v>
      </c>
      <c r="GJ851" s="276" t="s">
        <v>955</v>
      </c>
      <c r="GK851" s="276" t="s">
        <v>955</v>
      </c>
      <c r="GL851" s="276" t="s">
        <v>955</v>
      </c>
      <c r="GM851" s="276" t="s">
        <v>955</v>
      </c>
      <c r="GN851" s="276" t="s">
        <v>955</v>
      </c>
      <c r="GO851" s="276" t="s">
        <v>955</v>
      </c>
      <c r="GP851" s="276" t="s">
        <v>955</v>
      </c>
      <c r="GQ851" s="276" t="s">
        <v>955</v>
      </c>
      <c r="GR851" s="276" t="s">
        <v>955</v>
      </c>
      <c r="GS851" s="276" t="s">
        <v>955</v>
      </c>
      <c r="GT851" s="276" t="s">
        <v>955</v>
      </c>
      <c r="GU851" s="276" t="s">
        <v>955</v>
      </c>
      <c r="GV851" s="276" t="s">
        <v>955</v>
      </c>
    </row>
    <row r="852" spans="1:204" x14ac:dyDescent="0.2">
      <c r="A852" s="278"/>
      <c r="B852" s="279"/>
      <c r="GG852" s="276" t="s">
        <v>955</v>
      </c>
      <c r="GH852" s="276" t="s">
        <v>955</v>
      </c>
      <c r="GI852" s="276" t="s">
        <v>955</v>
      </c>
      <c r="GJ852" s="276" t="s">
        <v>955</v>
      </c>
      <c r="GK852" s="276" t="s">
        <v>955</v>
      </c>
      <c r="GL852" s="276" t="s">
        <v>955</v>
      </c>
      <c r="GM852" s="276" t="s">
        <v>955</v>
      </c>
      <c r="GN852" s="276" t="s">
        <v>955</v>
      </c>
      <c r="GO852" s="276" t="s">
        <v>955</v>
      </c>
      <c r="GP852" s="276" t="s">
        <v>955</v>
      </c>
      <c r="GQ852" s="276" t="s">
        <v>955</v>
      </c>
      <c r="GR852" s="276" t="s">
        <v>955</v>
      </c>
      <c r="GS852" s="276" t="s">
        <v>955</v>
      </c>
      <c r="GT852" s="276" t="s">
        <v>955</v>
      </c>
      <c r="GU852" s="276" t="s">
        <v>955</v>
      </c>
      <c r="GV852" s="276" t="s">
        <v>955</v>
      </c>
    </row>
    <row r="853" spans="1:204" x14ac:dyDescent="0.2">
      <c r="A853" s="278"/>
      <c r="B853" s="279"/>
      <c r="GG853" s="276" t="s">
        <v>955</v>
      </c>
      <c r="GH853" s="276" t="s">
        <v>955</v>
      </c>
      <c r="GI853" s="276" t="s">
        <v>955</v>
      </c>
      <c r="GJ853" s="276" t="s">
        <v>955</v>
      </c>
      <c r="GK853" s="276" t="s">
        <v>955</v>
      </c>
      <c r="GL853" s="276" t="s">
        <v>955</v>
      </c>
      <c r="GM853" s="276" t="s">
        <v>955</v>
      </c>
      <c r="GN853" s="276" t="s">
        <v>955</v>
      </c>
      <c r="GO853" s="276" t="s">
        <v>955</v>
      </c>
      <c r="GP853" s="276" t="s">
        <v>955</v>
      </c>
      <c r="GQ853" s="276" t="s">
        <v>955</v>
      </c>
      <c r="GR853" s="276" t="s">
        <v>955</v>
      </c>
      <c r="GS853" s="276" t="s">
        <v>955</v>
      </c>
      <c r="GT853" s="276" t="s">
        <v>955</v>
      </c>
      <c r="GU853" s="276" t="s">
        <v>955</v>
      </c>
      <c r="GV853" s="276" t="s">
        <v>955</v>
      </c>
    </row>
    <row r="854" spans="1:204" x14ac:dyDescent="0.2">
      <c r="A854" s="278"/>
      <c r="B854" s="279"/>
      <c r="GG854" s="276" t="s">
        <v>955</v>
      </c>
      <c r="GH854" s="276" t="s">
        <v>955</v>
      </c>
      <c r="GI854" s="276" t="s">
        <v>955</v>
      </c>
      <c r="GJ854" s="276" t="s">
        <v>955</v>
      </c>
      <c r="GK854" s="276" t="s">
        <v>955</v>
      </c>
      <c r="GL854" s="276" t="s">
        <v>955</v>
      </c>
      <c r="GM854" s="276" t="s">
        <v>955</v>
      </c>
      <c r="GN854" s="276" t="s">
        <v>955</v>
      </c>
      <c r="GO854" s="276" t="s">
        <v>955</v>
      </c>
      <c r="GP854" s="276" t="s">
        <v>955</v>
      </c>
      <c r="GQ854" s="276" t="s">
        <v>955</v>
      </c>
      <c r="GR854" s="276" t="s">
        <v>955</v>
      </c>
      <c r="GS854" s="276" t="s">
        <v>955</v>
      </c>
      <c r="GT854" s="276" t="s">
        <v>955</v>
      </c>
      <c r="GU854" s="276" t="s">
        <v>955</v>
      </c>
      <c r="GV854" s="276" t="s">
        <v>955</v>
      </c>
    </row>
    <row r="855" spans="1:204" x14ac:dyDescent="0.2">
      <c r="A855" s="278"/>
      <c r="B855" s="279"/>
      <c r="GG855" s="276" t="s">
        <v>955</v>
      </c>
      <c r="GH855" s="276" t="s">
        <v>955</v>
      </c>
      <c r="GI855" s="276" t="s">
        <v>955</v>
      </c>
      <c r="GJ855" s="276" t="s">
        <v>955</v>
      </c>
      <c r="GK855" s="276" t="s">
        <v>955</v>
      </c>
      <c r="GL855" s="276" t="s">
        <v>955</v>
      </c>
      <c r="GM855" s="276" t="s">
        <v>955</v>
      </c>
      <c r="GN855" s="276" t="s">
        <v>955</v>
      </c>
      <c r="GO855" s="276" t="s">
        <v>955</v>
      </c>
      <c r="GP855" s="276" t="s">
        <v>955</v>
      </c>
      <c r="GQ855" s="276" t="s">
        <v>955</v>
      </c>
      <c r="GR855" s="276" t="s">
        <v>955</v>
      </c>
      <c r="GS855" s="276" t="s">
        <v>955</v>
      </c>
      <c r="GT855" s="276" t="s">
        <v>955</v>
      </c>
      <c r="GU855" s="276" t="s">
        <v>955</v>
      </c>
      <c r="GV855" s="276" t="s">
        <v>955</v>
      </c>
    </row>
    <row r="856" spans="1:204" x14ac:dyDescent="0.2">
      <c r="A856" s="278"/>
      <c r="B856" s="279"/>
      <c r="GG856" s="276" t="s">
        <v>955</v>
      </c>
      <c r="GH856" s="276" t="s">
        <v>955</v>
      </c>
      <c r="GI856" s="276" t="s">
        <v>955</v>
      </c>
      <c r="GJ856" s="276" t="s">
        <v>955</v>
      </c>
      <c r="GK856" s="276" t="s">
        <v>955</v>
      </c>
      <c r="GL856" s="276" t="s">
        <v>955</v>
      </c>
      <c r="GM856" s="276" t="s">
        <v>955</v>
      </c>
      <c r="GN856" s="276" t="s">
        <v>955</v>
      </c>
      <c r="GO856" s="276" t="s">
        <v>955</v>
      </c>
      <c r="GP856" s="276" t="s">
        <v>955</v>
      </c>
      <c r="GQ856" s="276" t="s">
        <v>955</v>
      </c>
      <c r="GR856" s="276" t="s">
        <v>955</v>
      </c>
      <c r="GS856" s="276" t="s">
        <v>955</v>
      </c>
      <c r="GT856" s="276" t="s">
        <v>955</v>
      </c>
      <c r="GU856" s="276" t="s">
        <v>955</v>
      </c>
      <c r="GV856" s="276" t="s">
        <v>955</v>
      </c>
    </row>
    <row r="857" spans="1:204" x14ac:dyDescent="0.2">
      <c r="A857" s="278"/>
      <c r="B857" s="279"/>
      <c r="GG857" s="276" t="s">
        <v>955</v>
      </c>
      <c r="GH857" s="276" t="s">
        <v>955</v>
      </c>
      <c r="GI857" s="276" t="s">
        <v>955</v>
      </c>
      <c r="GJ857" s="276" t="s">
        <v>955</v>
      </c>
      <c r="GK857" s="276" t="s">
        <v>955</v>
      </c>
      <c r="GL857" s="276" t="s">
        <v>955</v>
      </c>
      <c r="GM857" s="276" t="s">
        <v>955</v>
      </c>
      <c r="GN857" s="276" t="s">
        <v>955</v>
      </c>
      <c r="GO857" s="276" t="s">
        <v>955</v>
      </c>
      <c r="GP857" s="276" t="s">
        <v>955</v>
      </c>
      <c r="GQ857" s="276" t="s">
        <v>955</v>
      </c>
      <c r="GR857" s="276" t="s">
        <v>955</v>
      </c>
      <c r="GS857" s="276" t="s">
        <v>955</v>
      </c>
      <c r="GT857" s="276" t="s">
        <v>955</v>
      </c>
      <c r="GU857" s="276" t="s">
        <v>955</v>
      </c>
      <c r="GV857" s="276" t="s">
        <v>955</v>
      </c>
    </row>
    <row r="858" spans="1:204" x14ac:dyDescent="0.2">
      <c r="A858" s="278"/>
      <c r="B858" s="279"/>
      <c r="GG858" s="276" t="s">
        <v>955</v>
      </c>
      <c r="GH858" s="276" t="s">
        <v>955</v>
      </c>
      <c r="GI858" s="276" t="s">
        <v>955</v>
      </c>
      <c r="GJ858" s="276" t="s">
        <v>955</v>
      </c>
      <c r="GK858" s="276" t="s">
        <v>955</v>
      </c>
      <c r="GL858" s="276" t="s">
        <v>955</v>
      </c>
      <c r="GM858" s="276" t="s">
        <v>955</v>
      </c>
      <c r="GN858" s="276" t="s">
        <v>955</v>
      </c>
      <c r="GO858" s="276" t="s">
        <v>955</v>
      </c>
      <c r="GP858" s="276" t="s">
        <v>955</v>
      </c>
      <c r="GQ858" s="276" t="s">
        <v>955</v>
      </c>
      <c r="GR858" s="276" t="s">
        <v>955</v>
      </c>
      <c r="GS858" s="276" t="s">
        <v>955</v>
      </c>
      <c r="GT858" s="276" t="s">
        <v>955</v>
      </c>
      <c r="GU858" s="276" t="s">
        <v>955</v>
      </c>
      <c r="GV858" s="276" t="s">
        <v>955</v>
      </c>
    </row>
    <row r="859" spans="1:204" x14ac:dyDescent="0.2">
      <c r="A859" s="278"/>
      <c r="B859" s="279"/>
      <c r="GG859" s="276" t="s">
        <v>955</v>
      </c>
      <c r="GH859" s="276" t="s">
        <v>955</v>
      </c>
      <c r="GI859" s="276" t="s">
        <v>955</v>
      </c>
      <c r="GJ859" s="276" t="s">
        <v>955</v>
      </c>
      <c r="GK859" s="276" t="s">
        <v>955</v>
      </c>
      <c r="GL859" s="276" t="s">
        <v>955</v>
      </c>
      <c r="GM859" s="276" t="s">
        <v>955</v>
      </c>
      <c r="GN859" s="276" t="s">
        <v>955</v>
      </c>
      <c r="GO859" s="276" t="s">
        <v>955</v>
      </c>
      <c r="GP859" s="276" t="s">
        <v>955</v>
      </c>
      <c r="GQ859" s="276" t="s">
        <v>955</v>
      </c>
      <c r="GR859" s="276" t="s">
        <v>955</v>
      </c>
      <c r="GS859" s="276" t="s">
        <v>955</v>
      </c>
      <c r="GT859" s="276" t="s">
        <v>955</v>
      </c>
      <c r="GU859" s="276" t="s">
        <v>955</v>
      </c>
      <c r="GV859" s="276" t="s">
        <v>955</v>
      </c>
    </row>
    <row r="860" spans="1:204" x14ac:dyDescent="0.2">
      <c r="A860" s="278"/>
      <c r="B860" s="279"/>
      <c r="GG860" s="276" t="s">
        <v>955</v>
      </c>
      <c r="GH860" s="276" t="s">
        <v>955</v>
      </c>
      <c r="GI860" s="276" t="s">
        <v>955</v>
      </c>
      <c r="GJ860" s="276" t="s">
        <v>955</v>
      </c>
      <c r="GK860" s="276" t="s">
        <v>955</v>
      </c>
      <c r="GL860" s="276" t="s">
        <v>955</v>
      </c>
      <c r="GM860" s="276" t="s">
        <v>955</v>
      </c>
      <c r="GN860" s="276" t="s">
        <v>955</v>
      </c>
      <c r="GO860" s="276" t="s">
        <v>955</v>
      </c>
      <c r="GP860" s="276" t="s">
        <v>955</v>
      </c>
      <c r="GQ860" s="276" t="s">
        <v>955</v>
      </c>
      <c r="GR860" s="276" t="s">
        <v>955</v>
      </c>
      <c r="GS860" s="276" t="s">
        <v>955</v>
      </c>
      <c r="GT860" s="276" t="s">
        <v>955</v>
      </c>
      <c r="GU860" s="276" t="s">
        <v>955</v>
      </c>
      <c r="GV860" s="276" t="s">
        <v>955</v>
      </c>
    </row>
    <row r="861" spans="1:204" x14ac:dyDescent="0.2">
      <c r="A861" s="278"/>
      <c r="B861" s="279"/>
      <c r="GG861" s="276" t="s">
        <v>955</v>
      </c>
      <c r="GH861" s="276" t="s">
        <v>955</v>
      </c>
      <c r="GI861" s="276" t="s">
        <v>955</v>
      </c>
      <c r="GJ861" s="276" t="s">
        <v>955</v>
      </c>
      <c r="GK861" s="276" t="s">
        <v>955</v>
      </c>
      <c r="GL861" s="276" t="s">
        <v>955</v>
      </c>
      <c r="GM861" s="276" t="s">
        <v>955</v>
      </c>
      <c r="GN861" s="276" t="s">
        <v>955</v>
      </c>
      <c r="GO861" s="276" t="s">
        <v>955</v>
      </c>
      <c r="GP861" s="276" t="s">
        <v>955</v>
      </c>
      <c r="GQ861" s="276" t="s">
        <v>955</v>
      </c>
      <c r="GR861" s="276" t="s">
        <v>955</v>
      </c>
      <c r="GS861" s="276" t="s">
        <v>955</v>
      </c>
      <c r="GT861" s="276" t="s">
        <v>955</v>
      </c>
      <c r="GU861" s="276" t="s">
        <v>955</v>
      </c>
      <c r="GV861" s="276" t="s">
        <v>955</v>
      </c>
    </row>
    <row r="862" spans="1:204" x14ac:dyDescent="0.2">
      <c r="A862" s="278"/>
      <c r="B862" s="279"/>
      <c r="GG862" s="276" t="s">
        <v>955</v>
      </c>
      <c r="GH862" s="276" t="s">
        <v>955</v>
      </c>
      <c r="GI862" s="276" t="s">
        <v>955</v>
      </c>
      <c r="GJ862" s="276" t="s">
        <v>955</v>
      </c>
      <c r="GK862" s="276" t="s">
        <v>955</v>
      </c>
      <c r="GL862" s="276" t="s">
        <v>955</v>
      </c>
      <c r="GM862" s="276" t="s">
        <v>955</v>
      </c>
      <c r="GN862" s="276" t="s">
        <v>955</v>
      </c>
      <c r="GO862" s="276" t="s">
        <v>955</v>
      </c>
      <c r="GP862" s="276" t="s">
        <v>955</v>
      </c>
      <c r="GQ862" s="276" t="s">
        <v>955</v>
      </c>
      <c r="GR862" s="276" t="s">
        <v>955</v>
      </c>
      <c r="GS862" s="276" t="s">
        <v>955</v>
      </c>
      <c r="GT862" s="276" t="s">
        <v>955</v>
      </c>
      <c r="GU862" s="276" t="s">
        <v>955</v>
      </c>
      <c r="GV862" s="276" t="s">
        <v>955</v>
      </c>
    </row>
    <row r="863" spans="1:204" x14ac:dyDescent="0.2">
      <c r="A863" s="278"/>
      <c r="B863" s="279"/>
      <c r="GG863" s="276" t="s">
        <v>955</v>
      </c>
      <c r="GH863" s="276" t="s">
        <v>955</v>
      </c>
      <c r="GI863" s="276" t="s">
        <v>955</v>
      </c>
      <c r="GJ863" s="276" t="s">
        <v>955</v>
      </c>
      <c r="GK863" s="276" t="s">
        <v>955</v>
      </c>
      <c r="GL863" s="276" t="s">
        <v>955</v>
      </c>
      <c r="GM863" s="276" t="s">
        <v>955</v>
      </c>
      <c r="GN863" s="276" t="s">
        <v>955</v>
      </c>
      <c r="GO863" s="276" t="s">
        <v>955</v>
      </c>
      <c r="GP863" s="276" t="s">
        <v>955</v>
      </c>
      <c r="GQ863" s="276" t="s">
        <v>955</v>
      </c>
      <c r="GR863" s="276" t="s">
        <v>955</v>
      </c>
      <c r="GS863" s="276" t="s">
        <v>955</v>
      </c>
      <c r="GT863" s="276" t="s">
        <v>955</v>
      </c>
      <c r="GU863" s="276" t="s">
        <v>955</v>
      </c>
      <c r="GV863" s="276" t="s">
        <v>955</v>
      </c>
    </row>
    <row r="864" spans="1:204" x14ac:dyDescent="0.2">
      <c r="A864" s="278"/>
      <c r="B864" s="279"/>
      <c r="EM864" s="277"/>
      <c r="GG864" s="276" t="s">
        <v>955</v>
      </c>
      <c r="GH864" s="276" t="s">
        <v>955</v>
      </c>
      <c r="GI864" s="276" t="s">
        <v>955</v>
      </c>
      <c r="GJ864" s="276" t="s">
        <v>955</v>
      </c>
      <c r="GK864" s="276" t="s">
        <v>955</v>
      </c>
      <c r="GL864" s="276" t="s">
        <v>955</v>
      </c>
      <c r="GM864" s="276" t="s">
        <v>955</v>
      </c>
      <c r="GN864" s="276" t="s">
        <v>955</v>
      </c>
      <c r="GO864" s="276" t="s">
        <v>955</v>
      </c>
      <c r="GP864" s="276" t="s">
        <v>955</v>
      </c>
      <c r="GQ864" s="276" t="s">
        <v>955</v>
      </c>
      <c r="GR864" s="276" t="s">
        <v>955</v>
      </c>
      <c r="GS864" s="276" t="s">
        <v>955</v>
      </c>
      <c r="GT864" s="276" t="s">
        <v>955</v>
      </c>
      <c r="GU864" s="276" t="s">
        <v>955</v>
      </c>
      <c r="GV864" s="276" t="s">
        <v>955</v>
      </c>
    </row>
    <row r="865" spans="1:204" x14ac:dyDescent="0.2">
      <c r="A865" s="278"/>
      <c r="B865" s="279"/>
      <c r="EM865" s="277"/>
      <c r="GG865" s="276" t="s">
        <v>955</v>
      </c>
      <c r="GH865" s="276" t="s">
        <v>955</v>
      </c>
      <c r="GI865" s="276" t="s">
        <v>955</v>
      </c>
      <c r="GJ865" s="276" t="s">
        <v>955</v>
      </c>
      <c r="GK865" s="276" t="s">
        <v>955</v>
      </c>
      <c r="GL865" s="276" t="s">
        <v>955</v>
      </c>
      <c r="GM865" s="276" t="s">
        <v>955</v>
      </c>
      <c r="GN865" s="276" t="s">
        <v>955</v>
      </c>
      <c r="GO865" s="276" t="s">
        <v>955</v>
      </c>
      <c r="GP865" s="276" t="s">
        <v>955</v>
      </c>
      <c r="GQ865" s="276" t="s">
        <v>955</v>
      </c>
      <c r="GR865" s="276" t="s">
        <v>955</v>
      </c>
      <c r="GS865" s="276" t="s">
        <v>955</v>
      </c>
      <c r="GT865" s="276" t="s">
        <v>955</v>
      </c>
      <c r="GU865" s="276" t="s">
        <v>955</v>
      </c>
      <c r="GV865" s="276" t="s">
        <v>955</v>
      </c>
    </row>
    <row r="866" spans="1:204" x14ac:dyDescent="0.2">
      <c r="A866" s="278"/>
      <c r="B866" s="279"/>
      <c r="EM866" s="277"/>
      <c r="GG866" s="276" t="s">
        <v>955</v>
      </c>
      <c r="GH866" s="276" t="s">
        <v>955</v>
      </c>
      <c r="GI866" s="276" t="s">
        <v>955</v>
      </c>
      <c r="GJ866" s="276" t="s">
        <v>955</v>
      </c>
      <c r="GK866" s="276" t="s">
        <v>955</v>
      </c>
      <c r="GL866" s="276" t="s">
        <v>955</v>
      </c>
      <c r="GM866" s="276" t="s">
        <v>955</v>
      </c>
      <c r="GN866" s="276" t="s">
        <v>955</v>
      </c>
      <c r="GO866" s="276" t="s">
        <v>955</v>
      </c>
      <c r="GP866" s="276" t="s">
        <v>955</v>
      </c>
      <c r="GQ866" s="276" t="s">
        <v>955</v>
      </c>
      <c r="GR866" s="276" t="s">
        <v>955</v>
      </c>
      <c r="GS866" s="276" t="s">
        <v>955</v>
      </c>
      <c r="GT866" s="276" t="s">
        <v>955</v>
      </c>
      <c r="GU866" s="276" t="s">
        <v>955</v>
      </c>
      <c r="GV866" s="276" t="s">
        <v>955</v>
      </c>
    </row>
    <row r="867" spans="1:204" x14ac:dyDescent="0.2">
      <c r="A867" s="278"/>
      <c r="B867" s="279"/>
      <c r="EM867" s="277"/>
      <c r="GG867" s="276" t="s">
        <v>955</v>
      </c>
      <c r="GH867" s="276" t="s">
        <v>955</v>
      </c>
      <c r="GI867" s="276" t="s">
        <v>955</v>
      </c>
      <c r="GJ867" s="276" t="s">
        <v>955</v>
      </c>
      <c r="GK867" s="276" t="s">
        <v>955</v>
      </c>
      <c r="GL867" s="276" t="s">
        <v>955</v>
      </c>
      <c r="GM867" s="276" t="s">
        <v>955</v>
      </c>
      <c r="GN867" s="276" t="s">
        <v>955</v>
      </c>
      <c r="GO867" s="276" t="s">
        <v>955</v>
      </c>
      <c r="GP867" s="276" t="s">
        <v>955</v>
      </c>
      <c r="GQ867" s="276" t="s">
        <v>955</v>
      </c>
      <c r="GR867" s="276" t="s">
        <v>955</v>
      </c>
      <c r="GS867" s="276" t="s">
        <v>955</v>
      </c>
      <c r="GT867" s="276" t="s">
        <v>955</v>
      </c>
      <c r="GU867" s="276" t="s">
        <v>955</v>
      </c>
      <c r="GV867" s="276" t="s">
        <v>955</v>
      </c>
    </row>
    <row r="868" spans="1:204" x14ac:dyDescent="0.2">
      <c r="A868" s="278"/>
      <c r="B868" s="279"/>
      <c r="EM868" s="277"/>
      <c r="GG868" s="276" t="s">
        <v>955</v>
      </c>
      <c r="GH868" s="276" t="s">
        <v>955</v>
      </c>
      <c r="GI868" s="276" t="s">
        <v>955</v>
      </c>
      <c r="GJ868" s="276" t="s">
        <v>955</v>
      </c>
      <c r="GK868" s="276" t="s">
        <v>955</v>
      </c>
      <c r="GL868" s="276" t="s">
        <v>955</v>
      </c>
      <c r="GM868" s="276" t="s">
        <v>955</v>
      </c>
      <c r="GN868" s="276" t="s">
        <v>955</v>
      </c>
      <c r="GO868" s="276" t="s">
        <v>955</v>
      </c>
      <c r="GP868" s="276" t="s">
        <v>955</v>
      </c>
      <c r="GQ868" s="276" t="s">
        <v>955</v>
      </c>
      <c r="GR868" s="276" t="s">
        <v>955</v>
      </c>
      <c r="GS868" s="276" t="s">
        <v>955</v>
      </c>
      <c r="GT868" s="276" t="s">
        <v>955</v>
      </c>
      <c r="GU868" s="276" t="s">
        <v>955</v>
      </c>
      <c r="GV868" s="276" t="s">
        <v>955</v>
      </c>
    </row>
    <row r="869" spans="1:204" x14ac:dyDescent="0.2">
      <c r="A869" s="278"/>
      <c r="B869" s="279"/>
      <c r="EM869" s="277"/>
      <c r="GG869" s="276" t="s">
        <v>955</v>
      </c>
      <c r="GH869" s="276" t="s">
        <v>955</v>
      </c>
      <c r="GI869" s="276" t="s">
        <v>955</v>
      </c>
      <c r="GJ869" s="276" t="s">
        <v>955</v>
      </c>
      <c r="GK869" s="276" t="s">
        <v>955</v>
      </c>
      <c r="GL869" s="276" t="s">
        <v>955</v>
      </c>
      <c r="GM869" s="276" t="s">
        <v>955</v>
      </c>
      <c r="GN869" s="276" t="s">
        <v>955</v>
      </c>
      <c r="GO869" s="276" t="s">
        <v>955</v>
      </c>
      <c r="GP869" s="276" t="s">
        <v>955</v>
      </c>
      <c r="GQ869" s="276" t="s">
        <v>955</v>
      </c>
      <c r="GR869" s="276" t="s">
        <v>955</v>
      </c>
      <c r="GS869" s="276" t="s">
        <v>955</v>
      </c>
      <c r="GT869" s="276" t="s">
        <v>955</v>
      </c>
      <c r="GU869" s="276" t="s">
        <v>955</v>
      </c>
      <c r="GV869" s="276" t="s">
        <v>955</v>
      </c>
    </row>
    <row r="870" spans="1:204" x14ac:dyDescent="0.2">
      <c r="A870" s="278"/>
      <c r="B870" s="279"/>
      <c r="GG870" s="276" t="s">
        <v>955</v>
      </c>
      <c r="GH870" s="276" t="s">
        <v>955</v>
      </c>
      <c r="GI870" s="276" t="s">
        <v>955</v>
      </c>
      <c r="GJ870" s="276" t="s">
        <v>955</v>
      </c>
      <c r="GK870" s="276" t="s">
        <v>955</v>
      </c>
      <c r="GL870" s="276" t="s">
        <v>955</v>
      </c>
      <c r="GM870" s="276" t="s">
        <v>955</v>
      </c>
      <c r="GN870" s="276" t="s">
        <v>955</v>
      </c>
      <c r="GO870" s="276" t="s">
        <v>955</v>
      </c>
      <c r="GP870" s="276" t="s">
        <v>955</v>
      </c>
      <c r="GQ870" s="276" t="s">
        <v>955</v>
      </c>
      <c r="GR870" s="276" t="s">
        <v>955</v>
      </c>
      <c r="GS870" s="276" t="s">
        <v>955</v>
      </c>
      <c r="GT870" s="276" t="s">
        <v>955</v>
      </c>
      <c r="GU870" s="276" t="s">
        <v>955</v>
      </c>
      <c r="GV870" s="276" t="s">
        <v>955</v>
      </c>
    </row>
    <row r="871" spans="1:204" x14ac:dyDescent="0.2">
      <c r="A871" s="278"/>
      <c r="B871" s="279"/>
      <c r="GG871" s="276" t="s">
        <v>955</v>
      </c>
      <c r="GH871" s="276" t="s">
        <v>955</v>
      </c>
      <c r="GI871" s="276" t="s">
        <v>955</v>
      </c>
      <c r="GJ871" s="276" t="s">
        <v>955</v>
      </c>
      <c r="GK871" s="276" t="s">
        <v>955</v>
      </c>
      <c r="GL871" s="276" t="s">
        <v>955</v>
      </c>
      <c r="GM871" s="276" t="s">
        <v>955</v>
      </c>
      <c r="GN871" s="276" t="s">
        <v>955</v>
      </c>
      <c r="GO871" s="276" t="s">
        <v>955</v>
      </c>
      <c r="GP871" s="276" t="s">
        <v>955</v>
      </c>
      <c r="GQ871" s="276" t="s">
        <v>955</v>
      </c>
      <c r="GR871" s="276" t="s">
        <v>955</v>
      </c>
      <c r="GS871" s="276" t="s">
        <v>955</v>
      </c>
      <c r="GT871" s="276" t="s">
        <v>955</v>
      </c>
      <c r="GU871" s="276" t="s">
        <v>955</v>
      </c>
      <c r="GV871" s="276" t="s">
        <v>955</v>
      </c>
    </row>
    <row r="872" spans="1:204" x14ac:dyDescent="0.2">
      <c r="A872" s="278"/>
      <c r="B872" s="279"/>
      <c r="GG872" s="276" t="s">
        <v>955</v>
      </c>
      <c r="GH872" s="276" t="s">
        <v>955</v>
      </c>
      <c r="GI872" s="276" t="s">
        <v>955</v>
      </c>
      <c r="GJ872" s="276" t="s">
        <v>955</v>
      </c>
      <c r="GK872" s="276" t="s">
        <v>955</v>
      </c>
      <c r="GL872" s="276" t="s">
        <v>955</v>
      </c>
      <c r="GM872" s="276" t="s">
        <v>955</v>
      </c>
      <c r="GN872" s="276" t="s">
        <v>955</v>
      </c>
      <c r="GO872" s="276" t="s">
        <v>955</v>
      </c>
      <c r="GP872" s="276" t="s">
        <v>955</v>
      </c>
      <c r="GQ872" s="276" t="s">
        <v>955</v>
      </c>
      <c r="GR872" s="276" t="s">
        <v>955</v>
      </c>
      <c r="GS872" s="276" t="s">
        <v>955</v>
      </c>
      <c r="GT872" s="276" t="s">
        <v>955</v>
      </c>
      <c r="GU872" s="276" t="s">
        <v>955</v>
      </c>
      <c r="GV872" s="276" t="s">
        <v>955</v>
      </c>
    </row>
    <row r="873" spans="1:204" x14ac:dyDescent="0.2">
      <c r="A873" s="278"/>
      <c r="B873" s="279"/>
      <c r="GG873" s="276" t="s">
        <v>955</v>
      </c>
      <c r="GH873" s="276" t="s">
        <v>955</v>
      </c>
      <c r="GI873" s="276" t="s">
        <v>955</v>
      </c>
      <c r="GJ873" s="276" t="s">
        <v>955</v>
      </c>
      <c r="GK873" s="276" t="s">
        <v>955</v>
      </c>
      <c r="GL873" s="276" t="s">
        <v>955</v>
      </c>
      <c r="GM873" s="276" t="s">
        <v>955</v>
      </c>
      <c r="GN873" s="276" t="s">
        <v>955</v>
      </c>
      <c r="GO873" s="276" t="s">
        <v>955</v>
      </c>
      <c r="GP873" s="276" t="s">
        <v>955</v>
      </c>
      <c r="GQ873" s="276" t="s">
        <v>955</v>
      </c>
      <c r="GR873" s="276" t="s">
        <v>955</v>
      </c>
      <c r="GS873" s="276" t="s">
        <v>955</v>
      </c>
      <c r="GT873" s="276" t="s">
        <v>955</v>
      </c>
      <c r="GU873" s="276" t="s">
        <v>955</v>
      </c>
      <c r="GV873" s="276" t="s">
        <v>955</v>
      </c>
    </row>
    <row r="874" spans="1:204" x14ac:dyDescent="0.2">
      <c r="A874" s="278"/>
      <c r="B874" s="279"/>
      <c r="GG874" s="276" t="s">
        <v>955</v>
      </c>
      <c r="GH874" s="276" t="s">
        <v>955</v>
      </c>
      <c r="GI874" s="276" t="s">
        <v>955</v>
      </c>
      <c r="GJ874" s="276" t="s">
        <v>955</v>
      </c>
      <c r="GK874" s="276" t="s">
        <v>955</v>
      </c>
      <c r="GL874" s="276" t="s">
        <v>955</v>
      </c>
      <c r="GM874" s="276" t="s">
        <v>955</v>
      </c>
      <c r="GN874" s="276" t="s">
        <v>955</v>
      </c>
      <c r="GO874" s="276" t="s">
        <v>955</v>
      </c>
      <c r="GP874" s="276" t="s">
        <v>955</v>
      </c>
      <c r="GQ874" s="276" t="s">
        <v>955</v>
      </c>
      <c r="GR874" s="276" t="s">
        <v>955</v>
      </c>
      <c r="GS874" s="276" t="s">
        <v>955</v>
      </c>
      <c r="GT874" s="276" t="s">
        <v>955</v>
      </c>
      <c r="GU874" s="276" t="s">
        <v>955</v>
      </c>
      <c r="GV874" s="276" t="s">
        <v>955</v>
      </c>
    </row>
    <row r="875" spans="1:204" x14ac:dyDescent="0.2">
      <c r="A875" s="278"/>
      <c r="B875" s="279"/>
      <c r="GG875" s="276" t="s">
        <v>955</v>
      </c>
      <c r="GH875" s="276" t="s">
        <v>955</v>
      </c>
      <c r="GI875" s="276" t="s">
        <v>955</v>
      </c>
      <c r="GJ875" s="276" t="s">
        <v>955</v>
      </c>
      <c r="GK875" s="276" t="s">
        <v>955</v>
      </c>
      <c r="GL875" s="276" t="s">
        <v>955</v>
      </c>
      <c r="GM875" s="276" t="s">
        <v>955</v>
      </c>
      <c r="GN875" s="276" t="s">
        <v>955</v>
      </c>
      <c r="GO875" s="276" t="s">
        <v>955</v>
      </c>
      <c r="GP875" s="276" t="s">
        <v>955</v>
      </c>
      <c r="GQ875" s="276" t="s">
        <v>955</v>
      </c>
      <c r="GR875" s="276" t="s">
        <v>955</v>
      </c>
      <c r="GS875" s="276" t="s">
        <v>955</v>
      </c>
      <c r="GT875" s="276" t="s">
        <v>955</v>
      </c>
      <c r="GU875" s="276" t="s">
        <v>955</v>
      </c>
      <c r="GV875" s="276" t="s">
        <v>955</v>
      </c>
    </row>
    <row r="876" spans="1:204" x14ac:dyDescent="0.2">
      <c r="A876" s="278"/>
      <c r="B876" s="279"/>
      <c r="GG876" s="276" t="s">
        <v>955</v>
      </c>
      <c r="GH876" s="276" t="s">
        <v>955</v>
      </c>
      <c r="GI876" s="276" t="s">
        <v>955</v>
      </c>
      <c r="GJ876" s="276" t="s">
        <v>955</v>
      </c>
      <c r="GK876" s="276" t="s">
        <v>955</v>
      </c>
      <c r="GL876" s="276" t="s">
        <v>955</v>
      </c>
      <c r="GM876" s="276" t="s">
        <v>955</v>
      </c>
      <c r="GN876" s="276" t="s">
        <v>955</v>
      </c>
      <c r="GO876" s="276" t="s">
        <v>955</v>
      </c>
      <c r="GP876" s="276" t="s">
        <v>955</v>
      </c>
      <c r="GQ876" s="276" t="s">
        <v>955</v>
      </c>
      <c r="GR876" s="276" t="s">
        <v>955</v>
      </c>
      <c r="GS876" s="276" t="s">
        <v>955</v>
      </c>
      <c r="GT876" s="276" t="s">
        <v>955</v>
      </c>
      <c r="GU876" s="276" t="s">
        <v>955</v>
      </c>
      <c r="GV876" s="276" t="s">
        <v>955</v>
      </c>
    </row>
    <row r="877" spans="1:204" x14ac:dyDescent="0.2">
      <c r="A877" s="278"/>
      <c r="B877" s="279"/>
      <c r="EM877" s="312"/>
      <c r="FA877" s="298"/>
      <c r="GG877" s="276" t="s">
        <v>955</v>
      </c>
      <c r="GH877" s="276" t="s">
        <v>955</v>
      </c>
      <c r="GI877" s="276" t="s">
        <v>955</v>
      </c>
      <c r="GJ877" s="276" t="s">
        <v>955</v>
      </c>
      <c r="GK877" s="276" t="s">
        <v>955</v>
      </c>
      <c r="GL877" s="276" t="s">
        <v>955</v>
      </c>
      <c r="GM877" s="276" t="s">
        <v>955</v>
      </c>
      <c r="GN877" s="276" t="s">
        <v>955</v>
      </c>
      <c r="GO877" s="276" t="s">
        <v>955</v>
      </c>
      <c r="GP877" s="276" t="s">
        <v>955</v>
      </c>
      <c r="GQ877" s="276" t="s">
        <v>955</v>
      </c>
      <c r="GR877" s="276" t="s">
        <v>955</v>
      </c>
      <c r="GS877" s="276" t="s">
        <v>955</v>
      </c>
      <c r="GT877" s="276" t="s">
        <v>955</v>
      </c>
      <c r="GU877" s="276" t="s">
        <v>955</v>
      </c>
      <c r="GV877" s="276" t="s">
        <v>955</v>
      </c>
    </row>
    <row r="878" spans="1:204" x14ac:dyDescent="0.2">
      <c r="A878" s="278"/>
      <c r="B878" s="279"/>
      <c r="EM878" s="312"/>
      <c r="FA878" s="298"/>
      <c r="GG878" s="276" t="s">
        <v>955</v>
      </c>
      <c r="GH878" s="276" t="s">
        <v>955</v>
      </c>
      <c r="GI878" s="276" t="s">
        <v>955</v>
      </c>
      <c r="GJ878" s="276" t="s">
        <v>955</v>
      </c>
      <c r="GK878" s="276" t="s">
        <v>955</v>
      </c>
      <c r="GL878" s="276" t="s">
        <v>955</v>
      </c>
      <c r="GM878" s="276" t="s">
        <v>955</v>
      </c>
      <c r="GN878" s="276" t="s">
        <v>955</v>
      </c>
      <c r="GO878" s="276" t="s">
        <v>955</v>
      </c>
      <c r="GP878" s="276" t="s">
        <v>955</v>
      </c>
      <c r="GQ878" s="276" t="s">
        <v>955</v>
      </c>
      <c r="GR878" s="276" t="s">
        <v>955</v>
      </c>
      <c r="GS878" s="276" t="s">
        <v>955</v>
      </c>
      <c r="GT878" s="276" t="s">
        <v>955</v>
      </c>
      <c r="GU878" s="276" t="s">
        <v>955</v>
      </c>
      <c r="GV878" s="276" t="s">
        <v>955</v>
      </c>
    </row>
    <row r="879" spans="1:204" x14ac:dyDescent="0.2">
      <c r="A879" s="278"/>
      <c r="B879" s="279"/>
      <c r="EM879" s="312"/>
      <c r="FA879" s="298"/>
      <c r="GG879" s="276" t="s">
        <v>955</v>
      </c>
      <c r="GH879" s="276" t="s">
        <v>955</v>
      </c>
      <c r="GI879" s="276" t="s">
        <v>955</v>
      </c>
      <c r="GJ879" s="276" t="s">
        <v>955</v>
      </c>
      <c r="GK879" s="276" t="s">
        <v>955</v>
      </c>
      <c r="GL879" s="276" t="s">
        <v>955</v>
      </c>
      <c r="GM879" s="276" t="s">
        <v>955</v>
      </c>
      <c r="GN879" s="276" t="s">
        <v>955</v>
      </c>
      <c r="GO879" s="276" t="s">
        <v>955</v>
      </c>
      <c r="GP879" s="276" t="s">
        <v>955</v>
      </c>
      <c r="GQ879" s="276" t="s">
        <v>955</v>
      </c>
      <c r="GR879" s="276" t="s">
        <v>955</v>
      </c>
      <c r="GS879" s="276" t="s">
        <v>955</v>
      </c>
      <c r="GT879" s="276" t="s">
        <v>955</v>
      </c>
      <c r="GU879" s="276" t="s">
        <v>955</v>
      </c>
      <c r="GV879" s="276" t="s">
        <v>955</v>
      </c>
    </row>
    <row r="880" spans="1:204" x14ac:dyDescent="0.2">
      <c r="A880" s="278"/>
      <c r="B880" s="279"/>
      <c r="EM880" s="312"/>
      <c r="FA880" s="298"/>
      <c r="GG880" s="276" t="s">
        <v>955</v>
      </c>
      <c r="GH880" s="276" t="s">
        <v>955</v>
      </c>
      <c r="GI880" s="276" t="s">
        <v>955</v>
      </c>
      <c r="GJ880" s="276" t="s">
        <v>955</v>
      </c>
      <c r="GK880" s="276" t="s">
        <v>955</v>
      </c>
      <c r="GL880" s="276" t="s">
        <v>955</v>
      </c>
      <c r="GM880" s="276" t="s">
        <v>955</v>
      </c>
      <c r="GN880" s="276" t="s">
        <v>955</v>
      </c>
      <c r="GO880" s="276" t="s">
        <v>955</v>
      </c>
      <c r="GP880" s="276" t="s">
        <v>955</v>
      </c>
      <c r="GQ880" s="276" t="s">
        <v>955</v>
      </c>
      <c r="GR880" s="276" t="s">
        <v>955</v>
      </c>
      <c r="GS880" s="276" t="s">
        <v>955</v>
      </c>
      <c r="GT880" s="276" t="s">
        <v>955</v>
      </c>
      <c r="GU880" s="276" t="s">
        <v>955</v>
      </c>
      <c r="GV880" s="276" t="s">
        <v>955</v>
      </c>
    </row>
    <row r="881" spans="1:204" x14ac:dyDescent="0.2">
      <c r="A881" s="278"/>
      <c r="B881" s="279"/>
      <c r="EM881" s="312"/>
      <c r="FA881" s="298"/>
      <c r="GG881" s="276" t="s">
        <v>955</v>
      </c>
      <c r="GH881" s="276" t="s">
        <v>955</v>
      </c>
      <c r="GI881" s="276" t="s">
        <v>955</v>
      </c>
      <c r="GJ881" s="276" t="s">
        <v>955</v>
      </c>
      <c r="GK881" s="276" t="s">
        <v>955</v>
      </c>
      <c r="GL881" s="276" t="s">
        <v>955</v>
      </c>
      <c r="GM881" s="276" t="s">
        <v>955</v>
      </c>
      <c r="GN881" s="276" t="s">
        <v>955</v>
      </c>
      <c r="GO881" s="276" t="s">
        <v>955</v>
      </c>
      <c r="GP881" s="276" t="s">
        <v>955</v>
      </c>
      <c r="GQ881" s="276" t="s">
        <v>955</v>
      </c>
      <c r="GR881" s="276" t="s">
        <v>955</v>
      </c>
      <c r="GS881" s="276" t="s">
        <v>955</v>
      </c>
      <c r="GT881" s="276" t="s">
        <v>955</v>
      </c>
      <c r="GU881" s="276" t="s">
        <v>955</v>
      </c>
      <c r="GV881" s="276" t="s">
        <v>955</v>
      </c>
    </row>
    <row r="882" spans="1:204" x14ac:dyDescent="0.2">
      <c r="A882" s="278"/>
      <c r="B882" s="279"/>
      <c r="EM882" s="312"/>
      <c r="FA882" s="298"/>
      <c r="GG882" s="276" t="s">
        <v>955</v>
      </c>
      <c r="GH882" s="276" t="s">
        <v>955</v>
      </c>
      <c r="GI882" s="276" t="s">
        <v>955</v>
      </c>
      <c r="GJ882" s="276" t="s">
        <v>955</v>
      </c>
      <c r="GK882" s="276" t="s">
        <v>955</v>
      </c>
      <c r="GL882" s="276" t="s">
        <v>955</v>
      </c>
      <c r="GM882" s="276" t="s">
        <v>955</v>
      </c>
      <c r="GN882" s="276" t="s">
        <v>955</v>
      </c>
      <c r="GO882" s="276" t="s">
        <v>955</v>
      </c>
      <c r="GP882" s="276" t="s">
        <v>955</v>
      </c>
      <c r="GQ882" s="276" t="s">
        <v>955</v>
      </c>
      <c r="GR882" s="276" t="s">
        <v>955</v>
      </c>
      <c r="GS882" s="276" t="s">
        <v>955</v>
      </c>
      <c r="GT882" s="276" t="s">
        <v>955</v>
      </c>
      <c r="GU882" s="276" t="s">
        <v>955</v>
      </c>
      <c r="GV882" s="276" t="s">
        <v>955</v>
      </c>
    </row>
    <row r="883" spans="1:204" x14ac:dyDescent="0.2">
      <c r="A883" s="278"/>
      <c r="B883" s="279"/>
      <c r="GG883" s="276" t="s">
        <v>955</v>
      </c>
      <c r="GH883" s="276" t="s">
        <v>955</v>
      </c>
      <c r="GI883" s="276" t="s">
        <v>955</v>
      </c>
      <c r="GJ883" s="276" t="s">
        <v>955</v>
      </c>
      <c r="GK883" s="276" t="s">
        <v>955</v>
      </c>
      <c r="GL883" s="276" t="s">
        <v>955</v>
      </c>
      <c r="GM883" s="276" t="s">
        <v>955</v>
      </c>
      <c r="GN883" s="276" t="s">
        <v>955</v>
      </c>
      <c r="GO883" s="276" t="s">
        <v>955</v>
      </c>
      <c r="GP883" s="276" t="s">
        <v>955</v>
      </c>
      <c r="GQ883" s="276" t="s">
        <v>955</v>
      </c>
      <c r="GR883" s="276" t="s">
        <v>955</v>
      </c>
      <c r="GS883" s="276" t="s">
        <v>955</v>
      </c>
      <c r="GT883" s="276" t="s">
        <v>955</v>
      </c>
      <c r="GU883" s="276" t="s">
        <v>955</v>
      </c>
      <c r="GV883" s="276" t="s">
        <v>955</v>
      </c>
    </row>
    <row r="884" spans="1:204" x14ac:dyDescent="0.2">
      <c r="A884" s="278"/>
      <c r="B884" s="279"/>
      <c r="GG884" s="276" t="s">
        <v>955</v>
      </c>
      <c r="GH884" s="276" t="s">
        <v>955</v>
      </c>
      <c r="GI884" s="276" t="s">
        <v>955</v>
      </c>
      <c r="GJ884" s="276" t="s">
        <v>955</v>
      </c>
      <c r="GK884" s="276" t="s">
        <v>955</v>
      </c>
      <c r="GL884" s="276" t="s">
        <v>955</v>
      </c>
      <c r="GM884" s="276" t="s">
        <v>955</v>
      </c>
      <c r="GN884" s="276" t="s">
        <v>955</v>
      </c>
      <c r="GO884" s="276" t="s">
        <v>955</v>
      </c>
      <c r="GP884" s="276" t="s">
        <v>955</v>
      </c>
      <c r="GQ884" s="276" t="s">
        <v>955</v>
      </c>
      <c r="GR884" s="276" t="s">
        <v>955</v>
      </c>
      <c r="GS884" s="276" t="s">
        <v>955</v>
      </c>
      <c r="GT884" s="276" t="s">
        <v>955</v>
      </c>
      <c r="GU884" s="276" t="s">
        <v>955</v>
      </c>
      <c r="GV884" s="276" t="s">
        <v>955</v>
      </c>
    </row>
    <row r="885" spans="1:204" x14ac:dyDescent="0.2">
      <c r="A885" s="278"/>
      <c r="B885" s="279"/>
      <c r="GG885" s="276" t="s">
        <v>955</v>
      </c>
      <c r="GH885" s="276" t="s">
        <v>955</v>
      </c>
      <c r="GI885" s="276" t="s">
        <v>955</v>
      </c>
      <c r="GJ885" s="276" t="s">
        <v>955</v>
      </c>
      <c r="GK885" s="276" t="s">
        <v>955</v>
      </c>
      <c r="GL885" s="276" t="s">
        <v>955</v>
      </c>
      <c r="GM885" s="276" t="s">
        <v>955</v>
      </c>
      <c r="GN885" s="276" t="s">
        <v>955</v>
      </c>
      <c r="GO885" s="276" t="s">
        <v>955</v>
      </c>
      <c r="GP885" s="276" t="s">
        <v>955</v>
      </c>
      <c r="GQ885" s="276" t="s">
        <v>955</v>
      </c>
      <c r="GR885" s="276" t="s">
        <v>955</v>
      </c>
      <c r="GS885" s="276" t="s">
        <v>955</v>
      </c>
      <c r="GT885" s="276" t="s">
        <v>955</v>
      </c>
      <c r="GU885" s="276" t="s">
        <v>955</v>
      </c>
      <c r="GV885" s="276" t="s">
        <v>955</v>
      </c>
    </row>
    <row r="886" spans="1:204" x14ac:dyDescent="0.2">
      <c r="A886" s="278"/>
      <c r="B886" s="279"/>
      <c r="GG886" s="276" t="s">
        <v>955</v>
      </c>
      <c r="GH886" s="276" t="s">
        <v>955</v>
      </c>
      <c r="GI886" s="276" t="s">
        <v>955</v>
      </c>
      <c r="GJ886" s="276" t="s">
        <v>955</v>
      </c>
      <c r="GK886" s="276" t="s">
        <v>955</v>
      </c>
      <c r="GL886" s="276" t="s">
        <v>955</v>
      </c>
      <c r="GM886" s="276" t="s">
        <v>955</v>
      </c>
      <c r="GN886" s="276" t="s">
        <v>955</v>
      </c>
      <c r="GO886" s="276" t="s">
        <v>955</v>
      </c>
      <c r="GP886" s="276" t="s">
        <v>955</v>
      </c>
      <c r="GQ886" s="276" t="s">
        <v>955</v>
      </c>
      <c r="GR886" s="276" t="s">
        <v>955</v>
      </c>
      <c r="GS886" s="276" t="s">
        <v>955</v>
      </c>
      <c r="GT886" s="276" t="s">
        <v>955</v>
      </c>
      <c r="GU886" s="276" t="s">
        <v>955</v>
      </c>
      <c r="GV886" s="276" t="s">
        <v>955</v>
      </c>
    </row>
    <row r="887" spans="1:204" x14ac:dyDescent="0.2">
      <c r="A887" s="278"/>
      <c r="B887" s="279"/>
      <c r="GG887" s="276" t="s">
        <v>955</v>
      </c>
      <c r="GH887" s="276" t="s">
        <v>955</v>
      </c>
      <c r="GI887" s="276" t="s">
        <v>955</v>
      </c>
      <c r="GJ887" s="276" t="s">
        <v>955</v>
      </c>
      <c r="GK887" s="276" t="s">
        <v>955</v>
      </c>
      <c r="GL887" s="276" t="s">
        <v>955</v>
      </c>
      <c r="GM887" s="276" t="s">
        <v>955</v>
      </c>
      <c r="GN887" s="276" t="s">
        <v>955</v>
      </c>
      <c r="GO887" s="276" t="s">
        <v>955</v>
      </c>
      <c r="GP887" s="276" t="s">
        <v>955</v>
      </c>
      <c r="GQ887" s="276" t="s">
        <v>955</v>
      </c>
      <c r="GR887" s="276" t="s">
        <v>955</v>
      </c>
      <c r="GS887" s="276" t="s">
        <v>955</v>
      </c>
      <c r="GT887" s="276" t="s">
        <v>955</v>
      </c>
      <c r="GU887" s="276" t="s">
        <v>955</v>
      </c>
      <c r="GV887" s="276" t="s">
        <v>955</v>
      </c>
    </row>
    <row r="888" spans="1:204" x14ac:dyDescent="0.2">
      <c r="A888" s="278"/>
      <c r="B888" s="279"/>
      <c r="GG888" s="276" t="s">
        <v>955</v>
      </c>
      <c r="GH888" s="276" t="s">
        <v>955</v>
      </c>
      <c r="GI888" s="276" t="s">
        <v>955</v>
      </c>
      <c r="GJ888" s="276" t="s">
        <v>955</v>
      </c>
      <c r="GK888" s="276" t="s">
        <v>955</v>
      </c>
      <c r="GL888" s="276" t="s">
        <v>955</v>
      </c>
      <c r="GM888" s="276" t="s">
        <v>955</v>
      </c>
      <c r="GN888" s="276" t="s">
        <v>955</v>
      </c>
      <c r="GO888" s="276" t="s">
        <v>955</v>
      </c>
      <c r="GP888" s="276" t="s">
        <v>955</v>
      </c>
      <c r="GQ888" s="276" t="s">
        <v>955</v>
      </c>
      <c r="GR888" s="276" t="s">
        <v>955</v>
      </c>
      <c r="GS888" s="276" t="s">
        <v>955</v>
      </c>
      <c r="GT888" s="276" t="s">
        <v>955</v>
      </c>
      <c r="GU888" s="276" t="s">
        <v>955</v>
      </c>
      <c r="GV888" s="276" t="s">
        <v>955</v>
      </c>
    </row>
    <row r="889" spans="1:204" x14ac:dyDescent="0.2">
      <c r="A889" s="278"/>
      <c r="B889" s="279"/>
      <c r="GG889" s="276" t="s">
        <v>955</v>
      </c>
      <c r="GH889" s="276" t="s">
        <v>955</v>
      </c>
      <c r="GI889" s="276" t="s">
        <v>955</v>
      </c>
      <c r="GJ889" s="276" t="s">
        <v>955</v>
      </c>
      <c r="GK889" s="276" t="s">
        <v>955</v>
      </c>
      <c r="GL889" s="276" t="s">
        <v>955</v>
      </c>
      <c r="GM889" s="276" t="s">
        <v>955</v>
      </c>
      <c r="GN889" s="276" t="s">
        <v>955</v>
      </c>
      <c r="GO889" s="276" t="s">
        <v>955</v>
      </c>
      <c r="GP889" s="276" t="s">
        <v>955</v>
      </c>
      <c r="GQ889" s="276" t="s">
        <v>955</v>
      </c>
      <c r="GR889" s="276" t="s">
        <v>955</v>
      </c>
      <c r="GS889" s="276" t="s">
        <v>955</v>
      </c>
      <c r="GT889" s="276" t="s">
        <v>955</v>
      </c>
      <c r="GU889" s="276" t="s">
        <v>955</v>
      </c>
      <c r="GV889" s="276" t="s">
        <v>955</v>
      </c>
    </row>
    <row r="890" spans="1:204" x14ac:dyDescent="0.2">
      <c r="A890" s="278"/>
      <c r="B890" s="279"/>
      <c r="ET890" s="277"/>
      <c r="FA890" s="331"/>
      <c r="GG890" s="276" t="s">
        <v>955</v>
      </c>
      <c r="GH890" s="276" t="s">
        <v>955</v>
      </c>
      <c r="GI890" s="276" t="s">
        <v>955</v>
      </c>
      <c r="GJ890" s="276" t="s">
        <v>955</v>
      </c>
      <c r="GK890" s="276" t="s">
        <v>955</v>
      </c>
      <c r="GL890" s="276" t="s">
        <v>955</v>
      </c>
      <c r="GM890" s="276" t="s">
        <v>955</v>
      </c>
      <c r="GN890" s="276" t="s">
        <v>955</v>
      </c>
      <c r="GO890" s="276" t="s">
        <v>955</v>
      </c>
      <c r="GP890" s="276" t="s">
        <v>955</v>
      </c>
      <c r="GQ890" s="276" t="s">
        <v>955</v>
      </c>
      <c r="GR890" s="276" t="s">
        <v>955</v>
      </c>
      <c r="GS890" s="276" t="s">
        <v>955</v>
      </c>
      <c r="GT890" s="276" t="s">
        <v>955</v>
      </c>
      <c r="GU890" s="276" t="s">
        <v>955</v>
      </c>
      <c r="GV890" s="276" t="s">
        <v>955</v>
      </c>
    </row>
    <row r="891" spans="1:204" x14ac:dyDescent="0.2">
      <c r="A891" s="278"/>
      <c r="B891" s="279"/>
      <c r="ET891" s="277"/>
      <c r="FA891" s="331"/>
      <c r="GG891" s="276" t="s">
        <v>955</v>
      </c>
      <c r="GH891" s="276" t="s">
        <v>955</v>
      </c>
      <c r="GI891" s="276" t="s">
        <v>955</v>
      </c>
      <c r="GJ891" s="276" t="s">
        <v>955</v>
      </c>
      <c r="GK891" s="276" t="s">
        <v>955</v>
      </c>
      <c r="GL891" s="276" t="s">
        <v>955</v>
      </c>
      <c r="GM891" s="276" t="s">
        <v>955</v>
      </c>
      <c r="GN891" s="276" t="s">
        <v>955</v>
      </c>
      <c r="GO891" s="276" t="s">
        <v>955</v>
      </c>
      <c r="GP891" s="276" t="s">
        <v>955</v>
      </c>
      <c r="GQ891" s="276" t="s">
        <v>955</v>
      </c>
      <c r="GR891" s="276" t="s">
        <v>955</v>
      </c>
      <c r="GS891" s="276" t="s">
        <v>955</v>
      </c>
      <c r="GT891" s="276" t="s">
        <v>955</v>
      </c>
      <c r="GU891" s="276" t="s">
        <v>955</v>
      </c>
      <c r="GV891" s="276" t="s">
        <v>955</v>
      </c>
    </row>
    <row r="892" spans="1:204" x14ac:dyDescent="0.2">
      <c r="A892" s="278"/>
      <c r="B892" s="279"/>
      <c r="ET892" s="277"/>
      <c r="FA892" s="331"/>
      <c r="GG892" s="276" t="s">
        <v>955</v>
      </c>
      <c r="GH892" s="276" t="s">
        <v>955</v>
      </c>
      <c r="GI892" s="276" t="s">
        <v>955</v>
      </c>
      <c r="GJ892" s="276" t="s">
        <v>955</v>
      </c>
      <c r="GK892" s="276" t="s">
        <v>955</v>
      </c>
      <c r="GL892" s="276" t="s">
        <v>955</v>
      </c>
      <c r="GM892" s="276" t="s">
        <v>955</v>
      </c>
      <c r="GN892" s="276" t="s">
        <v>955</v>
      </c>
      <c r="GO892" s="276" t="s">
        <v>955</v>
      </c>
      <c r="GP892" s="276" t="s">
        <v>955</v>
      </c>
      <c r="GQ892" s="276" t="s">
        <v>955</v>
      </c>
      <c r="GR892" s="276" t="s">
        <v>955</v>
      </c>
      <c r="GS892" s="276" t="s">
        <v>955</v>
      </c>
      <c r="GT892" s="276" t="s">
        <v>955</v>
      </c>
      <c r="GU892" s="276" t="s">
        <v>955</v>
      </c>
      <c r="GV892" s="276" t="s">
        <v>955</v>
      </c>
    </row>
    <row r="893" spans="1:204" x14ac:dyDescent="0.2">
      <c r="A893" s="278"/>
      <c r="B893" s="279"/>
      <c r="ET893" s="277"/>
      <c r="FA893" s="331"/>
      <c r="GG893" s="276" t="s">
        <v>955</v>
      </c>
      <c r="GH893" s="276" t="s">
        <v>955</v>
      </c>
      <c r="GI893" s="276" t="s">
        <v>955</v>
      </c>
      <c r="GJ893" s="276" t="s">
        <v>955</v>
      </c>
      <c r="GK893" s="276" t="s">
        <v>955</v>
      </c>
      <c r="GL893" s="276" t="s">
        <v>955</v>
      </c>
      <c r="GM893" s="276" t="s">
        <v>955</v>
      </c>
      <c r="GN893" s="276" t="s">
        <v>955</v>
      </c>
      <c r="GO893" s="276" t="s">
        <v>955</v>
      </c>
      <c r="GP893" s="276" t="s">
        <v>955</v>
      </c>
      <c r="GQ893" s="276" t="s">
        <v>955</v>
      </c>
      <c r="GR893" s="276" t="s">
        <v>955</v>
      </c>
      <c r="GS893" s="276" t="s">
        <v>955</v>
      </c>
      <c r="GT893" s="276" t="s">
        <v>955</v>
      </c>
      <c r="GU893" s="276" t="s">
        <v>955</v>
      </c>
      <c r="GV893" s="276" t="s">
        <v>955</v>
      </c>
    </row>
    <row r="894" spans="1:204" x14ac:dyDescent="0.2">
      <c r="A894" s="278"/>
      <c r="B894" s="279"/>
      <c r="ET894" s="277"/>
      <c r="FA894" s="331"/>
      <c r="GG894" s="276" t="s">
        <v>955</v>
      </c>
      <c r="GH894" s="276" t="s">
        <v>955</v>
      </c>
      <c r="GI894" s="276" t="s">
        <v>955</v>
      </c>
      <c r="GJ894" s="276" t="s">
        <v>955</v>
      </c>
      <c r="GK894" s="276" t="s">
        <v>955</v>
      </c>
      <c r="GL894" s="276" t="s">
        <v>955</v>
      </c>
      <c r="GM894" s="276" t="s">
        <v>955</v>
      </c>
      <c r="GN894" s="276" t="s">
        <v>955</v>
      </c>
      <c r="GO894" s="276" t="s">
        <v>955</v>
      </c>
      <c r="GP894" s="276" t="s">
        <v>955</v>
      </c>
      <c r="GQ894" s="276" t="s">
        <v>955</v>
      </c>
      <c r="GR894" s="276" t="s">
        <v>955</v>
      </c>
      <c r="GS894" s="276" t="s">
        <v>955</v>
      </c>
      <c r="GT894" s="276" t="s">
        <v>955</v>
      </c>
      <c r="GU894" s="276" t="s">
        <v>955</v>
      </c>
      <c r="GV894" s="276" t="s">
        <v>955</v>
      </c>
    </row>
    <row r="895" spans="1:204" x14ac:dyDescent="0.2">
      <c r="A895" s="278"/>
      <c r="B895" s="279"/>
      <c r="ET895" s="277"/>
      <c r="FA895" s="331"/>
      <c r="GG895" s="276" t="s">
        <v>955</v>
      </c>
      <c r="GH895" s="276" t="s">
        <v>955</v>
      </c>
      <c r="GI895" s="276" t="s">
        <v>955</v>
      </c>
      <c r="GJ895" s="276" t="s">
        <v>955</v>
      </c>
      <c r="GK895" s="276" t="s">
        <v>955</v>
      </c>
      <c r="GL895" s="276" t="s">
        <v>955</v>
      </c>
      <c r="GM895" s="276" t="s">
        <v>955</v>
      </c>
      <c r="GN895" s="276" t="s">
        <v>955</v>
      </c>
      <c r="GO895" s="276" t="s">
        <v>955</v>
      </c>
      <c r="GP895" s="276" t="s">
        <v>955</v>
      </c>
      <c r="GQ895" s="276" t="s">
        <v>955</v>
      </c>
      <c r="GR895" s="276" t="s">
        <v>955</v>
      </c>
      <c r="GS895" s="276" t="s">
        <v>955</v>
      </c>
      <c r="GT895" s="276" t="s">
        <v>955</v>
      </c>
      <c r="GU895" s="276" t="s">
        <v>955</v>
      </c>
      <c r="GV895" s="276" t="s">
        <v>955</v>
      </c>
    </row>
    <row r="896" spans="1:204" x14ac:dyDescent="0.2">
      <c r="A896" s="278"/>
      <c r="B896" s="279"/>
      <c r="GG896" s="276" t="s">
        <v>955</v>
      </c>
      <c r="GH896" s="276" t="s">
        <v>955</v>
      </c>
      <c r="GI896" s="276" t="s">
        <v>955</v>
      </c>
      <c r="GJ896" s="276" t="s">
        <v>955</v>
      </c>
      <c r="GK896" s="276" t="s">
        <v>955</v>
      </c>
      <c r="GL896" s="276" t="s">
        <v>955</v>
      </c>
      <c r="GM896" s="276" t="s">
        <v>955</v>
      </c>
      <c r="GN896" s="276" t="s">
        <v>955</v>
      </c>
      <c r="GO896" s="276" t="s">
        <v>955</v>
      </c>
      <c r="GP896" s="276" t="s">
        <v>955</v>
      </c>
      <c r="GQ896" s="276" t="s">
        <v>955</v>
      </c>
      <c r="GR896" s="276" t="s">
        <v>955</v>
      </c>
      <c r="GS896" s="276" t="s">
        <v>955</v>
      </c>
      <c r="GT896" s="276" t="s">
        <v>955</v>
      </c>
      <c r="GU896" s="276" t="s">
        <v>955</v>
      </c>
      <c r="GV896" s="276" t="s">
        <v>955</v>
      </c>
    </row>
    <row r="897" spans="1:204" x14ac:dyDescent="0.2">
      <c r="A897" s="278"/>
      <c r="B897" s="279"/>
      <c r="GG897" s="276" t="s">
        <v>955</v>
      </c>
      <c r="GH897" s="276" t="s">
        <v>955</v>
      </c>
      <c r="GI897" s="276" t="s">
        <v>955</v>
      </c>
      <c r="GJ897" s="276" t="s">
        <v>955</v>
      </c>
      <c r="GK897" s="276" t="s">
        <v>955</v>
      </c>
      <c r="GL897" s="276" t="s">
        <v>955</v>
      </c>
      <c r="GM897" s="276" t="s">
        <v>955</v>
      </c>
      <c r="GN897" s="276" t="s">
        <v>955</v>
      </c>
      <c r="GO897" s="276" t="s">
        <v>955</v>
      </c>
      <c r="GP897" s="276" t="s">
        <v>955</v>
      </c>
      <c r="GQ897" s="276" t="s">
        <v>955</v>
      </c>
      <c r="GR897" s="276" t="s">
        <v>955</v>
      </c>
      <c r="GS897" s="276" t="s">
        <v>955</v>
      </c>
      <c r="GT897" s="276" t="s">
        <v>955</v>
      </c>
      <c r="GU897" s="276" t="s">
        <v>955</v>
      </c>
      <c r="GV897" s="276" t="s">
        <v>955</v>
      </c>
    </row>
    <row r="898" spans="1:204" x14ac:dyDescent="0.2">
      <c r="A898" s="278"/>
      <c r="B898" s="279"/>
      <c r="GG898" s="276" t="s">
        <v>955</v>
      </c>
      <c r="GH898" s="276" t="s">
        <v>955</v>
      </c>
      <c r="GI898" s="276" t="s">
        <v>955</v>
      </c>
      <c r="GJ898" s="276" t="s">
        <v>955</v>
      </c>
      <c r="GK898" s="276" t="s">
        <v>955</v>
      </c>
      <c r="GL898" s="276" t="s">
        <v>955</v>
      </c>
      <c r="GM898" s="276" t="s">
        <v>955</v>
      </c>
      <c r="GN898" s="276" t="s">
        <v>955</v>
      </c>
      <c r="GO898" s="276" t="s">
        <v>955</v>
      </c>
      <c r="GP898" s="276" t="s">
        <v>955</v>
      </c>
      <c r="GQ898" s="276" t="s">
        <v>955</v>
      </c>
      <c r="GR898" s="276" t="s">
        <v>955</v>
      </c>
      <c r="GS898" s="276" t="s">
        <v>955</v>
      </c>
      <c r="GT898" s="276" t="s">
        <v>955</v>
      </c>
      <c r="GU898" s="276" t="s">
        <v>955</v>
      </c>
      <c r="GV898" s="276" t="s">
        <v>955</v>
      </c>
    </row>
    <row r="899" spans="1:204" x14ac:dyDescent="0.2">
      <c r="A899" s="278"/>
      <c r="B899" s="279"/>
      <c r="GG899" s="276" t="s">
        <v>955</v>
      </c>
      <c r="GH899" s="276" t="s">
        <v>955</v>
      </c>
      <c r="GI899" s="276" t="s">
        <v>955</v>
      </c>
      <c r="GJ899" s="276" t="s">
        <v>955</v>
      </c>
      <c r="GK899" s="276" t="s">
        <v>955</v>
      </c>
      <c r="GL899" s="276" t="s">
        <v>955</v>
      </c>
      <c r="GM899" s="276" t="s">
        <v>955</v>
      </c>
      <c r="GN899" s="276" t="s">
        <v>955</v>
      </c>
      <c r="GO899" s="276" t="s">
        <v>955</v>
      </c>
      <c r="GP899" s="276" t="s">
        <v>955</v>
      </c>
      <c r="GQ899" s="276" t="s">
        <v>955</v>
      </c>
      <c r="GR899" s="276" t="s">
        <v>955</v>
      </c>
      <c r="GS899" s="276" t="s">
        <v>955</v>
      </c>
      <c r="GT899" s="276" t="s">
        <v>955</v>
      </c>
      <c r="GU899" s="276" t="s">
        <v>955</v>
      </c>
      <c r="GV899" s="276" t="s">
        <v>955</v>
      </c>
    </row>
    <row r="900" spans="1:204" x14ac:dyDescent="0.2">
      <c r="A900" s="278"/>
      <c r="B900" s="279"/>
      <c r="GG900" s="276" t="s">
        <v>955</v>
      </c>
      <c r="GH900" s="276" t="s">
        <v>955</v>
      </c>
      <c r="GI900" s="276" t="s">
        <v>955</v>
      </c>
      <c r="GJ900" s="276" t="s">
        <v>955</v>
      </c>
      <c r="GK900" s="276" t="s">
        <v>955</v>
      </c>
      <c r="GL900" s="276" t="s">
        <v>955</v>
      </c>
      <c r="GM900" s="276" t="s">
        <v>955</v>
      </c>
      <c r="GN900" s="276" t="s">
        <v>955</v>
      </c>
      <c r="GO900" s="276" t="s">
        <v>955</v>
      </c>
      <c r="GP900" s="276" t="s">
        <v>955</v>
      </c>
      <c r="GQ900" s="276" t="s">
        <v>955</v>
      </c>
      <c r="GR900" s="276" t="s">
        <v>955</v>
      </c>
      <c r="GS900" s="276" t="s">
        <v>955</v>
      </c>
      <c r="GT900" s="276" t="s">
        <v>955</v>
      </c>
      <c r="GU900" s="276" t="s">
        <v>955</v>
      </c>
      <c r="GV900" s="276" t="s">
        <v>955</v>
      </c>
    </row>
    <row r="901" spans="1:204" x14ac:dyDescent="0.2">
      <c r="A901" s="278"/>
      <c r="B901" s="279"/>
      <c r="GG901" s="276" t="s">
        <v>955</v>
      </c>
      <c r="GH901" s="276" t="s">
        <v>955</v>
      </c>
      <c r="GI901" s="276" t="s">
        <v>955</v>
      </c>
      <c r="GJ901" s="276" t="s">
        <v>955</v>
      </c>
      <c r="GK901" s="276" t="s">
        <v>955</v>
      </c>
      <c r="GL901" s="276" t="s">
        <v>955</v>
      </c>
      <c r="GM901" s="276" t="s">
        <v>955</v>
      </c>
      <c r="GN901" s="276" t="s">
        <v>955</v>
      </c>
      <c r="GO901" s="276" t="s">
        <v>955</v>
      </c>
      <c r="GP901" s="276" t="s">
        <v>955</v>
      </c>
      <c r="GQ901" s="276" t="s">
        <v>955</v>
      </c>
      <c r="GR901" s="276" t="s">
        <v>955</v>
      </c>
      <c r="GS901" s="276" t="s">
        <v>955</v>
      </c>
      <c r="GT901" s="276" t="s">
        <v>955</v>
      </c>
      <c r="GU901" s="276" t="s">
        <v>955</v>
      </c>
      <c r="GV901" s="276" t="s">
        <v>955</v>
      </c>
    </row>
    <row r="902" spans="1:204" x14ac:dyDescent="0.2">
      <c r="A902" s="278"/>
      <c r="B902" s="279"/>
      <c r="GG902" s="276" t="s">
        <v>955</v>
      </c>
      <c r="GH902" s="276" t="s">
        <v>955</v>
      </c>
      <c r="GI902" s="276" t="s">
        <v>955</v>
      </c>
      <c r="GJ902" s="276" t="s">
        <v>955</v>
      </c>
      <c r="GK902" s="276" t="s">
        <v>955</v>
      </c>
      <c r="GL902" s="276" t="s">
        <v>955</v>
      </c>
      <c r="GM902" s="276" t="s">
        <v>955</v>
      </c>
      <c r="GN902" s="276" t="s">
        <v>955</v>
      </c>
      <c r="GO902" s="276" t="s">
        <v>955</v>
      </c>
      <c r="GP902" s="276" t="s">
        <v>955</v>
      </c>
      <c r="GQ902" s="276" t="s">
        <v>955</v>
      </c>
      <c r="GR902" s="276" t="s">
        <v>955</v>
      </c>
      <c r="GS902" s="276" t="s">
        <v>955</v>
      </c>
      <c r="GT902" s="276" t="s">
        <v>955</v>
      </c>
      <c r="GU902" s="276" t="s">
        <v>955</v>
      </c>
      <c r="GV902" s="276" t="s">
        <v>955</v>
      </c>
    </row>
    <row r="903" spans="1:204" x14ac:dyDescent="0.2">
      <c r="A903" s="278"/>
      <c r="B903" s="279"/>
      <c r="ET903" s="312"/>
      <c r="GG903" s="276" t="s">
        <v>955</v>
      </c>
      <c r="GH903" s="276" t="s">
        <v>955</v>
      </c>
      <c r="GI903" s="276" t="s">
        <v>955</v>
      </c>
      <c r="GJ903" s="276" t="s">
        <v>955</v>
      </c>
      <c r="GK903" s="276" t="s">
        <v>955</v>
      </c>
      <c r="GL903" s="276" t="s">
        <v>955</v>
      </c>
      <c r="GM903" s="276" t="s">
        <v>955</v>
      </c>
      <c r="GN903" s="276" t="s">
        <v>955</v>
      </c>
      <c r="GO903" s="276" t="s">
        <v>955</v>
      </c>
      <c r="GP903" s="276" t="s">
        <v>955</v>
      </c>
      <c r="GQ903" s="276" t="s">
        <v>955</v>
      </c>
      <c r="GR903" s="276" t="s">
        <v>955</v>
      </c>
      <c r="GS903" s="276" t="s">
        <v>955</v>
      </c>
      <c r="GT903" s="276" t="s">
        <v>955</v>
      </c>
      <c r="GU903" s="276" t="s">
        <v>955</v>
      </c>
      <c r="GV903" s="276" t="s">
        <v>955</v>
      </c>
    </row>
    <row r="904" spans="1:204" x14ac:dyDescent="0.2">
      <c r="A904" s="278"/>
      <c r="ET904" s="312"/>
      <c r="GG904" s="276" t="s">
        <v>955</v>
      </c>
      <c r="GH904" s="276" t="s">
        <v>955</v>
      </c>
      <c r="GI904" s="276" t="s">
        <v>955</v>
      </c>
      <c r="GJ904" s="276" t="s">
        <v>955</v>
      </c>
      <c r="GK904" s="276" t="s">
        <v>955</v>
      </c>
      <c r="GL904" s="276" t="s">
        <v>955</v>
      </c>
      <c r="GM904" s="276" t="s">
        <v>955</v>
      </c>
      <c r="GN904" s="276" t="s">
        <v>955</v>
      </c>
      <c r="GO904" s="276" t="s">
        <v>955</v>
      </c>
      <c r="GP904" s="276" t="s">
        <v>955</v>
      </c>
      <c r="GQ904" s="276" t="s">
        <v>955</v>
      </c>
      <c r="GR904" s="276" t="s">
        <v>955</v>
      </c>
      <c r="GS904" s="276" t="s">
        <v>955</v>
      </c>
      <c r="GT904" s="276" t="s">
        <v>955</v>
      </c>
      <c r="GU904" s="276" t="s">
        <v>955</v>
      </c>
      <c r="GV904" s="276" t="s">
        <v>955</v>
      </c>
    </row>
    <row r="905" spans="1:204" x14ac:dyDescent="0.2">
      <c r="A905" s="278"/>
      <c r="B905" s="279"/>
      <c r="ET905" s="312"/>
      <c r="GG905" s="276" t="s">
        <v>955</v>
      </c>
      <c r="GH905" s="276" t="s">
        <v>955</v>
      </c>
      <c r="GI905" s="276" t="s">
        <v>955</v>
      </c>
      <c r="GJ905" s="276" t="s">
        <v>955</v>
      </c>
      <c r="GK905" s="276" t="s">
        <v>955</v>
      </c>
      <c r="GL905" s="276" t="s">
        <v>955</v>
      </c>
      <c r="GM905" s="276" t="s">
        <v>955</v>
      </c>
      <c r="GN905" s="276" t="s">
        <v>955</v>
      </c>
      <c r="GO905" s="276" t="s">
        <v>955</v>
      </c>
      <c r="GP905" s="276" t="s">
        <v>955</v>
      </c>
      <c r="GQ905" s="276" t="s">
        <v>955</v>
      </c>
      <c r="GR905" s="276" t="s">
        <v>955</v>
      </c>
      <c r="GS905" s="276" t="s">
        <v>955</v>
      </c>
      <c r="GT905" s="276" t="s">
        <v>955</v>
      </c>
      <c r="GU905" s="276" t="s">
        <v>955</v>
      </c>
      <c r="GV905" s="276" t="s">
        <v>955</v>
      </c>
    </row>
    <row r="906" spans="1:204" x14ac:dyDescent="0.2">
      <c r="A906" s="278"/>
      <c r="ET906" s="312"/>
      <c r="GG906" s="276" t="s">
        <v>955</v>
      </c>
      <c r="GH906" s="276" t="s">
        <v>955</v>
      </c>
      <c r="GI906" s="276" t="s">
        <v>955</v>
      </c>
      <c r="GJ906" s="276" t="s">
        <v>955</v>
      </c>
      <c r="GK906" s="276" t="s">
        <v>955</v>
      </c>
      <c r="GL906" s="276" t="s">
        <v>955</v>
      </c>
      <c r="GM906" s="276" t="s">
        <v>955</v>
      </c>
      <c r="GN906" s="276" t="s">
        <v>955</v>
      </c>
      <c r="GO906" s="276" t="s">
        <v>955</v>
      </c>
      <c r="GP906" s="276" t="s">
        <v>955</v>
      </c>
      <c r="GQ906" s="276" t="s">
        <v>955</v>
      </c>
      <c r="GR906" s="276" t="s">
        <v>955</v>
      </c>
      <c r="GS906" s="276" t="s">
        <v>955</v>
      </c>
      <c r="GT906" s="276" t="s">
        <v>955</v>
      </c>
      <c r="GU906" s="276" t="s">
        <v>955</v>
      </c>
      <c r="GV906" s="276" t="s">
        <v>955</v>
      </c>
    </row>
    <row r="907" spans="1:204" x14ac:dyDescent="0.2">
      <c r="A907" s="278"/>
      <c r="ET907" s="312"/>
      <c r="GG907" s="276" t="s">
        <v>955</v>
      </c>
      <c r="GH907" s="276" t="s">
        <v>955</v>
      </c>
      <c r="GI907" s="276" t="s">
        <v>955</v>
      </c>
      <c r="GJ907" s="276" t="s">
        <v>955</v>
      </c>
      <c r="GK907" s="276" t="s">
        <v>955</v>
      </c>
      <c r="GL907" s="276" t="s">
        <v>955</v>
      </c>
      <c r="GM907" s="276" t="s">
        <v>955</v>
      </c>
      <c r="GN907" s="276" t="s">
        <v>955</v>
      </c>
      <c r="GO907" s="276" t="s">
        <v>955</v>
      </c>
      <c r="GP907" s="276" t="s">
        <v>955</v>
      </c>
      <c r="GQ907" s="276" t="s">
        <v>955</v>
      </c>
      <c r="GR907" s="276" t="s">
        <v>955</v>
      </c>
      <c r="GS907" s="276" t="s">
        <v>955</v>
      </c>
      <c r="GT907" s="276" t="s">
        <v>955</v>
      </c>
      <c r="GU907" s="276" t="s">
        <v>955</v>
      </c>
      <c r="GV907" s="276" t="s">
        <v>955</v>
      </c>
    </row>
    <row r="908" spans="1:204" x14ac:dyDescent="0.2">
      <c r="A908" s="278"/>
      <c r="ET908" s="312"/>
      <c r="GG908" s="276" t="s">
        <v>955</v>
      </c>
      <c r="GH908" s="276" t="s">
        <v>955</v>
      </c>
      <c r="GI908" s="276" t="s">
        <v>955</v>
      </c>
      <c r="GJ908" s="276" t="s">
        <v>955</v>
      </c>
      <c r="GK908" s="276" t="s">
        <v>955</v>
      </c>
      <c r="GL908" s="276" t="s">
        <v>955</v>
      </c>
      <c r="GM908" s="276" t="s">
        <v>955</v>
      </c>
      <c r="GN908" s="276" t="s">
        <v>955</v>
      </c>
      <c r="GO908" s="276" t="s">
        <v>955</v>
      </c>
      <c r="GP908" s="276" t="s">
        <v>955</v>
      </c>
      <c r="GQ908" s="276" t="s">
        <v>955</v>
      </c>
      <c r="GR908" s="276" t="s">
        <v>955</v>
      </c>
      <c r="GS908" s="276" t="s">
        <v>955</v>
      </c>
      <c r="GT908" s="276" t="s">
        <v>955</v>
      </c>
      <c r="GU908" s="276" t="s">
        <v>955</v>
      </c>
      <c r="GV908" s="276" t="s">
        <v>955</v>
      </c>
    </row>
    <row r="909" spans="1:204" x14ac:dyDescent="0.2">
      <c r="A909" s="278"/>
      <c r="GG909" s="276" t="s">
        <v>955</v>
      </c>
      <c r="GH909" s="276" t="s">
        <v>955</v>
      </c>
      <c r="GI909" s="276" t="s">
        <v>955</v>
      </c>
      <c r="GJ909" s="276" t="s">
        <v>955</v>
      </c>
      <c r="GK909" s="276" t="s">
        <v>955</v>
      </c>
      <c r="GL909" s="276" t="s">
        <v>955</v>
      </c>
      <c r="GM909" s="276" t="s">
        <v>955</v>
      </c>
      <c r="GN909" s="276" t="s">
        <v>955</v>
      </c>
      <c r="GO909" s="276" t="s">
        <v>955</v>
      </c>
      <c r="GP909" s="276" t="s">
        <v>955</v>
      </c>
      <c r="GQ909" s="276" t="s">
        <v>955</v>
      </c>
      <c r="GR909" s="276" t="s">
        <v>955</v>
      </c>
      <c r="GS909" s="276" t="s">
        <v>955</v>
      </c>
      <c r="GT909" s="276" t="s">
        <v>955</v>
      </c>
      <c r="GU909" s="276" t="s">
        <v>955</v>
      </c>
      <c r="GV909" s="276" t="s">
        <v>955</v>
      </c>
    </row>
    <row r="910" spans="1:204" x14ac:dyDescent="0.2">
      <c r="A910" s="278"/>
      <c r="F910" s="277"/>
      <c r="G910" s="277"/>
      <c r="GG910" s="276" t="s">
        <v>955</v>
      </c>
      <c r="GH910" s="276" t="s">
        <v>955</v>
      </c>
      <c r="GI910" s="276" t="s">
        <v>955</v>
      </c>
      <c r="GJ910" s="276" t="s">
        <v>955</v>
      </c>
      <c r="GK910" s="276" t="s">
        <v>955</v>
      </c>
      <c r="GL910" s="276" t="s">
        <v>955</v>
      </c>
      <c r="GM910" s="276" t="s">
        <v>955</v>
      </c>
      <c r="GN910" s="276" t="s">
        <v>955</v>
      </c>
      <c r="GO910" s="276" t="s">
        <v>955</v>
      </c>
      <c r="GP910" s="276" t="s">
        <v>955</v>
      </c>
      <c r="GQ910" s="276" t="s">
        <v>955</v>
      </c>
      <c r="GR910" s="276" t="s">
        <v>955</v>
      </c>
      <c r="GS910" s="276" t="s">
        <v>955</v>
      </c>
      <c r="GT910" s="276" t="s">
        <v>955</v>
      </c>
      <c r="GU910" s="276" t="s">
        <v>955</v>
      </c>
      <c r="GV910" s="276" t="s">
        <v>955</v>
      </c>
    </row>
    <row r="911" spans="1:204" x14ac:dyDescent="0.2">
      <c r="A911" s="278"/>
      <c r="B911" s="279"/>
      <c r="F911" s="277"/>
      <c r="G911" s="277"/>
      <c r="GG911" s="276" t="s">
        <v>955</v>
      </c>
      <c r="GH911" s="276" t="s">
        <v>955</v>
      </c>
      <c r="GI911" s="276" t="s">
        <v>955</v>
      </c>
      <c r="GJ911" s="276" t="s">
        <v>955</v>
      </c>
      <c r="GK911" s="276" t="s">
        <v>955</v>
      </c>
      <c r="GL911" s="276" t="s">
        <v>955</v>
      </c>
      <c r="GM911" s="276" t="s">
        <v>955</v>
      </c>
      <c r="GN911" s="276" t="s">
        <v>955</v>
      </c>
      <c r="GO911" s="276" t="s">
        <v>955</v>
      </c>
      <c r="GP911" s="276" t="s">
        <v>955</v>
      </c>
      <c r="GQ911" s="276" t="s">
        <v>955</v>
      </c>
      <c r="GR911" s="276" t="s">
        <v>955</v>
      </c>
      <c r="GS911" s="276" t="s">
        <v>955</v>
      </c>
      <c r="GT911" s="276" t="s">
        <v>955</v>
      </c>
      <c r="GU911" s="276" t="s">
        <v>955</v>
      </c>
      <c r="GV911" s="276" t="s">
        <v>955</v>
      </c>
    </row>
    <row r="912" spans="1:204" x14ac:dyDescent="0.2">
      <c r="A912" s="278"/>
      <c r="B912" s="279"/>
      <c r="F912" s="277"/>
      <c r="G912" s="277"/>
      <c r="GG912" s="276" t="s">
        <v>955</v>
      </c>
      <c r="GH912" s="276" t="s">
        <v>955</v>
      </c>
      <c r="GI912" s="276" t="s">
        <v>955</v>
      </c>
      <c r="GJ912" s="276" t="s">
        <v>955</v>
      </c>
      <c r="GK912" s="276" t="s">
        <v>955</v>
      </c>
      <c r="GL912" s="276" t="s">
        <v>955</v>
      </c>
      <c r="GM912" s="276" t="s">
        <v>955</v>
      </c>
      <c r="GN912" s="276" t="s">
        <v>955</v>
      </c>
      <c r="GO912" s="276" t="s">
        <v>955</v>
      </c>
      <c r="GP912" s="276" t="s">
        <v>955</v>
      </c>
      <c r="GQ912" s="276" t="s">
        <v>955</v>
      </c>
      <c r="GR912" s="276" t="s">
        <v>955</v>
      </c>
      <c r="GS912" s="276" t="s">
        <v>955</v>
      </c>
      <c r="GT912" s="276" t="s">
        <v>955</v>
      </c>
      <c r="GU912" s="276" t="s">
        <v>955</v>
      </c>
      <c r="GV912" s="276" t="s">
        <v>955</v>
      </c>
    </row>
    <row r="913" spans="1:204" x14ac:dyDescent="0.2">
      <c r="A913" s="278"/>
      <c r="B913" s="279"/>
      <c r="F913" s="277"/>
      <c r="G913" s="277"/>
      <c r="GG913" s="276" t="s">
        <v>955</v>
      </c>
      <c r="GH913" s="276" t="s">
        <v>955</v>
      </c>
      <c r="GI913" s="276" t="s">
        <v>955</v>
      </c>
      <c r="GJ913" s="276" t="s">
        <v>955</v>
      </c>
      <c r="GK913" s="276" t="s">
        <v>955</v>
      </c>
      <c r="GL913" s="276" t="s">
        <v>955</v>
      </c>
      <c r="GM913" s="276" t="s">
        <v>955</v>
      </c>
      <c r="GN913" s="276" t="s">
        <v>955</v>
      </c>
      <c r="GO913" s="276" t="s">
        <v>955</v>
      </c>
      <c r="GP913" s="276" t="s">
        <v>955</v>
      </c>
      <c r="GQ913" s="276" t="s">
        <v>955</v>
      </c>
      <c r="GR913" s="276" t="s">
        <v>955</v>
      </c>
      <c r="GS913" s="276" t="s">
        <v>955</v>
      </c>
      <c r="GT913" s="276" t="s">
        <v>955</v>
      </c>
      <c r="GU913" s="276" t="s">
        <v>955</v>
      </c>
      <c r="GV913" s="276" t="s">
        <v>955</v>
      </c>
    </row>
    <row r="914" spans="1:204" x14ac:dyDescent="0.2">
      <c r="A914" s="278"/>
      <c r="B914" s="279"/>
      <c r="F914" s="277"/>
      <c r="G914" s="277"/>
      <c r="GG914" s="276" t="s">
        <v>955</v>
      </c>
      <c r="GH914" s="276" t="s">
        <v>955</v>
      </c>
      <c r="GI914" s="276" t="s">
        <v>955</v>
      </c>
      <c r="GJ914" s="276" t="s">
        <v>955</v>
      </c>
      <c r="GK914" s="276" t="s">
        <v>955</v>
      </c>
      <c r="GL914" s="276" t="s">
        <v>955</v>
      </c>
      <c r="GM914" s="276" t="s">
        <v>955</v>
      </c>
      <c r="GN914" s="276" t="s">
        <v>955</v>
      </c>
      <c r="GO914" s="276" t="s">
        <v>955</v>
      </c>
      <c r="GP914" s="276" t="s">
        <v>955</v>
      </c>
      <c r="GQ914" s="276" t="s">
        <v>955</v>
      </c>
      <c r="GR914" s="276" t="s">
        <v>955</v>
      </c>
      <c r="GS914" s="276" t="s">
        <v>955</v>
      </c>
      <c r="GT914" s="276" t="s">
        <v>955</v>
      </c>
      <c r="GU914" s="276" t="s">
        <v>955</v>
      </c>
      <c r="GV914" s="276" t="s">
        <v>955</v>
      </c>
    </row>
    <row r="915" spans="1:204" x14ac:dyDescent="0.2">
      <c r="A915" s="278"/>
      <c r="B915" s="279"/>
      <c r="F915" s="277"/>
      <c r="G915" s="277"/>
      <c r="GG915" s="276" t="s">
        <v>955</v>
      </c>
      <c r="GH915" s="276" t="s">
        <v>955</v>
      </c>
      <c r="GI915" s="276" t="s">
        <v>955</v>
      </c>
      <c r="GJ915" s="276" t="s">
        <v>955</v>
      </c>
      <c r="GK915" s="276" t="s">
        <v>955</v>
      </c>
      <c r="GL915" s="276" t="s">
        <v>955</v>
      </c>
      <c r="GM915" s="276" t="s">
        <v>955</v>
      </c>
      <c r="GN915" s="276" t="s">
        <v>955</v>
      </c>
      <c r="GO915" s="276" t="s">
        <v>955</v>
      </c>
      <c r="GP915" s="276" t="s">
        <v>955</v>
      </c>
      <c r="GQ915" s="276" t="s">
        <v>955</v>
      </c>
      <c r="GR915" s="276" t="s">
        <v>955</v>
      </c>
      <c r="GS915" s="276" t="s">
        <v>955</v>
      </c>
      <c r="GT915" s="276" t="s">
        <v>955</v>
      </c>
      <c r="GU915" s="276" t="s">
        <v>955</v>
      </c>
      <c r="GV915" s="276" t="s">
        <v>955</v>
      </c>
    </row>
    <row r="916" spans="1:204" x14ac:dyDescent="0.2">
      <c r="A916" s="278"/>
      <c r="B916" s="279"/>
      <c r="GG916" s="276" t="s">
        <v>955</v>
      </c>
      <c r="GH916" s="276" t="s">
        <v>955</v>
      </c>
      <c r="GI916" s="276" t="s">
        <v>955</v>
      </c>
      <c r="GJ916" s="276" t="s">
        <v>955</v>
      </c>
      <c r="GK916" s="276" t="s">
        <v>955</v>
      </c>
      <c r="GL916" s="276" t="s">
        <v>955</v>
      </c>
      <c r="GM916" s="276" t="s">
        <v>955</v>
      </c>
      <c r="GN916" s="276" t="s">
        <v>955</v>
      </c>
      <c r="GO916" s="276" t="s">
        <v>955</v>
      </c>
      <c r="GP916" s="276" t="s">
        <v>955</v>
      </c>
      <c r="GQ916" s="276" t="s">
        <v>955</v>
      </c>
      <c r="GR916" s="276" t="s">
        <v>955</v>
      </c>
      <c r="GS916" s="276" t="s">
        <v>955</v>
      </c>
      <c r="GT916" s="276" t="s">
        <v>955</v>
      </c>
      <c r="GU916" s="276" t="s">
        <v>955</v>
      </c>
      <c r="GV916" s="276" t="s">
        <v>955</v>
      </c>
    </row>
    <row r="917" spans="1:204" x14ac:dyDescent="0.2">
      <c r="A917" s="278"/>
      <c r="B917" s="279"/>
      <c r="GG917" s="276" t="s">
        <v>955</v>
      </c>
      <c r="GH917" s="276" t="s">
        <v>955</v>
      </c>
      <c r="GI917" s="276" t="s">
        <v>955</v>
      </c>
      <c r="GJ917" s="276" t="s">
        <v>955</v>
      </c>
      <c r="GK917" s="276" t="s">
        <v>955</v>
      </c>
      <c r="GL917" s="276" t="s">
        <v>955</v>
      </c>
      <c r="GM917" s="276" t="s">
        <v>955</v>
      </c>
      <c r="GN917" s="276" t="s">
        <v>955</v>
      </c>
      <c r="GO917" s="276" t="s">
        <v>955</v>
      </c>
      <c r="GP917" s="276" t="s">
        <v>955</v>
      </c>
      <c r="GQ917" s="276" t="s">
        <v>955</v>
      </c>
      <c r="GR917" s="276" t="s">
        <v>955</v>
      </c>
      <c r="GS917" s="276" t="s">
        <v>955</v>
      </c>
      <c r="GT917" s="276" t="s">
        <v>955</v>
      </c>
      <c r="GU917" s="276" t="s">
        <v>955</v>
      </c>
      <c r="GV917" s="276" t="s">
        <v>955</v>
      </c>
    </row>
    <row r="918" spans="1:204" x14ac:dyDescent="0.2">
      <c r="A918" s="278"/>
      <c r="B918" s="279"/>
      <c r="GG918" s="276" t="s">
        <v>955</v>
      </c>
      <c r="GH918" s="276" t="s">
        <v>955</v>
      </c>
      <c r="GI918" s="276" t="s">
        <v>955</v>
      </c>
      <c r="GJ918" s="276" t="s">
        <v>955</v>
      </c>
      <c r="GK918" s="276" t="s">
        <v>955</v>
      </c>
      <c r="GL918" s="276" t="s">
        <v>955</v>
      </c>
      <c r="GM918" s="276" t="s">
        <v>955</v>
      </c>
      <c r="GN918" s="276" t="s">
        <v>955</v>
      </c>
      <c r="GO918" s="276" t="s">
        <v>955</v>
      </c>
      <c r="GP918" s="276" t="s">
        <v>955</v>
      </c>
      <c r="GQ918" s="276" t="s">
        <v>955</v>
      </c>
      <c r="GR918" s="276" t="s">
        <v>955</v>
      </c>
      <c r="GS918" s="276" t="s">
        <v>955</v>
      </c>
      <c r="GT918" s="276" t="s">
        <v>955</v>
      </c>
      <c r="GU918" s="276" t="s">
        <v>955</v>
      </c>
      <c r="GV918" s="276" t="s">
        <v>955</v>
      </c>
    </row>
    <row r="919" spans="1:204" x14ac:dyDescent="0.2">
      <c r="A919" s="278"/>
      <c r="B919" s="279"/>
      <c r="GG919" s="276" t="s">
        <v>955</v>
      </c>
      <c r="GH919" s="276" t="s">
        <v>955</v>
      </c>
      <c r="GI919" s="276" t="s">
        <v>955</v>
      </c>
      <c r="GJ919" s="276" t="s">
        <v>955</v>
      </c>
      <c r="GK919" s="276" t="s">
        <v>955</v>
      </c>
      <c r="GL919" s="276" t="s">
        <v>955</v>
      </c>
      <c r="GM919" s="276" t="s">
        <v>955</v>
      </c>
      <c r="GN919" s="276" t="s">
        <v>955</v>
      </c>
      <c r="GO919" s="276" t="s">
        <v>955</v>
      </c>
      <c r="GP919" s="276" t="s">
        <v>955</v>
      </c>
      <c r="GQ919" s="276" t="s">
        <v>955</v>
      </c>
      <c r="GR919" s="276" t="s">
        <v>955</v>
      </c>
      <c r="GS919" s="276" t="s">
        <v>955</v>
      </c>
      <c r="GT919" s="276" t="s">
        <v>955</v>
      </c>
      <c r="GU919" s="276" t="s">
        <v>955</v>
      </c>
      <c r="GV919" s="276" t="s">
        <v>955</v>
      </c>
    </row>
    <row r="920" spans="1:204" x14ac:dyDescent="0.2">
      <c r="A920" s="278"/>
      <c r="B920" s="279"/>
      <c r="GG920" s="276" t="s">
        <v>955</v>
      </c>
      <c r="GH920" s="276" t="s">
        <v>955</v>
      </c>
      <c r="GI920" s="276" t="s">
        <v>955</v>
      </c>
      <c r="GJ920" s="276" t="s">
        <v>955</v>
      </c>
      <c r="GK920" s="276" t="s">
        <v>955</v>
      </c>
      <c r="GL920" s="276" t="s">
        <v>955</v>
      </c>
      <c r="GM920" s="276" t="s">
        <v>955</v>
      </c>
      <c r="GN920" s="276" t="s">
        <v>955</v>
      </c>
      <c r="GO920" s="276" t="s">
        <v>955</v>
      </c>
      <c r="GP920" s="276" t="s">
        <v>955</v>
      </c>
      <c r="GQ920" s="276" t="s">
        <v>955</v>
      </c>
      <c r="GR920" s="276" t="s">
        <v>955</v>
      </c>
      <c r="GS920" s="276" t="s">
        <v>955</v>
      </c>
      <c r="GT920" s="276" t="s">
        <v>955</v>
      </c>
      <c r="GU920" s="276" t="s">
        <v>955</v>
      </c>
      <c r="GV920" s="276" t="s">
        <v>955</v>
      </c>
    </row>
    <row r="921" spans="1:204" x14ac:dyDescent="0.2">
      <c r="A921" s="278"/>
      <c r="B921" s="279"/>
      <c r="GG921" s="276" t="s">
        <v>955</v>
      </c>
      <c r="GH921" s="276" t="s">
        <v>955</v>
      </c>
      <c r="GI921" s="276" t="s">
        <v>955</v>
      </c>
      <c r="GJ921" s="276" t="s">
        <v>955</v>
      </c>
      <c r="GK921" s="276" t="s">
        <v>955</v>
      </c>
      <c r="GL921" s="276" t="s">
        <v>955</v>
      </c>
      <c r="GM921" s="276" t="s">
        <v>955</v>
      </c>
      <c r="GN921" s="276" t="s">
        <v>955</v>
      </c>
      <c r="GO921" s="276" t="s">
        <v>955</v>
      </c>
      <c r="GP921" s="276" t="s">
        <v>955</v>
      </c>
      <c r="GQ921" s="276" t="s">
        <v>955</v>
      </c>
      <c r="GR921" s="276" t="s">
        <v>955</v>
      </c>
      <c r="GS921" s="276" t="s">
        <v>955</v>
      </c>
      <c r="GT921" s="276" t="s">
        <v>955</v>
      </c>
      <c r="GU921" s="276" t="s">
        <v>955</v>
      </c>
      <c r="GV921" s="276" t="s">
        <v>955</v>
      </c>
    </row>
    <row r="922" spans="1:204" x14ac:dyDescent="0.2">
      <c r="A922" s="278"/>
      <c r="B922" s="279"/>
      <c r="GG922" s="276" t="s">
        <v>955</v>
      </c>
      <c r="GH922" s="276" t="s">
        <v>955</v>
      </c>
      <c r="GI922" s="276" t="s">
        <v>955</v>
      </c>
      <c r="GJ922" s="276" t="s">
        <v>955</v>
      </c>
      <c r="GK922" s="276" t="s">
        <v>955</v>
      </c>
      <c r="GL922" s="276" t="s">
        <v>955</v>
      </c>
      <c r="GM922" s="276" t="s">
        <v>955</v>
      </c>
      <c r="GN922" s="276" t="s">
        <v>955</v>
      </c>
      <c r="GO922" s="276" t="s">
        <v>955</v>
      </c>
      <c r="GP922" s="276" t="s">
        <v>955</v>
      </c>
      <c r="GQ922" s="276" t="s">
        <v>955</v>
      </c>
      <c r="GR922" s="276" t="s">
        <v>955</v>
      </c>
      <c r="GS922" s="276" t="s">
        <v>955</v>
      </c>
      <c r="GT922" s="276" t="s">
        <v>955</v>
      </c>
      <c r="GU922" s="276" t="s">
        <v>955</v>
      </c>
      <c r="GV922" s="276" t="s">
        <v>955</v>
      </c>
    </row>
    <row r="923" spans="1:204" x14ac:dyDescent="0.2">
      <c r="A923" s="278"/>
      <c r="B923" s="279"/>
      <c r="F923" s="312"/>
      <c r="G923" s="312"/>
      <c r="GG923" s="276" t="s">
        <v>955</v>
      </c>
      <c r="GH923" s="276" t="s">
        <v>955</v>
      </c>
      <c r="GI923" s="276" t="s">
        <v>955</v>
      </c>
      <c r="GJ923" s="276" t="s">
        <v>955</v>
      </c>
      <c r="GK923" s="276" t="s">
        <v>955</v>
      </c>
      <c r="GL923" s="276" t="s">
        <v>955</v>
      </c>
      <c r="GM923" s="276" t="s">
        <v>955</v>
      </c>
      <c r="GN923" s="276" t="s">
        <v>955</v>
      </c>
      <c r="GO923" s="276" t="s">
        <v>955</v>
      </c>
      <c r="GP923" s="276" t="s">
        <v>955</v>
      </c>
      <c r="GQ923" s="276" t="s">
        <v>955</v>
      </c>
      <c r="GR923" s="276" t="s">
        <v>955</v>
      </c>
      <c r="GS923" s="276" t="s">
        <v>955</v>
      </c>
      <c r="GT923" s="276" t="s">
        <v>955</v>
      </c>
      <c r="GU923" s="276" t="s">
        <v>955</v>
      </c>
      <c r="GV923" s="276" t="s">
        <v>955</v>
      </c>
    </row>
    <row r="924" spans="1:204" x14ac:dyDescent="0.2">
      <c r="A924" s="278"/>
      <c r="B924" s="279"/>
      <c r="F924" s="312"/>
      <c r="G924" s="312"/>
      <c r="GG924" s="276" t="s">
        <v>955</v>
      </c>
      <c r="GH924" s="276" t="s">
        <v>955</v>
      </c>
      <c r="GI924" s="276" t="s">
        <v>955</v>
      </c>
      <c r="GJ924" s="276" t="s">
        <v>955</v>
      </c>
      <c r="GK924" s="276" t="s">
        <v>955</v>
      </c>
      <c r="GL924" s="276" t="s">
        <v>955</v>
      </c>
      <c r="GM924" s="276" t="s">
        <v>955</v>
      </c>
      <c r="GN924" s="276" t="s">
        <v>955</v>
      </c>
      <c r="GO924" s="276" t="s">
        <v>955</v>
      </c>
      <c r="GP924" s="276" t="s">
        <v>955</v>
      </c>
      <c r="GQ924" s="276" t="s">
        <v>955</v>
      </c>
      <c r="GR924" s="276" t="s">
        <v>955</v>
      </c>
      <c r="GS924" s="276" t="s">
        <v>955</v>
      </c>
      <c r="GT924" s="276" t="s">
        <v>955</v>
      </c>
      <c r="GU924" s="276" t="s">
        <v>955</v>
      </c>
      <c r="GV924" s="276" t="s">
        <v>955</v>
      </c>
    </row>
    <row r="925" spans="1:204" x14ac:dyDescent="0.2">
      <c r="A925" s="278"/>
      <c r="B925" s="279"/>
      <c r="F925" s="312"/>
      <c r="G925" s="312"/>
      <c r="GG925" s="276" t="s">
        <v>955</v>
      </c>
      <c r="GH925" s="276" t="s">
        <v>955</v>
      </c>
      <c r="GI925" s="276" t="s">
        <v>955</v>
      </c>
      <c r="GJ925" s="276" t="s">
        <v>955</v>
      </c>
      <c r="GK925" s="276" t="s">
        <v>955</v>
      </c>
      <c r="GL925" s="276" t="s">
        <v>955</v>
      </c>
      <c r="GM925" s="276" t="s">
        <v>955</v>
      </c>
      <c r="GN925" s="276" t="s">
        <v>955</v>
      </c>
      <c r="GO925" s="276" t="s">
        <v>955</v>
      </c>
      <c r="GP925" s="276" t="s">
        <v>955</v>
      </c>
      <c r="GQ925" s="276" t="s">
        <v>955</v>
      </c>
      <c r="GR925" s="276" t="s">
        <v>955</v>
      </c>
      <c r="GS925" s="276" t="s">
        <v>955</v>
      </c>
      <c r="GT925" s="276" t="s">
        <v>955</v>
      </c>
      <c r="GU925" s="276" t="s">
        <v>955</v>
      </c>
      <c r="GV925" s="276" t="s">
        <v>955</v>
      </c>
    </row>
    <row r="926" spans="1:204" x14ac:dyDescent="0.2">
      <c r="A926" s="278"/>
      <c r="B926" s="279"/>
      <c r="F926" s="312"/>
      <c r="G926" s="312"/>
      <c r="GG926" s="276" t="s">
        <v>955</v>
      </c>
      <c r="GH926" s="276" t="s">
        <v>955</v>
      </c>
      <c r="GI926" s="276" t="s">
        <v>955</v>
      </c>
      <c r="GJ926" s="276" t="s">
        <v>955</v>
      </c>
      <c r="GK926" s="276" t="s">
        <v>955</v>
      </c>
      <c r="GL926" s="276" t="s">
        <v>955</v>
      </c>
      <c r="GM926" s="276" t="s">
        <v>955</v>
      </c>
      <c r="GN926" s="276" t="s">
        <v>955</v>
      </c>
      <c r="GO926" s="276" t="s">
        <v>955</v>
      </c>
      <c r="GP926" s="276" t="s">
        <v>955</v>
      </c>
      <c r="GQ926" s="276" t="s">
        <v>955</v>
      </c>
      <c r="GR926" s="276" t="s">
        <v>955</v>
      </c>
      <c r="GS926" s="276" t="s">
        <v>955</v>
      </c>
      <c r="GT926" s="276" t="s">
        <v>955</v>
      </c>
      <c r="GU926" s="276" t="s">
        <v>955</v>
      </c>
      <c r="GV926" s="276" t="s">
        <v>955</v>
      </c>
    </row>
    <row r="927" spans="1:204" x14ac:dyDescent="0.2">
      <c r="A927" s="278"/>
      <c r="B927" s="279"/>
      <c r="F927" s="312"/>
      <c r="G927" s="312"/>
      <c r="GG927" s="276" t="s">
        <v>955</v>
      </c>
      <c r="GH927" s="276" t="s">
        <v>955</v>
      </c>
      <c r="GI927" s="276" t="s">
        <v>955</v>
      </c>
      <c r="GJ927" s="276" t="s">
        <v>955</v>
      </c>
      <c r="GK927" s="276" t="s">
        <v>955</v>
      </c>
      <c r="GL927" s="276" t="s">
        <v>955</v>
      </c>
      <c r="GM927" s="276" t="s">
        <v>955</v>
      </c>
      <c r="GN927" s="276" t="s">
        <v>955</v>
      </c>
      <c r="GO927" s="276" t="s">
        <v>955</v>
      </c>
      <c r="GP927" s="276" t="s">
        <v>955</v>
      </c>
      <c r="GQ927" s="276" t="s">
        <v>955</v>
      </c>
      <c r="GR927" s="276" t="s">
        <v>955</v>
      </c>
      <c r="GS927" s="276" t="s">
        <v>955</v>
      </c>
      <c r="GT927" s="276" t="s">
        <v>955</v>
      </c>
      <c r="GU927" s="276" t="s">
        <v>955</v>
      </c>
      <c r="GV927" s="276" t="s">
        <v>955</v>
      </c>
    </row>
    <row r="928" spans="1:204" x14ac:dyDescent="0.2">
      <c r="A928" s="278"/>
      <c r="B928" s="279"/>
      <c r="F928" s="312"/>
      <c r="G928" s="312"/>
      <c r="GG928" s="276" t="s">
        <v>955</v>
      </c>
      <c r="GH928" s="276" t="s">
        <v>955</v>
      </c>
      <c r="GI928" s="276" t="s">
        <v>955</v>
      </c>
      <c r="GJ928" s="276" t="s">
        <v>955</v>
      </c>
      <c r="GK928" s="276" t="s">
        <v>955</v>
      </c>
      <c r="GL928" s="276" t="s">
        <v>955</v>
      </c>
      <c r="GM928" s="276" t="s">
        <v>955</v>
      </c>
      <c r="GN928" s="276" t="s">
        <v>955</v>
      </c>
      <c r="GO928" s="276" t="s">
        <v>955</v>
      </c>
      <c r="GP928" s="276" t="s">
        <v>955</v>
      </c>
      <c r="GQ928" s="276" t="s">
        <v>955</v>
      </c>
      <c r="GR928" s="276" t="s">
        <v>955</v>
      </c>
      <c r="GS928" s="276" t="s">
        <v>955</v>
      </c>
      <c r="GT928" s="276" t="s">
        <v>955</v>
      </c>
      <c r="GU928" s="276" t="s">
        <v>955</v>
      </c>
      <c r="GV928" s="276" t="s">
        <v>955</v>
      </c>
    </row>
    <row r="929" spans="1:204" x14ac:dyDescent="0.2">
      <c r="A929" s="278"/>
      <c r="B929" s="279"/>
      <c r="GG929" s="276" t="s">
        <v>955</v>
      </c>
      <c r="GH929" s="276" t="s">
        <v>955</v>
      </c>
      <c r="GI929" s="276" t="s">
        <v>955</v>
      </c>
      <c r="GJ929" s="276" t="s">
        <v>955</v>
      </c>
      <c r="GK929" s="276" t="s">
        <v>955</v>
      </c>
      <c r="GL929" s="276" t="s">
        <v>955</v>
      </c>
      <c r="GM929" s="276" t="s">
        <v>955</v>
      </c>
      <c r="GN929" s="276" t="s">
        <v>955</v>
      </c>
      <c r="GO929" s="276" t="s">
        <v>955</v>
      </c>
      <c r="GP929" s="276" t="s">
        <v>955</v>
      </c>
      <c r="GQ929" s="276" t="s">
        <v>955</v>
      </c>
      <c r="GR929" s="276" t="s">
        <v>955</v>
      </c>
      <c r="GS929" s="276" t="s">
        <v>955</v>
      </c>
      <c r="GT929" s="276" t="s">
        <v>955</v>
      </c>
      <c r="GU929" s="276" t="s">
        <v>955</v>
      </c>
      <c r="GV929" s="276" t="s">
        <v>955</v>
      </c>
    </row>
    <row r="930" spans="1:204" x14ac:dyDescent="0.2">
      <c r="A930" s="278"/>
      <c r="B930" s="279"/>
      <c r="GG930" s="276" t="s">
        <v>955</v>
      </c>
      <c r="GH930" s="276" t="s">
        <v>955</v>
      </c>
      <c r="GI930" s="276" t="s">
        <v>955</v>
      </c>
      <c r="GJ930" s="276" t="s">
        <v>955</v>
      </c>
      <c r="GK930" s="276" t="s">
        <v>955</v>
      </c>
      <c r="GL930" s="276" t="s">
        <v>955</v>
      </c>
      <c r="GM930" s="276" t="s">
        <v>955</v>
      </c>
      <c r="GN930" s="276" t="s">
        <v>955</v>
      </c>
      <c r="GO930" s="276" t="s">
        <v>955</v>
      </c>
      <c r="GP930" s="276" t="s">
        <v>955</v>
      </c>
      <c r="GQ930" s="276" t="s">
        <v>955</v>
      </c>
      <c r="GR930" s="276" t="s">
        <v>955</v>
      </c>
      <c r="GS930" s="276" t="s">
        <v>955</v>
      </c>
      <c r="GT930" s="276" t="s">
        <v>955</v>
      </c>
      <c r="GU930" s="276" t="s">
        <v>955</v>
      </c>
      <c r="GV930" s="276" t="s">
        <v>955</v>
      </c>
    </row>
    <row r="931" spans="1:204" x14ac:dyDescent="0.2">
      <c r="A931" s="278"/>
      <c r="B931" s="279"/>
      <c r="GG931" s="276" t="s">
        <v>955</v>
      </c>
      <c r="GH931" s="276" t="s">
        <v>955</v>
      </c>
      <c r="GI931" s="276" t="s">
        <v>955</v>
      </c>
      <c r="GJ931" s="276" t="s">
        <v>955</v>
      </c>
      <c r="GK931" s="276" t="s">
        <v>955</v>
      </c>
      <c r="GL931" s="276" t="s">
        <v>955</v>
      </c>
      <c r="GM931" s="276" t="s">
        <v>955</v>
      </c>
      <c r="GN931" s="276" t="s">
        <v>955</v>
      </c>
      <c r="GO931" s="276" t="s">
        <v>955</v>
      </c>
      <c r="GP931" s="276" t="s">
        <v>955</v>
      </c>
      <c r="GQ931" s="276" t="s">
        <v>955</v>
      </c>
      <c r="GR931" s="276" t="s">
        <v>955</v>
      </c>
      <c r="GS931" s="276" t="s">
        <v>955</v>
      </c>
      <c r="GT931" s="276" t="s">
        <v>955</v>
      </c>
      <c r="GU931" s="276" t="s">
        <v>955</v>
      </c>
      <c r="GV931" s="276" t="s">
        <v>955</v>
      </c>
    </row>
    <row r="932" spans="1:204" x14ac:dyDescent="0.2">
      <c r="A932" s="278"/>
      <c r="B932" s="279"/>
      <c r="GG932" s="276" t="s">
        <v>955</v>
      </c>
      <c r="GH932" s="276" t="s">
        <v>955</v>
      </c>
      <c r="GI932" s="276" t="s">
        <v>955</v>
      </c>
      <c r="GJ932" s="276" t="s">
        <v>955</v>
      </c>
      <c r="GK932" s="276" t="s">
        <v>955</v>
      </c>
      <c r="GL932" s="276" t="s">
        <v>955</v>
      </c>
      <c r="GM932" s="276" t="s">
        <v>955</v>
      </c>
      <c r="GN932" s="276" t="s">
        <v>955</v>
      </c>
      <c r="GO932" s="276" t="s">
        <v>955</v>
      </c>
      <c r="GP932" s="276" t="s">
        <v>955</v>
      </c>
      <c r="GQ932" s="276" t="s">
        <v>955</v>
      </c>
      <c r="GR932" s="276" t="s">
        <v>955</v>
      </c>
      <c r="GS932" s="276" t="s">
        <v>955</v>
      </c>
      <c r="GT932" s="276" t="s">
        <v>955</v>
      </c>
      <c r="GU932" s="276" t="s">
        <v>955</v>
      </c>
      <c r="GV932" s="276" t="s">
        <v>955</v>
      </c>
    </row>
    <row r="933" spans="1:204" x14ac:dyDescent="0.2">
      <c r="A933" s="278"/>
      <c r="B933" s="279"/>
      <c r="GG933" s="276" t="s">
        <v>955</v>
      </c>
      <c r="GH933" s="276" t="s">
        <v>955</v>
      </c>
      <c r="GI933" s="276" t="s">
        <v>955</v>
      </c>
      <c r="GJ933" s="276" t="s">
        <v>955</v>
      </c>
      <c r="GK933" s="276" t="s">
        <v>955</v>
      </c>
      <c r="GL933" s="276" t="s">
        <v>955</v>
      </c>
      <c r="GM933" s="276" t="s">
        <v>955</v>
      </c>
      <c r="GN933" s="276" t="s">
        <v>955</v>
      </c>
      <c r="GO933" s="276" t="s">
        <v>955</v>
      </c>
      <c r="GP933" s="276" t="s">
        <v>955</v>
      </c>
      <c r="GQ933" s="276" t="s">
        <v>955</v>
      </c>
      <c r="GR933" s="276" t="s">
        <v>955</v>
      </c>
      <c r="GS933" s="276" t="s">
        <v>955</v>
      </c>
      <c r="GT933" s="276" t="s">
        <v>955</v>
      </c>
      <c r="GU933" s="276" t="s">
        <v>955</v>
      </c>
      <c r="GV933" s="276" t="s">
        <v>955</v>
      </c>
    </row>
    <row r="934" spans="1:204" x14ac:dyDescent="0.2">
      <c r="A934" s="278"/>
      <c r="B934" s="279"/>
      <c r="GG934" s="276" t="s">
        <v>955</v>
      </c>
      <c r="GH934" s="276" t="s">
        <v>955</v>
      </c>
      <c r="GI934" s="276" t="s">
        <v>955</v>
      </c>
      <c r="GJ934" s="276" t="s">
        <v>955</v>
      </c>
      <c r="GK934" s="276" t="s">
        <v>955</v>
      </c>
      <c r="GL934" s="276" t="s">
        <v>955</v>
      </c>
      <c r="GM934" s="276" t="s">
        <v>955</v>
      </c>
      <c r="GN934" s="276" t="s">
        <v>955</v>
      </c>
      <c r="GO934" s="276" t="s">
        <v>955</v>
      </c>
      <c r="GP934" s="276" t="s">
        <v>955</v>
      </c>
      <c r="GQ934" s="276" t="s">
        <v>955</v>
      </c>
      <c r="GR934" s="276" t="s">
        <v>955</v>
      </c>
      <c r="GS934" s="276" t="s">
        <v>955</v>
      </c>
      <c r="GT934" s="276" t="s">
        <v>955</v>
      </c>
      <c r="GU934" s="276" t="s">
        <v>955</v>
      </c>
      <c r="GV934" s="276" t="s">
        <v>955</v>
      </c>
    </row>
    <row r="935" spans="1:204" x14ac:dyDescent="0.2">
      <c r="A935" s="278"/>
      <c r="B935" s="279"/>
      <c r="GG935" s="276" t="s">
        <v>955</v>
      </c>
      <c r="GH935" s="276" t="s">
        <v>955</v>
      </c>
      <c r="GI935" s="276" t="s">
        <v>955</v>
      </c>
      <c r="GJ935" s="276" t="s">
        <v>955</v>
      </c>
      <c r="GK935" s="276" t="s">
        <v>955</v>
      </c>
      <c r="GL935" s="276" t="s">
        <v>955</v>
      </c>
      <c r="GM935" s="276" t="s">
        <v>955</v>
      </c>
      <c r="GN935" s="276" t="s">
        <v>955</v>
      </c>
      <c r="GO935" s="276" t="s">
        <v>955</v>
      </c>
      <c r="GP935" s="276" t="s">
        <v>955</v>
      </c>
      <c r="GQ935" s="276" t="s">
        <v>955</v>
      </c>
      <c r="GR935" s="276" t="s">
        <v>955</v>
      </c>
      <c r="GS935" s="276" t="s">
        <v>955</v>
      </c>
      <c r="GT935" s="276" t="s">
        <v>955</v>
      </c>
      <c r="GU935" s="276" t="s">
        <v>955</v>
      </c>
      <c r="GV935" s="276" t="s">
        <v>955</v>
      </c>
    </row>
    <row r="936" spans="1:204" x14ac:dyDescent="0.2">
      <c r="A936" s="278"/>
      <c r="B936" s="279"/>
      <c r="GG936" s="276" t="s">
        <v>955</v>
      </c>
      <c r="GH936" s="276" t="s">
        <v>955</v>
      </c>
      <c r="GI936" s="276" t="s">
        <v>955</v>
      </c>
      <c r="GJ936" s="276" t="s">
        <v>955</v>
      </c>
      <c r="GK936" s="276" t="s">
        <v>955</v>
      </c>
      <c r="GL936" s="276" t="s">
        <v>955</v>
      </c>
      <c r="GM936" s="276" t="s">
        <v>955</v>
      </c>
      <c r="GN936" s="276" t="s">
        <v>955</v>
      </c>
      <c r="GO936" s="276" t="s">
        <v>955</v>
      </c>
      <c r="GP936" s="276" t="s">
        <v>955</v>
      </c>
      <c r="GQ936" s="276" t="s">
        <v>955</v>
      </c>
      <c r="GR936" s="276" t="s">
        <v>955</v>
      </c>
      <c r="GS936" s="276" t="s">
        <v>955</v>
      </c>
      <c r="GT936" s="276" t="s">
        <v>955</v>
      </c>
      <c r="GU936" s="276" t="s">
        <v>955</v>
      </c>
      <c r="GV936" s="276" t="s">
        <v>955</v>
      </c>
    </row>
    <row r="937" spans="1:204" x14ac:dyDescent="0.2">
      <c r="A937" s="278"/>
      <c r="B937" s="279"/>
      <c r="GG937" s="276" t="s">
        <v>955</v>
      </c>
      <c r="GH937" s="276" t="s">
        <v>955</v>
      </c>
      <c r="GI937" s="276" t="s">
        <v>955</v>
      </c>
      <c r="GJ937" s="276" t="s">
        <v>955</v>
      </c>
      <c r="GK937" s="276" t="s">
        <v>955</v>
      </c>
      <c r="GL937" s="276" t="s">
        <v>955</v>
      </c>
      <c r="GM937" s="276" t="s">
        <v>955</v>
      </c>
      <c r="GN937" s="276" t="s">
        <v>955</v>
      </c>
      <c r="GO937" s="276" t="s">
        <v>955</v>
      </c>
      <c r="GP937" s="276" t="s">
        <v>955</v>
      </c>
      <c r="GQ937" s="276" t="s">
        <v>955</v>
      </c>
      <c r="GR937" s="276" t="s">
        <v>955</v>
      </c>
      <c r="GS937" s="276" t="s">
        <v>955</v>
      </c>
      <c r="GT937" s="276" t="s">
        <v>955</v>
      </c>
      <c r="GU937" s="276" t="s">
        <v>955</v>
      </c>
      <c r="GV937" s="276" t="s">
        <v>955</v>
      </c>
    </row>
    <row r="938" spans="1:204" x14ac:dyDescent="0.2">
      <c r="A938" s="278"/>
      <c r="B938" s="279"/>
      <c r="GG938" s="276" t="s">
        <v>955</v>
      </c>
      <c r="GH938" s="276" t="s">
        <v>955</v>
      </c>
      <c r="GI938" s="276" t="s">
        <v>955</v>
      </c>
      <c r="GJ938" s="276" t="s">
        <v>955</v>
      </c>
      <c r="GK938" s="276" t="s">
        <v>955</v>
      </c>
      <c r="GL938" s="276" t="s">
        <v>955</v>
      </c>
      <c r="GM938" s="276" t="s">
        <v>955</v>
      </c>
      <c r="GN938" s="276" t="s">
        <v>955</v>
      </c>
      <c r="GO938" s="276" t="s">
        <v>955</v>
      </c>
      <c r="GP938" s="276" t="s">
        <v>955</v>
      </c>
      <c r="GQ938" s="276" t="s">
        <v>955</v>
      </c>
      <c r="GR938" s="276" t="s">
        <v>955</v>
      </c>
      <c r="GS938" s="276" t="s">
        <v>955</v>
      </c>
      <c r="GT938" s="276" t="s">
        <v>955</v>
      </c>
      <c r="GU938" s="276" t="s">
        <v>955</v>
      </c>
      <c r="GV938" s="276" t="s">
        <v>955</v>
      </c>
    </row>
    <row r="939" spans="1:204" x14ac:dyDescent="0.2">
      <c r="A939" s="278"/>
      <c r="B939" s="279"/>
      <c r="GG939" s="276" t="s">
        <v>955</v>
      </c>
      <c r="GH939" s="276" t="s">
        <v>955</v>
      </c>
      <c r="GI939" s="276" t="s">
        <v>955</v>
      </c>
      <c r="GJ939" s="276" t="s">
        <v>955</v>
      </c>
      <c r="GK939" s="276" t="s">
        <v>955</v>
      </c>
      <c r="GL939" s="276" t="s">
        <v>955</v>
      </c>
      <c r="GM939" s="276" t="s">
        <v>955</v>
      </c>
      <c r="GN939" s="276" t="s">
        <v>955</v>
      </c>
      <c r="GO939" s="276" t="s">
        <v>955</v>
      </c>
      <c r="GP939" s="276" t="s">
        <v>955</v>
      </c>
      <c r="GQ939" s="276" t="s">
        <v>955</v>
      </c>
      <c r="GR939" s="276" t="s">
        <v>955</v>
      </c>
      <c r="GS939" s="276" t="s">
        <v>955</v>
      </c>
      <c r="GT939" s="276" t="s">
        <v>955</v>
      </c>
      <c r="GU939" s="276" t="s">
        <v>955</v>
      </c>
      <c r="GV939" s="276" t="s">
        <v>955</v>
      </c>
    </row>
    <row r="940" spans="1:204" x14ac:dyDescent="0.2">
      <c r="A940" s="278"/>
      <c r="B940" s="279"/>
      <c r="GG940" s="276" t="s">
        <v>955</v>
      </c>
      <c r="GH940" s="276" t="s">
        <v>955</v>
      </c>
      <c r="GI940" s="276" t="s">
        <v>955</v>
      </c>
      <c r="GJ940" s="276" t="s">
        <v>955</v>
      </c>
      <c r="GK940" s="276" t="s">
        <v>955</v>
      </c>
      <c r="GL940" s="276" t="s">
        <v>955</v>
      </c>
      <c r="GM940" s="276" t="s">
        <v>955</v>
      </c>
      <c r="GN940" s="276" t="s">
        <v>955</v>
      </c>
      <c r="GO940" s="276" t="s">
        <v>955</v>
      </c>
      <c r="GP940" s="276" t="s">
        <v>955</v>
      </c>
      <c r="GQ940" s="276" t="s">
        <v>955</v>
      </c>
      <c r="GR940" s="276" t="s">
        <v>955</v>
      </c>
      <c r="GS940" s="276" t="s">
        <v>955</v>
      </c>
      <c r="GT940" s="276" t="s">
        <v>955</v>
      </c>
      <c r="GU940" s="276" t="s">
        <v>955</v>
      </c>
      <c r="GV940" s="276" t="s">
        <v>955</v>
      </c>
    </row>
    <row r="941" spans="1:204" x14ac:dyDescent="0.2">
      <c r="A941" s="278"/>
      <c r="B941" s="279"/>
      <c r="GG941" s="276" t="s">
        <v>955</v>
      </c>
      <c r="GH941" s="276" t="s">
        <v>955</v>
      </c>
      <c r="GI941" s="276" t="s">
        <v>955</v>
      </c>
      <c r="GJ941" s="276" t="s">
        <v>955</v>
      </c>
      <c r="GK941" s="276" t="s">
        <v>955</v>
      </c>
      <c r="GL941" s="276" t="s">
        <v>955</v>
      </c>
      <c r="GM941" s="276" t="s">
        <v>955</v>
      </c>
      <c r="GN941" s="276" t="s">
        <v>955</v>
      </c>
      <c r="GO941" s="276" t="s">
        <v>955</v>
      </c>
      <c r="GP941" s="276" t="s">
        <v>955</v>
      </c>
      <c r="GQ941" s="276" t="s">
        <v>955</v>
      </c>
      <c r="GR941" s="276" t="s">
        <v>955</v>
      </c>
      <c r="GS941" s="276" t="s">
        <v>955</v>
      </c>
      <c r="GT941" s="276" t="s">
        <v>955</v>
      </c>
      <c r="GU941" s="276" t="s">
        <v>955</v>
      </c>
      <c r="GV941" s="276" t="s">
        <v>955</v>
      </c>
    </row>
    <row r="942" spans="1:204" x14ac:dyDescent="0.2">
      <c r="A942" s="278"/>
      <c r="B942" s="279"/>
      <c r="GG942" s="276" t="s">
        <v>955</v>
      </c>
      <c r="GH942" s="276" t="s">
        <v>955</v>
      </c>
      <c r="GI942" s="276" t="s">
        <v>955</v>
      </c>
      <c r="GJ942" s="276" t="s">
        <v>955</v>
      </c>
      <c r="GK942" s="276" t="s">
        <v>955</v>
      </c>
      <c r="GL942" s="276" t="s">
        <v>955</v>
      </c>
      <c r="GM942" s="276" t="s">
        <v>955</v>
      </c>
      <c r="GN942" s="276" t="s">
        <v>955</v>
      </c>
      <c r="GO942" s="276" t="s">
        <v>955</v>
      </c>
      <c r="GP942" s="276" t="s">
        <v>955</v>
      </c>
      <c r="GQ942" s="276" t="s">
        <v>955</v>
      </c>
      <c r="GR942" s="276" t="s">
        <v>955</v>
      </c>
      <c r="GS942" s="276" t="s">
        <v>955</v>
      </c>
      <c r="GT942" s="276" t="s">
        <v>955</v>
      </c>
      <c r="GU942" s="276" t="s">
        <v>955</v>
      </c>
      <c r="GV942" s="276" t="s">
        <v>955</v>
      </c>
    </row>
    <row r="943" spans="1:204" x14ac:dyDescent="0.2">
      <c r="A943" s="278"/>
      <c r="B943" s="279"/>
      <c r="GG943" s="276" t="s">
        <v>955</v>
      </c>
      <c r="GH943" s="276" t="s">
        <v>955</v>
      </c>
      <c r="GI943" s="276" t="s">
        <v>955</v>
      </c>
      <c r="GJ943" s="276" t="s">
        <v>955</v>
      </c>
      <c r="GK943" s="276" t="s">
        <v>955</v>
      </c>
      <c r="GL943" s="276" t="s">
        <v>955</v>
      </c>
      <c r="GM943" s="276" t="s">
        <v>955</v>
      </c>
      <c r="GN943" s="276" t="s">
        <v>955</v>
      </c>
      <c r="GO943" s="276" t="s">
        <v>955</v>
      </c>
      <c r="GP943" s="276" t="s">
        <v>955</v>
      </c>
      <c r="GQ943" s="276" t="s">
        <v>955</v>
      </c>
      <c r="GR943" s="276" t="s">
        <v>955</v>
      </c>
      <c r="GS943" s="276" t="s">
        <v>955</v>
      </c>
      <c r="GT943" s="276" t="s">
        <v>955</v>
      </c>
      <c r="GU943" s="276" t="s">
        <v>955</v>
      </c>
      <c r="GV943" s="276" t="s">
        <v>955</v>
      </c>
    </row>
    <row r="944" spans="1:204" x14ac:dyDescent="0.2">
      <c r="A944" s="278"/>
      <c r="B944" s="279"/>
      <c r="GG944" s="276" t="s">
        <v>955</v>
      </c>
      <c r="GH944" s="276" t="s">
        <v>955</v>
      </c>
      <c r="GI944" s="276" t="s">
        <v>955</v>
      </c>
      <c r="GJ944" s="276" t="s">
        <v>955</v>
      </c>
      <c r="GK944" s="276" t="s">
        <v>955</v>
      </c>
      <c r="GL944" s="276" t="s">
        <v>955</v>
      </c>
      <c r="GM944" s="276" t="s">
        <v>955</v>
      </c>
      <c r="GN944" s="276" t="s">
        <v>955</v>
      </c>
      <c r="GO944" s="276" t="s">
        <v>955</v>
      </c>
      <c r="GP944" s="276" t="s">
        <v>955</v>
      </c>
      <c r="GQ944" s="276" t="s">
        <v>955</v>
      </c>
      <c r="GR944" s="276" t="s">
        <v>955</v>
      </c>
      <c r="GS944" s="276" t="s">
        <v>955</v>
      </c>
      <c r="GT944" s="276" t="s">
        <v>955</v>
      </c>
      <c r="GU944" s="276" t="s">
        <v>955</v>
      </c>
      <c r="GV944" s="276" t="s">
        <v>955</v>
      </c>
    </row>
    <row r="945" spans="1:204" x14ac:dyDescent="0.2">
      <c r="A945" s="278"/>
      <c r="B945" s="279"/>
      <c r="GG945" s="276" t="s">
        <v>955</v>
      </c>
      <c r="GH945" s="276" t="s">
        <v>955</v>
      </c>
      <c r="GI945" s="276" t="s">
        <v>955</v>
      </c>
      <c r="GJ945" s="276" t="s">
        <v>955</v>
      </c>
      <c r="GK945" s="276" t="s">
        <v>955</v>
      </c>
      <c r="GL945" s="276" t="s">
        <v>955</v>
      </c>
      <c r="GM945" s="276" t="s">
        <v>955</v>
      </c>
      <c r="GN945" s="276" t="s">
        <v>955</v>
      </c>
      <c r="GO945" s="276" t="s">
        <v>955</v>
      </c>
      <c r="GP945" s="276" t="s">
        <v>955</v>
      </c>
      <c r="GQ945" s="276" t="s">
        <v>955</v>
      </c>
      <c r="GR945" s="276" t="s">
        <v>955</v>
      </c>
      <c r="GS945" s="276" t="s">
        <v>955</v>
      </c>
      <c r="GT945" s="276" t="s">
        <v>955</v>
      </c>
      <c r="GU945" s="276" t="s">
        <v>955</v>
      </c>
      <c r="GV945" s="276" t="s">
        <v>955</v>
      </c>
    </row>
    <row r="946" spans="1:204" x14ac:dyDescent="0.2">
      <c r="A946" s="278"/>
      <c r="B946" s="279"/>
      <c r="GG946" s="276" t="s">
        <v>955</v>
      </c>
      <c r="GH946" s="276" t="s">
        <v>955</v>
      </c>
      <c r="GI946" s="276" t="s">
        <v>955</v>
      </c>
      <c r="GJ946" s="276" t="s">
        <v>955</v>
      </c>
      <c r="GK946" s="276" t="s">
        <v>955</v>
      </c>
      <c r="GL946" s="276" t="s">
        <v>955</v>
      </c>
      <c r="GM946" s="276" t="s">
        <v>955</v>
      </c>
      <c r="GN946" s="276" t="s">
        <v>955</v>
      </c>
      <c r="GO946" s="276" t="s">
        <v>955</v>
      </c>
      <c r="GP946" s="276" t="s">
        <v>955</v>
      </c>
      <c r="GQ946" s="276" t="s">
        <v>955</v>
      </c>
      <c r="GR946" s="276" t="s">
        <v>955</v>
      </c>
      <c r="GS946" s="276" t="s">
        <v>955</v>
      </c>
      <c r="GT946" s="276" t="s">
        <v>955</v>
      </c>
      <c r="GU946" s="276" t="s">
        <v>955</v>
      </c>
      <c r="GV946" s="276" t="s">
        <v>955</v>
      </c>
    </row>
    <row r="947" spans="1:204" x14ac:dyDescent="0.2">
      <c r="A947" s="278"/>
      <c r="B947" s="279"/>
      <c r="GG947" s="276" t="s">
        <v>955</v>
      </c>
      <c r="GH947" s="276" t="s">
        <v>955</v>
      </c>
      <c r="GI947" s="276" t="s">
        <v>955</v>
      </c>
      <c r="GJ947" s="276" t="s">
        <v>955</v>
      </c>
      <c r="GK947" s="276" t="s">
        <v>955</v>
      </c>
      <c r="GL947" s="276" t="s">
        <v>955</v>
      </c>
      <c r="GM947" s="276" t="s">
        <v>955</v>
      </c>
      <c r="GN947" s="276" t="s">
        <v>955</v>
      </c>
      <c r="GO947" s="276" t="s">
        <v>955</v>
      </c>
      <c r="GP947" s="276" t="s">
        <v>955</v>
      </c>
      <c r="GQ947" s="276" t="s">
        <v>955</v>
      </c>
      <c r="GR947" s="276" t="s">
        <v>955</v>
      </c>
      <c r="GS947" s="276" t="s">
        <v>955</v>
      </c>
      <c r="GT947" s="276" t="s">
        <v>955</v>
      </c>
      <c r="GU947" s="276" t="s">
        <v>955</v>
      </c>
      <c r="GV947" s="276" t="s">
        <v>955</v>
      </c>
    </row>
    <row r="948" spans="1:204" x14ac:dyDescent="0.2">
      <c r="A948" s="278"/>
      <c r="B948" s="279"/>
      <c r="GG948" s="276" t="s">
        <v>955</v>
      </c>
      <c r="GH948" s="276" t="s">
        <v>955</v>
      </c>
      <c r="GI948" s="276" t="s">
        <v>955</v>
      </c>
      <c r="GJ948" s="276" t="s">
        <v>955</v>
      </c>
      <c r="GK948" s="276" t="s">
        <v>955</v>
      </c>
      <c r="GL948" s="276" t="s">
        <v>955</v>
      </c>
      <c r="GM948" s="276" t="s">
        <v>955</v>
      </c>
      <c r="GN948" s="276" t="s">
        <v>955</v>
      </c>
      <c r="GO948" s="276" t="s">
        <v>955</v>
      </c>
      <c r="GP948" s="276" t="s">
        <v>955</v>
      </c>
      <c r="GQ948" s="276" t="s">
        <v>955</v>
      </c>
      <c r="GR948" s="276" t="s">
        <v>955</v>
      </c>
      <c r="GS948" s="276" t="s">
        <v>955</v>
      </c>
      <c r="GT948" s="276" t="s">
        <v>955</v>
      </c>
      <c r="GU948" s="276" t="s">
        <v>955</v>
      </c>
      <c r="GV948" s="276" t="s">
        <v>955</v>
      </c>
    </row>
    <row r="949" spans="1:204" x14ac:dyDescent="0.2">
      <c r="A949" s="278"/>
      <c r="B949" s="279"/>
      <c r="GG949" s="276" t="s">
        <v>955</v>
      </c>
      <c r="GH949" s="276" t="s">
        <v>955</v>
      </c>
      <c r="GI949" s="276" t="s">
        <v>955</v>
      </c>
      <c r="GJ949" s="276" t="s">
        <v>955</v>
      </c>
      <c r="GK949" s="276" t="s">
        <v>955</v>
      </c>
      <c r="GL949" s="276" t="s">
        <v>955</v>
      </c>
      <c r="GM949" s="276" t="s">
        <v>955</v>
      </c>
      <c r="GN949" s="276" t="s">
        <v>955</v>
      </c>
      <c r="GO949" s="276" t="s">
        <v>955</v>
      </c>
      <c r="GP949" s="276" t="s">
        <v>955</v>
      </c>
      <c r="GQ949" s="276" t="s">
        <v>955</v>
      </c>
      <c r="GR949" s="276" t="s">
        <v>955</v>
      </c>
      <c r="GS949" s="276" t="s">
        <v>955</v>
      </c>
      <c r="GT949" s="276" t="s">
        <v>955</v>
      </c>
      <c r="GU949" s="276" t="s">
        <v>955</v>
      </c>
      <c r="GV949" s="276" t="s">
        <v>955</v>
      </c>
    </row>
    <row r="950" spans="1:204" x14ac:dyDescent="0.2">
      <c r="A950" s="278"/>
      <c r="B950" s="279"/>
      <c r="GG950" s="276" t="s">
        <v>955</v>
      </c>
      <c r="GH950" s="276" t="s">
        <v>955</v>
      </c>
      <c r="GI950" s="276" t="s">
        <v>955</v>
      </c>
      <c r="GJ950" s="276" t="s">
        <v>955</v>
      </c>
      <c r="GK950" s="276" t="s">
        <v>955</v>
      </c>
      <c r="GL950" s="276" t="s">
        <v>955</v>
      </c>
      <c r="GM950" s="276" t="s">
        <v>955</v>
      </c>
      <c r="GN950" s="276" t="s">
        <v>955</v>
      </c>
      <c r="GO950" s="276" t="s">
        <v>955</v>
      </c>
      <c r="GP950" s="276" t="s">
        <v>955</v>
      </c>
      <c r="GQ950" s="276" t="s">
        <v>955</v>
      </c>
      <c r="GR950" s="276" t="s">
        <v>955</v>
      </c>
      <c r="GS950" s="276" t="s">
        <v>955</v>
      </c>
      <c r="GT950" s="276" t="s">
        <v>955</v>
      </c>
      <c r="GU950" s="276" t="s">
        <v>955</v>
      </c>
      <c r="GV950" s="276" t="s">
        <v>955</v>
      </c>
    </row>
    <row r="951" spans="1:204" x14ac:dyDescent="0.2">
      <c r="A951" s="278"/>
      <c r="B951" s="279"/>
      <c r="GG951" s="276" t="s">
        <v>955</v>
      </c>
      <c r="GH951" s="276" t="s">
        <v>955</v>
      </c>
      <c r="GI951" s="276" t="s">
        <v>955</v>
      </c>
      <c r="GJ951" s="276" t="s">
        <v>955</v>
      </c>
      <c r="GK951" s="276" t="s">
        <v>955</v>
      </c>
      <c r="GL951" s="276" t="s">
        <v>955</v>
      </c>
      <c r="GM951" s="276" t="s">
        <v>955</v>
      </c>
      <c r="GN951" s="276" t="s">
        <v>955</v>
      </c>
      <c r="GO951" s="276" t="s">
        <v>955</v>
      </c>
      <c r="GP951" s="276" t="s">
        <v>955</v>
      </c>
      <c r="GQ951" s="276" t="s">
        <v>955</v>
      </c>
      <c r="GR951" s="276" t="s">
        <v>955</v>
      </c>
      <c r="GS951" s="276" t="s">
        <v>955</v>
      </c>
      <c r="GT951" s="276" t="s">
        <v>955</v>
      </c>
      <c r="GU951" s="276" t="s">
        <v>955</v>
      </c>
      <c r="GV951" s="276" t="s">
        <v>955</v>
      </c>
    </row>
    <row r="952" spans="1:204" x14ac:dyDescent="0.2">
      <c r="A952" s="278"/>
      <c r="B952" s="279"/>
      <c r="GG952" s="276" t="s">
        <v>955</v>
      </c>
      <c r="GH952" s="276" t="s">
        <v>955</v>
      </c>
      <c r="GI952" s="276" t="s">
        <v>955</v>
      </c>
      <c r="GJ952" s="276" t="s">
        <v>955</v>
      </c>
      <c r="GK952" s="276" t="s">
        <v>955</v>
      </c>
      <c r="GL952" s="276" t="s">
        <v>955</v>
      </c>
      <c r="GM952" s="276" t="s">
        <v>955</v>
      </c>
      <c r="GN952" s="276" t="s">
        <v>955</v>
      </c>
      <c r="GO952" s="276" t="s">
        <v>955</v>
      </c>
      <c r="GP952" s="276" t="s">
        <v>955</v>
      </c>
      <c r="GQ952" s="276" t="s">
        <v>955</v>
      </c>
      <c r="GR952" s="276" t="s">
        <v>955</v>
      </c>
      <c r="GS952" s="276" t="s">
        <v>955</v>
      </c>
      <c r="GT952" s="276" t="s">
        <v>955</v>
      </c>
      <c r="GU952" s="276" t="s">
        <v>955</v>
      </c>
      <c r="GV952" s="276" t="s">
        <v>955</v>
      </c>
    </row>
    <row r="953" spans="1:204" x14ac:dyDescent="0.2">
      <c r="A953" s="278"/>
      <c r="B953" s="279"/>
      <c r="GG953" s="276" t="s">
        <v>955</v>
      </c>
      <c r="GH953" s="276" t="s">
        <v>955</v>
      </c>
      <c r="GI953" s="276" t="s">
        <v>955</v>
      </c>
      <c r="GJ953" s="276" t="s">
        <v>955</v>
      </c>
      <c r="GK953" s="276" t="s">
        <v>955</v>
      </c>
      <c r="GL953" s="276" t="s">
        <v>955</v>
      </c>
      <c r="GM953" s="276" t="s">
        <v>955</v>
      </c>
      <c r="GN953" s="276" t="s">
        <v>955</v>
      </c>
      <c r="GO953" s="276" t="s">
        <v>955</v>
      </c>
      <c r="GP953" s="276" t="s">
        <v>955</v>
      </c>
      <c r="GQ953" s="276" t="s">
        <v>955</v>
      </c>
      <c r="GR953" s="276" t="s">
        <v>955</v>
      </c>
      <c r="GS953" s="276" t="s">
        <v>955</v>
      </c>
      <c r="GT953" s="276" t="s">
        <v>955</v>
      </c>
      <c r="GU953" s="276" t="s">
        <v>955</v>
      </c>
      <c r="GV953" s="276" t="s">
        <v>955</v>
      </c>
    </row>
    <row r="954" spans="1:204" x14ac:dyDescent="0.2">
      <c r="A954" s="278"/>
      <c r="B954" s="279"/>
      <c r="GG954" s="276" t="s">
        <v>955</v>
      </c>
      <c r="GH954" s="276" t="s">
        <v>955</v>
      </c>
      <c r="GI954" s="276" t="s">
        <v>955</v>
      </c>
      <c r="GJ954" s="276" t="s">
        <v>955</v>
      </c>
      <c r="GK954" s="276" t="s">
        <v>955</v>
      </c>
      <c r="GL954" s="276" t="s">
        <v>955</v>
      </c>
      <c r="GM954" s="276" t="s">
        <v>955</v>
      </c>
      <c r="GN954" s="276" t="s">
        <v>955</v>
      </c>
      <c r="GO954" s="276" t="s">
        <v>955</v>
      </c>
      <c r="GP954" s="276" t="s">
        <v>955</v>
      </c>
      <c r="GQ954" s="276" t="s">
        <v>955</v>
      </c>
      <c r="GR954" s="276" t="s">
        <v>955</v>
      </c>
      <c r="GS954" s="276" t="s">
        <v>955</v>
      </c>
      <c r="GT954" s="276" t="s">
        <v>955</v>
      </c>
      <c r="GU954" s="276" t="s">
        <v>955</v>
      </c>
      <c r="GV954" s="276" t="s">
        <v>955</v>
      </c>
    </row>
    <row r="955" spans="1:204" x14ac:dyDescent="0.2">
      <c r="A955" s="278"/>
      <c r="B955" s="279"/>
      <c r="H955" s="277"/>
      <c r="GG955" s="276" t="s">
        <v>955</v>
      </c>
      <c r="GH955" s="276" t="s">
        <v>955</v>
      </c>
      <c r="GI955" s="276" t="s">
        <v>955</v>
      </c>
      <c r="GJ955" s="276" t="s">
        <v>955</v>
      </c>
      <c r="GK955" s="276" t="s">
        <v>955</v>
      </c>
      <c r="GL955" s="276" t="s">
        <v>955</v>
      </c>
      <c r="GM955" s="276" t="s">
        <v>955</v>
      </c>
      <c r="GN955" s="276" t="s">
        <v>955</v>
      </c>
      <c r="GO955" s="276" t="s">
        <v>955</v>
      </c>
      <c r="GP955" s="276" t="s">
        <v>955</v>
      </c>
      <c r="GQ955" s="276" t="s">
        <v>955</v>
      </c>
      <c r="GR955" s="276" t="s">
        <v>955</v>
      </c>
      <c r="GS955" s="276" t="s">
        <v>955</v>
      </c>
      <c r="GT955" s="276" t="s">
        <v>955</v>
      </c>
      <c r="GU955" s="276" t="s">
        <v>955</v>
      </c>
      <c r="GV955" s="276" t="s">
        <v>955</v>
      </c>
    </row>
    <row r="956" spans="1:204" x14ac:dyDescent="0.2">
      <c r="A956" s="278"/>
      <c r="B956" s="279"/>
      <c r="H956" s="277"/>
      <c r="I956" s="277"/>
      <c r="J956" s="277"/>
      <c r="K956" s="277"/>
      <c r="L956" s="277"/>
      <c r="M956" s="277"/>
      <c r="GG956" s="276" t="s">
        <v>955</v>
      </c>
      <c r="GH956" s="276" t="s">
        <v>955</v>
      </c>
      <c r="GI956" s="276" t="s">
        <v>955</v>
      </c>
      <c r="GJ956" s="276" t="s">
        <v>955</v>
      </c>
      <c r="GK956" s="276" t="s">
        <v>955</v>
      </c>
      <c r="GL956" s="276" t="s">
        <v>955</v>
      </c>
      <c r="GM956" s="276" t="s">
        <v>955</v>
      </c>
      <c r="GN956" s="276" t="s">
        <v>955</v>
      </c>
      <c r="GO956" s="276" t="s">
        <v>955</v>
      </c>
      <c r="GP956" s="276" t="s">
        <v>955</v>
      </c>
      <c r="GQ956" s="276" t="s">
        <v>955</v>
      </c>
      <c r="GR956" s="276" t="s">
        <v>955</v>
      </c>
      <c r="GS956" s="276" t="s">
        <v>955</v>
      </c>
      <c r="GT956" s="276" t="s">
        <v>955</v>
      </c>
      <c r="GU956" s="276" t="s">
        <v>955</v>
      </c>
      <c r="GV956" s="276" t="s">
        <v>955</v>
      </c>
    </row>
    <row r="957" spans="1:204" x14ac:dyDescent="0.2">
      <c r="A957" s="278"/>
      <c r="B957" s="279"/>
      <c r="H957" s="277"/>
      <c r="I957" s="277"/>
      <c r="J957" s="277"/>
      <c r="K957" s="277"/>
      <c r="L957" s="277"/>
      <c r="M957" s="277"/>
      <c r="GG957" s="276" t="s">
        <v>955</v>
      </c>
      <c r="GH957" s="276" t="s">
        <v>955</v>
      </c>
      <c r="GI957" s="276" t="s">
        <v>955</v>
      </c>
      <c r="GJ957" s="276" t="s">
        <v>955</v>
      </c>
      <c r="GK957" s="276" t="s">
        <v>955</v>
      </c>
      <c r="GL957" s="276" t="s">
        <v>955</v>
      </c>
      <c r="GM957" s="276" t="s">
        <v>955</v>
      </c>
      <c r="GN957" s="276" t="s">
        <v>955</v>
      </c>
      <c r="GO957" s="276" t="s">
        <v>955</v>
      </c>
      <c r="GP957" s="276" t="s">
        <v>955</v>
      </c>
      <c r="GQ957" s="276" t="s">
        <v>955</v>
      </c>
      <c r="GR957" s="276" t="s">
        <v>955</v>
      </c>
      <c r="GS957" s="276" t="s">
        <v>955</v>
      </c>
      <c r="GT957" s="276" t="s">
        <v>955</v>
      </c>
      <c r="GU957" s="276" t="s">
        <v>955</v>
      </c>
      <c r="GV957" s="276" t="s">
        <v>955</v>
      </c>
    </row>
    <row r="958" spans="1:204" x14ac:dyDescent="0.2">
      <c r="A958" s="278"/>
      <c r="B958" s="279"/>
      <c r="H958" s="277"/>
      <c r="I958" s="277"/>
      <c r="J958" s="277"/>
      <c r="K958" s="277"/>
      <c r="L958" s="277"/>
      <c r="M958" s="277"/>
      <c r="GG958" s="276" t="s">
        <v>955</v>
      </c>
      <c r="GH958" s="276" t="s">
        <v>955</v>
      </c>
      <c r="GI958" s="276" t="s">
        <v>955</v>
      </c>
      <c r="GJ958" s="276" t="s">
        <v>955</v>
      </c>
      <c r="GK958" s="276" t="s">
        <v>955</v>
      </c>
      <c r="GL958" s="276" t="s">
        <v>955</v>
      </c>
      <c r="GM958" s="276" t="s">
        <v>955</v>
      </c>
      <c r="GN958" s="276" t="s">
        <v>955</v>
      </c>
      <c r="GO958" s="276" t="s">
        <v>955</v>
      </c>
      <c r="GP958" s="276" t="s">
        <v>955</v>
      </c>
      <c r="GQ958" s="276" t="s">
        <v>955</v>
      </c>
      <c r="GR958" s="276" t="s">
        <v>955</v>
      </c>
      <c r="GS958" s="276" t="s">
        <v>955</v>
      </c>
      <c r="GT958" s="276" t="s">
        <v>955</v>
      </c>
      <c r="GU958" s="276" t="s">
        <v>955</v>
      </c>
      <c r="GV958" s="276" t="s">
        <v>955</v>
      </c>
    </row>
    <row r="959" spans="1:204" x14ac:dyDescent="0.2">
      <c r="A959" s="278"/>
      <c r="B959" s="279"/>
      <c r="H959" s="277"/>
      <c r="I959" s="277"/>
      <c r="J959" s="277"/>
      <c r="K959" s="277"/>
      <c r="L959" s="277"/>
      <c r="M959" s="277"/>
      <c r="GG959" s="276" t="s">
        <v>955</v>
      </c>
      <c r="GH959" s="276" t="s">
        <v>955</v>
      </c>
      <c r="GI959" s="276" t="s">
        <v>955</v>
      </c>
      <c r="GJ959" s="276" t="s">
        <v>955</v>
      </c>
      <c r="GK959" s="276" t="s">
        <v>955</v>
      </c>
      <c r="GL959" s="276" t="s">
        <v>955</v>
      </c>
      <c r="GM959" s="276" t="s">
        <v>955</v>
      </c>
      <c r="GN959" s="276" t="s">
        <v>955</v>
      </c>
      <c r="GO959" s="276" t="s">
        <v>955</v>
      </c>
      <c r="GP959" s="276" t="s">
        <v>955</v>
      </c>
      <c r="GQ959" s="276" t="s">
        <v>955</v>
      </c>
      <c r="GR959" s="276" t="s">
        <v>955</v>
      </c>
      <c r="GS959" s="276" t="s">
        <v>955</v>
      </c>
      <c r="GT959" s="276" t="s">
        <v>955</v>
      </c>
      <c r="GU959" s="276" t="s">
        <v>955</v>
      </c>
      <c r="GV959" s="276" t="s">
        <v>955</v>
      </c>
    </row>
    <row r="960" spans="1:204" x14ac:dyDescent="0.2">
      <c r="A960" s="278"/>
      <c r="B960" s="279"/>
      <c r="H960" s="277"/>
      <c r="I960" s="277"/>
      <c r="J960" s="277"/>
      <c r="K960" s="277"/>
      <c r="L960" s="277"/>
      <c r="M960" s="277"/>
      <c r="GG960" s="276" t="s">
        <v>955</v>
      </c>
      <c r="GH960" s="276" t="s">
        <v>955</v>
      </c>
      <c r="GI960" s="276" t="s">
        <v>955</v>
      </c>
      <c r="GJ960" s="276" t="s">
        <v>955</v>
      </c>
      <c r="GK960" s="276" t="s">
        <v>955</v>
      </c>
      <c r="GL960" s="276" t="s">
        <v>955</v>
      </c>
      <c r="GM960" s="276" t="s">
        <v>955</v>
      </c>
      <c r="GN960" s="276" t="s">
        <v>955</v>
      </c>
      <c r="GO960" s="276" t="s">
        <v>955</v>
      </c>
      <c r="GP960" s="276" t="s">
        <v>955</v>
      </c>
      <c r="GQ960" s="276" t="s">
        <v>955</v>
      </c>
      <c r="GR960" s="276" t="s">
        <v>955</v>
      </c>
      <c r="GS960" s="276" t="s">
        <v>955</v>
      </c>
      <c r="GT960" s="276" t="s">
        <v>955</v>
      </c>
      <c r="GU960" s="276" t="s">
        <v>955</v>
      </c>
      <c r="GV960" s="276" t="s">
        <v>955</v>
      </c>
    </row>
    <row r="961" spans="1:210" x14ac:dyDescent="0.2">
      <c r="A961" s="278"/>
      <c r="B961" s="279"/>
      <c r="I961" s="277"/>
      <c r="J961" s="277"/>
      <c r="K961" s="277"/>
      <c r="L961" s="277"/>
      <c r="M961" s="277"/>
      <c r="GG961" s="276" t="s">
        <v>955</v>
      </c>
      <c r="GH961" s="276" t="s">
        <v>955</v>
      </c>
      <c r="GI961" s="276" t="s">
        <v>955</v>
      </c>
      <c r="GJ961" s="276" t="s">
        <v>955</v>
      </c>
      <c r="GK961" s="276" t="s">
        <v>955</v>
      </c>
      <c r="GL961" s="276" t="s">
        <v>955</v>
      </c>
      <c r="GM961" s="276" t="s">
        <v>955</v>
      </c>
      <c r="GN961" s="276" t="s">
        <v>955</v>
      </c>
      <c r="GO961" s="276" t="s">
        <v>955</v>
      </c>
      <c r="GP961" s="276" t="s">
        <v>955</v>
      </c>
      <c r="GQ961" s="276" t="s">
        <v>955</v>
      </c>
      <c r="GR961" s="276" t="s">
        <v>955</v>
      </c>
      <c r="GS961" s="276" t="s">
        <v>955</v>
      </c>
      <c r="GT961" s="276" t="s">
        <v>955</v>
      </c>
      <c r="GU961" s="276" t="s">
        <v>955</v>
      </c>
      <c r="GV961" s="276" t="s">
        <v>955</v>
      </c>
    </row>
    <row r="962" spans="1:210" x14ac:dyDescent="0.2">
      <c r="A962" s="278"/>
      <c r="B962" s="279"/>
      <c r="GG962" s="276" t="s">
        <v>955</v>
      </c>
      <c r="GH962" s="276" t="s">
        <v>955</v>
      </c>
      <c r="GI962" s="276" t="s">
        <v>955</v>
      </c>
      <c r="GJ962" s="276" t="s">
        <v>955</v>
      </c>
      <c r="GK962" s="276" t="s">
        <v>955</v>
      </c>
      <c r="GL962" s="276" t="s">
        <v>955</v>
      </c>
      <c r="GM962" s="276" t="s">
        <v>955</v>
      </c>
      <c r="GN962" s="276" t="s">
        <v>955</v>
      </c>
      <c r="GO962" s="276" t="s">
        <v>955</v>
      </c>
      <c r="GP962" s="276" t="s">
        <v>955</v>
      </c>
      <c r="GQ962" s="276" t="s">
        <v>955</v>
      </c>
      <c r="GR962" s="276" t="s">
        <v>955</v>
      </c>
      <c r="GS962" s="276" t="s">
        <v>955</v>
      </c>
      <c r="GT962" s="276" t="s">
        <v>955</v>
      </c>
      <c r="GU962" s="276" t="s">
        <v>955</v>
      </c>
      <c r="GV962" s="276" t="s">
        <v>955</v>
      </c>
    </row>
    <row r="963" spans="1:210" x14ac:dyDescent="0.2">
      <c r="A963" s="278"/>
      <c r="B963" s="279"/>
      <c r="GG963" s="276" t="s">
        <v>955</v>
      </c>
      <c r="GH963" s="276" t="s">
        <v>955</v>
      </c>
      <c r="GI963" s="276" t="s">
        <v>955</v>
      </c>
      <c r="GJ963" s="276" t="s">
        <v>955</v>
      </c>
      <c r="GK963" s="276" t="s">
        <v>955</v>
      </c>
      <c r="GL963" s="276" t="s">
        <v>955</v>
      </c>
      <c r="GM963" s="276" t="s">
        <v>955</v>
      </c>
      <c r="GN963" s="276" t="s">
        <v>955</v>
      </c>
      <c r="GO963" s="276" t="s">
        <v>955</v>
      </c>
      <c r="GP963" s="276" t="s">
        <v>955</v>
      </c>
      <c r="GQ963" s="276" t="s">
        <v>955</v>
      </c>
      <c r="GR963" s="276" t="s">
        <v>955</v>
      </c>
      <c r="GS963" s="276" t="s">
        <v>955</v>
      </c>
      <c r="GT963" s="276" t="s">
        <v>955</v>
      </c>
      <c r="GU963" s="276" t="s">
        <v>955</v>
      </c>
      <c r="GV963" s="276" t="s">
        <v>955</v>
      </c>
    </row>
    <row r="964" spans="1:210" x14ac:dyDescent="0.2">
      <c r="A964" s="278"/>
      <c r="B964" s="279"/>
      <c r="GG964" s="276" t="s">
        <v>955</v>
      </c>
      <c r="GH964" s="276" t="s">
        <v>955</v>
      </c>
      <c r="GI964" s="276" t="s">
        <v>955</v>
      </c>
      <c r="GJ964" s="276" t="s">
        <v>955</v>
      </c>
      <c r="GK964" s="276" t="s">
        <v>955</v>
      </c>
      <c r="GL964" s="276" t="s">
        <v>955</v>
      </c>
      <c r="GM964" s="276" t="s">
        <v>955</v>
      </c>
      <c r="GN964" s="276" t="s">
        <v>955</v>
      </c>
      <c r="GO964" s="276" t="s">
        <v>955</v>
      </c>
      <c r="GP964" s="276" t="s">
        <v>955</v>
      </c>
      <c r="GQ964" s="276" t="s">
        <v>955</v>
      </c>
      <c r="GR964" s="276" t="s">
        <v>955</v>
      </c>
      <c r="GS964" s="276" t="s">
        <v>955</v>
      </c>
      <c r="GT964" s="276" t="s">
        <v>955</v>
      </c>
      <c r="GU964" s="276" t="s">
        <v>955</v>
      </c>
      <c r="GV964" s="276" t="s">
        <v>955</v>
      </c>
    </row>
    <row r="965" spans="1:210" x14ac:dyDescent="0.2">
      <c r="A965" s="278"/>
      <c r="B965" s="279"/>
      <c r="E965" s="277"/>
      <c r="GG965" s="276" t="s">
        <v>955</v>
      </c>
      <c r="GH965" s="276" t="s">
        <v>955</v>
      </c>
      <c r="GI965" s="276" t="s">
        <v>955</v>
      </c>
      <c r="GJ965" s="276" t="s">
        <v>955</v>
      </c>
      <c r="GK965" s="276" t="s">
        <v>955</v>
      </c>
      <c r="GL965" s="276" t="s">
        <v>955</v>
      </c>
      <c r="GM965" s="276" t="s">
        <v>955</v>
      </c>
      <c r="GN965" s="276" t="s">
        <v>955</v>
      </c>
      <c r="GO965" s="276" t="s">
        <v>955</v>
      </c>
      <c r="GP965" s="276" t="s">
        <v>955</v>
      </c>
      <c r="GQ965" s="276" t="s">
        <v>955</v>
      </c>
      <c r="GR965" s="276" t="s">
        <v>955</v>
      </c>
      <c r="GS965" s="276" t="s">
        <v>955</v>
      </c>
      <c r="GT965" s="276" t="s">
        <v>955</v>
      </c>
      <c r="GU965" s="276" t="s">
        <v>955</v>
      </c>
      <c r="GV965" s="276" t="s">
        <v>955</v>
      </c>
    </row>
    <row r="966" spans="1:210" x14ac:dyDescent="0.2">
      <c r="A966" s="278"/>
      <c r="B966" s="279"/>
      <c r="E966" s="277"/>
      <c r="GG966" s="276" t="s">
        <v>955</v>
      </c>
      <c r="GH966" s="276" t="s">
        <v>955</v>
      </c>
      <c r="GI966" s="276" t="s">
        <v>955</v>
      </c>
      <c r="GJ966" s="276" t="s">
        <v>955</v>
      </c>
      <c r="GK966" s="276" t="s">
        <v>955</v>
      </c>
      <c r="GL966" s="276" t="s">
        <v>955</v>
      </c>
      <c r="GM966" s="276" t="s">
        <v>955</v>
      </c>
      <c r="GN966" s="276" t="s">
        <v>955</v>
      </c>
      <c r="GO966" s="276" t="s">
        <v>955</v>
      </c>
      <c r="GP966" s="276" t="s">
        <v>955</v>
      </c>
      <c r="GQ966" s="276" t="s">
        <v>955</v>
      </c>
      <c r="GR966" s="276" t="s">
        <v>955</v>
      </c>
      <c r="GS966" s="276" t="s">
        <v>955</v>
      </c>
      <c r="GT966" s="276" t="s">
        <v>955</v>
      </c>
      <c r="GU966" s="276" t="s">
        <v>955</v>
      </c>
      <c r="GV966" s="276" t="s">
        <v>955</v>
      </c>
    </row>
    <row r="967" spans="1:210" x14ac:dyDescent="0.2">
      <c r="A967" s="278"/>
      <c r="B967" s="279"/>
      <c r="E967" s="277"/>
      <c r="GG967" s="276" t="s">
        <v>955</v>
      </c>
      <c r="GH967" s="276" t="s">
        <v>955</v>
      </c>
      <c r="GI967" s="276" t="s">
        <v>955</v>
      </c>
      <c r="GJ967" s="276" t="s">
        <v>955</v>
      </c>
      <c r="GK967" s="276" t="s">
        <v>955</v>
      </c>
      <c r="GL967" s="276" t="s">
        <v>955</v>
      </c>
      <c r="GM967" s="276" t="s">
        <v>955</v>
      </c>
      <c r="GN967" s="276" t="s">
        <v>955</v>
      </c>
      <c r="GO967" s="276" t="s">
        <v>955</v>
      </c>
      <c r="GP967" s="276" t="s">
        <v>955</v>
      </c>
      <c r="GQ967" s="276" t="s">
        <v>955</v>
      </c>
      <c r="GR967" s="276" t="s">
        <v>955</v>
      </c>
      <c r="GS967" s="276" t="s">
        <v>955</v>
      </c>
      <c r="GT967" s="276" t="s">
        <v>955</v>
      </c>
      <c r="GU967" s="276" t="s">
        <v>955</v>
      </c>
      <c r="GV967" s="276" t="s">
        <v>955</v>
      </c>
    </row>
    <row r="968" spans="1:210" x14ac:dyDescent="0.2">
      <c r="A968" s="278"/>
      <c r="B968" s="279"/>
      <c r="E968" s="277"/>
      <c r="H968" s="312"/>
      <c r="GG968" s="276" t="s">
        <v>955</v>
      </c>
      <c r="GH968" s="276" t="s">
        <v>955</v>
      </c>
      <c r="GI968" s="276" t="s">
        <v>955</v>
      </c>
      <c r="GJ968" s="276" t="s">
        <v>955</v>
      </c>
      <c r="GK968" s="276" t="s">
        <v>955</v>
      </c>
      <c r="GL968" s="276" t="s">
        <v>955</v>
      </c>
      <c r="GM968" s="276" t="s">
        <v>955</v>
      </c>
      <c r="GN968" s="276" t="s">
        <v>955</v>
      </c>
      <c r="GO968" s="276" t="s">
        <v>955</v>
      </c>
      <c r="GP968" s="276" t="s">
        <v>955</v>
      </c>
      <c r="GQ968" s="276" t="s">
        <v>955</v>
      </c>
      <c r="GR968" s="276" t="s">
        <v>955</v>
      </c>
      <c r="GS968" s="276" t="s">
        <v>955</v>
      </c>
      <c r="GT968" s="276" t="s">
        <v>955</v>
      </c>
      <c r="GU968" s="276" t="s">
        <v>955</v>
      </c>
      <c r="GV968" s="276" t="s">
        <v>955</v>
      </c>
    </row>
    <row r="969" spans="1:210" x14ac:dyDescent="0.2">
      <c r="A969" s="278"/>
      <c r="B969" s="279"/>
      <c r="E969" s="277"/>
      <c r="H969" s="312"/>
      <c r="I969" s="312"/>
      <c r="J969" s="312"/>
      <c r="K969" s="312"/>
      <c r="L969" s="312"/>
      <c r="M969" s="312"/>
      <c r="GG969" s="276" t="s">
        <v>955</v>
      </c>
      <c r="GH969" s="276" t="s">
        <v>955</v>
      </c>
      <c r="GI969" s="276" t="s">
        <v>955</v>
      </c>
      <c r="GJ969" s="276" t="s">
        <v>955</v>
      </c>
      <c r="GK969" s="276" t="s">
        <v>955</v>
      </c>
      <c r="GL969" s="276" t="s">
        <v>955</v>
      </c>
      <c r="GM969" s="276" t="s">
        <v>955</v>
      </c>
      <c r="GN969" s="276" t="s">
        <v>955</v>
      </c>
      <c r="GO969" s="276" t="s">
        <v>955</v>
      </c>
      <c r="GP969" s="276" t="s">
        <v>955</v>
      </c>
      <c r="GQ969" s="276" t="s">
        <v>955</v>
      </c>
      <c r="GR969" s="276" t="s">
        <v>955</v>
      </c>
      <c r="GS969" s="276" t="s">
        <v>955</v>
      </c>
      <c r="GT969" s="276" t="s">
        <v>955</v>
      </c>
      <c r="GU969" s="276" t="s">
        <v>955</v>
      </c>
      <c r="GV969" s="276" t="s">
        <v>955</v>
      </c>
    </row>
    <row r="970" spans="1:210" x14ac:dyDescent="0.2">
      <c r="A970" s="278"/>
      <c r="B970" s="279"/>
      <c r="E970" s="277"/>
      <c r="H970" s="312"/>
      <c r="I970" s="312"/>
      <c r="J970" s="312"/>
      <c r="K970" s="312"/>
      <c r="L970" s="312"/>
      <c r="M970" s="312"/>
      <c r="EF970" s="277"/>
      <c r="EL970" s="298"/>
      <c r="GG970" s="276" t="s">
        <v>955</v>
      </c>
      <c r="GH970" s="276" t="s">
        <v>955</v>
      </c>
      <c r="GI970" s="276" t="s">
        <v>955</v>
      </c>
      <c r="GJ970" s="276" t="s">
        <v>955</v>
      </c>
      <c r="GK970" s="276" t="s">
        <v>955</v>
      </c>
      <c r="GL970" s="276" t="s">
        <v>955</v>
      </c>
      <c r="GM970" s="276" t="s">
        <v>955</v>
      </c>
      <c r="GN970" s="276" t="s">
        <v>955</v>
      </c>
      <c r="GO970" s="276" t="s">
        <v>955</v>
      </c>
      <c r="GP970" s="276" t="s">
        <v>955</v>
      </c>
      <c r="GQ970" s="276" t="s">
        <v>955</v>
      </c>
      <c r="GR970" s="276" t="s">
        <v>955</v>
      </c>
      <c r="GS970" s="276" t="s">
        <v>955</v>
      </c>
      <c r="GT970" s="276" t="s">
        <v>955</v>
      </c>
      <c r="GU970" s="276" t="s">
        <v>955</v>
      </c>
      <c r="GV970" s="276" t="s">
        <v>955</v>
      </c>
      <c r="GY970" s="277"/>
      <c r="GZ970" s="277"/>
      <c r="HA970" s="277"/>
      <c r="HB970" s="277"/>
    </row>
    <row r="971" spans="1:210" x14ac:dyDescent="0.2">
      <c r="A971" s="278"/>
      <c r="B971" s="279"/>
      <c r="H971" s="312"/>
      <c r="I971" s="312"/>
      <c r="J971" s="312"/>
      <c r="K971" s="312"/>
      <c r="L971" s="312"/>
      <c r="M971" s="312"/>
      <c r="EF971" s="277"/>
      <c r="EL971" s="298"/>
      <c r="GG971" s="276" t="s">
        <v>955</v>
      </c>
      <c r="GH971" s="276" t="s">
        <v>955</v>
      </c>
      <c r="GI971" s="276" t="s">
        <v>955</v>
      </c>
      <c r="GJ971" s="276" t="s">
        <v>955</v>
      </c>
      <c r="GK971" s="276" t="s">
        <v>955</v>
      </c>
      <c r="GL971" s="276" t="s">
        <v>955</v>
      </c>
      <c r="GM971" s="276" t="s">
        <v>955</v>
      </c>
      <c r="GN971" s="276" t="s">
        <v>955</v>
      </c>
      <c r="GO971" s="276" t="s">
        <v>955</v>
      </c>
      <c r="GP971" s="276" t="s">
        <v>955</v>
      </c>
      <c r="GQ971" s="276" t="s">
        <v>955</v>
      </c>
      <c r="GR971" s="276" t="s">
        <v>955</v>
      </c>
      <c r="GS971" s="276" t="s">
        <v>955</v>
      </c>
      <c r="GT971" s="276" t="s">
        <v>955</v>
      </c>
      <c r="GU971" s="276" t="s">
        <v>955</v>
      </c>
      <c r="GV971" s="276" t="s">
        <v>955</v>
      </c>
      <c r="GY971" s="277"/>
      <c r="GZ971" s="277"/>
      <c r="HA971" s="277"/>
      <c r="HB971" s="277"/>
    </row>
    <row r="972" spans="1:210" x14ac:dyDescent="0.2">
      <c r="A972" s="278"/>
      <c r="B972" s="279"/>
      <c r="H972" s="312"/>
      <c r="I972" s="312"/>
      <c r="J972" s="312"/>
      <c r="K972" s="312"/>
      <c r="L972" s="312"/>
      <c r="M972" s="312"/>
      <c r="EF972" s="277"/>
      <c r="EL972" s="298"/>
      <c r="GG972" s="276" t="s">
        <v>955</v>
      </c>
      <c r="GH972" s="276" t="s">
        <v>955</v>
      </c>
      <c r="GI972" s="276" t="s">
        <v>955</v>
      </c>
      <c r="GJ972" s="276" t="s">
        <v>955</v>
      </c>
      <c r="GK972" s="276" t="s">
        <v>955</v>
      </c>
      <c r="GL972" s="276" t="s">
        <v>955</v>
      </c>
      <c r="GM972" s="276" t="s">
        <v>955</v>
      </c>
      <c r="GN972" s="276" t="s">
        <v>955</v>
      </c>
      <c r="GO972" s="276" t="s">
        <v>955</v>
      </c>
      <c r="GP972" s="276" t="s">
        <v>955</v>
      </c>
      <c r="GQ972" s="276" t="s">
        <v>955</v>
      </c>
      <c r="GR972" s="276" t="s">
        <v>955</v>
      </c>
      <c r="GS972" s="276" t="s">
        <v>955</v>
      </c>
      <c r="GT972" s="276" t="s">
        <v>955</v>
      </c>
      <c r="GU972" s="276" t="s">
        <v>955</v>
      </c>
      <c r="GV972" s="276" t="s">
        <v>955</v>
      </c>
      <c r="GY972" s="277"/>
      <c r="GZ972" s="277"/>
      <c r="HA972" s="277"/>
      <c r="HB972" s="277"/>
    </row>
    <row r="973" spans="1:210" x14ac:dyDescent="0.2">
      <c r="A973" s="278"/>
      <c r="B973" s="279"/>
      <c r="H973" s="312"/>
      <c r="I973" s="312"/>
      <c r="J973" s="312"/>
      <c r="K973" s="312"/>
      <c r="L973" s="312"/>
      <c r="M973" s="312"/>
      <c r="T973" s="277"/>
      <c r="U973" s="277"/>
      <c r="V973" s="277"/>
      <c r="W973" s="277"/>
      <c r="EF973" s="277"/>
      <c r="EL973" s="298"/>
      <c r="GG973" s="276" t="s">
        <v>955</v>
      </c>
      <c r="GH973" s="276" t="s">
        <v>955</v>
      </c>
      <c r="GI973" s="276" t="s">
        <v>955</v>
      </c>
      <c r="GJ973" s="276" t="s">
        <v>955</v>
      </c>
      <c r="GK973" s="276" t="s">
        <v>955</v>
      </c>
      <c r="GL973" s="276" t="s">
        <v>955</v>
      </c>
      <c r="GM973" s="276" t="s">
        <v>955</v>
      </c>
      <c r="GN973" s="276" t="s">
        <v>955</v>
      </c>
      <c r="GO973" s="276" t="s">
        <v>955</v>
      </c>
      <c r="GP973" s="276" t="s">
        <v>955</v>
      </c>
      <c r="GQ973" s="276" t="s">
        <v>955</v>
      </c>
      <c r="GR973" s="276" t="s">
        <v>955</v>
      </c>
      <c r="GS973" s="276" t="s">
        <v>955</v>
      </c>
      <c r="GT973" s="276" t="s">
        <v>955</v>
      </c>
      <c r="GU973" s="276" t="s">
        <v>955</v>
      </c>
      <c r="GV973" s="276" t="s">
        <v>955</v>
      </c>
      <c r="GY973" s="277"/>
      <c r="GZ973" s="277"/>
      <c r="HA973" s="277"/>
      <c r="HB973" s="277"/>
    </row>
    <row r="974" spans="1:210" x14ac:dyDescent="0.2">
      <c r="A974" s="278"/>
      <c r="B974" s="279"/>
      <c r="I974" s="312"/>
      <c r="J974" s="312"/>
      <c r="K974" s="312"/>
      <c r="L974" s="312"/>
      <c r="M974" s="312"/>
      <c r="T974" s="277"/>
      <c r="U974" s="277"/>
      <c r="V974" s="277"/>
      <c r="W974" s="277"/>
      <c r="EF974" s="277"/>
      <c r="EL974" s="298"/>
      <c r="GG974" s="276" t="s">
        <v>955</v>
      </c>
      <c r="GH974" s="276" t="s">
        <v>955</v>
      </c>
      <c r="GI974" s="276" t="s">
        <v>955</v>
      </c>
      <c r="GJ974" s="276" t="s">
        <v>955</v>
      </c>
      <c r="GK974" s="276" t="s">
        <v>955</v>
      </c>
      <c r="GL974" s="276" t="s">
        <v>955</v>
      </c>
      <c r="GM974" s="276" t="s">
        <v>955</v>
      </c>
      <c r="GN974" s="276" t="s">
        <v>955</v>
      </c>
      <c r="GO974" s="276" t="s">
        <v>955</v>
      </c>
      <c r="GP974" s="276" t="s">
        <v>955</v>
      </c>
      <c r="GQ974" s="276" t="s">
        <v>955</v>
      </c>
      <c r="GR974" s="276" t="s">
        <v>955</v>
      </c>
      <c r="GS974" s="276" t="s">
        <v>955</v>
      </c>
      <c r="GT974" s="276" t="s">
        <v>955</v>
      </c>
      <c r="GU974" s="276" t="s">
        <v>955</v>
      </c>
      <c r="GV974" s="276" t="s">
        <v>955</v>
      </c>
      <c r="GY974" s="277"/>
      <c r="GZ974" s="277"/>
      <c r="HA974" s="277"/>
      <c r="HB974" s="277"/>
    </row>
    <row r="975" spans="1:210" x14ac:dyDescent="0.2">
      <c r="A975" s="278"/>
      <c r="B975" s="279"/>
      <c r="T975" s="277"/>
      <c r="U975" s="277"/>
      <c r="V975" s="277"/>
      <c r="W975" s="277"/>
      <c r="EF975" s="277"/>
      <c r="EL975" s="298"/>
      <c r="GG975" s="276" t="s">
        <v>955</v>
      </c>
      <c r="GH975" s="276" t="s">
        <v>955</v>
      </c>
      <c r="GI975" s="276" t="s">
        <v>955</v>
      </c>
      <c r="GJ975" s="276" t="s">
        <v>955</v>
      </c>
      <c r="GK975" s="276" t="s">
        <v>955</v>
      </c>
      <c r="GL975" s="276" t="s">
        <v>955</v>
      </c>
      <c r="GM975" s="276" t="s">
        <v>955</v>
      </c>
      <c r="GN975" s="276" t="s">
        <v>955</v>
      </c>
      <c r="GO975" s="276" t="s">
        <v>955</v>
      </c>
      <c r="GP975" s="276" t="s">
        <v>955</v>
      </c>
      <c r="GQ975" s="276" t="s">
        <v>955</v>
      </c>
      <c r="GR975" s="276" t="s">
        <v>955</v>
      </c>
      <c r="GS975" s="276" t="s">
        <v>955</v>
      </c>
      <c r="GT975" s="276" t="s">
        <v>955</v>
      </c>
      <c r="GU975" s="276" t="s">
        <v>955</v>
      </c>
      <c r="GV975" s="276" t="s">
        <v>955</v>
      </c>
      <c r="GY975" s="277"/>
      <c r="GZ975" s="277"/>
      <c r="HA975" s="277"/>
      <c r="HB975" s="277"/>
    </row>
    <row r="976" spans="1:210" x14ac:dyDescent="0.2">
      <c r="A976" s="278"/>
      <c r="B976" s="279"/>
      <c r="T976" s="277"/>
      <c r="U976" s="277"/>
      <c r="V976" s="277"/>
      <c r="W976" s="277"/>
      <c r="AZ976" s="277"/>
      <c r="GG976" s="276" t="s">
        <v>955</v>
      </c>
      <c r="GH976" s="276" t="s">
        <v>955</v>
      </c>
      <c r="GI976" s="276" t="s">
        <v>955</v>
      </c>
      <c r="GJ976" s="276" t="s">
        <v>955</v>
      </c>
      <c r="GK976" s="276" t="s">
        <v>955</v>
      </c>
      <c r="GL976" s="276" t="s">
        <v>955</v>
      </c>
      <c r="GM976" s="276" t="s">
        <v>955</v>
      </c>
      <c r="GN976" s="276" t="s">
        <v>955</v>
      </c>
      <c r="GO976" s="276" t="s">
        <v>955</v>
      </c>
      <c r="GP976" s="276" t="s">
        <v>955</v>
      </c>
      <c r="GQ976" s="276" t="s">
        <v>955</v>
      </c>
      <c r="GR976" s="276" t="s">
        <v>955</v>
      </c>
      <c r="GS976" s="276" t="s">
        <v>955</v>
      </c>
      <c r="GT976" s="276" t="s">
        <v>955</v>
      </c>
      <c r="GU976" s="276" t="s">
        <v>955</v>
      </c>
      <c r="GV976" s="276" t="s">
        <v>955</v>
      </c>
    </row>
    <row r="977" spans="1:257" x14ac:dyDescent="0.2">
      <c r="A977" s="278"/>
      <c r="B977" s="279"/>
      <c r="O977" s="277"/>
      <c r="P977" s="277"/>
      <c r="Q977" s="277"/>
      <c r="R977" s="277"/>
      <c r="S977" s="277"/>
      <c r="T977" s="277"/>
      <c r="U977" s="277"/>
      <c r="V977" s="277"/>
      <c r="W977" s="277"/>
      <c r="AZ977" s="277"/>
      <c r="GG977" s="276" t="s">
        <v>955</v>
      </c>
      <c r="GH977" s="276" t="s">
        <v>955</v>
      </c>
      <c r="GI977" s="276" t="s">
        <v>955</v>
      </c>
      <c r="GJ977" s="276" t="s">
        <v>955</v>
      </c>
      <c r="GK977" s="276" t="s">
        <v>955</v>
      </c>
      <c r="GL977" s="276" t="s">
        <v>955</v>
      </c>
      <c r="GM977" s="276" t="s">
        <v>955</v>
      </c>
      <c r="GN977" s="276" t="s">
        <v>955</v>
      </c>
      <c r="GO977" s="276" t="s">
        <v>955</v>
      </c>
      <c r="GP977" s="276" t="s">
        <v>955</v>
      </c>
      <c r="GQ977" s="276" t="s">
        <v>955</v>
      </c>
      <c r="GR977" s="276" t="s">
        <v>955</v>
      </c>
      <c r="GS977" s="276" t="s">
        <v>955</v>
      </c>
      <c r="GT977" s="276" t="s">
        <v>955</v>
      </c>
      <c r="GU977" s="276" t="s">
        <v>955</v>
      </c>
      <c r="GV977" s="276" t="s">
        <v>955</v>
      </c>
    </row>
    <row r="978" spans="1:257" x14ac:dyDescent="0.2">
      <c r="A978" s="278"/>
      <c r="B978" s="279"/>
      <c r="E978" s="312"/>
      <c r="O978" s="277"/>
      <c r="P978" s="277"/>
      <c r="Q978" s="277"/>
      <c r="R978" s="277"/>
      <c r="S978" s="277"/>
      <c r="T978" s="277"/>
      <c r="U978" s="277"/>
      <c r="V978" s="277"/>
      <c r="W978" s="277"/>
      <c r="AZ978" s="277"/>
      <c r="GG978" s="276" t="s">
        <v>955</v>
      </c>
      <c r="GH978" s="276" t="s">
        <v>955</v>
      </c>
      <c r="GI978" s="276" t="s">
        <v>955</v>
      </c>
      <c r="GJ978" s="276" t="s">
        <v>955</v>
      </c>
      <c r="GK978" s="276" t="s">
        <v>955</v>
      </c>
      <c r="GL978" s="276" t="s">
        <v>955</v>
      </c>
      <c r="GM978" s="276" t="s">
        <v>955</v>
      </c>
      <c r="GN978" s="276" t="s">
        <v>955</v>
      </c>
      <c r="GO978" s="276" t="s">
        <v>955</v>
      </c>
      <c r="GP978" s="276" t="s">
        <v>955</v>
      </c>
      <c r="GQ978" s="276" t="s">
        <v>955</v>
      </c>
      <c r="GR978" s="276" t="s">
        <v>955</v>
      </c>
      <c r="GS978" s="276" t="s">
        <v>955</v>
      </c>
      <c r="GT978" s="276" t="s">
        <v>955</v>
      </c>
      <c r="GU978" s="276" t="s">
        <v>955</v>
      </c>
      <c r="GV978" s="276" t="s">
        <v>955</v>
      </c>
      <c r="HK978" s="277"/>
      <c r="HL978" s="277"/>
    </row>
    <row r="979" spans="1:257" x14ac:dyDescent="0.2">
      <c r="A979" s="278"/>
      <c r="B979" s="279"/>
      <c r="E979" s="312"/>
      <c r="O979" s="277"/>
      <c r="P979" s="277"/>
      <c r="Q979" s="277"/>
      <c r="R979" s="277"/>
      <c r="S979" s="277"/>
      <c r="AZ979" s="277"/>
      <c r="GC979" s="277"/>
      <c r="GD979" s="277"/>
      <c r="GG979" s="277" t="s">
        <v>955</v>
      </c>
      <c r="GH979" s="277" t="s">
        <v>955</v>
      </c>
      <c r="GI979" s="277" t="s">
        <v>955</v>
      </c>
      <c r="GJ979" s="277" t="s">
        <v>955</v>
      </c>
      <c r="GK979" s="277" t="s">
        <v>955</v>
      </c>
      <c r="GL979" s="277" t="s">
        <v>955</v>
      </c>
      <c r="GM979" s="277" t="s">
        <v>955</v>
      </c>
      <c r="GN979" s="277" t="s">
        <v>955</v>
      </c>
      <c r="GO979" s="277" t="s">
        <v>955</v>
      </c>
      <c r="GP979" s="277" t="s">
        <v>955</v>
      </c>
      <c r="GQ979" s="277" t="s">
        <v>955</v>
      </c>
      <c r="GR979" s="277" t="s">
        <v>955</v>
      </c>
      <c r="GS979" s="277" t="s">
        <v>955</v>
      </c>
      <c r="GT979" s="277" t="s">
        <v>955</v>
      </c>
      <c r="GU979" s="277" t="s">
        <v>955</v>
      </c>
      <c r="GV979" s="277" t="s">
        <v>955</v>
      </c>
      <c r="GW979" s="277"/>
      <c r="GX979" s="277"/>
      <c r="HC979" s="277"/>
      <c r="HD979" s="277"/>
      <c r="HE979" s="277"/>
      <c r="HF979" s="277"/>
      <c r="HG979" s="277"/>
      <c r="HH979" s="277"/>
      <c r="HI979" s="277"/>
      <c r="HJ979" s="277"/>
      <c r="HK979" s="277"/>
      <c r="HL979" s="277"/>
      <c r="HM979" s="277"/>
      <c r="HN979" s="277"/>
      <c r="HO979" s="277"/>
      <c r="HP979" s="277"/>
      <c r="HQ979" s="277"/>
      <c r="HR979" s="277"/>
      <c r="HS979" s="277"/>
      <c r="HT979" s="277"/>
      <c r="HU979" s="277"/>
      <c r="HV979" s="277"/>
      <c r="HW979" s="277"/>
      <c r="HX979" s="277"/>
      <c r="HY979" s="277"/>
      <c r="HZ979" s="277"/>
      <c r="IA979" s="277"/>
      <c r="IB979" s="277"/>
      <c r="IC979" s="277"/>
      <c r="ID979" s="277"/>
      <c r="IE979" s="277"/>
      <c r="IF979" s="277"/>
      <c r="IG979" s="277"/>
      <c r="IH979" s="277"/>
      <c r="II979" s="277"/>
      <c r="IJ979" s="277"/>
      <c r="IK979" s="277"/>
      <c r="IL979" s="277"/>
      <c r="IM979" s="277"/>
      <c r="IN979" s="277"/>
      <c r="IO979" s="277"/>
      <c r="IP979" s="277"/>
      <c r="IQ979" s="277"/>
      <c r="IR979" s="277"/>
      <c r="IS979" s="277"/>
      <c r="IT979" s="277"/>
      <c r="IU979" s="277"/>
      <c r="IV979" s="277"/>
      <c r="IW979" s="277"/>
    </row>
    <row r="980" spans="1:257" x14ac:dyDescent="0.2">
      <c r="A980" s="278"/>
      <c r="B980" s="279"/>
      <c r="E980" s="312"/>
      <c r="O980" s="277"/>
      <c r="P980" s="277"/>
      <c r="Q980" s="277"/>
      <c r="R980" s="277"/>
      <c r="S980" s="277"/>
      <c r="AZ980" s="277"/>
      <c r="CY980" s="277"/>
      <c r="DE980" s="277"/>
      <c r="GC980" s="277"/>
      <c r="GD980" s="277"/>
      <c r="GG980" s="277" t="s">
        <v>955</v>
      </c>
      <c r="GH980" s="277" t="s">
        <v>955</v>
      </c>
      <c r="GI980" s="277" t="s">
        <v>955</v>
      </c>
      <c r="GJ980" s="277" t="s">
        <v>955</v>
      </c>
      <c r="GK980" s="277" t="s">
        <v>955</v>
      </c>
      <c r="GL980" s="277" t="s">
        <v>955</v>
      </c>
      <c r="GM980" s="277" t="s">
        <v>955</v>
      </c>
      <c r="GN980" s="277" t="s">
        <v>955</v>
      </c>
      <c r="GO980" s="277" t="s">
        <v>955</v>
      </c>
      <c r="GP980" s="277" t="s">
        <v>955</v>
      </c>
      <c r="GQ980" s="277" t="s">
        <v>955</v>
      </c>
      <c r="GR980" s="277" t="s">
        <v>955</v>
      </c>
      <c r="GS980" s="277" t="s">
        <v>955</v>
      </c>
      <c r="GT980" s="277" t="s">
        <v>955</v>
      </c>
      <c r="GU980" s="277" t="s">
        <v>955</v>
      </c>
      <c r="GV980" s="277" t="s">
        <v>955</v>
      </c>
      <c r="GW980" s="277"/>
      <c r="GX980" s="277"/>
      <c r="HC980" s="277"/>
      <c r="HD980" s="277"/>
      <c r="HE980" s="277"/>
      <c r="HF980" s="277"/>
      <c r="HG980" s="277"/>
      <c r="HH980" s="277"/>
      <c r="HI980" s="277"/>
      <c r="HJ980" s="277"/>
      <c r="HK980" s="277"/>
      <c r="HL980" s="277"/>
      <c r="HM980" s="277"/>
      <c r="HN980" s="277"/>
      <c r="HO980" s="277"/>
      <c r="HP980" s="277"/>
      <c r="HQ980" s="277"/>
      <c r="HR980" s="277"/>
      <c r="HS980" s="277"/>
      <c r="HT980" s="277"/>
      <c r="HU980" s="277"/>
      <c r="HV980" s="277"/>
      <c r="HW980" s="277"/>
      <c r="HX980" s="277"/>
      <c r="HY980" s="277"/>
      <c r="HZ980" s="277"/>
      <c r="IA980" s="277"/>
      <c r="IB980" s="277"/>
      <c r="IC980" s="277"/>
      <c r="ID980" s="277"/>
      <c r="IE980" s="277"/>
      <c r="IF980" s="277"/>
      <c r="IG980" s="277"/>
      <c r="IH980" s="277"/>
      <c r="II980" s="277"/>
      <c r="IJ980" s="277"/>
      <c r="IK980" s="277"/>
      <c r="IL980" s="277"/>
      <c r="IM980" s="277"/>
      <c r="IN980" s="277"/>
      <c r="IO980" s="277"/>
      <c r="IP980" s="277"/>
      <c r="IQ980" s="277"/>
      <c r="IR980" s="277"/>
      <c r="IS980" s="277"/>
      <c r="IT980" s="277"/>
      <c r="IU980" s="277"/>
      <c r="IV980" s="277"/>
      <c r="IW980" s="277"/>
    </row>
    <row r="981" spans="1:257" x14ac:dyDescent="0.2">
      <c r="A981" s="278"/>
      <c r="B981" s="279"/>
      <c r="D981" s="277"/>
      <c r="E981" s="312"/>
      <c r="O981" s="277"/>
      <c r="P981" s="277"/>
      <c r="Q981" s="277"/>
      <c r="R981" s="277"/>
      <c r="S981" s="277"/>
      <c r="AZ981" s="277"/>
      <c r="CY981" s="277"/>
      <c r="DE981" s="277"/>
      <c r="GC981" s="277"/>
      <c r="GD981" s="277"/>
      <c r="GG981" s="277" t="s">
        <v>955</v>
      </c>
      <c r="GH981" s="277" t="s">
        <v>955</v>
      </c>
      <c r="GI981" s="277" t="s">
        <v>955</v>
      </c>
      <c r="GJ981" s="277" t="s">
        <v>955</v>
      </c>
      <c r="GK981" s="277" t="s">
        <v>955</v>
      </c>
      <c r="GL981" s="277" t="s">
        <v>955</v>
      </c>
      <c r="GM981" s="277" t="s">
        <v>955</v>
      </c>
      <c r="GN981" s="277" t="s">
        <v>955</v>
      </c>
      <c r="GO981" s="277" t="s">
        <v>955</v>
      </c>
      <c r="GP981" s="277" t="s">
        <v>955</v>
      </c>
      <c r="GQ981" s="277" t="s">
        <v>955</v>
      </c>
      <c r="GR981" s="277" t="s">
        <v>955</v>
      </c>
      <c r="GS981" s="277" t="s">
        <v>955</v>
      </c>
      <c r="GT981" s="277" t="s">
        <v>955</v>
      </c>
      <c r="GU981" s="277" t="s">
        <v>955</v>
      </c>
      <c r="GV981" s="277" t="s">
        <v>955</v>
      </c>
      <c r="GW981" s="277"/>
      <c r="GX981" s="277"/>
      <c r="HC981" s="277"/>
      <c r="HD981" s="277"/>
      <c r="HE981" s="277"/>
      <c r="HF981" s="277"/>
      <c r="HG981" s="277"/>
      <c r="HH981" s="277"/>
      <c r="HI981" s="277"/>
      <c r="HJ981" s="277"/>
      <c r="HK981" s="277"/>
      <c r="HL981" s="277"/>
      <c r="HM981" s="277"/>
      <c r="HN981" s="277"/>
      <c r="HO981" s="277"/>
      <c r="HP981" s="277"/>
      <c r="HQ981" s="277"/>
      <c r="HR981" s="277"/>
      <c r="HS981" s="277"/>
      <c r="HT981" s="277"/>
      <c r="HU981" s="277"/>
      <c r="HV981" s="277"/>
      <c r="HW981" s="277"/>
      <c r="HX981" s="277"/>
      <c r="HY981" s="277"/>
      <c r="HZ981" s="277"/>
      <c r="IA981" s="277"/>
      <c r="IB981" s="277"/>
      <c r="IC981" s="277"/>
      <c r="ID981" s="277"/>
      <c r="IE981" s="277"/>
      <c r="IF981" s="277"/>
      <c r="IG981" s="277"/>
      <c r="IH981" s="277"/>
      <c r="II981" s="277"/>
      <c r="IJ981" s="277"/>
      <c r="IK981" s="277"/>
      <c r="IL981" s="277"/>
      <c r="IM981" s="277"/>
      <c r="IN981" s="277"/>
      <c r="IO981" s="277"/>
      <c r="IP981" s="277"/>
      <c r="IQ981" s="277"/>
      <c r="IR981" s="277"/>
      <c r="IS981" s="277"/>
      <c r="IT981" s="277"/>
      <c r="IU981" s="277"/>
      <c r="IV981" s="277"/>
      <c r="IW981" s="277"/>
    </row>
    <row r="982" spans="1:257" x14ac:dyDescent="0.2">
      <c r="A982" s="278"/>
      <c r="B982" s="279"/>
      <c r="C982" s="277"/>
      <c r="D982" s="277"/>
      <c r="E982" s="312"/>
      <c r="O982" s="277"/>
      <c r="P982" s="277"/>
      <c r="Q982" s="277"/>
      <c r="R982" s="277"/>
      <c r="S982" s="277"/>
      <c r="AO982" s="277"/>
      <c r="AP982" s="277"/>
      <c r="AQ982" s="277"/>
      <c r="AR982" s="277"/>
      <c r="AS982" s="277"/>
      <c r="AT982" s="277"/>
      <c r="AU982" s="277"/>
      <c r="AV982" s="277"/>
      <c r="AW982" s="277"/>
      <c r="AX982" s="277"/>
      <c r="AY982" s="277"/>
      <c r="BA982" s="277"/>
      <c r="CY982" s="277"/>
      <c r="DE982" s="277"/>
      <c r="GC982" s="277"/>
      <c r="GD982" s="277"/>
      <c r="GG982" s="277" t="s">
        <v>955</v>
      </c>
      <c r="GH982" s="277" t="s">
        <v>955</v>
      </c>
      <c r="GI982" s="277" t="s">
        <v>955</v>
      </c>
      <c r="GJ982" s="277" t="s">
        <v>955</v>
      </c>
      <c r="GK982" s="277" t="s">
        <v>955</v>
      </c>
      <c r="GL982" s="277" t="s">
        <v>955</v>
      </c>
      <c r="GM982" s="277" t="s">
        <v>955</v>
      </c>
      <c r="GN982" s="277" t="s">
        <v>955</v>
      </c>
      <c r="GO982" s="277" t="s">
        <v>955</v>
      </c>
      <c r="GP982" s="277" t="s">
        <v>955</v>
      </c>
      <c r="GQ982" s="277" t="s">
        <v>955</v>
      </c>
      <c r="GR982" s="277" t="s">
        <v>955</v>
      </c>
      <c r="GS982" s="277" t="s">
        <v>955</v>
      </c>
      <c r="GT982" s="277" t="s">
        <v>955</v>
      </c>
      <c r="GU982" s="277" t="s">
        <v>955</v>
      </c>
      <c r="GV982" s="277" t="s">
        <v>955</v>
      </c>
      <c r="GW982" s="277"/>
      <c r="GX982" s="277"/>
      <c r="HC982" s="277"/>
      <c r="HD982" s="277"/>
      <c r="HE982" s="277"/>
      <c r="HF982" s="277"/>
      <c r="HG982" s="277"/>
      <c r="HH982" s="277"/>
      <c r="HI982" s="277"/>
      <c r="HJ982" s="277"/>
      <c r="HK982" s="277"/>
      <c r="HL982" s="277"/>
      <c r="HM982" s="277"/>
      <c r="HN982" s="277"/>
      <c r="HO982" s="277"/>
      <c r="HP982" s="277"/>
      <c r="HQ982" s="277"/>
      <c r="HR982" s="277"/>
      <c r="HS982" s="277"/>
      <c r="HT982" s="277"/>
      <c r="HU982" s="277"/>
      <c r="HV982" s="277"/>
      <c r="HW982" s="277"/>
      <c r="HX982" s="277"/>
      <c r="HY982" s="277"/>
      <c r="HZ982" s="277"/>
      <c r="IA982" s="277"/>
      <c r="IB982" s="277"/>
      <c r="IC982" s="277"/>
      <c r="ID982" s="277"/>
      <c r="IE982" s="277"/>
      <c r="IF982" s="277"/>
      <c r="IG982" s="277"/>
      <c r="IH982" s="277"/>
      <c r="II982" s="277"/>
      <c r="IJ982" s="277"/>
      <c r="IK982" s="277"/>
      <c r="IL982" s="277"/>
      <c r="IM982" s="277"/>
      <c r="IN982" s="277"/>
      <c r="IO982" s="277"/>
      <c r="IP982" s="277"/>
      <c r="IQ982" s="277"/>
      <c r="IR982" s="277"/>
      <c r="IS982" s="277"/>
      <c r="IT982" s="277"/>
      <c r="IU982" s="277"/>
      <c r="IV982" s="277"/>
      <c r="IW982" s="277"/>
    </row>
    <row r="983" spans="1:257" x14ac:dyDescent="0.2">
      <c r="A983" s="278"/>
      <c r="B983" s="279"/>
      <c r="C983" s="277"/>
      <c r="D983" s="277"/>
      <c r="E983" s="312"/>
      <c r="AM983" s="277"/>
      <c r="AN983" s="277"/>
      <c r="AO983" s="277"/>
      <c r="AP983" s="277"/>
      <c r="AQ983" s="277"/>
      <c r="AR983" s="277"/>
      <c r="AS983" s="277"/>
      <c r="AT983" s="277"/>
      <c r="AU983" s="277"/>
      <c r="AV983" s="277"/>
      <c r="AW983" s="277"/>
      <c r="AX983" s="277"/>
      <c r="AY983" s="277"/>
      <c r="BA983" s="277"/>
      <c r="CY983" s="277"/>
      <c r="DE983" s="277"/>
      <c r="EF983" s="312"/>
      <c r="EL983" s="331"/>
      <c r="GC983" s="277"/>
      <c r="GD983" s="277"/>
      <c r="GG983" s="277" t="s">
        <v>955</v>
      </c>
      <c r="GH983" s="277" t="s">
        <v>955</v>
      </c>
      <c r="GI983" s="277" t="s">
        <v>955</v>
      </c>
      <c r="GJ983" s="277" t="s">
        <v>955</v>
      </c>
      <c r="GK983" s="277" t="s">
        <v>955</v>
      </c>
      <c r="GL983" s="277" t="s">
        <v>955</v>
      </c>
      <c r="GM983" s="277" t="s">
        <v>955</v>
      </c>
      <c r="GN983" s="277" t="s">
        <v>955</v>
      </c>
      <c r="GO983" s="277" t="s">
        <v>955</v>
      </c>
      <c r="GP983" s="277" t="s">
        <v>955</v>
      </c>
      <c r="GQ983" s="277" t="s">
        <v>955</v>
      </c>
      <c r="GR983" s="277" t="s">
        <v>955</v>
      </c>
      <c r="GS983" s="277" t="s">
        <v>955</v>
      </c>
      <c r="GT983" s="277" t="s">
        <v>955</v>
      </c>
      <c r="GU983" s="277" t="s">
        <v>955</v>
      </c>
      <c r="GV983" s="277" t="s">
        <v>955</v>
      </c>
      <c r="GW983" s="277"/>
      <c r="GX983" s="277"/>
      <c r="GY983" s="312"/>
      <c r="GZ983" s="312"/>
      <c r="HA983" s="312"/>
      <c r="HB983" s="312"/>
      <c r="HC983" s="277"/>
      <c r="HD983" s="277"/>
      <c r="HE983" s="277"/>
      <c r="HF983" s="277"/>
      <c r="HG983" s="277"/>
      <c r="HH983" s="277"/>
      <c r="HI983" s="277"/>
      <c r="HJ983" s="277"/>
      <c r="HK983" s="277"/>
      <c r="HL983" s="277"/>
      <c r="HM983" s="277"/>
      <c r="HN983" s="277"/>
      <c r="HO983" s="277"/>
      <c r="HP983" s="277"/>
      <c r="HQ983" s="277"/>
      <c r="HR983" s="277"/>
      <c r="HS983" s="277"/>
      <c r="HT983" s="277"/>
      <c r="HU983" s="277"/>
      <c r="HV983" s="277"/>
      <c r="HW983" s="277"/>
      <c r="HX983" s="277"/>
      <c r="HY983" s="277"/>
      <c r="HZ983" s="277"/>
      <c r="IA983" s="277"/>
      <c r="IB983" s="277"/>
      <c r="IC983" s="277"/>
      <c r="ID983" s="277"/>
      <c r="IE983" s="277"/>
      <c r="IF983" s="277"/>
      <c r="IG983" s="277"/>
      <c r="IH983" s="277"/>
      <c r="II983" s="277"/>
      <c r="IJ983" s="277"/>
      <c r="IK983" s="277"/>
      <c r="IL983" s="277"/>
      <c r="IM983" s="277"/>
      <c r="IN983" s="277"/>
      <c r="IO983" s="277"/>
      <c r="IP983" s="277"/>
      <c r="IQ983" s="277"/>
      <c r="IR983" s="277"/>
      <c r="IS983" s="277"/>
      <c r="IT983" s="277"/>
      <c r="IU983" s="277"/>
      <c r="IV983" s="277"/>
      <c r="IW983" s="277"/>
    </row>
    <row r="984" spans="1:257" x14ac:dyDescent="0.2">
      <c r="A984" s="278"/>
      <c r="B984" s="279"/>
      <c r="C984" s="277"/>
      <c r="D984" s="277"/>
      <c r="AM984" s="277"/>
      <c r="AN984" s="277"/>
      <c r="AO984" s="277"/>
      <c r="AP984" s="277"/>
      <c r="AQ984" s="277"/>
      <c r="AR984" s="277"/>
      <c r="AS984" s="277"/>
      <c r="AT984" s="277"/>
      <c r="AU984" s="277"/>
      <c r="AV984" s="277"/>
      <c r="AW984" s="277"/>
      <c r="AX984" s="277"/>
      <c r="AY984" s="277"/>
      <c r="BA984" s="277"/>
      <c r="CY984" s="277"/>
      <c r="DE984" s="277"/>
      <c r="EF984" s="312"/>
      <c r="EL984" s="331"/>
      <c r="GC984" s="277"/>
      <c r="GD984" s="277"/>
      <c r="GG984" s="277" t="s">
        <v>955</v>
      </c>
      <c r="GH984" s="277" t="s">
        <v>955</v>
      </c>
      <c r="GI984" s="277" t="s">
        <v>955</v>
      </c>
      <c r="GJ984" s="277" t="s">
        <v>955</v>
      </c>
      <c r="GK984" s="277" t="s">
        <v>955</v>
      </c>
      <c r="GL984" s="277" t="s">
        <v>955</v>
      </c>
      <c r="GM984" s="277" t="s">
        <v>955</v>
      </c>
      <c r="GN984" s="277" t="s">
        <v>955</v>
      </c>
      <c r="GO984" s="277" t="s">
        <v>955</v>
      </c>
      <c r="GP984" s="277" t="s">
        <v>955</v>
      </c>
      <c r="GQ984" s="277" t="s">
        <v>955</v>
      </c>
      <c r="GR984" s="277" t="s">
        <v>955</v>
      </c>
      <c r="GS984" s="277" t="s">
        <v>955</v>
      </c>
      <c r="GT984" s="277" t="s">
        <v>955</v>
      </c>
      <c r="GU984" s="277" t="s">
        <v>955</v>
      </c>
      <c r="GV984" s="277" t="s">
        <v>955</v>
      </c>
      <c r="GW984" s="277"/>
      <c r="GX984" s="277"/>
      <c r="GY984" s="312"/>
      <c r="GZ984" s="312"/>
      <c r="HA984" s="312"/>
      <c r="HB984" s="312"/>
      <c r="HC984" s="277"/>
      <c r="HD984" s="277"/>
      <c r="HE984" s="277"/>
      <c r="HF984" s="277"/>
      <c r="HG984" s="277"/>
      <c r="HH984" s="277"/>
      <c r="HI984" s="277"/>
      <c r="HJ984" s="277"/>
      <c r="HM984" s="277"/>
      <c r="HN984" s="277"/>
      <c r="HO984" s="277"/>
      <c r="HP984" s="277"/>
      <c r="HQ984" s="277"/>
      <c r="HR984" s="277"/>
      <c r="HS984" s="277"/>
      <c r="HT984" s="277"/>
      <c r="HU984" s="277"/>
      <c r="HV984" s="277"/>
      <c r="HW984" s="277"/>
      <c r="HX984" s="277"/>
      <c r="HY984" s="277"/>
      <c r="HZ984" s="277"/>
      <c r="IA984" s="277"/>
      <c r="IB984" s="277"/>
      <c r="IC984" s="277"/>
      <c r="ID984" s="277"/>
      <c r="IE984" s="277"/>
      <c r="IF984" s="277"/>
      <c r="IG984" s="277"/>
      <c r="IH984" s="277"/>
      <c r="II984" s="277"/>
      <c r="IJ984" s="277"/>
      <c r="IK984" s="277"/>
      <c r="IL984" s="277"/>
      <c r="IM984" s="277"/>
      <c r="IN984" s="277"/>
      <c r="IO984" s="277"/>
      <c r="IP984" s="277"/>
      <c r="IQ984" s="277"/>
      <c r="IR984" s="277"/>
      <c r="IS984" s="277"/>
      <c r="IT984" s="277"/>
      <c r="IU984" s="277"/>
      <c r="IV984" s="277"/>
      <c r="IW984" s="277"/>
    </row>
    <row r="985" spans="1:257" x14ac:dyDescent="0.2">
      <c r="A985" s="278"/>
      <c r="B985" s="279"/>
      <c r="C985" s="277"/>
      <c r="D985" s="277"/>
      <c r="AM985" s="277"/>
      <c r="AN985" s="277"/>
      <c r="AO985" s="277"/>
      <c r="AP985" s="277"/>
      <c r="AQ985" s="277"/>
      <c r="AR985" s="277"/>
      <c r="AS985" s="277"/>
      <c r="AT985" s="277"/>
      <c r="AU985" s="277"/>
      <c r="AV985" s="277"/>
      <c r="AW985" s="277"/>
      <c r="AX985" s="277"/>
      <c r="AY985" s="277"/>
      <c r="BA985" s="277"/>
      <c r="BL985" s="298"/>
      <c r="CY985" s="277"/>
      <c r="DE985" s="277"/>
      <c r="EF985" s="312"/>
      <c r="EL985" s="331"/>
      <c r="GG985" s="276" t="s">
        <v>955</v>
      </c>
      <c r="GH985" s="276" t="s">
        <v>955</v>
      </c>
      <c r="GI985" s="276" t="s">
        <v>955</v>
      </c>
      <c r="GJ985" s="276" t="s">
        <v>955</v>
      </c>
      <c r="GK985" s="276" t="s">
        <v>955</v>
      </c>
      <c r="GL985" s="276" t="s">
        <v>955</v>
      </c>
      <c r="GM985" s="276" t="s">
        <v>955</v>
      </c>
      <c r="GN985" s="276" t="s">
        <v>955</v>
      </c>
      <c r="GO985" s="276" t="s">
        <v>955</v>
      </c>
      <c r="GP985" s="276" t="s">
        <v>955</v>
      </c>
      <c r="GQ985" s="276" t="s">
        <v>955</v>
      </c>
      <c r="GR985" s="276" t="s">
        <v>955</v>
      </c>
      <c r="GS985" s="276" t="s">
        <v>955</v>
      </c>
      <c r="GT985" s="276" t="s">
        <v>955</v>
      </c>
      <c r="GU985" s="276" t="s">
        <v>955</v>
      </c>
      <c r="GV985" s="276" t="s">
        <v>955</v>
      </c>
      <c r="GY985" s="312"/>
      <c r="GZ985" s="312"/>
      <c r="HA985" s="312"/>
      <c r="HB985" s="312"/>
    </row>
    <row r="986" spans="1:257" x14ac:dyDescent="0.2">
      <c r="A986" s="278"/>
      <c r="B986" s="279"/>
      <c r="C986" s="277"/>
      <c r="D986" s="277"/>
      <c r="T986" s="312"/>
      <c r="U986" s="312"/>
      <c r="V986" s="312"/>
      <c r="W986" s="312"/>
      <c r="AM986" s="277"/>
      <c r="AN986" s="277"/>
      <c r="AO986" s="277"/>
      <c r="AP986" s="277"/>
      <c r="AQ986" s="277"/>
      <c r="AR986" s="277"/>
      <c r="AS986" s="277"/>
      <c r="AT986" s="277"/>
      <c r="AU986" s="277"/>
      <c r="AV986" s="277"/>
      <c r="AW986" s="277"/>
      <c r="AX986" s="277"/>
      <c r="AY986" s="277"/>
      <c r="BA986" s="277"/>
      <c r="BL986" s="298"/>
      <c r="EF986" s="312"/>
      <c r="EL986" s="331"/>
      <c r="GG986" s="276" t="s">
        <v>955</v>
      </c>
      <c r="GH986" s="276" t="s">
        <v>955</v>
      </c>
      <c r="GI986" s="276" t="s">
        <v>955</v>
      </c>
      <c r="GJ986" s="276" t="s">
        <v>955</v>
      </c>
      <c r="GK986" s="276" t="s">
        <v>955</v>
      </c>
      <c r="GL986" s="276" t="s">
        <v>955</v>
      </c>
      <c r="GM986" s="276" t="s">
        <v>955</v>
      </c>
      <c r="GN986" s="276" t="s">
        <v>955</v>
      </c>
      <c r="GO986" s="276" t="s">
        <v>955</v>
      </c>
      <c r="GP986" s="276" t="s">
        <v>955</v>
      </c>
      <c r="GQ986" s="276" t="s">
        <v>955</v>
      </c>
      <c r="GR986" s="276" t="s">
        <v>955</v>
      </c>
      <c r="GS986" s="276" t="s">
        <v>955</v>
      </c>
      <c r="GT986" s="276" t="s">
        <v>955</v>
      </c>
      <c r="GU986" s="276" t="s">
        <v>955</v>
      </c>
      <c r="GV986" s="276" t="s">
        <v>955</v>
      </c>
      <c r="GY986" s="312"/>
      <c r="GZ986" s="312"/>
      <c r="HA986" s="312"/>
      <c r="HB986" s="312"/>
    </row>
    <row r="987" spans="1:257" x14ac:dyDescent="0.2">
      <c r="A987" s="278"/>
      <c r="B987" s="279"/>
      <c r="C987" s="277"/>
      <c r="T987" s="312"/>
      <c r="U987" s="312"/>
      <c r="V987" s="312"/>
      <c r="W987" s="312"/>
      <c r="AM987" s="277"/>
      <c r="AN987" s="277"/>
      <c r="AO987" s="277"/>
      <c r="AP987" s="277"/>
      <c r="AQ987" s="277"/>
      <c r="AR987" s="277"/>
      <c r="AS987" s="277"/>
      <c r="AT987" s="277"/>
      <c r="AU987" s="277"/>
      <c r="AV987" s="277"/>
      <c r="AW987" s="277"/>
      <c r="AX987" s="277"/>
      <c r="AY987" s="277"/>
      <c r="BA987" s="277"/>
      <c r="BL987" s="298"/>
      <c r="EF987" s="312"/>
      <c r="EL987" s="331"/>
      <c r="GG987" s="276" t="s">
        <v>955</v>
      </c>
      <c r="GH987" s="276" t="s">
        <v>955</v>
      </c>
      <c r="GI987" s="276" t="s">
        <v>955</v>
      </c>
      <c r="GJ987" s="276" t="s">
        <v>955</v>
      </c>
      <c r="GK987" s="276" t="s">
        <v>955</v>
      </c>
      <c r="GL987" s="276" t="s">
        <v>955</v>
      </c>
      <c r="GM987" s="276" t="s">
        <v>955</v>
      </c>
      <c r="GN987" s="276" t="s">
        <v>955</v>
      </c>
      <c r="GO987" s="276" t="s">
        <v>955</v>
      </c>
      <c r="GP987" s="276" t="s">
        <v>955</v>
      </c>
      <c r="GQ987" s="276" t="s">
        <v>955</v>
      </c>
      <c r="GR987" s="276" t="s">
        <v>955</v>
      </c>
      <c r="GS987" s="276" t="s">
        <v>955</v>
      </c>
      <c r="GT987" s="276" t="s">
        <v>955</v>
      </c>
      <c r="GU987" s="276" t="s">
        <v>955</v>
      </c>
      <c r="GV987" s="276" t="s">
        <v>955</v>
      </c>
      <c r="GY987" s="312"/>
      <c r="GZ987" s="312"/>
      <c r="HA987" s="312"/>
      <c r="HB987" s="312"/>
    </row>
    <row r="988" spans="1:257" x14ac:dyDescent="0.2">
      <c r="A988" s="278"/>
      <c r="B988" s="279"/>
      <c r="T988" s="312"/>
      <c r="U988" s="312"/>
      <c r="V988" s="312"/>
      <c r="W988" s="312"/>
      <c r="AM988" s="277"/>
      <c r="AN988" s="277"/>
      <c r="BL988" s="298"/>
      <c r="EF988" s="312"/>
      <c r="EL988" s="331"/>
      <c r="GG988" s="276" t="s">
        <v>955</v>
      </c>
      <c r="GH988" s="276" t="s">
        <v>955</v>
      </c>
      <c r="GI988" s="276" t="s">
        <v>955</v>
      </c>
      <c r="GJ988" s="276" t="s">
        <v>955</v>
      </c>
      <c r="GK988" s="276" t="s">
        <v>955</v>
      </c>
      <c r="GL988" s="276" t="s">
        <v>955</v>
      </c>
      <c r="GM988" s="276" t="s">
        <v>955</v>
      </c>
      <c r="GN988" s="276" t="s">
        <v>955</v>
      </c>
      <c r="GO988" s="276" t="s">
        <v>955</v>
      </c>
      <c r="GP988" s="276" t="s">
        <v>955</v>
      </c>
      <c r="GQ988" s="276" t="s">
        <v>955</v>
      </c>
      <c r="GR988" s="276" t="s">
        <v>955</v>
      </c>
      <c r="GS988" s="276" t="s">
        <v>955</v>
      </c>
      <c r="GT988" s="276" t="s">
        <v>955</v>
      </c>
      <c r="GU988" s="276" t="s">
        <v>955</v>
      </c>
      <c r="GV988" s="276" t="s">
        <v>955</v>
      </c>
      <c r="GY988" s="312"/>
      <c r="GZ988" s="312"/>
      <c r="HA988" s="312"/>
      <c r="HB988" s="312"/>
    </row>
    <row r="989" spans="1:257" x14ac:dyDescent="0.2">
      <c r="A989" s="278"/>
      <c r="B989" s="279"/>
      <c r="T989" s="312"/>
      <c r="U989" s="312"/>
      <c r="V989" s="312"/>
      <c r="W989" s="312"/>
      <c r="X989" s="277"/>
      <c r="Y989" s="277"/>
      <c r="Z989" s="277"/>
      <c r="AA989" s="277"/>
      <c r="AB989" s="277"/>
      <c r="AJ989" s="277"/>
      <c r="AK989" s="277"/>
      <c r="AL989" s="277"/>
      <c r="AZ989" s="312"/>
      <c r="BL989" s="298"/>
      <c r="GG989" s="276" t="s">
        <v>955</v>
      </c>
      <c r="GH989" s="276" t="s">
        <v>955</v>
      </c>
      <c r="GI989" s="276" t="s">
        <v>955</v>
      </c>
      <c r="GJ989" s="276" t="s">
        <v>955</v>
      </c>
      <c r="GK989" s="276" t="s">
        <v>955</v>
      </c>
      <c r="GL989" s="276" t="s">
        <v>955</v>
      </c>
      <c r="GM989" s="276" t="s">
        <v>955</v>
      </c>
      <c r="GN989" s="276" t="s">
        <v>955</v>
      </c>
      <c r="GO989" s="276" t="s">
        <v>955</v>
      </c>
      <c r="GP989" s="276" t="s">
        <v>955</v>
      </c>
      <c r="GQ989" s="276" t="s">
        <v>955</v>
      </c>
      <c r="GR989" s="276" t="s">
        <v>955</v>
      </c>
      <c r="GS989" s="276" t="s">
        <v>955</v>
      </c>
      <c r="GT989" s="276" t="s">
        <v>955</v>
      </c>
      <c r="GU989" s="276" t="s">
        <v>955</v>
      </c>
      <c r="GV989" s="276" t="s">
        <v>955</v>
      </c>
    </row>
    <row r="990" spans="1:257" x14ac:dyDescent="0.2">
      <c r="A990" s="278"/>
      <c r="B990" s="279"/>
      <c r="O990" s="312"/>
      <c r="P990" s="312"/>
      <c r="Q990" s="312"/>
      <c r="R990" s="312"/>
      <c r="S990" s="312"/>
      <c r="T990" s="312"/>
      <c r="U990" s="312"/>
      <c r="V990" s="312"/>
      <c r="W990" s="312"/>
      <c r="X990" s="277"/>
      <c r="Y990" s="277"/>
      <c r="Z990" s="277"/>
      <c r="AA990" s="277"/>
      <c r="AB990" s="277"/>
      <c r="AJ990" s="277"/>
      <c r="AK990" s="277"/>
      <c r="AL990" s="277"/>
      <c r="AZ990" s="312"/>
      <c r="BL990" s="298"/>
      <c r="GG990" s="276" t="s">
        <v>955</v>
      </c>
      <c r="GH990" s="276" t="s">
        <v>955</v>
      </c>
      <c r="GI990" s="276" t="s">
        <v>955</v>
      </c>
      <c r="GJ990" s="276" t="s">
        <v>955</v>
      </c>
      <c r="GK990" s="276" t="s">
        <v>955</v>
      </c>
      <c r="GL990" s="276" t="s">
        <v>955</v>
      </c>
      <c r="GM990" s="276" t="s">
        <v>955</v>
      </c>
      <c r="GN990" s="276" t="s">
        <v>955</v>
      </c>
      <c r="GO990" s="276" t="s">
        <v>955</v>
      </c>
      <c r="GP990" s="276" t="s">
        <v>955</v>
      </c>
      <c r="GQ990" s="276" t="s">
        <v>955</v>
      </c>
      <c r="GR990" s="276" t="s">
        <v>955</v>
      </c>
      <c r="GS990" s="276" t="s">
        <v>955</v>
      </c>
      <c r="GT990" s="276" t="s">
        <v>955</v>
      </c>
      <c r="GU990" s="276" t="s">
        <v>955</v>
      </c>
      <c r="GV990" s="276" t="s">
        <v>955</v>
      </c>
    </row>
    <row r="991" spans="1:257" x14ac:dyDescent="0.2">
      <c r="A991" s="278"/>
      <c r="B991" s="279"/>
      <c r="O991" s="312"/>
      <c r="P991" s="312"/>
      <c r="Q991" s="312"/>
      <c r="R991" s="312"/>
      <c r="S991" s="312"/>
      <c r="T991" s="312"/>
      <c r="U991" s="312"/>
      <c r="V991" s="312"/>
      <c r="W991" s="312"/>
      <c r="X991" s="277"/>
      <c r="Y991" s="277"/>
      <c r="Z991" s="277"/>
      <c r="AA991" s="277"/>
      <c r="AB991" s="277"/>
      <c r="AC991" s="277"/>
      <c r="AD991" s="277"/>
      <c r="AE991" s="277"/>
      <c r="AF991" s="277"/>
      <c r="AG991" s="277"/>
      <c r="AH991" s="277"/>
      <c r="AI991" s="277"/>
      <c r="AJ991" s="277"/>
      <c r="AK991" s="277"/>
      <c r="AL991" s="277"/>
      <c r="AZ991" s="312"/>
      <c r="GG991" s="276" t="s">
        <v>955</v>
      </c>
      <c r="GH991" s="276" t="s">
        <v>955</v>
      </c>
      <c r="GI991" s="276" t="s">
        <v>955</v>
      </c>
      <c r="GJ991" s="276" t="s">
        <v>955</v>
      </c>
      <c r="GK991" s="276" t="s">
        <v>955</v>
      </c>
      <c r="GL991" s="276" t="s">
        <v>955</v>
      </c>
      <c r="GM991" s="276" t="s">
        <v>955</v>
      </c>
      <c r="GN991" s="276" t="s">
        <v>955</v>
      </c>
      <c r="GO991" s="276" t="s">
        <v>955</v>
      </c>
      <c r="GP991" s="276" t="s">
        <v>955</v>
      </c>
      <c r="GQ991" s="276" t="s">
        <v>955</v>
      </c>
      <c r="GR991" s="276" t="s">
        <v>955</v>
      </c>
      <c r="GS991" s="276" t="s">
        <v>955</v>
      </c>
      <c r="GT991" s="276" t="s">
        <v>955</v>
      </c>
      <c r="GU991" s="276" t="s">
        <v>955</v>
      </c>
      <c r="GV991" s="276" t="s">
        <v>955</v>
      </c>
      <c r="HK991" s="312"/>
      <c r="HL991" s="312"/>
    </row>
    <row r="992" spans="1:257" s="277" customFormat="1" x14ac:dyDescent="0.2">
      <c r="A992" s="278"/>
      <c r="B992" s="279"/>
      <c r="C992" s="276"/>
      <c r="D992" s="276"/>
      <c r="E992" s="276"/>
      <c r="F992" s="276"/>
      <c r="G992" s="276"/>
      <c r="H992" s="276"/>
      <c r="I992" s="276"/>
      <c r="J992" s="276"/>
      <c r="K992" s="276"/>
      <c r="L992" s="276"/>
      <c r="M992" s="276"/>
      <c r="N992" s="276"/>
      <c r="O992" s="312"/>
      <c r="P992" s="312"/>
      <c r="Q992" s="312"/>
      <c r="R992" s="312"/>
      <c r="S992" s="312"/>
      <c r="T992" s="276"/>
      <c r="U992" s="276"/>
      <c r="V992" s="276"/>
      <c r="W992" s="276"/>
      <c r="AM992" s="276"/>
      <c r="AN992" s="276"/>
      <c r="AO992" s="276"/>
      <c r="AP992" s="276"/>
      <c r="AQ992" s="276"/>
      <c r="AR992" s="276"/>
      <c r="AS992" s="276"/>
      <c r="AT992" s="276"/>
      <c r="AU992" s="276"/>
      <c r="AV992" s="276"/>
      <c r="AW992" s="276"/>
      <c r="AX992" s="276"/>
      <c r="AY992" s="276"/>
      <c r="AZ992" s="312"/>
      <c r="BA992" s="276"/>
      <c r="BB992" s="276"/>
      <c r="BC992" s="276"/>
      <c r="BD992" s="276"/>
      <c r="BE992" s="276"/>
      <c r="BF992" s="276"/>
      <c r="BG992" s="276"/>
      <c r="BH992" s="276"/>
      <c r="BI992" s="276"/>
      <c r="BJ992" s="276"/>
      <c r="BK992" s="281"/>
      <c r="BL992" s="281"/>
      <c r="BM992" s="282"/>
      <c r="BN992" s="276"/>
      <c r="BO992" s="276"/>
      <c r="BP992" s="276"/>
      <c r="BQ992" s="276"/>
      <c r="BR992" s="276"/>
      <c r="BS992" s="276"/>
      <c r="BT992" s="276"/>
      <c r="BU992" s="276"/>
      <c r="BV992" s="281"/>
      <c r="BW992" s="281"/>
      <c r="BX992" s="276"/>
      <c r="BY992" s="276"/>
      <c r="BZ992" s="276"/>
      <c r="CA992" s="276"/>
      <c r="CB992" s="276"/>
      <c r="CC992" s="276"/>
      <c r="CD992" s="281"/>
      <c r="CE992" s="281"/>
      <c r="CF992" s="281"/>
      <c r="CG992" s="281"/>
      <c r="CH992" s="281"/>
      <c r="CI992" s="276"/>
      <c r="CK992" s="276"/>
      <c r="CL992" s="276"/>
      <c r="CM992" s="276"/>
      <c r="CN992" s="276"/>
      <c r="CO992" s="276"/>
      <c r="CP992" s="276"/>
      <c r="CQ992" s="276"/>
      <c r="CR992" s="276"/>
      <c r="CS992" s="276"/>
      <c r="CT992" s="276"/>
      <c r="CU992" s="276"/>
      <c r="CV992" s="276"/>
      <c r="CW992" s="276"/>
      <c r="CX992" s="276"/>
      <c r="CY992" s="276"/>
      <c r="CZ992" s="276"/>
      <c r="DA992" s="276"/>
      <c r="DB992" s="276"/>
      <c r="DC992" s="276"/>
      <c r="DD992" s="276"/>
      <c r="DE992" s="276"/>
      <c r="DF992" s="276"/>
      <c r="DG992" s="276"/>
      <c r="DH992" s="276"/>
      <c r="DI992" s="276"/>
      <c r="DJ992" s="276"/>
      <c r="DK992" s="276"/>
      <c r="DL992" s="276"/>
      <c r="DM992" s="276"/>
      <c r="DN992" s="276"/>
      <c r="DO992" s="276"/>
      <c r="DP992" s="276"/>
      <c r="DQ992" s="276"/>
      <c r="DR992" s="276"/>
      <c r="DS992" s="281"/>
      <c r="DT992" s="282"/>
      <c r="DU992" s="282"/>
      <c r="DV992" s="276"/>
      <c r="DW992" s="276"/>
      <c r="DX992" s="276"/>
      <c r="DY992" s="276"/>
      <c r="DZ992" s="276"/>
      <c r="EA992" s="276"/>
      <c r="EB992" s="276"/>
      <c r="EC992" s="276"/>
      <c r="ED992" s="281"/>
      <c r="EE992" s="281"/>
      <c r="EF992" s="276"/>
      <c r="EG992" s="276"/>
      <c r="EH992" s="276"/>
      <c r="EI992" s="276"/>
      <c r="EJ992" s="276"/>
      <c r="EK992" s="281"/>
      <c r="EL992" s="281"/>
      <c r="EM992" s="276"/>
      <c r="EN992" s="276"/>
      <c r="EO992" s="276"/>
      <c r="EP992" s="276"/>
      <c r="EQ992" s="276"/>
      <c r="ER992" s="281"/>
      <c r="ES992" s="281"/>
      <c r="ET992" s="276"/>
      <c r="EU992" s="276"/>
      <c r="EV992" s="276"/>
      <c r="EW992" s="276"/>
      <c r="EX992" s="276"/>
      <c r="EY992" s="276"/>
      <c r="EZ992" s="281"/>
      <c r="FA992" s="281"/>
      <c r="FB992" s="281"/>
      <c r="FC992" s="276"/>
      <c r="FD992" s="276"/>
      <c r="FE992" s="276"/>
      <c r="FF992" s="276"/>
      <c r="FG992" s="276"/>
      <c r="FH992" s="276"/>
      <c r="FI992" s="281"/>
      <c r="FJ992" s="281"/>
      <c r="FK992" s="281"/>
      <c r="FL992" s="281"/>
      <c r="FM992" s="276"/>
      <c r="FN992" s="276"/>
      <c r="FO992" s="276"/>
      <c r="FP992" s="276"/>
      <c r="FQ992" s="276"/>
      <c r="FR992" s="276"/>
      <c r="FS992" s="281"/>
      <c r="FT992" s="281"/>
      <c r="FU992" s="281"/>
      <c r="FV992" s="281"/>
      <c r="FW992" s="276"/>
      <c r="FX992" s="276"/>
      <c r="FY992" s="276"/>
      <c r="FZ992" s="276"/>
      <c r="GA992" s="281"/>
      <c r="GB992" s="276"/>
      <c r="GC992" s="312"/>
      <c r="GD992" s="312"/>
      <c r="GE992" s="276"/>
      <c r="GF992" s="276"/>
      <c r="GG992" s="312" t="s">
        <v>955</v>
      </c>
      <c r="GH992" s="312" t="s">
        <v>955</v>
      </c>
      <c r="GI992" s="312" t="s">
        <v>955</v>
      </c>
      <c r="GJ992" s="312" t="s">
        <v>955</v>
      </c>
      <c r="GK992" s="312" t="s">
        <v>955</v>
      </c>
      <c r="GL992" s="312" t="s">
        <v>955</v>
      </c>
      <c r="GM992" s="312" t="s">
        <v>955</v>
      </c>
      <c r="GN992" s="312" t="s">
        <v>955</v>
      </c>
      <c r="GO992" s="312" t="s">
        <v>955</v>
      </c>
      <c r="GP992" s="312" t="s">
        <v>955</v>
      </c>
      <c r="GQ992" s="312" t="s">
        <v>955</v>
      </c>
      <c r="GR992" s="312" t="s">
        <v>955</v>
      </c>
      <c r="GS992" s="312" t="s">
        <v>955</v>
      </c>
      <c r="GT992" s="312" t="s">
        <v>955</v>
      </c>
      <c r="GU992" s="312" t="s">
        <v>955</v>
      </c>
      <c r="GV992" s="312" t="s">
        <v>955</v>
      </c>
      <c r="GW992" s="312"/>
      <c r="GX992" s="312"/>
      <c r="GY992" s="276"/>
      <c r="GZ992" s="276"/>
      <c r="HA992" s="276"/>
      <c r="HB992" s="276"/>
      <c r="HC992" s="312"/>
      <c r="HD992" s="312"/>
      <c r="HE992" s="312"/>
      <c r="HF992" s="312"/>
      <c r="HG992" s="312"/>
      <c r="HH992" s="312"/>
      <c r="HI992" s="312"/>
      <c r="HJ992" s="312"/>
      <c r="HK992" s="312"/>
      <c r="HL992" s="312"/>
      <c r="HM992" s="312"/>
      <c r="HN992" s="312"/>
      <c r="HO992" s="312"/>
      <c r="HP992" s="312"/>
      <c r="HQ992" s="312"/>
      <c r="HR992" s="312"/>
      <c r="HS992" s="312"/>
      <c r="HT992" s="312"/>
      <c r="HU992" s="312"/>
      <c r="HV992" s="312"/>
      <c r="HW992" s="312"/>
      <c r="HX992" s="312"/>
      <c r="HY992" s="312"/>
      <c r="HZ992" s="312"/>
      <c r="IA992" s="312"/>
      <c r="IB992" s="312"/>
      <c r="IC992" s="312"/>
      <c r="ID992" s="312"/>
      <c r="IE992" s="312"/>
      <c r="IF992" s="312"/>
      <c r="IG992" s="312"/>
      <c r="IH992" s="312"/>
      <c r="II992" s="312"/>
      <c r="IJ992" s="312"/>
      <c r="IK992" s="312"/>
      <c r="IL992" s="312"/>
      <c r="IM992" s="312"/>
      <c r="IN992" s="312"/>
      <c r="IO992" s="312"/>
      <c r="IP992" s="312"/>
      <c r="IQ992" s="312"/>
      <c r="IR992" s="312"/>
      <c r="IS992" s="312"/>
      <c r="IT992" s="312"/>
      <c r="IU992" s="312"/>
      <c r="IV992" s="312"/>
      <c r="IW992" s="312"/>
    </row>
    <row r="993" spans="1:257" s="277" customFormat="1" x14ac:dyDescent="0.2">
      <c r="A993" s="278"/>
      <c r="B993" s="279"/>
      <c r="C993" s="276"/>
      <c r="D993" s="276"/>
      <c r="E993" s="276"/>
      <c r="F993" s="276"/>
      <c r="G993" s="276"/>
      <c r="H993" s="276"/>
      <c r="I993" s="276"/>
      <c r="J993" s="276"/>
      <c r="K993" s="276"/>
      <c r="L993" s="276"/>
      <c r="M993" s="276"/>
      <c r="N993" s="276"/>
      <c r="O993" s="312"/>
      <c r="P993" s="312"/>
      <c r="Q993" s="312"/>
      <c r="R993" s="312"/>
      <c r="S993" s="312"/>
      <c r="T993" s="276"/>
      <c r="U993" s="276"/>
      <c r="V993" s="276"/>
      <c r="W993" s="276"/>
      <c r="AM993" s="276"/>
      <c r="AN993" s="276"/>
      <c r="AO993" s="276"/>
      <c r="AP993" s="276"/>
      <c r="AQ993" s="276"/>
      <c r="AR993" s="276"/>
      <c r="AS993" s="276"/>
      <c r="AT993" s="276"/>
      <c r="AU993" s="276"/>
      <c r="AV993" s="276"/>
      <c r="AW993" s="276"/>
      <c r="AX993" s="276"/>
      <c r="AY993" s="276"/>
      <c r="AZ993" s="312"/>
      <c r="BA993" s="276"/>
      <c r="BB993" s="276"/>
      <c r="BC993" s="276"/>
      <c r="BD993" s="276"/>
      <c r="BE993" s="276"/>
      <c r="BF993" s="276"/>
      <c r="BG993" s="276"/>
      <c r="BH993" s="276"/>
      <c r="BI993" s="276"/>
      <c r="BJ993" s="276"/>
      <c r="BK993" s="281"/>
      <c r="BL993" s="281"/>
      <c r="BM993" s="282"/>
      <c r="BN993" s="276"/>
      <c r="BO993" s="276"/>
      <c r="BP993" s="276"/>
      <c r="BQ993" s="276"/>
      <c r="BR993" s="276"/>
      <c r="BS993" s="276"/>
      <c r="BT993" s="276"/>
      <c r="BU993" s="276"/>
      <c r="BV993" s="281"/>
      <c r="BW993" s="281"/>
      <c r="BX993" s="276"/>
      <c r="BY993" s="276"/>
      <c r="BZ993" s="276"/>
      <c r="CA993" s="276"/>
      <c r="CB993" s="276"/>
      <c r="CC993" s="276"/>
      <c r="CD993" s="281"/>
      <c r="CE993" s="281"/>
      <c r="CF993" s="281"/>
      <c r="CG993" s="281"/>
      <c r="CH993" s="281"/>
      <c r="CI993" s="276"/>
      <c r="CK993" s="276"/>
      <c r="CL993" s="276"/>
      <c r="CM993" s="276"/>
      <c r="CN993" s="276"/>
      <c r="CO993" s="276"/>
      <c r="CP993" s="276"/>
      <c r="CQ993" s="276"/>
      <c r="CR993" s="276"/>
      <c r="CS993" s="276"/>
      <c r="CT993" s="276"/>
      <c r="CU993" s="276"/>
      <c r="CV993" s="276"/>
      <c r="CW993" s="276"/>
      <c r="CX993" s="276"/>
      <c r="CY993" s="312"/>
      <c r="CZ993" s="276"/>
      <c r="DA993" s="276"/>
      <c r="DB993" s="276"/>
      <c r="DC993" s="276"/>
      <c r="DD993" s="276"/>
      <c r="DE993" s="312"/>
      <c r="DF993" s="276"/>
      <c r="DG993" s="276"/>
      <c r="DH993" s="276"/>
      <c r="DI993" s="276"/>
      <c r="DJ993" s="276"/>
      <c r="DK993" s="276"/>
      <c r="DL993" s="276"/>
      <c r="DM993" s="276"/>
      <c r="DN993" s="276"/>
      <c r="DO993" s="276"/>
      <c r="DP993" s="276"/>
      <c r="DQ993" s="276"/>
      <c r="DR993" s="276"/>
      <c r="DS993" s="281"/>
      <c r="DT993" s="282"/>
      <c r="DU993" s="282"/>
      <c r="DV993" s="276"/>
      <c r="DW993" s="276"/>
      <c r="DX993" s="276"/>
      <c r="DY993" s="276"/>
      <c r="DZ993" s="276"/>
      <c r="EA993" s="276"/>
      <c r="EB993" s="276"/>
      <c r="EC993" s="276"/>
      <c r="ED993" s="281"/>
      <c r="EE993" s="281"/>
      <c r="EF993" s="276"/>
      <c r="EG993" s="276"/>
      <c r="EH993" s="276"/>
      <c r="EI993" s="276"/>
      <c r="EJ993" s="276"/>
      <c r="EK993" s="281"/>
      <c r="EL993" s="281"/>
      <c r="EM993" s="276"/>
      <c r="EN993" s="276"/>
      <c r="EO993" s="276"/>
      <c r="EP993" s="276"/>
      <c r="EQ993" s="276"/>
      <c r="ER993" s="281"/>
      <c r="ES993" s="281"/>
      <c r="ET993" s="276"/>
      <c r="EU993" s="276"/>
      <c r="EV993" s="276"/>
      <c r="EW993" s="276"/>
      <c r="EX993" s="276"/>
      <c r="EY993" s="276"/>
      <c r="EZ993" s="281"/>
      <c r="FA993" s="281"/>
      <c r="FB993" s="281"/>
      <c r="FC993" s="276"/>
      <c r="FD993" s="276"/>
      <c r="FE993" s="276"/>
      <c r="FF993" s="276"/>
      <c r="FG993" s="276"/>
      <c r="FH993" s="276"/>
      <c r="FI993" s="281"/>
      <c r="FJ993" s="281"/>
      <c r="FK993" s="281"/>
      <c r="FL993" s="281"/>
      <c r="FM993" s="276"/>
      <c r="FN993" s="276"/>
      <c r="FO993" s="276"/>
      <c r="FP993" s="276"/>
      <c r="FQ993" s="276"/>
      <c r="FR993" s="276"/>
      <c r="FS993" s="281"/>
      <c r="FT993" s="281"/>
      <c r="FU993" s="281"/>
      <c r="FV993" s="281"/>
      <c r="FW993" s="276"/>
      <c r="FX993" s="276"/>
      <c r="FY993" s="276"/>
      <c r="FZ993" s="276"/>
      <c r="GA993" s="281"/>
      <c r="GB993" s="276"/>
      <c r="GC993" s="312"/>
      <c r="GD993" s="312"/>
      <c r="GE993" s="276"/>
      <c r="GF993" s="276"/>
      <c r="GG993" s="312" t="s">
        <v>955</v>
      </c>
      <c r="GH993" s="312" t="s">
        <v>955</v>
      </c>
      <c r="GI993" s="312" t="s">
        <v>955</v>
      </c>
      <c r="GJ993" s="312" t="s">
        <v>955</v>
      </c>
      <c r="GK993" s="312" t="s">
        <v>955</v>
      </c>
      <c r="GL993" s="312" t="s">
        <v>955</v>
      </c>
      <c r="GM993" s="312" t="s">
        <v>955</v>
      </c>
      <c r="GN993" s="312" t="s">
        <v>955</v>
      </c>
      <c r="GO993" s="312" t="s">
        <v>955</v>
      </c>
      <c r="GP993" s="312" t="s">
        <v>955</v>
      </c>
      <c r="GQ993" s="312" t="s">
        <v>955</v>
      </c>
      <c r="GR993" s="312" t="s">
        <v>955</v>
      </c>
      <c r="GS993" s="312" t="s">
        <v>955</v>
      </c>
      <c r="GT993" s="312" t="s">
        <v>955</v>
      </c>
      <c r="GU993" s="312" t="s">
        <v>955</v>
      </c>
      <c r="GV993" s="312" t="s">
        <v>955</v>
      </c>
      <c r="GW993" s="312"/>
      <c r="GX993" s="312"/>
      <c r="GY993" s="276"/>
      <c r="GZ993" s="276"/>
      <c r="HA993" s="276"/>
      <c r="HB993" s="276"/>
      <c r="HC993" s="312"/>
      <c r="HD993" s="312"/>
      <c r="HE993" s="312"/>
      <c r="HF993" s="312"/>
      <c r="HG993" s="312"/>
      <c r="HH993" s="312"/>
      <c r="HI993" s="312"/>
      <c r="HJ993" s="312"/>
      <c r="HK993" s="312"/>
      <c r="HL993" s="312"/>
      <c r="HM993" s="312"/>
      <c r="HN993" s="312"/>
      <c r="HO993" s="312"/>
      <c r="HP993" s="312"/>
      <c r="HQ993" s="312"/>
      <c r="HR993" s="312"/>
      <c r="HS993" s="312"/>
      <c r="HT993" s="312"/>
      <c r="HU993" s="312"/>
      <c r="HV993" s="312"/>
      <c r="HW993" s="312"/>
      <c r="HX993" s="312"/>
      <c r="HY993" s="312"/>
      <c r="HZ993" s="312"/>
      <c r="IA993" s="312"/>
      <c r="IB993" s="312"/>
      <c r="IC993" s="312"/>
      <c r="ID993" s="312"/>
      <c r="IE993" s="312"/>
      <c r="IF993" s="312"/>
      <c r="IG993" s="312"/>
      <c r="IH993" s="312"/>
      <c r="II993" s="312"/>
      <c r="IJ993" s="312"/>
      <c r="IK993" s="312"/>
      <c r="IL993" s="312"/>
      <c r="IM993" s="312"/>
      <c r="IN993" s="312"/>
      <c r="IO993" s="312"/>
      <c r="IP993" s="312"/>
      <c r="IQ993" s="312"/>
      <c r="IR993" s="312"/>
      <c r="IS993" s="312"/>
      <c r="IT993" s="312"/>
      <c r="IU993" s="312"/>
      <c r="IV993" s="312"/>
      <c r="IW993" s="312"/>
    </row>
    <row r="994" spans="1:257" s="277" customFormat="1" x14ac:dyDescent="0.2">
      <c r="A994" s="278"/>
      <c r="B994" s="279"/>
      <c r="C994" s="276"/>
      <c r="D994" s="312"/>
      <c r="E994" s="276"/>
      <c r="F994" s="276"/>
      <c r="G994" s="276"/>
      <c r="H994" s="276"/>
      <c r="I994" s="276"/>
      <c r="J994" s="276"/>
      <c r="K994" s="276"/>
      <c r="L994" s="276"/>
      <c r="M994" s="276"/>
      <c r="N994" s="276"/>
      <c r="O994" s="312"/>
      <c r="P994" s="312"/>
      <c r="Q994" s="312"/>
      <c r="R994" s="312"/>
      <c r="S994" s="312"/>
      <c r="T994" s="276"/>
      <c r="U994" s="276"/>
      <c r="V994" s="276"/>
      <c r="W994" s="276"/>
      <c r="AM994" s="276"/>
      <c r="AN994" s="276"/>
      <c r="AO994" s="276"/>
      <c r="AP994" s="276"/>
      <c r="AQ994" s="276"/>
      <c r="AR994" s="276"/>
      <c r="AS994" s="276"/>
      <c r="AT994" s="276"/>
      <c r="AU994" s="276"/>
      <c r="AV994" s="276"/>
      <c r="AW994" s="276"/>
      <c r="AX994" s="276"/>
      <c r="AY994" s="276"/>
      <c r="AZ994" s="312"/>
      <c r="BA994" s="276"/>
      <c r="BB994" s="276"/>
      <c r="BC994" s="276"/>
      <c r="BD994" s="276"/>
      <c r="BE994" s="276"/>
      <c r="BF994" s="276"/>
      <c r="BG994" s="276"/>
      <c r="BH994" s="276"/>
      <c r="BI994" s="276"/>
      <c r="BJ994" s="276"/>
      <c r="BK994" s="281"/>
      <c r="BL994" s="281"/>
      <c r="BM994" s="282"/>
      <c r="BN994" s="276"/>
      <c r="BO994" s="276"/>
      <c r="BP994" s="276"/>
      <c r="BQ994" s="276"/>
      <c r="BR994" s="276"/>
      <c r="BS994" s="276"/>
      <c r="BT994" s="276"/>
      <c r="BU994" s="276"/>
      <c r="BV994" s="281"/>
      <c r="BW994" s="281"/>
      <c r="BX994" s="276"/>
      <c r="BY994" s="276"/>
      <c r="BZ994" s="276"/>
      <c r="CA994" s="276"/>
      <c r="CB994" s="276"/>
      <c r="CC994" s="276"/>
      <c r="CD994" s="281"/>
      <c r="CE994" s="281"/>
      <c r="CF994" s="281"/>
      <c r="CG994" s="281"/>
      <c r="CH994" s="281"/>
      <c r="CI994" s="276"/>
      <c r="CK994" s="276"/>
      <c r="CL994" s="276"/>
      <c r="CM994" s="276"/>
      <c r="CN994" s="276"/>
      <c r="CO994" s="276"/>
      <c r="CP994" s="276"/>
      <c r="CQ994" s="276"/>
      <c r="CR994" s="276"/>
      <c r="CS994" s="276"/>
      <c r="CT994" s="276"/>
      <c r="CU994" s="276"/>
      <c r="CV994" s="276"/>
      <c r="CW994" s="276"/>
      <c r="CX994" s="276"/>
      <c r="CY994" s="312"/>
      <c r="CZ994" s="276"/>
      <c r="DA994" s="276"/>
      <c r="DB994" s="276"/>
      <c r="DC994" s="276"/>
      <c r="DD994" s="276"/>
      <c r="DE994" s="312"/>
      <c r="DF994" s="276"/>
      <c r="DG994" s="276"/>
      <c r="DH994" s="276"/>
      <c r="DI994" s="276"/>
      <c r="DJ994" s="276"/>
      <c r="DK994" s="276"/>
      <c r="DL994" s="276"/>
      <c r="DM994" s="276"/>
      <c r="DN994" s="276"/>
      <c r="DO994" s="276"/>
      <c r="DP994" s="276"/>
      <c r="DQ994" s="276"/>
      <c r="DR994" s="276"/>
      <c r="DS994" s="281"/>
      <c r="DT994" s="282"/>
      <c r="DU994" s="282"/>
      <c r="DV994" s="276"/>
      <c r="DW994" s="276"/>
      <c r="DX994" s="276"/>
      <c r="DY994" s="276"/>
      <c r="DZ994" s="276"/>
      <c r="EA994" s="276"/>
      <c r="EB994" s="276"/>
      <c r="EC994" s="276"/>
      <c r="ED994" s="281"/>
      <c r="EE994" s="281"/>
      <c r="EF994" s="276"/>
      <c r="EG994" s="276"/>
      <c r="EH994" s="276"/>
      <c r="EI994" s="276"/>
      <c r="EJ994" s="276"/>
      <c r="EK994" s="281"/>
      <c r="EL994" s="281"/>
      <c r="EM994" s="276"/>
      <c r="EN994" s="276"/>
      <c r="EO994" s="276"/>
      <c r="EP994" s="276"/>
      <c r="EQ994" s="276"/>
      <c r="ER994" s="281"/>
      <c r="ES994" s="281"/>
      <c r="ET994" s="276"/>
      <c r="EU994" s="276"/>
      <c r="EV994" s="276"/>
      <c r="EW994" s="276"/>
      <c r="EX994" s="276"/>
      <c r="EY994" s="276"/>
      <c r="EZ994" s="281"/>
      <c r="FA994" s="281"/>
      <c r="FB994" s="281"/>
      <c r="FC994" s="276"/>
      <c r="FD994" s="276"/>
      <c r="FE994" s="276"/>
      <c r="FF994" s="276"/>
      <c r="FG994" s="276"/>
      <c r="FH994" s="276"/>
      <c r="FI994" s="281"/>
      <c r="FJ994" s="281"/>
      <c r="FK994" s="281"/>
      <c r="FL994" s="281"/>
      <c r="FM994" s="276"/>
      <c r="FN994" s="276"/>
      <c r="FO994" s="276"/>
      <c r="FP994" s="276"/>
      <c r="FQ994" s="276"/>
      <c r="FR994" s="276"/>
      <c r="FS994" s="281"/>
      <c r="FT994" s="281"/>
      <c r="FU994" s="281"/>
      <c r="FV994" s="281"/>
      <c r="FW994" s="276"/>
      <c r="FX994" s="276"/>
      <c r="FY994" s="276"/>
      <c r="FZ994" s="276"/>
      <c r="GA994" s="281"/>
      <c r="GB994" s="276"/>
      <c r="GC994" s="312"/>
      <c r="GD994" s="312"/>
      <c r="GE994" s="276"/>
      <c r="GF994" s="276"/>
      <c r="GG994" s="312" t="s">
        <v>955</v>
      </c>
      <c r="GH994" s="312" t="s">
        <v>955</v>
      </c>
      <c r="GI994" s="312" t="s">
        <v>955</v>
      </c>
      <c r="GJ994" s="312" t="s">
        <v>955</v>
      </c>
      <c r="GK994" s="312" t="s">
        <v>955</v>
      </c>
      <c r="GL994" s="312" t="s">
        <v>955</v>
      </c>
      <c r="GM994" s="312" t="s">
        <v>955</v>
      </c>
      <c r="GN994" s="312" t="s">
        <v>955</v>
      </c>
      <c r="GO994" s="312" t="s">
        <v>955</v>
      </c>
      <c r="GP994" s="312" t="s">
        <v>955</v>
      </c>
      <c r="GQ994" s="312" t="s">
        <v>955</v>
      </c>
      <c r="GR994" s="312" t="s">
        <v>955</v>
      </c>
      <c r="GS994" s="312" t="s">
        <v>955</v>
      </c>
      <c r="GT994" s="312" t="s">
        <v>955</v>
      </c>
      <c r="GU994" s="312" t="s">
        <v>955</v>
      </c>
      <c r="GV994" s="312" t="s">
        <v>955</v>
      </c>
      <c r="GW994" s="312"/>
      <c r="GX994" s="312"/>
      <c r="GY994" s="276"/>
      <c r="GZ994" s="276"/>
      <c r="HA994" s="276"/>
      <c r="HB994" s="276"/>
      <c r="HC994" s="312"/>
      <c r="HD994" s="312"/>
      <c r="HE994" s="312"/>
      <c r="HF994" s="312"/>
      <c r="HG994" s="312"/>
      <c r="HH994" s="312"/>
      <c r="HI994" s="312"/>
      <c r="HJ994" s="312"/>
      <c r="HK994" s="312"/>
      <c r="HL994" s="312"/>
      <c r="HM994" s="312"/>
      <c r="HN994" s="312"/>
      <c r="HO994" s="312"/>
      <c r="HP994" s="312"/>
      <c r="HQ994" s="312"/>
      <c r="HR994" s="312"/>
      <c r="HS994" s="312"/>
      <c r="HT994" s="312"/>
      <c r="HU994" s="312"/>
      <c r="HV994" s="312"/>
      <c r="HW994" s="312"/>
      <c r="HX994" s="312"/>
      <c r="HY994" s="312"/>
      <c r="HZ994" s="312"/>
      <c r="IA994" s="312"/>
      <c r="IB994" s="312"/>
      <c r="IC994" s="312"/>
      <c r="ID994" s="312"/>
      <c r="IE994" s="312"/>
      <c r="IF994" s="312"/>
      <c r="IG994" s="312"/>
      <c r="IH994" s="312"/>
      <c r="II994" s="312"/>
      <c r="IJ994" s="312"/>
      <c r="IK994" s="312"/>
      <c r="IL994" s="312"/>
      <c r="IM994" s="312"/>
      <c r="IN994" s="312"/>
      <c r="IO994" s="312"/>
      <c r="IP994" s="312"/>
      <c r="IQ994" s="312"/>
      <c r="IR994" s="312"/>
      <c r="IS994" s="312"/>
      <c r="IT994" s="312"/>
      <c r="IU994" s="312"/>
      <c r="IV994" s="312"/>
      <c r="IW994" s="312"/>
    </row>
    <row r="995" spans="1:257" s="277" customFormat="1" x14ac:dyDescent="0.2">
      <c r="A995" s="278"/>
      <c r="B995" s="279"/>
      <c r="C995" s="312"/>
      <c r="D995" s="312"/>
      <c r="E995" s="276"/>
      <c r="F995" s="276"/>
      <c r="G995" s="276"/>
      <c r="H995" s="276"/>
      <c r="I995" s="276"/>
      <c r="J995" s="276"/>
      <c r="K995" s="276"/>
      <c r="L995" s="276"/>
      <c r="M995" s="276"/>
      <c r="N995" s="276"/>
      <c r="O995" s="312"/>
      <c r="P995" s="312"/>
      <c r="Q995" s="312"/>
      <c r="R995" s="312"/>
      <c r="S995" s="312"/>
      <c r="T995" s="276"/>
      <c r="U995" s="276"/>
      <c r="V995" s="276"/>
      <c r="W995" s="276"/>
      <c r="X995" s="276"/>
      <c r="Y995" s="276"/>
      <c r="Z995" s="276"/>
      <c r="AA995" s="276"/>
      <c r="AB995" s="276"/>
      <c r="AJ995" s="276"/>
      <c r="AK995" s="276"/>
      <c r="AL995" s="276"/>
      <c r="AM995" s="276"/>
      <c r="AN995" s="276"/>
      <c r="AO995" s="312"/>
      <c r="AP995" s="312"/>
      <c r="AQ995" s="312"/>
      <c r="AR995" s="312"/>
      <c r="AS995" s="312"/>
      <c r="AT995" s="312"/>
      <c r="AU995" s="312"/>
      <c r="AV995" s="312"/>
      <c r="AW995" s="312"/>
      <c r="AX995" s="312"/>
      <c r="AY995" s="312"/>
      <c r="AZ995" s="276"/>
      <c r="BA995" s="312"/>
      <c r="BB995" s="276"/>
      <c r="BC995" s="276"/>
      <c r="BD995" s="276"/>
      <c r="BE995" s="276"/>
      <c r="BF995" s="276"/>
      <c r="BG995" s="276"/>
      <c r="BH995" s="276"/>
      <c r="BI995" s="276"/>
      <c r="BJ995" s="276"/>
      <c r="BK995" s="281"/>
      <c r="BL995" s="281"/>
      <c r="BM995" s="282"/>
      <c r="BN995" s="276"/>
      <c r="BO995" s="276"/>
      <c r="BP995" s="276"/>
      <c r="BQ995" s="276"/>
      <c r="BR995" s="276"/>
      <c r="BS995" s="276"/>
      <c r="BT995" s="276"/>
      <c r="BU995" s="276"/>
      <c r="BV995" s="281"/>
      <c r="BW995" s="281"/>
      <c r="BX995" s="276"/>
      <c r="BY995" s="276"/>
      <c r="BZ995" s="276"/>
      <c r="CA995" s="276"/>
      <c r="CB995" s="276"/>
      <c r="CC995" s="276"/>
      <c r="CD995" s="281"/>
      <c r="CE995" s="281"/>
      <c r="CF995" s="281"/>
      <c r="CG995" s="281"/>
      <c r="CH995" s="281"/>
      <c r="CI995" s="276"/>
      <c r="CK995" s="276"/>
      <c r="CL995" s="276"/>
      <c r="CM995" s="276"/>
      <c r="CN995" s="276"/>
      <c r="CO995" s="276"/>
      <c r="CP995" s="276"/>
      <c r="CQ995" s="276"/>
      <c r="CR995" s="276"/>
      <c r="CS995" s="276"/>
      <c r="CT995" s="276"/>
      <c r="CU995" s="276"/>
      <c r="CV995" s="276"/>
      <c r="CW995" s="276"/>
      <c r="CX995" s="276"/>
      <c r="CY995" s="312"/>
      <c r="CZ995" s="276"/>
      <c r="DA995" s="276"/>
      <c r="DB995" s="276"/>
      <c r="DC995" s="276"/>
      <c r="DD995" s="276"/>
      <c r="DE995" s="312"/>
      <c r="DF995" s="276"/>
      <c r="DG995" s="276"/>
      <c r="DH995" s="276"/>
      <c r="DI995" s="276"/>
      <c r="DJ995" s="276"/>
      <c r="DK995" s="276"/>
      <c r="DL995" s="276"/>
      <c r="DM995" s="276"/>
      <c r="DN995" s="276"/>
      <c r="DO995" s="276"/>
      <c r="DP995" s="276"/>
      <c r="DQ995" s="276"/>
      <c r="DR995" s="276"/>
      <c r="DS995" s="281"/>
      <c r="DT995" s="282"/>
      <c r="DU995" s="282"/>
      <c r="DV995" s="276"/>
      <c r="DW995" s="276"/>
      <c r="DX995" s="276"/>
      <c r="DY995" s="276"/>
      <c r="DZ995" s="276"/>
      <c r="EA995" s="276"/>
      <c r="EB995" s="276"/>
      <c r="EC995" s="276"/>
      <c r="ED995" s="281"/>
      <c r="EE995" s="281"/>
      <c r="EF995" s="276"/>
      <c r="EG995" s="276"/>
      <c r="EH995" s="276"/>
      <c r="EI995" s="276"/>
      <c r="EJ995" s="276"/>
      <c r="EK995" s="281"/>
      <c r="EL995" s="281"/>
      <c r="EM995" s="276"/>
      <c r="EN995" s="276"/>
      <c r="EO995" s="276"/>
      <c r="EP995" s="276"/>
      <c r="EQ995" s="276"/>
      <c r="ER995" s="281"/>
      <c r="ES995" s="281"/>
      <c r="ET995" s="276"/>
      <c r="EU995" s="276"/>
      <c r="EV995" s="276"/>
      <c r="EW995" s="276"/>
      <c r="EX995" s="276"/>
      <c r="EY995" s="276"/>
      <c r="EZ995" s="281"/>
      <c r="FA995" s="281"/>
      <c r="FB995" s="281"/>
      <c r="FC995" s="276"/>
      <c r="FD995" s="276"/>
      <c r="FE995" s="276"/>
      <c r="FF995" s="276"/>
      <c r="FG995" s="276"/>
      <c r="FH995" s="276"/>
      <c r="FI995" s="281"/>
      <c r="FJ995" s="281"/>
      <c r="FK995" s="281"/>
      <c r="FL995" s="281"/>
      <c r="FM995" s="276"/>
      <c r="FN995" s="276"/>
      <c r="FO995" s="276"/>
      <c r="FP995" s="276"/>
      <c r="FQ995" s="276"/>
      <c r="FR995" s="276"/>
      <c r="FS995" s="281"/>
      <c r="FT995" s="281"/>
      <c r="FU995" s="281"/>
      <c r="FV995" s="281"/>
      <c r="FW995" s="276"/>
      <c r="FX995" s="276"/>
      <c r="FY995" s="276"/>
      <c r="FZ995" s="276"/>
      <c r="GA995" s="281"/>
      <c r="GB995" s="276"/>
      <c r="GC995" s="312"/>
      <c r="GD995" s="312"/>
      <c r="GE995" s="276"/>
      <c r="GF995" s="276"/>
      <c r="GG995" s="312" t="s">
        <v>955</v>
      </c>
      <c r="GH995" s="312" t="s">
        <v>955</v>
      </c>
      <c r="GI995" s="312" t="s">
        <v>955</v>
      </c>
      <c r="GJ995" s="312" t="s">
        <v>955</v>
      </c>
      <c r="GK995" s="312" t="s">
        <v>955</v>
      </c>
      <c r="GL995" s="312" t="s">
        <v>955</v>
      </c>
      <c r="GM995" s="312" t="s">
        <v>955</v>
      </c>
      <c r="GN995" s="312" t="s">
        <v>955</v>
      </c>
      <c r="GO995" s="312" t="s">
        <v>955</v>
      </c>
      <c r="GP995" s="312" t="s">
        <v>955</v>
      </c>
      <c r="GQ995" s="312" t="s">
        <v>955</v>
      </c>
      <c r="GR995" s="312" t="s">
        <v>955</v>
      </c>
      <c r="GS995" s="312" t="s">
        <v>955</v>
      </c>
      <c r="GT995" s="312" t="s">
        <v>955</v>
      </c>
      <c r="GU995" s="312" t="s">
        <v>955</v>
      </c>
      <c r="GV995" s="312" t="s">
        <v>955</v>
      </c>
      <c r="GW995" s="312"/>
      <c r="GX995" s="312"/>
      <c r="GY995" s="276"/>
      <c r="GZ995" s="276"/>
      <c r="HA995" s="276"/>
      <c r="HB995" s="276"/>
      <c r="HC995" s="312"/>
      <c r="HD995" s="312"/>
      <c r="HE995" s="312"/>
      <c r="HF995" s="312"/>
      <c r="HG995" s="312"/>
      <c r="HH995" s="312"/>
      <c r="HI995" s="312"/>
      <c r="HJ995" s="312"/>
      <c r="HK995" s="312"/>
      <c r="HL995" s="312"/>
      <c r="HM995" s="312"/>
      <c r="HN995" s="312"/>
      <c r="HO995" s="312"/>
      <c r="HP995" s="312"/>
      <c r="HQ995" s="312"/>
      <c r="HR995" s="312"/>
      <c r="HS995" s="312"/>
      <c r="HT995" s="312"/>
      <c r="HU995" s="312"/>
      <c r="HV995" s="312"/>
      <c r="HW995" s="312"/>
      <c r="HX995" s="312"/>
      <c r="HY995" s="312"/>
      <c r="HZ995" s="312"/>
      <c r="IA995" s="312"/>
      <c r="IB995" s="312"/>
      <c r="IC995" s="312"/>
      <c r="ID995" s="312"/>
      <c r="IE995" s="312"/>
      <c r="IF995" s="312"/>
      <c r="IG995" s="312"/>
      <c r="IH995" s="312"/>
      <c r="II995" s="312"/>
      <c r="IJ995" s="312"/>
      <c r="IK995" s="312"/>
      <c r="IL995" s="312"/>
      <c r="IM995" s="312"/>
      <c r="IN995" s="312"/>
      <c r="IO995" s="312"/>
      <c r="IP995" s="312"/>
      <c r="IQ995" s="312"/>
      <c r="IR995" s="312"/>
      <c r="IS995" s="312"/>
      <c r="IT995" s="312"/>
      <c r="IU995" s="312"/>
      <c r="IV995" s="312"/>
      <c r="IW995" s="312"/>
    </row>
    <row r="996" spans="1:257" s="277" customFormat="1" x14ac:dyDescent="0.2">
      <c r="A996" s="278"/>
      <c r="B996" s="279"/>
      <c r="C996" s="312"/>
      <c r="D996" s="312"/>
      <c r="E996" s="276"/>
      <c r="F996" s="276"/>
      <c r="G996" s="276"/>
      <c r="H996" s="276"/>
      <c r="I996" s="276"/>
      <c r="J996" s="276"/>
      <c r="K996" s="276"/>
      <c r="L996" s="276"/>
      <c r="M996" s="276"/>
      <c r="N996" s="276"/>
      <c r="O996" s="276"/>
      <c r="P996" s="276"/>
      <c r="Q996" s="276"/>
      <c r="R996" s="276"/>
      <c r="S996" s="276"/>
      <c r="T996" s="276"/>
      <c r="U996" s="276"/>
      <c r="V996" s="276"/>
      <c r="W996" s="276"/>
      <c r="X996" s="276"/>
      <c r="Y996" s="276"/>
      <c r="Z996" s="276"/>
      <c r="AA996" s="276"/>
      <c r="AB996" s="276"/>
      <c r="AJ996" s="276"/>
      <c r="AK996" s="276"/>
      <c r="AL996" s="276"/>
      <c r="AM996" s="312"/>
      <c r="AN996" s="312"/>
      <c r="AO996" s="312"/>
      <c r="AP996" s="312"/>
      <c r="AQ996" s="312"/>
      <c r="AR996" s="312"/>
      <c r="AS996" s="312"/>
      <c r="AT996" s="312"/>
      <c r="AU996" s="312"/>
      <c r="AV996" s="312"/>
      <c r="AW996" s="312"/>
      <c r="AX996" s="312"/>
      <c r="AY996" s="312"/>
      <c r="AZ996" s="276"/>
      <c r="BA996" s="312"/>
      <c r="BB996" s="276"/>
      <c r="BC996" s="276"/>
      <c r="BD996" s="276"/>
      <c r="BE996" s="276"/>
      <c r="BF996" s="276"/>
      <c r="BG996" s="276"/>
      <c r="BH996" s="276"/>
      <c r="BI996" s="276"/>
      <c r="BJ996" s="276"/>
      <c r="BK996" s="281"/>
      <c r="BL996" s="281"/>
      <c r="BM996" s="282"/>
      <c r="BN996" s="276"/>
      <c r="BO996" s="276"/>
      <c r="BP996" s="276"/>
      <c r="BQ996" s="276"/>
      <c r="BR996" s="276"/>
      <c r="BS996" s="276"/>
      <c r="BT996" s="276"/>
      <c r="BU996" s="276"/>
      <c r="BV996" s="281"/>
      <c r="BW996" s="281"/>
      <c r="BX996" s="276"/>
      <c r="BY996" s="276"/>
      <c r="BZ996" s="276"/>
      <c r="CA996" s="276"/>
      <c r="CB996" s="276"/>
      <c r="CC996" s="276"/>
      <c r="CD996" s="281"/>
      <c r="CE996" s="281"/>
      <c r="CF996" s="281"/>
      <c r="CG996" s="281"/>
      <c r="CH996" s="281"/>
      <c r="CI996" s="276"/>
      <c r="CK996" s="276"/>
      <c r="CL996" s="276"/>
      <c r="CM996" s="276"/>
      <c r="CN996" s="276"/>
      <c r="CO996" s="276"/>
      <c r="CP996" s="276"/>
      <c r="CQ996" s="276"/>
      <c r="CR996" s="276"/>
      <c r="CS996" s="276"/>
      <c r="CT996" s="276"/>
      <c r="CU996" s="276"/>
      <c r="CV996" s="276"/>
      <c r="CW996" s="276"/>
      <c r="CX996" s="276"/>
      <c r="CY996" s="312"/>
      <c r="CZ996" s="276"/>
      <c r="DA996" s="276"/>
      <c r="DB996" s="276"/>
      <c r="DC996" s="276"/>
      <c r="DD996" s="276"/>
      <c r="DE996" s="312"/>
      <c r="DF996" s="276"/>
      <c r="DG996" s="276"/>
      <c r="DH996" s="276"/>
      <c r="DI996" s="276"/>
      <c r="DJ996" s="276"/>
      <c r="DK996" s="276"/>
      <c r="DL996" s="276"/>
      <c r="DM996" s="276"/>
      <c r="DN996" s="276"/>
      <c r="DO996" s="276"/>
      <c r="DP996" s="276"/>
      <c r="DQ996" s="276"/>
      <c r="DR996" s="276"/>
      <c r="DS996" s="281"/>
      <c r="DT996" s="282"/>
      <c r="DU996" s="282"/>
      <c r="DV996" s="276"/>
      <c r="DW996" s="276"/>
      <c r="DX996" s="276"/>
      <c r="DY996" s="276"/>
      <c r="DZ996" s="276"/>
      <c r="EA996" s="276"/>
      <c r="EB996" s="276"/>
      <c r="EC996" s="276"/>
      <c r="ED996" s="281"/>
      <c r="EE996" s="281"/>
      <c r="EF996" s="276"/>
      <c r="EG996" s="276"/>
      <c r="EH996" s="276"/>
      <c r="EI996" s="276"/>
      <c r="EJ996" s="276"/>
      <c r="EK996" s="281"/>
      <c r="EL996" s="281"/>
      <c r="EM996" s="276"/>
      <c r="EN996" s="276"/>
      <c r="EO996" s="276"/>
      <c r="EP996" s="276"/>
      <c r="EQ996" s="276"/>
      <c r="ER996" s="281"/>
      <c r="ES996" s="281"/>
      <c r="ET996" s="276"/>
      <c r="EU996" s="276"/>
      <c r="EV996" s="276"/>
      <c r="EW996" s="276"/>
      <c r="EX996" s="276"/>
      <c r="EY996" s="276"/>
      <c r="EZ996" s="281"/>
      <c r="FA996" s="281"/>
      <c r="FB996" s="281"/>
      <c r="FC996" s="276"/>
      <c r="FD996" s="276"/>
      <c r="FE996" s="276"/>
      <c r="FF996" s="276"/>
      <c r="FG996" s="276"/>
      <c r="FH996" s="276"/>
      <c r="FI996" s="281"/>
      <c r="FJ996" s="281"/>
      <c r="FK996" s="281"/>
      <c r="FL996" s="281"/>
      <c r="FM996" s="276"/>
      <c r="FN996" s="276"/>
      <c r="FO996" s="276"/>
      <c r="FP996" s="276"/>
      <c r="FQ996" s="276"/>
      <c r="FR996" s="276"/>
      <c r="FS996" s="281"/>
      <c r="FT996" s="281"/>
      <c r="FU996" s="281"/>
      <c r="FV996" s="281"/>
      <c r="FW996" s="276"/>
      <c r="FX996" s="276"/>
      <c r="FY996" s="276"/>
      <c r="FZ996" s="276"/>
      <c r="GA996" s="281"/>
      <c r="GB996" s="276"/>
      <c r="GC996" s="312"/>
      <c r="GD996" s="312"/>
      <c r="GE996" s="276"/>
      <c r="GF996" s="276"/>
      <c r="GG996" s="312" t="s">
        <v>955</v>
      </c>
      <c r="GH996" s="312" t="s">
        <v>955</v>
      </c>
      <c r="GI996" s="312" t="s">
        <v>955</v>
      </c>
      <c r="GJ996" s="312" t="s">
        <v>955</v>
      </c>
      <c r="GK996" s="312" t="s">
        <v>955</v>
      </c>
      <c r="GL996" s="312" t="s">
        <v>955</v>
      </c>
      <c r="GM996" s="312" t="s">
        <v>955</v>
      </c>
      <c r="GN996" s="312" t="s">
        <v>955</v>
      </c>
      <c r="GO996" s="312" t="s">
        <v>955</v>
      </c>
      <c r="GP996" s="312" t="s">
        <v>955</v>
      </c>
      <c r="GQ996" s="312" t="s">
        <v>955</v>
      </c>
      <c r="GR996" s="312" t="s">
        <v>955</v>
      </c>
      <c r="GS996" s="312" t="s">
        <v>955</v>
      </c>
      <c r="GT996" s="312" t="s">
        <v>955</v>
      </c>
      <c r="GU996" s="312" t="s">
        <v>955</v>
      </c>
      <c r="GV996" s="312" t="s">
        <v>955</v>
      </c>
      <c r="GW996" s="312"/>
      <c r="GX996" s="312"/>
      <c r="GY996" s="276"/>
      <c r="GZ996" s="276"/>
      <c r="HA996" s="276"/>
      <c r="HB996" s="276"/>
      <c r="HC996" s="312"/>
      <c r="HD996" s="312"/>
      <c r="HE996" s="312"/>
      <c r="HF996" s="312"/>
      <c r="HG996" s="312"/>
      <c r="HH996" s="312"/>
      <c r="HI996" s="312"/>
      <c r="HJ996" s="312"/>
      <c r="HK996" s="312"/>
      <c r="HL996" s="312"/>
      <c r="HM996" s="312"/>
      <c r="HN996" s="312"/>
      <c r="HO996" s="312"/>
      <c r="HP996" s="312"/>
      <c r="HQ996" s="312"/>
      <c r="HR996" s="312"/>
      <c r="HS996" s="312"/>
      <c r="HT996" s="312"/>
      <c r="HU996" s="312"/>
      <c r="HV996" s="312"/>
      <c r="HW996" s="312"/>
      <c r="HX996" s="312"/>
      <c r="HY996" s="312"/>
      <c r="HZ996" s="312"/>
      <c r="IA996" s="312"/>
      <c r="IB996" s="312"/>
      <c r="IC996" s="312"/>
      <c r="ID996" s="312"/>
      <c r="IE996" s="312"/>
      <c r="IF996" s="312"/>
      <c r="IG996" s="312"/>
      <c r="IH996" s="312"/>
      <c r="II996" s="312"/>
      <c r="IJ996" s="312"/>
      <c r="IK996" s="312"/>
      <c r="IL996" s="312"/>
      <c r="IM996" s="312"/>
      <c r="IN996" s="312"/>
      <c r="IO996" s="312"/>
      <c r="IP996" s="312"/>
      <c r="IQ996" s="312"/>
      <c r="IR996" s="312"/>
      <c r="IS996" s="312"/>
      <c r="IT996" s="312"/>
      <c r="IU996" s="312"/>
      <c r="IV996" s="312"/>
      <c r="IW996" s="312"/>
    </row>
    <row r="997" spans="1:257" s="277" customFormat="1" x14ac:dyDescent="0.2">
      <c r="A997" s="278"/>
      <c r="B997" s="279"/>
      <c r="C997" s="312"/>
      <c r="D997" s="312"/>
      <c r="E997" s="276"/>
      <c r="F997" s="276"/>
      <c r="G997" s="276"/>
      <c r="H997" s="276"/>
      <c r="I997" s="276"/>
      <c r="J997" s="276"/>
      <c r="K997" s="276"/>
      <c r="L997" s="276"/>
      <c r="M997" s="276"/>
      <c r="N997" s="276"/>
      <c r="O997" s="276"/>
      <c r="P997" s="276"/>
      <c r="Q997" s="276"/>
      <c r="R997" s="276"/>
      <c r="S997" s="276"/>
      <c r="T997" s="276"/>
      <c r="U997" s="276"/>
      <c r="V997" s="276"/>
      <c r="W997" s="276"/>
      <c r="X997" s="276"/>
      <c r="Y997" s="276"/>
      <c r="Z997" s="276"/>
      <c r="AA997" s="276"/>
      <c r="AB997" s="276"/>
      <c r="AC997" s="276"/>
      <c r="AD997" s="276"/>
      <c r="AE997" s="276"/>
      <c r="AF997" s="276"/>
      <c r="AG997" s="276"/>
      <c r="AH997" s="276"/>
      <c r="AI997" s="276"/>
      <c r="AJ997" s="276"/>
      <c r="AK997" s="276"/>
      <c r="AL997" s="276"/>
      <c r="AM997" s="312"/>
      <c r="AN997" s="312"/>
      <c r="AO997" s="312"/>
      <c r="AP997" s="312"/>
      <c r="AQ997" s="312"/>
      <c r="AR997" s="312"/>
      <c r="AS997" s="312"/>
      <c r="AT997" s="312"/>
      <c r="AU997" s="312"/>
      <c r="AV997" s="312"/>
      <c r="AW997" s="312"/>
      <c r="AX997" s="312"/>
      <c r="AY997" s="312"/>
      <c r="AZ997" s="276"/>
      <c r="BA997" s="312"/>
      <c r="BB997" s="276"/>
      <c r="BC997" s="276"/>
      <c r="BD997" s="276"/>
      <c r="BE997" s="276"/>
      <c r="BF997" s="276"/>
      <c r="BG997" s="276"/>
      <c r="BH997" s="276"/>
      <c r="BI997" s="276"/>
      <c r="BJ997" s="276"/>
      <c r="BK997" s="281"/>
      <c r="BL997" s="281"/>
      <c r="BM997" s="282"/>
      <c r="BN997" s="276"/>
      <c r="BO997" s="276"/>
      <c r="BP997" s="276"/>
      <c r="BQ997" s="276"/>
      <c r="BR997" s="276"/>
      <c r="BS997" s="276"/>
      <c r="BT997" s="276"/>
      <c r="BU997" s="276"/>
      <c r="BV997" s="281"/>
      <c r="BW997" s="281"/>
      <c r="BX997" s="276"/>
      <c r="BY997" s="276"/>
      <c r="BZ997" s="276"/>
      <c r="CA997" s="276"/>
      <c r="CB997" s="276"/>
      <c r="CC997" s="276"/>
      <c r="CD997" s="281"/>
      <c r="CE997" s="281"/>
      <c r="CF997" s="281"/>
      <c r="CG997" s="281"/>
      <c r="CH997" s="281"/>
      <c r="CI997" s="276"/>
      <c r="CK997" s="276"/>
      <c r="CL997" s="276"/>
      <c r="CM997" s="276"/>
      <c r="CN997" s="276"/>
      <c r="CO997" s="276"/>
      <c r="CP997" s="276"/>
      <c r="CQ997" s="276"/>
      <c r="CR997" s="276"/>
      <c r="CS997" s="276"/>
      <c r="CT997" s="276"/>
      <c r="CU997" s="276"/>
      <c r="CV997" s="276"/>
      <c r="CW997" s="276"/>
      <c r="CX997" s="276"/>
      <c r="CY997" s="312"/>
      <c r="CZ997" s="276"/>
      <c r="DA997" s="276"/>
      <c r="DB997" s="276"/>
      <c r="DC997" s="276"/>
      <c r="DD997" s="276"/>
      <c r="DE997" s="312"/>
      <c r="DF997" s="276"/>
      <c r="DG997" s="276"/>
      <c r="DH997" s="276"/>
      <c r="DI997" s="276"/>
      <c r="DJ997" s="276"/>
      <c r="DK997" s="276"/>
      <c r="DL997" s="276"/>
      <c r="DM997" s="276"/>
      <c r="DN997" s="276"/>
      <c r="DO997" s="276"/>
      <c r="DP997" s="276"/>
      <c r="DQ997" s="276"/>
      <c r="DR997" s="276"/>
      <c r="DS997" s="281"/>
      <c r="DT997" s="282"/>
      <c r="DU997" s="282"/>
      <c r="DV997" s="276"/>
      <c r="DW997" s="276"/>
      <c r="DX997" s="276"/>
      <c r="DY997" s="276"/>
      <c r="DZ997" s="276"/>
      <c r="EA997" s="276"/>
      <c r="EB997" s="276"/>
      <c r="EC997" s="276"/>
      <c r="ED997" s="281"/>
      <c r="EE997" s="281"/>
      <c r="EF997" s="276"/>
      <c r="EG997" s="276"/>
      <c r="EH997" s="276"/>
      <c r="EI997" s="276"/>
      <c r="EJ997" s="276"/>
      <c r="EK997" s="281"/>
      <c r="EL997" s="281"/>
      <c r="EM997" s="276"/>
      <c r="EN997" s="276"/>
      <c r="EO997" s="276"/>
      <c r="EP997" s="276"/>
      <c r="EQ997" s="276"/>
      <c r="ER997" s="281"/>
      <c r="ES997" s="281"/>
      <c r="ET997" s="276"/>
      <c r="EU997" s="276"/>
      <c r="EV997" s="276"/>
      <c r="EW997" s="276"/>
      <c r="EX997" s="276"/>
      <c r="EY997" s="276"/>
      <c r="EZ997" s="281"/>
      <c r="FA997" s="281"/>
      <c r="FB997" s="281"/>
      <c r="FC997" s="276"/>
      <c r="FD997" s="276"/>
      <c r="FE997" s="276"/>
      <c r="FF997" s="276"/>
      <c r="FG997" s="276"/>
      <c r="FH997" s="276"/>
      <c r="FI997" s="281"/>
      <c r="FJ997" s="281"/>
      <c r="FK997" s="281"/>
      <c r="FL997" s="281"/>
      <c r="FM997" s="276"/>
      <c r="FN997" s="276"/>
      <c r="FO997" s="276"/>
      <c r="FP997" s="276"/>
      <c r="FQ997" s="276"/>
      <c r="FR997" s="276"/>
      <c r="FS997" s="281"/>
      <c r="FT997" s="281"/>
      <c r="FU997" s="281"/>
      <c r="FV997" s="281"/>
      <c r="FW997" s="276"/>
      <c r="FX997" s="276"/>
      <c r="FY997" s="276"/>
      <c r="FZ997" s="276"/>
      <c r="GA997" s="281"/>
      <c r="GB997" s="276"/>
      <c r="GC997" s="312"/>
      <c r="GD997" s="312"/>
      <c r="GE997" s="276"/>
      <c r="GF997" s="276"/>
      <c r="GG997" s="312" t="s">
        <v>955</v>
      </c>
      <c r="GH997" s="312" t="s">
        <v>955</v>
      </c>
      <c r="GI997" s="312" t="s">
        <v>955</v>
      </c>
      <c r="GJ997" s="312" t="s">
        <v>955</v>
      </c>
      <c r="GK997" s="312" t="s">
        <v>955</v>
      </c>
      <c r="GL997" s="312" t="s">
        <v>955</v>
      </c>
      <c r="GM997" s="312" t="s">
        <v>955</v>
      </c>
      <c r="GN997" s="312" t="s">
        <v>955</v>
      </c>
      <c r="GO997" s="312" t="s">
        <v>955</v>
      </c>
      <c r="GP997" s="312" t="s">
        <v>955</v>
      </c>
      <c r="GQ997" s="312" t="s">
        <v>955</v>
      </c>
      <c r="GR997" s="312" t="s">
        <v>955</v>
      </c>
      <c r="GS997" s="312" t="s">
        <v>955</v>
      </c>
      <c r="GT997" s="312" t="s">
        <v>955</v>
      </c>
      <c r="GU997" s="312" t="s">
        <v>955</v>
      </c>
      <c r="GV997" s="312" t="s">
        <v>955</v>
      </c>
      <c r="GW997" s="312"/>
      <c r="GX997" s="312"/>
      <c r="GY997" s="276"/>
      <c r="GZ997" s="276"/>
      <c r="HA997" s="276"/>
      <c r="HB997" s="276"/>
      <c r="HC997" s="312"/>
      <c r="HD997" s="312"/>
      <c r="HE997" s="312"/>
      <c r="HF997" s="312"/>
      <c r="HG997" s="312"/>
      <c r="HH997" s="312"/>
      <c r="HI997" s="312"/>
      <c r="HJ997" s="312"/>
      <c r="HK997" s="276"/>
      <c r="HL997" s="276"/>
      <c r="HM997" s="312"/>
      <c r="HN997" s="312"/>
      <c r="HO997" s="312"/>
      <c r="HP997" s="312"/>
      <c r="HQ997" s="312"/>
      <c r="HR997" s="312"/>
      <c r="HS997" s="312"/>
      <c r="HT997" s="312"/>
      <c r="HU997" s="312"/>
      <c r="HV997" s="312"/>
      <c r="HW997" s="312"/>
      <c r="HX997" s="312"/>
      <c r="HY997" s="312"/>
      <c r="HZ997" s="312"/>
      <c r="IA997" s="312"/>
      <c r="IB997" s="312"/>
      <c r="IC997" s="312"/>
      <c r="ID997" s="312"/>
      <c r="IE997" s="312"/>
      <c r="IF997" s="312"/>
      <c r="IG997" s="312"/>
      <c r="IH997" s="312"/>
      <c r="II997" s="312"/>
      <c r="IJ997" s="312"/>
      <c r="IK997" s="312"/>
      <c r="IL997" s="312"/>
      <c r="IM997" s="312"/>
      <c r="IN997" s="312"/>
      <c r="IO997" s="312"/>
      <c r="IP997" s="312"/>
      <c r="IQ997" s="312"/>
      <c r="IR997" s="312"/>
      <c r="IS997" s="312"/>
      <c r="IT997" s="312"/>
      <c r="IU997" s="312"/>
      <c r="IV997" s="312"/>
      <c r="IW997" s="312"/>
    </row>
    <row r="998" spans="1:257" x14ac:dyDescent="0.2">
      <c r="A998" s="278"/>
      <c r="B998" s="279"/>
      <c r="C998" s="312"/>
      <c r="D998" s="312"/>
      <c r="N998" s="277"/>
      <c r="AM998" s="312"/>
      <c r="AN998" s="312"/>
      <c r="AO998" s="312"/>
      <c r="AP998" s="312"/>
      <c r="AQ998" s="312"/>
      <c r="AR998" s="312"/>
      <c r="AS998" s="312"/>
      <c r="AT998" s="312"/>
      <c r="AU998" s="312"/>
      <c r="AV998" s="312"/>
      <c r="AW998" s="312"/>
      <c r="AX998" s="312"/>
      <c r="AY998" s="312"/>
      <c r="BA998" s="312"/>
      <c r="BL998" s="331"/>
      <c r="CY998" s="312"/>
      <c r="DE998" s="312"/>
      <c r="GG998" s="276" t="s">
        <v>955</v>
      </c>
      <c r="GH998" s="276" t="s">
        <v>955</v>
      </c>
      <c r="GI998" s="276" t="s">
        <v>955</v>
      </c>
      <c r="GJ998" s="276" t="s">
        <v>955</v>
      </c>
      <c r="GK998" s="276" t="s">
        <v>955</v>
      </c>
      <c r="GL998" s="276" t="s">
        <v>955</v>
      </c>
      <c r="GM998" s="276" t="s">
        <v>955</v>
      </c>
      <c r="GN998" s="276" t="s">
        <v>955</v>
      </c>
      <c r="GO998" s="276" t="s">
        <v>955</v>
      </c>
      <c r="GP998" s="276" t="s">
        <v>955</v>
      </c>
      <c r="GQ998" s="276" t="s">
        <v>955</v>
      </c>
      <c r="GR998" s="276" t="s">
        <v>955</v>
      </c>
      <c r="GS998" s="276" t="s">
        <v>955</v>
      </c>
      <c r="GT998" s="276" t="s">
        <v>955</v>
      </c>
      <c r="GU998" s="276" t="s">
        <v>955</v>
      </c>
      <c r="GV998" s="276" t="s">
        <v>955</v>
      </c>
    </row>
    <row r="999" spans="1:257" x14ac:dyDescent="0.2">
      <c r="A999" s="278"/>
      <c r="B999" s="279"/>
      <c r="C999" s="312"/>
      <c r="D999" s="312"/>
      <c r="N999" s="277"/>
      <c r="AM999" s="312"/>
      <c r="AN999" s="312"/>
      <c r="AO999" s="312"/>
      <c r="AP999" s="312"/>
      <c r="AQ999" s="312"/>
      <c r="AR999" s="312"/>
      <c r="AS999" s="312"/>
      <c r="AT999" s="312"/>
      <c r="AU999" s="312"/>
      <c r="AV999" s="312"/>
      <c r="AW999" s="312"/>
      <c r="AX999" s="312"/>
      <c r="AY999" s="312"/>
      <c r="BA999" s="312"/>
      <c r="BL999" s="331"/>
      <c r="ES999" s="298"/>
      <c r="GG999" s="276" t="s">
        <v>955</v>
      </c>
      <c r="GH999" s="276" t="s">
        <v>955</v>
      </c>
      <c r="GI999" s="276" t="s">
        <v>955</v>
      </c>
      <c r="GJ999" s="276" t="s">
        <v>955</v>
      </c>
      <c r="GK999" s="276" t="s">
        <v>955</v>
      </c>
      <c r="GL999" s="276" t="s">
        <v>955</v>
      </c>
      <c r="GM999" s="276" t="s">
        <v>955</v>
      </c>
      <c r="GN999" s="276" t="s">
        <v>955</v>
      </c>
      <c r="GO999" s="276" t="s">
        <v>955</v>
      </c>
      <c r="GP999" s="276" t="s">
        <v>955</v>
      </c>
      <c r="GQ999" s="276" t="s">
        <v>955</v>
      </c>
      <c r="GR999" s="276" t="s">
        <v>955</v>
      </c>
      <c r="GS999" s="276" t="s">
        <v>955</v>
      </c>
      <c r="GT999" s="276" t="s">
        <v>955</v>
      </c>
      <c r="GU999" s="276" t="s">
        <v>955</v>
      </c>
      <c r="GV999" s="276" t="s">
        <v>955</v>
      </c>
    </row>
    <row r="1000" spans="1:257" x14ac:dyDescent="0.2">
      <c r="A1000" s="278"/>
      <c r="B1000" s="279"/>
      <c r="C1000" s="312"/>
      <c r="N1000" s="277"/>
      <c r="AM1000" s="312"/>
      <c r="AN1000" s="312"/>
      <c r="AO1000" s="312"/>
      <c r="AP1000" s="312"/>
      <c r="AQ1000" s="312"/>
      <c r="AR1000" s="312"/>
      <c r="AS1000" s="312"/>
      <c r="AT1000" s="312"/>
      <c r="AU1000" s="312"/>
      <c r="AV1000" s="312"/>
      <c r="AW1000" s="312"/>
      <c r="AX1000" s="312"/>
      <c r="AY1000" s="312"/>
      <c r="BA1000" s="312"/>
      <c r="BL1000" s="331"/>
      <c r="ES1000" s="298"/>
      <c r="GG1000" s="276" t="s">
        <v>955</v>
      </c>
      <c r="GH1000" s="276" t="s">
        <v>955</v>
      </c>
      <c r="GI1000" s="276" t="s">
        <v>955</v>
      </c>
      <c r="GJ1000" s="276" t="s">
        <v>955</v>
      </c>
      <c r="GK1000" s="276" t="s">
        <v>955</v>
      </c>
      <c r="GL1000" s="276" t="s">
        <v>955</v>
      </c>
      <c r="GM1000" s="276" t="s">
        <v>955</v>
      </c>
      <c r="GN1000" s="276" t="s">
        <v>955</v>
      </c>
      <c r="GO1000" s="276" t="s">
        <v>955</v>
      </c>
      <c r="GP1000" s="276" t="s">
        <v>955</v>
      </c>
      <c r="GQ1000" s="276" t="s">
        <v>955</v>
      </c>
      <c r="GR1000" s="276" t="s">
        <v>955</v>
      </c>
      <c r="GS1000" s="276" t="s">
        <v>955</v>
      </c>
      <c r="GT1000" s="276" t="s">
        <v>955</v>
      </c>
      <c r="GU1000" s="276" t="s">
        <v>955</v>
      </c>
      <c r="GV1000" s="276" t="s">
        <v>955</v>
      </c>
    </row>
    <row r="1001" spans="1:257" x14ac:dyDescent="0.2">
      <c r="A1001" s="278"/>
      <c r="B1001" s="279"/>
      <c r="N1001" s="277"/>
      <c r="AM1001" s="312"/>
      <c r="AN1001" s="312"/>
      <c r="BL1001" s="331"/>
      <c r="ES1001" s="298"/>
      <c r="GG1001" s="276" t="s">
        <v>955</v>
      </c>
      <c r="GH1001" s="276" t="s">
        <v>955</v>
      </c>
      <c r="GI1001" s="276" t="s">
        <v>955</v>
      </c>
      <c r="GJ1001" s="276" t="s">
        <v>955</v>
      </c>
      <c r="GK1001" s="276" t="s">
        <v>955</v>
      </c>
      <c r="GL1001" s="276" t="s">
        <v>955</v>
      </c>
      <c r="GM1001" s="276" t="s">
        <v>955</v>
      </c>
      <c r="GN1001" s="276" t="s">
        <v>955</v>
      </c>
      <c r="GO1001" s="276" t="s">
        <v>955</v>
      </c>
      <c r="GP1001" s="276" t="s">
        <v>955</v>
      </c>
      <c r="GQ1001" s="276" t="s">
        <v>955</v>
      </c>
      <c r="GR1001" s="276" t="s">
        <v>955</v>
      </c>
      <c r="GS1001" s="276" t="s">
        <v>955</v>
      </c>
      <c r="GT1001" s="276" t="s">
        <v>955</v>
      </c>
      <c r="GU1001" s="276" t="s">
        <v>955</v>
      </c>
      <c r="GV1001" s="276" t="s">
        <v>955</v>
      </c>
    </row>
    <row r="1002" spans="1:257" x14ac:dyDescent="0.2">
      <c r="A1002" s="278"/>
      <c r="B1002" s="279"/>
      <c r="N1002" s="277"/>
      <c r="X1002" s="312"/>
      <c r="Y1002" s="312"/>
      <c r="Z1002" s="312"/>
      <c r="AA1002" s="312"/>
      <c r="AB1002" s="312"/>
      <c r="AJ1002" s="312"/>
      <c r="AK1002" s="312"/>
      <c r="AL1002" s="312"/>
      <c r="BL1002" s="331"/>
      <c r="ES1002" s="298"/>
    </row>
    <row r="1003" spans="1:257" x14ac:dyDescent="0.2">
      <c r="A1003" s="278"/>
      <c r="B1003" s="279"/>
      <c r="N1003" s="277"/>
      <c r="X1003" s="312"/>
      <c r="Y1003" s="312"/>
      <c r="Z1003" s="312"/>
      <c r="AA1003" s="312"/>
      <c r="AB1003" s="312"/>
      <c r="AJ1003" s="312"/>
      <c r="AK1003" s="312"/>
      <c r="AL1003" s="312"/>
      <c r="BL1003" s="331"/>
      <c r="ES1003" s="298"/>
    </row>
    <row r="1004" spans="1:257" x14ac:dyDescent="0.2">
      <c r="A1004" s="278"/>
      <c r="B1004" s="279"/>
      <c r="X1004" s="312"/>
      <c r="Y1004" s="312"/>
      <c r="Z1004" s="312"/>
      <c r="AA1004" s="312"/>
      <c r="AB1004" s="312"/>
      <c r="AC1004" s="312"/>
      <c r="AD1004" s="312"/>
      <c r="AE1004" s="312"/>
      <c r="AF1004" s="312"/>
      <c r="AG1004" s="312"/>
      <c r="AH1004" s="312"/>
      <c r="AI1004" s="312"/>
      <c r="AJ1004" s="312"/>
      <c r="AK1004" s="312"/>
      <c r="AL1004" s="312"/>
      <c r="ES1004" s="298"/>
      <c r="FV1004" s="298"/>
    </row>
    <row r="1005" spans="1:257" x14ac:dyDescent="0.2">
      <c r="A1005" s="278"/>
      <c r="B1005" s="279"/>
      <c r="X1005" s="312"/>
      <c r="Y1005" s="312"/>
      <c r="Z1005" s="312"/>
      <c r="AA1005" s="312"/>
      <c r="AB1005" s="312"/>
      <c r="AC1005" s="312"/>
      <c r="AD1005" s="312"/>
      <c r="AE1005" s="312"/>
      <c r="AF1005" s="312"/>
      <c r="AG1005" s="312"/>
      <c r="AH1005" s="312"/>
      <c r="AI1005" s="312"/>
      <c r="AJ1005" s="312"/>
      <c r="AK1005" s="312"/>
      <c r="AL1005" s="312"/>
      <c r="FM1005" s="277"/>
      <c r="FU1005" s="298"/>
      <c r="FV1005" s="298"/>
    </row>
    <row r="1006" spans="1:257" x14ac:dyDescent="0.2">
      <c r="A1006" s="278"/>
      <c r="B1006" s="279"/>
      <c r="X1006" s="312"/>
      <c r="Y1006" s="312"/>
      <c r="Z1006" s="312"/>
      <c r="AA1006" s="312"/>
      <c r="AB1006" s="312"/>
      <c r="AC1006" s="312"/>
      <c r="AD1006" s="312"/>
      <c r="AE1006" s="312"/>
      <c r="AF1006" s="312"/>
      <c r="AG1006" s="312"/>
      <c r="AH1006" s="312"/>
      <c r="AI1006" s="312"/>
      <c r="AJ1006" s="312"/>
      <c r="AK1006" s="312"/>
      <c r="AL1006" s="312"/>
      <c r="FM1006" s="277"/>
      <c r="FU1006" s="298"/>
      <c r="FV1006" s="298"/>
    </row>
    <row r="1007" spans="1:257" x14ac:dyDescent="0.2">
      <c r="A1007" s="278"/>
      <c r="B1007" s="279"/>
      <c r="X1007" s="312"/>
      <c r="Y1007" s="312"/>
      <c r="Z1007" s="312"/>
      <c r="AA1007" s="312"/>
      <c r="AB1007" s="312"/>
      <c r="AC1007" s="312"/>
      <c r="AD1007" s="312"/>
      <c r="AE1007" s="312"/>
      <c r="AF1007" s="312"/>
      <c r="AG1007" s="312"/>
      <c r="AH1007" s="312"/>
      <c r="AI1007" s="312"/>
      <c r="AJ1007" s="312"/>
      <c r="AK1007" s="312"/>
      <c r="AL1007" s="312"/>
      <c r="FL1007" s="298"/>
      <c r="FM1007" s="277"/>
      <c r="FU1007" s="298"/>
      <c r="FV1007" s="298"/>
    </row>
    <row r="1008" spans="1:257" x14ac:dyDescent="0.2">
      <c r="A1008" s="278"/>
      <c r="B1008" s="279"/>
      <c r="AC1008" s="312"/>
      <c r="AD1008" s="312"/>
      <c r="AE1008" s="312"/>
      <c r="AF1008" s="312"/>
      <c r="AG1008" s="312"/>
      <c r="AH1008" s="312"/>
      <c r="AI1008" s="312"/>
      <c r="FB1008" s="298"/>
      <c r="FC1008" s="277"/>
      <c r="FK1008" s="298"/>
      <c r="FL1008" s="298"/>
      <c r="FM1008" s="277"/>
      <c r="FU1008" s="298"/>
      <c r="FV1008" s="298"/>
    </row>
    <row r="1009" spans="1:178" x14ac:dyDescent="0.2">
      <c r="A1009" s="278"/>
      <c r="B1009" s="279"/>
      <c r="AC1009" s="312"/>
      <c r="AD1009" s="312"/>
      <c r="AE1009" s="312"/>
      <c r="AF1009" s="312"/>
      <c r="AG1009" s="312"/>
      <c r="AH1009" s="312"/>
      <c r="AI1009" s="312"/>
      <c r="FB1009" s="298"/>
      <c r="FC1009" s="277"/>
      <c r="FK1009" s="298"/>
      <c r="FL1009" s="298"/>
      <c r="FM1009" s="277"/>
      <c r="FU1009" s="298"/>
      <c r="FV1009" s="298"/>
    </row>
    <row r="1010" spans="1:178" x14ac:dyDescent="0.2">
      <c r="A1010" s="278"/>
      <c r="B1010" s="279"/>
      <c r="DM1010" s="277"/>
      <c r="FB1010" s="298"/>
      <c r="FC1010" s="277"/>
      <c r="FK1010" s="298"/>
      <c r="FL1010" s="298"/>
      <c r="FM1010" s="277"/>
      <c r="FU1010" s="298"/>
    </row>
    <row r="1011" spans="1:178" x14ac:dyDescent="0.2">
      <c r="A1011" s="278"/>
      <c r="B1011" s="279"/>
      <c r="N1011" s="312"/>
      <c r="BK1011" s="298"/>
      <c r="DL1011" s="277"/>
      <c r="DM1011" s="277"/>
      <c r="FB1011" s="298"/>
      <c r="FC1011" s="277"/>
      <c r="FK1011" s="298"/>
      <c r="FL1011" s="298"/>
    </row>
    <row r="1012" spans="1:178" x14ac:dyDescent="0.2">
      <c r="A1012" s="278"/>
      <c r="B1012" s="279"/>
      <c r="N1012" s="312"/>
      <c r="BK1012" s="298"/>
      <c r="DL1012" s="277"/>
      <c r="DM1012" s="277"/>
      <c r="EK1012" s="298"/>
      <c r="ES1012" s="331"/>
      <c r="FB1012" s="298"/>
      <c r="FC1012" s="277"/>
      <c r="FK1012" s="298"/>
      <c r="FL1012" s="298"/>
    </row>
    <row r="1013" spans="1:178" x14ac:dyDescent="0.2">
      <c r="A1013" s="278"/>
      <c r="B1013" s="279"/>
      <c r="N1013" s="312"/>
      <c r="BK1013" s="298"/>
      <c r="DL1013" s="277"/>
      <c r="DM1013" s="277"/>
      <c r="EK1013" s="298"/>
      <c r="ES1013" s="331"/>
      <c r="FB1013" s="298"/>
      <c r="FC1013" s="277"/>
      <c r="FK1013" s="298"/>
    </row>
    <row r="1014" spans="1:178" x14ac:dyDescent="0.2">
      <c r="A1014" s="278"/>
      <c r="B1014" s="279"/>
      <c r="N1014" s="312"/>
      <c r="BK1014" s="298"/>
      <c r="DL1014" s="277"/>
      <c r="DM1014" s="277"/>
      <c r="EK1014" s="298"/>
      <c r="ES1014" s="331"/>
    </row>
    <row r="1015" spans="1:178" x14ac:dyDescent="0.2">
      <c r="A1015" s="278"/>
      <c r="B1015" s="279"/>
      <c r="N1015" s="312"/>
      <c r="BK1015" s="298"/>
      <c r="DL1015" s="277"/>
      <c r="DM1015" s="277"/>
      <c r="EK1015" s="298"/>
      <c r="ES1015" s="331"/>
    </row>
    <row r="1016" spans="1:178" x14ac:dyDescent="0.2">
      <c r="A1016" s="278"/>
      <c r="B1016" s="279"/>
      <c r="N1016" s="312"/>
      <c r="BK1016" s="298"/>
      <c r="DL1016" s="277"/>
      <c r="DT1016" s="332"/>
      <c r="EK1016" s="298"/>
      <c r="ES1016" s="331"/>
    </row>
    <row r="1017" spans="1:178" x14ac:dyDescent="0.2">
      <c r="A1017" s="278"/>
      <c r="B1017" s="279"/>
      <c r="DT1017" s="332"/>
      <c r="EK1017" s="298"/>
      <c r="ES1017" s="331"/>
      <c r="FV1017" s="331"/>
    </row>
    <row r="1018" spans="1:178" x14ac:dyDescent="0.2">
      <c r="A1018" s="278"/>
      <c r="B1018" s="279"/>
      <c r="DT1018" s="332"/>
      <c r="FM1018" s="312"/>
      <c r="FU1018" s="331"/>
      <c r="FV1018" s="331"/>
    </row>
    <row r="1019" spans="1:178" x14ac:dyDescent="0.2">
      <c r="A1019" s="278"/>
      <c r="DT1019" s="332"/>
      <c r="FM1019" s="312"/>
      <c r="FU1019" s="331"/>
      <c r="FV1019" s="331"/>
    </row>
    <row r="1020" spans="1:178" x14ac:dyDescent="0.2">
      <c r="A1020" s="278"/>
      <c r="B1020" s="279"/>
      <c r="DT1020" s="332"/>
      <c r="FL1020" s="331"/>
      <c r="FM1020" s="312"/>
      <c r="FU1020" s="331"/>
      <c r="FV1020" s="331"/>
    </row>
    <row r="1021" spans="1:178" x14ac:dyDescent="0.2">
      <c r="A1021" s="278"/>
      <c r="B1021" s="279"/>
      <c r="DT1021" s="332"/>
      <c r="FB1021" s="331"/>
      <c r="FC1021" s="312"/>
      <c r="FK1021" s="331"/>
      <c r="FL1021" s="331"/>
      <c r="FM1021" s="312"/>
      <c r="FU1021" s="331"/>
      <c r="FV1021" s="331"/>
    </row>
    <row r="1022" spans="1:178" x14ac:dyDescent="0.2">
      <c r="A1022" s="278"/>
      <c r="B1022" s="279"/>
      <c r="DD1022" s="277"/>
      <c r="FB1022" s="331"/>
      <c r="FC1022" s="312"/>
      <c r="FK1022" s="331"/>
      <c r="FL1022" s="331"/>
      <c r="FM1022" s="312"/>
      <c r="FU1022" s="331"/>
      <c r="FV1022" s="331"/>
    </row>
    <row r="1023" spans="1:178" x14ac:dyDescent="0.2">
      <c r="A1023" s="278"/>
      <c r="B1023" s="279"/>
      <c r="DD1023" s="277"/>
      <c r="DM1023" s="312"/>
      <c r="FB1023" s="331"/>
      <c r="FC1023" s="312"/>
      <c r="FK1023" s="331"/>
      <c r="FL1023" s="331"/>
      <c r="FM1023" s="312"/>
      <c r="FU1023" s="331"/>
    </row>
    <row r="1024" spans="1:178" x14ac:dyDescent="0.2">
      <c r="A1024" s="278"/>
      <c r="B1024" s="279"/>
      <c r="BK1024" s="331"/>
      <c r="DD1024" s="277"/>
      <c r="DL1024" s="312"/>
      <c r="DM1024" s="312"/>
      <c r="FB1024" s="331"/>
      <c r="FC1024" s="312"/>
      <c r="FK1024" s="331"/>
      <c r="FL1024" s="331"/>
    </row>
    <row r="1025" spans="1:168" x14ac:dyDescent="0.2">
      <c r="A1025" s="278"/>
      <c r="B1025" s="279"/>
      <c r="BK1025" s="331"/>
      <c r="DD1025" s="277"/>
      <c r="DL1025" s="312"/>
      <c r="DM1025" s="312"/>
      <c r="EG1025" s="277"/>
      <c r="EH1025" s="277"/>
      <c r="EI1025" s="277"/>
      <c r="EJ1025" s="277"/>
      <c r="EK1025" s="331"/>
      <c r="FB1025" s="331"/>
      <c r="FC1025" s="312"/>
      <c r="FK1025" s="331"/>
      <c r="FL1025" s="331"/>
    </row>
    <row r="1026" spans="1:168" x14ac:dyDescent="0.2">
      <c r="A1026" s="278"/>
      <c r="B1026" s="279"/>
      <c r="BK1026" s="331"/>
      <c r="DD1026" s="277"/>
      <c r="DL1026" s="312"/>
      <c r="DM1026" s="312"/>
      <c r="EG1026" s="277"/>
      <c r="EH1026" s="277"/>
      <c r="EI1026" s="277"/>
      <c r="EJ1026" s="277"/>
      <c r="EK1026" s="331"/>
      <c r="FB1026" s="331"/>
      <c r="FC1026" s="312"/>
      <c r="FK1026" s="331"/>
    </row>
    <row r="1027" spans="1:168" x14ac:dyDescent="0.2">
      <c r="A1027" s="278"/>
      <c r="B1027" s="279"/>
      <c r="BK1027" s="331"/>
      <c r="DD1027" s="277"/>
      <c r="DL1027" s="312"/>
      <c r="DM1027" s="312"/>
      <c r="EG1027" s="277"/>
      <c r="EH1027" s="277"/>
      <c r="EI1027" s="277"/>
      <c r="EJ1027" s="277"/>
      <c r="EK1027" s="331"/>
    </row>
    <row r="1028" spans="1:168" x14ac:dyDescent="0.2">
      <c r="A1028" s="278"/>
      <c r="B1028" s="279"/>
      <c r="BK1028" s="331"/>
      <c r="DL1028" s="312"/>
      <c r="DM1028" s="312"/>
      <c r="EG1028" s="277"/>
      <c r="EH1028" s="277"/>
      <c r="EI1028" s="277"/>
      <c r="EJ1028" s="277"/>
      <c r="EK1028" s="331"/>
    </row>
    <row r="1029" spans="1:168" x14ac:dyDescent="0.2">
      <c r="A1029" s="278"/>
      <c r="B1029" s="279"/>
      <c r="BK1029" s="331"/>
      <c r="DL1029" s="312"/>
      <c r="DT1029" s="333"/>
      <c r="EG1029" s="277"/>
      <c r="EH1029" s="277"/>
      <c r="EI1029" s="277"/>
      <c r="EJ1029" s="277"/>
      <c r="EK1029" s="331"/>
    </row>
    <row r="1030" spans="1:168" x14ac:dyDescent="0.2">
      <c r="A1030" s="278"/>
      <c r="B1030" s="279"/>
      <c r="DT1030" s="333"/>
      <c r="EG1030" s="277"/>
      <c r="EH1030" s="277"/>
      <c r="EI1030" s="277"/>
      <c r="EJ1030" s="277"/>
      <c r="EK1030" s="331"/>
      <c r="EU1030" s="277"/>
      <c r="EV1030" s="277"/>
    </row>
    <row r="1031" spans="1:168" x14ac:dyDescent="0.2">
      <c r="A1031" s="278"/>
      <c r="B1031" s="279"/>
      <c r="DT1031" s="333"/>
      <c r="EU1031" s="277"/>
      <c r="EV1031" s="277"/>
      <c r="EZ1031" s="298"/>
    </row>
    <row r="1032" spans="1:168" x14ac:dyDescent="0.2">
      <c r="A1032" s="278"/>
      <c r="B1032" s="279"/>
      <c r="DT1032" s="333"/>
      <c r="EU1032" s="277"/>
      <c r="EV1032" s="277"/>
      <c r="EW1032" s="277"/>
      <c r="EX1032" s="277"/>
      <c r="EZ1032" s="298"/>
    </row>
    <row r="1033" spans="1:168" x14ac:dyDescent="0.2">
      <c r="A1033" s="278"/>
      <c r="B1033" s="279"/>
      <c r="DT1033" s="333"/>
      <c r="EU1033" s="277"/>
      <c r="EV1033" s="277"/>
      <c r="EW1033" s="277"/>
      <c r="EX1033" s="277"/>
      <c r="EY1033" s="277"/>
      <c r="EZ1033" s="298"/>
    </row>
    <row r="1034" spans="1:168" x14ac:dyDescent="0.2">
      <c r="A1034" s="278"/>
      <c r="B1034" s="279"/>
      <c r="DT1034" s="333"/>
      <c r="EU1034" s="277"/>
      <c r="EV1034" s="277"/>
      <c r="EW1034" s="277"/>
      <c r="EX1034" s="277"/>
      <c r="EY1034" s="277"/>
      <c r="EZ1034" s="298"/>
    </row>
    <row r="1035" spans="1:168" x14ac:dyDescent="0.2">
      <c r="A1035" s="278"/>
      <c r="B1035" s="279"/>
      <c r="CX1035" s="277"/>
      <c r="DB1035" s="277"/>
      <c r="DC1035" s="277"/>
      <c r="DD1035" s="312"/>
      <c r="EU1035" s="277"/>
      <c r="EV1035" s="277"/>
      <c r="EW1035" s="277"/>
      <c r="EX1035" s="277"/>
      <c r="EY1035" s="277"/>
      <c r="EZ1035" s="298"/>
    </row>
    <row r="1036" spans="1:168" x14ac:dyDescent="0.2">
      <c r="A1036" s="278"/>
      <c r="B1036" s="279"/>
      <c r="CX1036" s="277"/>
      <c r="CZ1036" s="277"/>
      <c r="DA1036" s="277"/>
      <c r="DB1036" s="277"/>
      <c r="DC1036" s="277"/>
      <c r="DD1036" s="312"/>
      <c r="EW1036" s="277"/>
      <c r="EX1036" s="277"/>
      <c r="EY1036" s="277"/>
      <c r="EZ1036" s="298"/>
    </row>
    <row r="1037" spans="1:168" x14ac:dyDescent="0.2">
      <c r="A1037" s="278"/>
      <c r="B1037" s="279"/>
      <c r="CX1037" s="277"/>
      <c r="CZ1037" s="277"/>
      <c r="DA1037" s="277"/>
      <c r="DB1037" s="277"/>
      <c r="DC1037" s="277"/>
      <c r="DD1037" s="312"/>
      <c r="EW1037" s="277"/>
      <c r="EX1037" s="277"/>
      <c r="EY1037" s="277"/>
    </row>
    <row r="1038" spans="1:168" x14ac:dyDescent="0.2">
      <c r="A1038" s="278"/>
      <c r="B1038" s="279"/>
      <c r="CX1038" s="277"/>
      <c r="CZ1038" s="277"/>
      <c r="DA1038" s="277"/>
      <c r="DB1038" s="277"/>
      <c r="DC1038" s="277"/>
      <c r="DD1038" s="312"/>
      <c r="EG1038" s="312"/>
      <c r="EH1038" s="312"/>
      <c r="EI1038" s="312"/>
      <c r="EJ1038" s="312"/>
      <c r="EY1038" s="277"/>
    </row>
    <row r="1039" spans="1:168" x14ac:dyDescent="0.2">
      <c r="A1039" s="278"/>
      <c r="B1039" s="279"/>
      <c r="CX1039" s="277"/>
      <c r="CZ1039" s="277"/>
      <c r="DA1039" s="277"/>
      <c r="DB1039" s="277"/>
      <c r="DC1039" s="277"/>
      <c r="DD1039" s="312"/>
      <c r="EG1039" s="312"/>
      <c r="EH1039" s="312"/>
      <c r="EI1039" s="312"/>
      <c r="EJ1039" s="312"/>
    </row>
    <row r="1040" spans="1:168" x14ac:dyDescent="0.2">
      <c r="A1040" s="278"/>
      <c r="B1040" s="279"/>
      <c r="CX1040" s="277"/>
      <c r="CZ1040" s="277"/>
      <c r="DA1040" s="277"/>
      <c r="DB1040" s="277"/>
      <c r="DC1040" s="277"/>
      <c r="DD1040" s="312"/>
      <c r="EG1040" s="312"/>
      <c r="EH1040" s="312"/>
      <c r="EI1040" s="312"/>
      <c r="EJ1040" s="312"/>
    </row>
    <row r="1041" spans="1:184" x14ac:dyDescent="0.2">
      <c r="A1041" s="278"/>
      <c r="B1041" s="279"/>
      <c r="CZ1041" s="277"/>
      <c r="DA1041" s="277"/>
      <c r="EG1041" s="312"/>
      <c r="EH1041" s="312"/>
      <c r="EI1041" s="312"/>
      <c r="EJ1041" s="312"/>
      <c r="ER1041" s="298"/>
    </row>
    <row r="1042" spans="1:184" x14ac:dyDescent="0.2">
      <c r="A1042" s="278"/>
      <c r="B1042" s="279"/>
      <c r="EG1042" s="312"/>
      <c r="EH1042" s="312"/>
      <c r="EI1042" s="312"/>
      <c r="EJ1042" s="312"/>
      <c r="ER1042" s="298"/>
    </row>
    <row r="1043" spans="1:184" x14ac:dyDescent="0.2">
      <c r="A1043" s="278"/>
      <c r="B1043" s="279"/>
      <c r="EG1043" s="312"/>
      <c r="EH1043" s="312"/>
      <c r="EI1043" s="312"/>
      <c r="EJ1043" s="312"/>
      <c r="EN1043" s="277"/>
      <c r="EO1043" s="277"/>
      <c r="EP1043" s="277"/>
      <c r="EQ1043" s="277"/>
      <c r="ER1043" s="298"/>
      <c r="EU1043" s="312"/>
      <c r="EV1043" s="312"/>
    </row>
    <row r="1044" spans="1:184" x14ac:dyDescent="0.2">
      <c r="A1044" s="278"/>
      <c r="B1044" s="279"/>
      <c r="EN1044" s="277"/>
      <c r="EO1044" s="277"/>
      <c r="EP1044" s="277"/>
      <c r="EQ1044" s="277"/>
      <c r="ER1044" s="298"/>
      <c r="EU1044" s="312"/>
      <c r="EV1044" s="312"/>
      <c r="EZ1044" s="331"/>
    </row>
    <row r="1045" spans="1:184" x14ac:dyDescent="0.2">
      <c r="A1045" s="278"/>
      <c r="B1045" s="279"/>
      <c r="EN1045" s="277"/>
      <c r="EO1045" s="277"/>
      <c r="EP1045" s="277"/>
      <c r="EQ1045" s="277"/>
      <c r="ER1045" s="298"/>
      <c r="EU1045" s="312"/>
      <c r="EV1045" s="312"/>
      <c r="EW1045" s="312"/>
      <c r="EX1045" s="312"/>
      <c r="EZ1045" s="331"/>
      <c r="GB1045" s="277"/>
    </row>
    <row r="1046" spans="1:184" x14ac:dyDescent="0.2">
      <c r="A1046" s="278"/>
      <c r="B1046" s="279"/>
      <c r="EN1046" s="277"/>
      <c r="EO1046" s="277"/>
      <c r="EP1046" s="277"/>
      <c r="EQ1046" s="277"/>
      <c r="ER1046" s="298"/>
      <c r="EU1046" s="312"/>
      <c r="EV1046" s="312"/>
      <c r="EW1046" s="312"/>
      <c r="EX1046" s="312"/>
      <c r="EY1046" s="312"/>
      <c r="EZ1046" s="331"/>
      <c r="GB1046" s="277"/>
    </row>
    <row r="1047" spans="1:184" x14ac:dyDescent="0.2">
      <c r="A1047" s="278"/>
      <c r="B1047" s="279"/>
      <c r="EN1047" s="277"/>
      <c r="EO1047" s="277"/>
      <c r="EP1047" s="277"/>
      <c r="EQ1047" s="277"/>
      <c r="EU1047" s="312"/>
      <c r="EV1047" s="312"/>
      <c r="EW1047" s="312"/>
      <c r="EX1047" s="312"/>
      <c r="EY1047" s="312"/>
      <c r="EZ1047" s="331"/>
      <c r="GB1047" s="277"/>
    </row>
    <row r="1048" spans="1:184" x14ac:dyDescent="0.2">
      <c r="A1048" s="278"/>
      <c r="B1048" s="279"/>
      <c r="CX1048" s="312"/>
      <c r="DB1048" s="312"/>
      <c r="DC1048" s="312"/>
      <c r="EN1048" s="277"/>
      <c r="EO1048" s="277"/>
      <c r="EP1048" s="277"/>
      <c r="EQ1048" s="277"/>
      <c r="EU1048" s="312"/>
      <c r="EV1048" s="312"/>
      <c r="EW1048" s="312"/>
      <c r="EX1048" s="312"/>
      <c r="EY1048" s="312"/>
      <c r="EZ1048" s="331"/>
      <c r="GB1048" s="277"/>
    </row>
    <row r="1049" spans="1:184" x14ac:dyDescent="0.2">
      <c r="A1049" s="278"/>
      <c r="B1049" s="279"/>
      <c r="CX1049" s="312"/>
      <c r="CZ1049" s="312"/>
      <c r="DA1049" s="312"/>
      <c r="DB1049" s="312"/>
      <c r="DC1049" s="312"/>
      <c r="EW1049" s="312"/>
      <c r="EX1049" s="312"/>
      <c r="EY1049" s="312"/>
      <c r="EZ1049" s="331"/>
      <c r="GB1049" s="277"/>
    </row>
    <row r="1050" spans="1:184" x14ac:dyDescent="0.2">
      <c r="A1050" s="278"/>
      <c r="B1050" s="279"/>
      <c r="CX1050" s="312"/>
      <c r="CZ1050" s="312"/>
      <c r="DA1050" s="312"/>
      <c r="DB1050" s="312"/>
      <c r="DC1050" s="312"/>
      <c r="EW1050" s="312"/>
      <c r="EX1050" s="312"/>
      <c r="EY1050" s="312"/>
      <c r="GB1050" s="277"/>
    </row>
    <row r="1051" spans="1:184" x14ac:dyDescent="0.2">
      <c r="A1051" s="278"/>
      <c r="B1051" s="279"/>
      <c r="CX1051" s="312"/>
      <c r="CZ1051" s="312"/>
      <c r="DA1051" s="312"/>
      <c r="DB1051" s="312"/>
      <c r="DC1051" s="312"/>
      <c r="EY1051" s="312"/>
    </row>
    <row r="1052" spans="1:184" x14ac:dyDescent="0.2">
      <c r="A1052" s="278"/>
      <c r="B1052" s="279"/>
      <c r="BV1052" s="298"/>
      <c r="BW1052" s="298"/>
      <c r="CX1052" s="312"/>
      <c r="CZ1052" s="312"/>
      <c r="DA1052" s="312"/>
      <c r="DB1052" s="312"/>
      <c r="DC1052" s="312"/>
    </row>
    <row r="1053" spans="1:184" x14ac:dyDescent="0.2">
      <c r="A1053" s="278"/>
      <c r="B1053" s="279"/>
      <c r="BV1053" s="298"/>
      <c r="BW1053" s="298"/>
      <c r="CX1053" s="312"/>
      <c r="CZ1053" s="312"/>
      <c r="DA1053" s="312"/>
      <c r="DB1053" s="312"/>
      <c r="DC1053" s="312"/>
    </row>
    <row r="1054" spans="1:184" x14ac:dyDescent="0.2">
      <c r="A1054" s="278"/>
      <c r="B1054" s="279"/>
      <c r="BV1054" s="298"/>
      <c r="BW1054" s="298"/>
      <c r="CZ1054" s="312"/>
      <c r="DA1054" s="312"/>
      <c r="ER1054" s="331"/>
    </row>
    <row r="1055" spans="1:184" x14ac:dyDescent="0.2">
      <c r="A1055" s="278"/>
      <c r="B1055" s="279"/>
      <c r="BV1055" s="298"/>
      <c r="BW1055" s="298"/>
      <c r="ER1055" s="331"/>
    </row>
    <row r="1056" spans="1:184" x14ac:dyDescent="0.2">
      <c r="A1056" s="278"/>
      <c r="B1056" s="279"/>
      <c r="BV1056" s="298"/>
      <c r="BW1056" s="298"/>
      <c r="EN1056" s="312"/>
      <c r="EO1056" s="312"/>
      <c r="EP1056" s="312"/>
      <c r="EQ1056" s="312"/>
      <c r="ER1056" s="331"/>
    </row>
    <row r="1057" spans="1:184" x14ac:dyDescent="0.2">
      <c r="A1057" s="278"/>
      <c r="B1057" s="279"/>
      <c r="BV1057" s="298"/>
      <c r="BW1057" s="298"/>
      <c r="CI1057" s="277"/>
      <c r="EN1057" s="312"/>
      <c r="EO1057" s="312"/>
      <c r="EP1057" s="312"/>
      <c r="EQ1057" s="312"/>
      <c r="ER1057" s="331"/>
    </row>
    <row r="1058" spans="1:184" x14ac:dyDescent="0.2">
      <c r="A1058" s="278"/>
      <c r="B1058" s="279"/>
      <c r="CI1058" s="277"/>
      <c r="CR1058" s="277"/>
      <c r="EN1058" s="312"/>
      <c r="EO1058" s="312"/>
      <c r="EP1058" s="312"/>
      <c r="EQ1058" s="312"/>
      <c r="ER1058" s="331"/>
      <c r="GB1058" s="312"/>
    </row>
    <row r="1059" spans="1:184" x14ac:dyDescent="0.2">
      <c r="A1059" s="278"/>
      <c r="B1059" s="279"/>
      <c r="CI1059" s="277"/>
      <c r="CR1059" s="277"/>
      <c r="ED1059" s="298"/>
      <c r="EE1059" s="298"/>
      <c r="EN1059" s="312"/>
      <c r="EO1059" s="312"/>
      <c r="EP1059" s="312"/>
      <c r="EQ1059" s="312"/>
      <c r="ER1059" s="331"/>
      <c r="GB1059" s="312"/>
    </row>
    <row r="1060" spans="1:184" x14ac:dyDescent="0.2">
      <c r="A1060" s="278"/>
      <c r="B1060" s="279"/>
      <c r="CI1060" s="277"/>
      <c r="CR1060" s="277"/>
      <c r="DV1060" s="277"/>
      <c r="DW1060" s="277"/>
      <c r="DX1060" s="277"/>
      <c r="DY1060" s="277"/>
      <c r="DZ1060" s="277"/>
      <c r="EA1060" s="277"/>
      <c r="EB1060" s="277"/>
      <c r="EC1060" s="277"/>
      <c r="ED1060" s="298"/>
      <c r="EE1060" s="298"/>
      <c r="EN1060" s="312"/>
      <c r="EO1060" s="312"/>
      <c r="EP1060" s="312"/>
      <c r="EQ1060" s="312"/>
      <c r="GB1060" s="312"/>
    </row>
    <row r="1061" spans="1:184" x14ac:dyDescent="0.2">
      <c r="A1061" s="278"/>
      <c r="B1061" s="279"/>
      <c r="CI1061" s="277"/>
      <c r="CR1061" s="277"/>
      <c r="DV1061" s="277"/>
      <c r="DW1061" s="277"/>
      <c r="DX1061" s="277"/>
      <c r="DY1061" s="277"/>
      <c r="DZ1061" s="277"/>
      <c r="EA1061" s="277"/>
      <c r="EB1061" s="277"/>
      <c r="EC1061" s="277"/>
      <c r="ED1061" s="298"/>
      <c r="EE1061" s="298"/>
      <c r="EN1061" s="312"/>
      <c r="EO1061" s="312"/>
      <c r="EP1061" s="312"/>
      <c r="EQ1061" s="312"/>
      <c r="GB1061" s="312"/>
    </row>
    <row r="1062" spans="1:184" x14ac:dyDescent="0.2">
      <c r="A1062" s="278"/>
      <c r="B1062" s="279"/>
      <c r="CI1062" s="277"/>
      <c r="CR1062" s="277"/>
      <c r="DV1062" s="277"/>
      <c r="DW1062" s="277"/>
      <c r="DX1062" s="277"/>
      <c r="DY1062" s="277"/>
      <c r="DZ1062" s="277"/>
      <c r="EA1062" s="277"/>
      <c r="EB1062" s="277"/>
      <c r="EC1062" s="277"/>
      <c r="ED1062" s="298"/>
      <c r="EE1062" s="298"/>
      <c r="GB1062" s="312"/>
    </row>
    <row r="1063" spans="1:184" x14ac:dyDescent="0.2">
      <c r="A1063" s="278"/>
      <c r="B1063" s="279"/>
      <c r="CR1063" s="277"/>
      <c r="DV1063" s="277"/>
      <c r="DW1063" s="277"/>
      <c r="DX1063" s="277"/>
      <c r="DY1063" s="277"/>
      <c r="DZ1063" s="277"/>
      <c r="EA1063" s="277"/>
      <c r="EB1063" s="277"/>
      <c r="EC1063" s="277"/>
      <c r="ED1063" s="298"/>
      <c r="EE1063" s="298"/>
      <c r="GB1063" s="312"/>
    </row>
    <row r="1064" spans="1:184" x14ac:dyDescent="0.2">
      <c r="A1064" s="278"/>
      <c r="B1064" s="279"/>
      <c r="DV1064" s="277"/>
      <c r="DW1064" s="277"/>
      <c r="DX1064" s="277"/>
      <c r="DY1064" s="277"/>
      <c r="DZ1064" s="277"/>
      <c r="EA1064" s="277"/>
      <c r="EB1064" s="277"/>
      <c r="EC1064" s="277"/>
      <c r="ED1064" s="298"/>
      <c r="EE1064" s="298"/>
    </row>
    <row r="1065" spans="1:184" x14ac:dyDescent="0.2">
      <c r="A1065" s="278"/>
      <c r="B1065" s="279"/>
      <c r="BV1065" s="331"/>
      <c r="BW1065" s="331"/>
      <c r="DV1065" s="277"/>
      <c r="DW1065" s="277"/>
      <c r="DX1065" s="277"/>
      <c r="DY1065" s="277"/>
      <c r="DZ1065" s="277"/>
      <c r="EA1065" s="277"/>
      <c r="EB1065" s="277"/>
      <c r="EC1065" s="277"/>
    </row>
    <row r="1066" spans="1:184" x14ac:dyDescent="0.2">
      <c r="A1066" s="278"/>
      <c r="B1066" s="279"/>
      <c r="BV1066" s="331"/>
      <c r="BW1066" s="331"/>
    </row>
    <row r="1067" spans="1:184" x14ac:dyDescent="0.2">
      <c r="A1067" s="278"/>
      <c r="B1067" s="279"/>
      <c r="BV1067" s="331"/>
      <c r="BW1067" s="331"/>
    </row>
    <row r="1068" spans="1:184" x14ac:dyDescent="0.2">
      <c r="A1068" s="278"/>
      <c r="B1068" s="279"/>
      <c r="BV1068" s="331"/>
      <c r="BW1068" s="331"/>
    </row>
    <row r="1069" spans="1:184" x14ac:dyDescent="0.2">
      <c r="A1069" s="278"/>
      <c r="B1069" s="279"/>
      <c r="BV1069" s="331"/>
      <c r="BW1069" s="331"/>
    </row>
    <row r="1070" spans="1:184" x14ac:dyDescent="0.2">
      <c r="A1070" s="278"/>
      <c r="B1070" s="279"/>
      <c r="BV1070" s="331"/>
      <c r="BW1070" s="331"/>
      <c r="CI1070" s="312"/>
    </row>
    <row r="1071" spans="1:184" x14ac:dyDescent="0.2">
      <c r="A1071" s="278"/>
      <c r="B1071" s="279"/>
      <c r="CI1071" s="312"/>
      <c r="CR1071" s="312"/>
      <c r="FT1071" s="298"/>
    </row>
    <row r="1072" spans="1:184" x14ac:dyDescent="0.2">
      <c r="B1072" s="334"/>
      <c r="CI1072" s="312"/>
      <c r="CR1072" s="312"/>
      <c r="ED1072" s="331"/>
      <c r="EE1072" s="331"/>
      <c r="FT1072" s="298"/>
    </row>
    <row r="1073" spans="2:176" x14ac:dyDescent="0.2">
      <c r="B1073" s="334"/>
      <c r="CI1073" s="312"/>
      <c r="CR1073" s="312"/>
      <c r="DV1073" s="312"/>
      <c r="DW1073" s="312"/>
      <c r="DX1073" s="312"/>
      <c r="DY1073" s="312"/>
      <c r="DZ1073" s="312"/>
      <c r="EA1073" s="312"/>
      <c r="EB1073" s="312"/>
      <c r="EC1073" s="312"/>
      <c r="ED1073" s="331"/>
      <c r="EE1073" s="331"/>
      <c r="FT1073" s="298"/>
    </row>
    <row r="1074" spans="2:176" x14ac:dyDescent="0.2">
      <c r="B1074" s="334"/>
      <c r="CI1074" s="312"/>
      <c r="CQ1074" s="277"/>
      <c r="CR1074" s="312"/>
      <c r="DV1074" s="312"/>
      <c r="DW1074" s="312"/>
      <c r="DX1074" s="312"/>
      <c r="DY1074" s="312"/>
      <c r="DZ1074" s="312"/>
      <c r="EA1074" s="312"/>
      <c r="EB1074" s="312"/>
      <c r="EC1074" s="312"/>
      <c r="ED1074" s="331"/>
      <c r="EE1074" s="331"/>
      <c r="FT1074" s="298"/>
    </row>
    <row r="1075" spans="2:176" x14ac:dyDescent="0.2">
      <c r="B1075" s="334"/>
      <c r="CI1075" s="312"/>
      <c r="CQ1075" s="277"/>
      <c r="CR1075" s="312"/>
      <c r="DV1075" s="312"/>
      <c r="DW1075" s="312"/>
      <c r="DX1075" s="312"/>
      <c r="DY1075" s="312"/>
      <c r="DZ1075" s="312"/>
      <c r="EA1075" s="312"/>
      <c r="EB1075" s="312"/>
      <c r="EC1075" s="312"/>
      <c r="ED1075" s="331"/>
      <c r="EE1075" s="331"/>
      <c r="FJ1075" s="298"/>
      <c r="FT1075" s="298"/>
    </row>
    <row r="1076" spans="2:176" x14ac:dyDescent="0.2">
      <c r="B1076" s="334"/>
      <c r="CQ1076" s="277"/>
      <c r="CR1076" s="312"/>
      <c r="DV1076" s="312"/>
      <c r="DW1076" s="312"/>
      <c r="DX1076" s="312"/>
      <c r="DY1076" s="312"/>
      <c r="DZ1076" s="312"/>
      <c r="EA1076" s="312"/>
      <c r="EB1076" s="312"/>
      <c r="EC1076" s="312"/>
      <c r="ED1076" s="331"/>
      <c r="EE1076" s="331"/>
      <c r="FJ1076" s="298"/>
      <c r="FT1076" s="298"/>
    </row>
    <row r="1077" spans="2:176" x14ac:dyDescent="0.2">
      <c r="B1077" s="334"/>
      <c r="BM1077" s="332"/>
      <c r="CQ1077" s="277"/>
      <c r="DV1077" s="312"/>
      <c r="DW1077" s="312"/>
      <c r="DX1077" s="312"/>
      <c r="DY1077" s="312"/>
      <c r="DZ1077" s="312"/>
      <c r="EA1077" s="312"/>
      <c r="EB1077" s="312"/>
      <c r="EC1077" s="312"/>
      <c r="ED1077" s="331"/>
      <c r="EE1077" s="331"/>
      <c r="FJ1077" s="298"/>
    </row>
    <row r="1078" spans="2:176" x14ac:dyDescent="0.2">
      <c r="B1078" s="334"/>
      <c r="BM1078" s="332"/>
      <c r="CQ1078" s="277"/>
      <c r="DV1078" s="312"/>
      <c r="DW1078" s="312"/>
      <c r="DX1078" s="312"/>
      <c r="DY1078" s="312"/>
      <c r="DZ1078" s="312"/>
      <c r="EA1078" s="312"/>
      <c r="EB1078" s="312"/>
      <c r="EC1078" s="312"/>
      <c r="FJ1078" s="298"/>
    </row>
    <row r="1079" spans="2:176" x14ac:dyDescent="0.2">
      <c r="B1079" s="334"/>
      <c r="BM1079" s="332"/>
      <c r="CQ1079" s="277"/>
      <c r="FJ1079" s="298"/>
    </row>
    <row r="1080" spans="2:176" x14ac:dyDescent="0.2">
      <c r="B1080" s="334"/>
      <c r="BM1080" s="332"/>
      <c r="FJ1080" s="298"/>
    </row>
    <row r="1081" spans="2:176" x14ac:dyDescent="0.2">
      <c r="B1081" s="334"/>
      <c r="BM1081" s="332"/>
    </row>
    <row r="1082" spans="2:176" x14ac:dyDescent="0.2">
      <c r="B1082" s="334"/>
      <c r="BM1082" s="332"/>
      <c r="DU1082" s="332"/>
    </row>
    <row r="1083" spans="2:176" x14ac:dyDescent="0.2">
      <c r="B1083" s="334"/>
      <c r="DU1083" s="332"/>
    </row>
    <row r="1084" spans="2:176" x14ac:dyDescent="0.2">
      <c r="B1084" s="334"/>
      <c r="DU1084" s="332"/>
      <c r="FT1084" s="331"/>
    </row>
    <row r="1085" spans="2:176" x14ac:dyDescent="0.2">
      <c r="B1085" s="334"/>
      <c r="DU1085" s="332"/>
      <c r="FT1085" s="331"/>
    </row>
    <row r="1086" spans="2:176" x14ac:dyDescent="0.2">
      <c r="B1086" s="334"/>
      <c r="DU1086" s="332"/>
      <c r="FT1086" s="331"/>
    </row>
    <row r="1087" spans="2:176" x14ac:dyDescent="0.2">
      <c r="B1087" s="334"/>
      <c r="CQ1087" s="312"/>
      <c r="DU1087" s="332"/>
      <c r="FT1087" s="331"/>
    </row>
    <row r="1088" spans="2:176" x14ac:dyDescent="0.2">
      <c r="B1088" s="334"/>
      <c r="CQ1088" s="312"/>
      <c r="DF1088" s="277"/>
      <c r="FJ1088" s="331"/>
      <c r="FT1088" s="331"/>
    </row>
    <row r="1089" spans="2:183" x14ac:dyDescent="0.2">
      <c r="B1089" s="334"/>
      <c r="BN1089" s="277"/>
      <c r="BO1089" s="277"/>
      <c r="BP1089" s="277"/>
      <c r="BQ1089" s="277"/>
      <c r="BR1089" s="277"/>
      <c r="BS1089" s="277"/>
      <c r="BT1089" s="277"/>
      <c r="BU1089" s="277"/>
      <c r="CQ1089" s="312"/>
      <c r="DF1089" s="277"/>
      <c r="FJ1089" s="331"/>
      <c r="FT1089" s="331"/>
    </row>
    <row r="1090" spans="2:183" x14ac:dyDescent="0.2">
      <c r="B1090" s="334"/>
      <c r="BM1090" s="333"/>
      <c r="BN1090" s="277"/>
      <c r="BO1090" s="277"/>
      <c r="BP1090" s="277"/>
      <c r="BQ1090" s="277"/>
      <c r="BR1090" s="277"/>
      <c r="BS1090" s="277"/>
      <c r="BT1090" s="277"/>
      <c r="BU1090" s="277"/>
      <c r="CQ1090" s="312"/>
      <c r="DF1090" s="277"/>
      <c r="FJ1090" s="331"/>
    </row>
    <row r="1091" spans="2:183" x14ac:dyDescent="0.2">
      <c r="B1091" s="334"/>
      <c r="BM1091" s="333"/>
      <c r="BN1091" s="277"/>
      <c r="BO1091" s="277"/>
      <c r="BP1091" s="277"/>
      <c r="BQ1091" s="277"/>
      <c r="BR1091" s="277"/>
      <c r="BS1091" s="277"/>
      <c r="BT1091" s="277"/>
      <c r="BU1091" s="277"/>
      <c r="CQ1091" s="312"/>
      <c r="DF1091" s="277"/>
      <c r="FJ1091" s="331"/>
    </row>
    <row r="1092" spans="2:183" x14ac:dyDescent="0.2">
      <c r="B1092" s="334"/>
      <c r="BM1092" s="333"/>
      <c r="BN1092" s="277"/>
      <c r="BO1092" s="277"/>
      <c r="BP1092" s="277"/>
      <c r="BQ1092" s="277"/>
      <c r="BR1092" s="277"/>
      <c r="BS1092" s="277"/>
      <c r="BT1092" s="277"/>
      <c r="BU1092" s="277"/>
      <c r="CQ1092" s="312"/>
      <c r="DF1092" s="277"/>
      <c r="FJ1092" s="331"/>
    </row>
    <row r="1093" spans="2:183" x14ac:dyDescent="0.2">
      <c r="B1093" s="334"/>
      <c r="BM1093" s="333"/>
      <c r="BN1093" s="277"/>
      <c r="BO1093" s="277"/>
      <c r="BP1093" s="277"/>
      <c r="BQ1093" s="277"/>
      <c r="BR1093" s="277"/>
      <c r="BS1093" s="277"/>
      <c r="BT1093" s="277"/>
      <c r="BU1093" s="277"/>
      <c r="DF1093" s="277"/>
      <c r="FJ1093" s="331"/>
    </row>
    <row r="1094" spans="2:183" x14ac:dyDescent="0.2">
      <c r="B1094" s="334"/>
      <c r="BM1094" s="333"/>
      <c r="BN1094" s="277"/>
      <c r="BO1094" s="277"/>
      <c r="BP1094" s="277"/>
      <c r="BQ1094" s="277"/>
      <c r="BR1094" s="277"/>
      <c r="BS1094" s="277"/>
      <c r="BT1094" s="277"/>
      <c r="BU1094" s="277"/>
    </row>
    <row r="1095" spans="2:183" x14ac:dyDescent="0.2">
      <c r="B1095" s="334"/>
      <c r="BB1095" s="277"/>
      <c r="BM1095" s="333"/>
      <c r="DU1095" s="333"/>
    </row>
    <row r="1096" spans="2:183" x14ac:dyDescent="0.2">
      <c r="B1096" s="334"/>
      <c r="BB1096" s="277"/>
      <c r="DU1096" s="333"/>
    </row>
    <row r="1097" spans="2:183" x14ac:dyDescent="0.2">
      <c r="B1097" s="334"/>
      <c r="BB1097" s="277"/>
      <c r="DU1097" s="333"/>
    </row>
    <row r="1098" spans="2:183" x14ac:dyDescent="0.2">
      <c r="B1098" s="334"/>
      <c r="BB1098" s="277"/>
      <c r="DU1098" s="333"/>
    </row>
    <row r="1099" spans="2:183" x14ac:dyDescent="0.2">
      <c r="B1099" s="334"/>
      <c r="BB1099" s="277"/>
      <c r="DU1099" s="333"/>
      <c r="GA1099" s="298"/>
    </row>
    <row r="1100" spans="2:183" x14ac:dyDescent="0.2">
      <c r="B1100" s="334"/>
      <c r="BB1100" s="277"/>
      <c r="DU1100" s="333"/>
      <c r="GA1100" s="298"/>
    </row>
    <row r="1101" spans="2:183" x14ac:dyDescent="0.2">
      <c r="B1101" s="334"/>
      <c r="DF1101" s="312"/>
      <c r="GA1101" s="298"/>
    </row>
    <row r="1102" spans="2:183" x14ac:dyDescent="0.2">
      <c r="B1102" s="334"/>
      <c r="BN1102" s="312"/>
      <c r="BO1102" s="312"/>
      <c r="BP1102" s="312"/>
      <c r="BQ1102" s="312"/>
      <c r="BR1102" s="312"/>
      <c r="BS1102" s="312"/>
      <c r="BT1102" s="312"/>
      <c r="BU1102" s="312"/>
      <c r="DF1102" s="312"/>
      <c r="GA1102" s="298"/>
    </row>
    <row r="1103" spans="2:183" x14ac:dyDescent="0.2">
      <c r="B1103" s="334"/>
      <c r="BN1103" s="312"/>
      <c r="BO1103" s="312"/>
      <c r="BP1103" s="312"/>
      <c r="BQ1103" s="312"/>
      <c r="BR1103" s="312"/>
      <c r="BS1103" s="312"/>
      <c r="BT1103" s="312"/>
      <c r="BU1103" s="312"/>
      <c r="DF1103" s="312"/>
      <c r="GA1103" s="298"/>
    </row>
    <row r="1104" spans="2:183" x14ac:dyDescent="0.2">
      <c r="B1104" s="334"/>
      <c r="BN1104" s="312"/>
      <c r="BO1104" s="312"/>
      <c r="BP1104" s="312"/>
      <c r="BQ1104" s="312"/>
      <c r="BR1104" s="312"/>
      <c r="BS1104" s="312"/>
      <c r="BT1104" s="312"/>
      <c r="BU1104" s="312"/>
      <c r="DF1104" s="312"/>
      <c r="GA1104" s="298"/>
    </row>
    <row r="1105" spans="2:183" x14ac:dyDescent="0.2">
      <c r="B1105" s="334"/>
      <c r="BN1105" s="312"/>
      <c r="BO1105" s="312"/>
      <c r="BP1105" s="312"/>
      <c r="BQ1105" s="312"/>
      <c r="BR1105" s="312"/>
      <c r="BS1105" s="312"/>
      <c r="BT1105" s="312"/>
      <c r="BU1105" s="312"/>
      <c r="DF1105" s="312"/>
    </row>
    <row r="1106" spans="2:183" x14ac:dyDescent="0.2">
      <c r="B1106" s="334"/>
      <c r="BN1106" s="312"/>
      <c r="BO1106" s="312"/>
      <c r="BP1106" s="312"/>
      <c r="BQ1106" s="312"/>
      <c r="BR1106" s="312"/>
      <c r="BS1106" s="312"/>
      <c r="BT1106" s="312"/>
      <c r="BU1106" s="312"/>
      <c r="DF1106" s="312"/>
    </row>
    <row r="1107" spans="2:183" x14ac:dyDescent="0.2">
      <c r="B1107" s="334"/>
      <c r="BN1107" s="312"/>
      <c r="BO1107" s="312"/>
      <c r="BP1107" s="312"/>
      <c r="BQ1107" s="312"/>
      <c r="BR1107" s="312"/>
      <c r="BS1107" s="312"/>
      <c r="BT1107" s="312"/>
      <c r="BU1107" s="312"/>
    </row>
    <row r="1108" spans="2:183" x14ac:dyDescent="0.2">
      <c r="B1108" s="334"/>
      <c r="BB1108" s="312"/>
    </row>
    <row r="1109" spans="2:183" x14ac:dyDescent="0.2">
      <c r="B1109" s="334"/>
      <c r="BB1109" s="312"/>
      <c r="CW1109" s="277"/>
    </row>
    <row r="1110" spans="2:183" x14ac:dyDescent="0.2">
      <c r="B1110" s="334"/>
      <c r="BB1110" s="312"/>
      <c r="CW1110" s="277"/>
    </row>
    <row r="1111" spans="2:183" x14ac:dyDescent="0.2">
      <c r="B1111" s="334"/>
      <c r="BB1111" s="312"/>
      <c r="CW1111" s="277"/>
    </row>
    <row r="1112" spans="2:183" x14ac:dyDescent="0.2">
      <c r="B1112" s="334"/>
      <c r="BB1112" s="312"/>
      <c r="CO1112" s="277"/>
      <c r="CP1112" s="277"/>
      <c r="CW1112" s="277"/>
      <c r="GA1112" s="331"/>
    </row>
    <row r="1113" spans="2:183" x14ac:dyDescent="0.2">
      <c r="B1113" s="334"/>
      <c r="BB1113" s="312"/>
      <c r="CO1113" s="277"/>
      <c r="CP1113" s="277"/>
      <c r="CW1113" s="277"/>
      <c r="GA1113" s="331"/>
    </row>
    <row r="1114" spans="2:183" x14ac:dyDescent="0.2">
      <c r="B1114" s="334"/>
      <c r="CO1114" s="277"/>
      <c r="CP1114" s="277"/>
      <c r="CW1114" s="277"/>
      <c r="GA1114" s="331"/>
    </row>
    <row r="1115" spans="2:183" x14ac:dyDescent="0.2">
      <c r="B1115" s="334"/>
      <c r="CO1115" s="277"/>
      <c r="CP1115" s="277"/>
      <c r="GA1115" s="331"/>
    </row>
    <row r="1116" spans="2:183" x14ac:dyDescent="0.2">
      <c r="B1116" s="334"/>
      <c r="CO1116" s="277"/>
      <c r="CP1116" s="277"/>
      <c r="GA1116" s="331"/>
    </row>
    <row r="1117" spans="2:183" x14ac:dyDescent="0.2">
      <c r="B1117" s="334"/>
      <c r="CO1117" s="277"/>
      <c r="CP1117" s="277"/>
      <c r="GA1117" s="331"/>
    </row>
    <row r="1118" spans="2:183" x14ac:dyDescent="0.2">
      <c r="B1118" s="334"/>
      <c r="CH1118" s="298"/>
      <c r="FW1118" s="277"/>
    </row>
    <row r="1119" spans="2:183" x14ac:dyDescent="0.2">
      <c r="B1119" s="334"/>
      <c r="CH1119" s="298"/>
      <c r="FW1119" s="277"/>
      <c r="FX1119" s="277"/>
      <c r="FY1119" s="277"/>
      <c r="FZ1119" s="277"/>
    </row>
    <row r="1120" spans="2:183" x14ac:dyDescent="0.2">
      <c r="B1120" s="334"/>
      <c r="CH1120" s="298"/>
      <c r="FW1120" s="277"/>
      <c r="FX1120" s="277"/>
      <c r="FY1120" s="277"/>
      <c r="FZ1120" s="277"/>
    </row>
    <row r="1121" spans="1:182" x14ac:dyDescent="0.2">
      <c r="B1121" s="334"/>
      <c r="CH1121" s="298"/>
      <c r="CL1121" s="277"/>
      <c r="CM1121" s="277"/>
      <c r="CN1121" s="277"/>
      <c r="FW1121" s="277"/>
      <c r="FX1121" s="277"/>
      <c r="FY1121" s="277"/>
      <c r="FZ1121" s="277"/>
    </row>
    <row r="1122" spans="1:182" x14ac:dyDescent="0.2">
      <c r="A1122" s="298"/>
      <c r="B1122" s="334"/>
      <c r="CH1122" s="298"/>
      <c r="CK1122" s="277"/>
      <c r="CL1122" s="277"/>
      <c r="CM1122" s="277"/>
      <c r="CN1122" s="277"/>
      <c r="CW1122" s="312"/>
      <c r="FW1122" s="277"/>
      <c r="FX1122" s="277"/>
      <c r="FY1122" s="277"/>
      <c r="FZ1122" s="277"/>
    </row>
    <row r="1123" spans="1:182" x14ac:dyDescent="0.2">
      <c r="B1123" s="334"/>
      <c r="CH1123" s="298"/>
      <c r="CK1123" s="277"/>
      <c r="CL1123" s="277"/>
      <c r="CM1123" s="277"/>
      <c r="CN1123" s="277"/>
      <c r="CW1123" s="312"/>
      <c r="FW1123" s="277"/>
      <c r="FX1123" s="277"/>
      <c r="FY1123" s="277"/>
      <c r="FZ1123" s="277"/>
    </row>
    <row r="1124" spans="1:182" x14ac:dyDescent="0.2">
      <c r="B1124" s="334"/>
      <c r="BZ1124" s="277"/>
      <c r="CA1124" s="277"/>
      <c r="CK1124" s="277"/>
      <c r="CL1124" s="277"/>
      <c r="CM1124" s="277"/>
      <c r="CN1124" s="277"/>
      <c r="CW1124" s="312"/>
      <c r="FX1124" s="277"/>
      <c r="FY1124" s="277"/>
      <c r="FZ1124" s="277"/>
    </row>
    <row r="1125" spans="1:182" x14ac:dyDescent="0.2">
      <c r="A1125" s="312"/>
      <c r="B1125" s="334"/>
      <c r="BZ1125" s="277"/>
      <c r="CA1125" s="277"/>
      <c r="CK1125" s="277"/>
      <c r="CL1125" s="277"/>
      <c r="CM1125" s="277"/>
      <c r="CN1125" s="277"/>
      <c r="CO1125" s="312"/>
      <c r="CP1125" s="312"/>
      <c r="CU1125" s="277"/>
      <c r="CV1125" s="277"/>
      <c r="CW1125" s="312"/>
    </row>
    <row r="1126" spans="1:182" x14ac:dyDescent="0.2">
      <c r="A1126" s="312"/>
      <c r="B1126" s="334"/>
      <c r="BZ1126" s="277"/>
      <c r="CA1126" s="277"/>
      <c r="CK1126" s="277"/>
      <c r="CL1126" s="277"/>
      <c r="CM1126" s="277"/>
      <c r="CN1126" s="277"/>
      <c r="CO1126" s="312"/>
      <c r="CP1126" s="312"/>
      <c r="CT1126" s="277"/>
      <c r="CU1126" s="277"/>
      <c r="CV1126" s="277"/>
      <c r="CW1126" s="312"/>
    </row>
    <row r="1127" spans="1:182" x14ac:dyDescent="0.2">
      <c r="A1127" s="312"/>
      <c r="B1127" s="334"/>
      <c r="BZ1127" s="277"/>
      <c r="CA1127" s="277"/>
      <c r="CK1127" s="277"/>
      <c r="CO1127" s="312"/>
      <c r="CP1127" s="312"/>
      <c r="CS1127" s="277"/>
      <c r="CT1127" s="277"/>
      <c r="CU1127" s="277"/>
      <c r="CV1127" s="277"/>
      <c r="CW1127" s="312"/>
    </row>
    <row r="1128" spans="1:182" x14ac:dyDescent="0.2">
      <c r="A1128" s="312"/>
      <c r="B1128" s="334"/>
      <c r="BZ1128" s="277"/>
      <c r="CA1128" s="277"/>
      <c r="CO1128" s="312"/>
      <c r="CP1128" s="312"/>
      <c r="CS1128" s="277"/>
      <c r="CT1128" s="277"/>
      <c r="CU1128" s="277"/>
      <c r="CV1128" s="277"/>
    </row>
    <row r="1129" spans="1:182" x14ac:dyDescent="0.2">
      <c r="A1129" s="312"/>
      <c r="B1129" s="334"/>
      <c r="BZ1129" s="277"/>
      <c r="CA1129" s="277"/>
      <c r="CO1129" s="312"/>
      <c r="CP1129" s="312"/>
      <c r="CS1129" s="277"/>
      <c r="CT1129" s="277"/>
      <c r="CU1129" s="277"/>
      <c r="CV1129" s="277"/>
    </row>
    <row r="1130" spans="1:182" x14ac:dyDescent="0.2">
      <c r="A1130" s="312"/>
      <c r="B1130" s="334"/>
      <c r="CO1130" s="312"/>
      <c r="CP1130" s="312"/>
      <c r="CS1130" s="277"/>
      <c r="CT1130" s="277"/>
      <c r="CU1130" s="277"/>
      <c r="CV1130" s="277"/>
    </row>
    <row r="1131" spans="1:182" x14ac:dyDescent="0.2">
      <c r="B1131" s="334"/>
      <c r="CH1131" s="331"/>
      <c r="CS1131" s="277"/>
      <c r="CT1131" s="277"/>
      <c r="FW1131" s="312"/>
    </row>
    <row r="1132" spans="1:182" x14ac:dyDescent="0.2">
      <c r="B1132" s="334"/>
      <c r="BY1132" s="277"/>
      <c r="CH1132" s="331"/>
      <c r="CS1132" s="277"/>
      <c r="DG1132" s="277"/>
      <c r="DH1132" s="277"/>
      <c r="DI1132" s="277"/>
      <c r="DJ1132" s="277"/>
      <c r="DK1132" s="277"/>
      <c r="FW1132" s="312"/>
      <c r="FX1132" s="312"/>
      <c r="FY1132" s="312"/>
      <c r="FZ1132" s="312"/>
    </row>
    <row r="1133" spans="1:182" x14ac:dyDescent="0.2">
      <c r="B1133" s="334"/>
      <c r="BY1133" s="277"/>
      <c r="CH1133" s="331"/>
      <c r="DG1133" s="277"/>
      <c r="DH1133" s="277"/>
      <c r="DI1133" s="277"/>
      <c r="DJ1133" s="277"/>
      <c r="DK1133" s="277"/>
      <c r="FW1133" s="312"/>
      <c r="FX1133" s="312"/>
      <c r="FY1133" s="312"/>
      <c r="FZ1133" s="312"/>
    </row>
    <row r="1134" spans="1:182" x14ac:dyDescent="0.2">
      <c r="B1134" s="334"/>
      <c r="BY1134" s="277"/>
      <c r="CH1134" s="331"/>
      <c r="CL1134" s="312"/>
      <c r="CM1134" s="312"/>
      <c r="CN1134" s="312"/>
      <c r="DG1134" s="277"/>
      <c r="DH1134" s="277"/>
      <c r="DI1134" s="277"/>
      <c r="DJ1134" s="277"/>
      <c r="DK1134" s="277"/>
      <c r="FW1134" s="312"/>
      <c r="FX1134" s="312"/>
      <c r="FY1134" s="312"/>
      <c r="FZ1134" s="312"/>
    </row>
    <row r="1135" spans="1:182" x14ac:dyDescent="0.2">
      <c r="B1135" s="334"/>
      <c r="BY1135" s="277"/>
      <c r="CH1135" s="331"/>
      <c r="CJ1135" s="312"/>
      <c r="CK1135" s="312"/>
      <c r="CL1135" s="312"/>
      <c r="CM1135" s="312"/>
      <c r="CN1135" s="312"/>
      <c r="DG1135" s="277"/>
      <c r="DH1135" s="277"/>
      <c r="DI1135" s="277"/>
      <c r="DJ1135" s="277"/>
      <c r="DK1135" s="277"/>
      <c r="FW1135" s="312"/>
      <c r="FX1135" s="312"/>
      <c r="FY1135" s="312"/>
      <c r="FZ1135" s="312"/>
    </row>
    <row r="1136" spans="1:182" x14ac:dyDescent="0.2">
      <c r="B1136" s="334"/>
      <c r="BY1136" s="277"/>
      <c r="CH1136" s="331"/>
      <c r="CJ1136" s="312"/>
      <c r="CK1136" s="312"/>
      <c r="CL1136" s="312"/>
      <c r="CM1136" s="312"/>
      <c r="CN1136" s="312"/>
      <c r="DG1136" s="277"/>
      <c r="DH1136" s="277"/>
      <c r="DI1136" s="277"/>
      <c r="DJ1136" s="277"/>
      <c r="DK1136" s="277"/>
      <c r="FW1136" s="312"/>
      <c r="FX1136" s="312"/>
      <c r="FY1136" s="312"/>
      <c r="FZ1136" s="312"/>
    </row>
    <row r="1137" spans="2:182" x14ac:dyDescent="0.2">
      <c r="B1137" s="334"/>
      <c r="BY1137" s="277"/>
      <c r="BZ1137" s="312"/>
      <c r="CA1137" s="312"/>
      <c r="CJ1137" s="312"/>
      <c r="CK1137" s="312"/>
      <c r="CL1137" s="312"/>
      <c r="CM1137" s="312"/>
      <c r="CN1137" s="312"/>
      <c r="DG1137" s="277"/>
      <c r="DH1137" s="277"/>
      <c r="DI1137" s="277"/>
      <c r="DJ1137" s="277"/>
      <c r="DK1137" s="277"/>
      <c r="FX1137" s="312"/>
      <c r="FY1137" s="312"/>
      <c r="FZ1137" s="312"/>
    </row>
    <row r="1138" spans="2:182" x14ac:dyDescent="0.2">
      <c r="B1138" s="334"/>
      <c r="BZ1138" s="312"/>
      <c r="CA1138" s="312"/>
      <c r="CJ1138" s="312"/>
      <c r="CK1138" s="312"/>
      <c r="CL1138" s="312"/>
      <c r="CM1138" s="312"/>
      <c r="CN1138" s="312"/>
      <c r="CU1138" s="312"/>
      <c r="CV1138" s="312"/>
    </row>
    <row r="1139" spans="2:182" x14ac:dyDescent="0.2">
      <c r="B1139" s="334"/>
      <c r="BZ1139" s="312"/>
      <c r="CA1139" s="312"/>
      <c r="CJ1139" s="312"/>
      <c r="CK1139" s="312"/>
      <c r="CL1139" s="312"/>
      <c r="CM1139" s="312"/>
      <c r="CN1139" s="312"/>
      <c r="CT1139" s="312"/>
      <c r="CU1139" s="312"/>
      <c r="CV1139" s="312"/>
    </row>
    <row r="1140" spans="2:182" x14ac:dyDescent="0.2">
      <c r="B1140" s="334"/>
      <c r="BZ1140" s="312"/>
      <c r="CA1140" s="312"/>
      <c r="CJ1140" s="312"/>
      <c r="CK1140" s="312"/>
      <c r="CS1140" s="312"/>
      <c r="CT1140" s="312"/>
      <c r="CU1140" s="312"/>
      <c r="CV1140" s="312"/>
    </row>
    <row r="1141" spans="2:182" x14ac:dyDescent="0.2">
      <c r="B1141" s="279"/>
      <c r="BZ1141" s="312"/>
      <c r="CA1141" s="312"/>
      <c r="CS1141" s="312"/>
      <c r="CT1141" s="312"/>
      <c r="CU1141" s="312"/>
      <c r="CV1141" s="312"/>
    </row>
    <row r="1142" spans="2:182" x14ac:dyDescent="0.2">
      <c r="B1142" s="279"/>
      <c r="BX1142" s="277"/>
      <c r="BZ1142" s="312"/>
      <c r="CA1142" s="312"/>
      <c r="CS1142" s="312"/>
      <c r="CT1142" s="312"/>
      <c r="CU1142" s="312"/>
      <c r="CV1142" s="312"/>
    </row>
    <row r="1143" spans="2:182" x14ac:dyDescent="0.2">
      <c r="B1143" s="279"/>
      <c r="BX1143" s="277"/>
      <c r="CS1143" s="312"/>
      <c r="CT1143" s="312"/>
      <c r="CU1143" s="312"/>
      <c r="CV1143" s="312"/>
    </row>
    <row r="1144" spans="2:182" x14ac:dyDescent="0.2">
      <c r="B1144" s="279"/>
      <c r="BX1144" s="277"/>
      <c r="CS1144" s="312"/>
      <c r="CT1144" s="312"/>
    </row>
    <row r="1145" spans="2:182" x14ac:dyDescent="0.2">
      <c r="B1145" s="279"/>
      <c r="BX1145" s="277"/>
      <c r="BY1145" s="312"/>
      <c r="CS1145" s="312"/>
      <c r="DG1145" s="312"/>
      <c r="DH1145" s="312"/>
      <c r="DI1145" s="312"/>
      <c r="DJ1145" s="312"/>
      <c r="DK1145" s="312"/>
    </row>
    <row r="1146" spans="2:182" x14ac:dyDescent="0.2">
      <c r="B1146" s="279"/>
      <c r="BX1146" s="277"/>
      <c r="BY1146" s="312"/>
      <c r="DG1146" s="312"/>
      <c r="DH1146" s="312"/>
      <c r="DI1146" s="312"/>
      <c r="DJ1146" s="312"/>
      <c r="DK1146" s="312"/>
    </row>
    <row r="1147" spans="2:182" x14ac:dyDescent="0.2">
      <c r="B1147" s="279"/>
      <c r="BX1147" s="277"/>
      <c r="BY1147" s="312"/>
      <c r="DG1147" s="312"/>
      <c r="DH1147" s="312"/>
      <c r="DI1147" s="312"/>
      <c r="DJ1147" s="312"/>
      <c r="DK1147" s="312"/>
    </row>
    <row r="1148" spans="2:182" x14ac:dyDescent="0.2">
      <c r="B1148" s="279"/>
      <c r="BY1148" s="312"/>
      <c r="DG1148" s="312"/>
      <c r="DH1148" s="312"/>
      <c r="DI1148" s="312"/>
      <c r="DJ1148" s="312"/>
      <c r="DK1148" s="312"/>
    </row>
    <row r="1149" spans="2:182" x14ac:dyDescent="0.2">
      <c r="B1149" s="279"/>
      <c r="BD1149" s="277"/>
      <c r="BG1149" s="277"/>
      <c r="BH1149" s="277"/>
      <c r="BI1149" s="277"/>
      <c r="BJ1149" s="277"/>
      <c r="BY1149" s="312"/>
      <c r="DG1149" s="312"/>
      <c r="DH1149" s="312"/>
      <c r="DI1149" s="312"/>
      <c r="DJ1149" s="312"/>
      <c r="DK1149" s="312"/>
    </row>
    <row r="1150" spans="2:182" x14ac:dyDescent="0.2">
      <c r="B1150" s="279"/>
      <c r="BC1150" s="277"/>
      <c r="BD1150" s="277"/>
      <c r="BE1150" s="277"/>
      <c r="BF1150" s="277"/>
      <c r="BG1150" s="277"/>
      <c r="BH1150" s="277"/>
      <c r="BI1150" s="277"/>
      <c r="BJ1150" s="277"/>
      <c r="BY1150" s="312"/>
      <c r="DG1150" s="312"/>
      <c r="DH1150" s="312"/>
      <c r="DI1150" s="312"/>
      <c r="DJ1150" s="312"/>
      <c r="DK1150" s="312"/>
    </row>
    <row r="1151" spans="2:182" x14ac:dyDescent="0.2">
      <c r="B1151" s="279"/>
      <c r="BC1151" s="277"/>
      <c r="BD1151" s="277"/>
      <c r="BE1151" s="277"/>
      <c r="BF1151" s="277"/>
      <c r="BG1151" s="277"/>
      <c r="BH1151" s="277"/>
      <c r="BI1151" s="277"/>
      <c r="BJ1151" s="277"/>
    </row>
    <row r="1152" spans="2:182" x14ac:dyDescent="0.2">
      <c r="B1152" s="279"/>
      <c r="BC1152" s="277"/>
      <c r="BD1152" s="277"/>
      <c r="BE1152" s="277"/>
      <c r="BF1152" s="277"/>
      <c r="BG1152" s="277"/>
      <c r="BH1152" s="277"/>
      <c r="BI1152" s="277"/>
      <c r="BJ1152" s="277"/>
    </row>
    <row r="1153" spans="2:175" x14ac:dyDescent="0.2">
      <c r="B1153" s="279"/>
      <c r="BC1153" s="277"/>
      <c r="BD1153" s="277"/>
      <c r="BE1153" s="277"/>
      <c r="BF1153" s="277"/>
      <c r="BG1153" s="277"/>
      <c r="BH1153" s="277"/>
      <c r="BI1153" s="277"/>
      <c r="BJ1153" s="277"/>
    </row>
    <row r="1154" spans="2:175" x14ac:dyDescent="0.2">
      <c r="B1154" s="279"/>
      <c r="BC1154" s="277"/>
      <c r="BD1154" s="277"/>
      <c r="BE1154" s="277"/>
      <c r="BF1154" s="277"/>
      <c r="BG1154" s="277"/>
      <c r="BH1154" s="277"/>
      <c r="BI1154" s="277"/>
      <c r="BJ1154" s="277"/>
    </row>
    <row r="1155" spans="2:175" x14ac:dyDescent="0.2">
      <c r="B1155" s="279"/>
      <c r="BC1155" s="277"/>
      <c r="BE1155" s="277"/>
      <c r="BF1155" s="277"/>
      <c r="BX1155" s="312"/>
    </row>
    <row r="1156" spans="2:175" x14ac:dyDescent="0.2">
      <c r="B1156" s="279"/>
      <c r="BX1156" s="312"/>
      <c r="CB1156" s="277"/>
      <c r="CC1156" s="277"/>
      <c r="CD1156" s="298"/>
      <c r="CE1156" s="298"/>
      <c r="CF1156" s="298"/>
      <c r="CG1156" s="298"/>
    </row>
    <row r="1157" spans="2:175" x14ac:dyDescent="0.2">
      <c r="B1157" s="279"/>
      <c r="BX1157" s="312"/>
      <c r="CB1157" s="277"/>
      <c r="CC1157" s="277"/>
      <c r="CD1157" s="298"/>
      <c r="CE1157" s="298"/>
      <c r="CF1157" s="298"/>
      <c r="CG1157" s="298"/>
    </row>
    <row r="1158" spans="2:175" x14ac:dyDescent="0.2">
      <c r="B1158" s="279"/>
      <c r="BX1158" s="312"/>
      <c r="CB1158" s="277"/>
      <c r="CC1158" s="277"/>
      <c r="CD1158" s="298"/>
      <c r="CE1158" s="298"/>
      <c r="CF1158" s="298"/>
      <c r="CG1158" s="298"/>
    </row>
    <row r="1159" spans="2:175" x14ac:dyDescent="0.2">
      <c r="B1159" s="279"/>
      <c r="BX1159" s="312"/>
      <c r="CB1159" s="277"/>
      <c r="CC1159" s="277"/>
      <c r="CD1159" s="298"/>
      <c r="CE1159" s="298"/>
      <c r="CF1159" s="298"/>
      <c r="CG1159" s="298"/>
    </row>
    <row r="1160" spans="2:175" x14ac:dyDescent="0.2">
      <c r="B1160" s="279"/>
      <c r="BX1160" s="312"/>
      <c r="CB1160" s="277"/>
      <c r="CC1160" s="277"/>
      <c r="CD1160" s="298"/>
      <c r="CE1160" s="298"/>
      <c r="CF1160" s="298"/>
      <c r="CG1160" s="298"/>
      <c r="FS1160" s="298"/>
    </row>
    <row r="1161" spans="2:175" x14ac:dyDescent="0.2">
      <c r="B1161" s="279"/>
      <c r="CB1161" s="277"/>
      <c r="CC1161" s="277"/>
      <c r="CD1161" s="298"/>
      <c r="CE1161" s="298"/>
      <c r="CF1161" s="298"/>
      <c r="CG1161" s="298"/>
      <c r="FS1161" s="298"/>
    </row>
    <row r="1162" spans="2:175" x14ac:dyDescent="0.2">
      <c r="B1162" s="279"/>
      <c r="BD1162" s="312"/>
      <c r="BG1162" s="312"/>
      <c r="BH1162" s="312"/>
      <c r="BI1162" s="312"/>
      <c r="BJ1162" s="312"/>
      <c r="FN1162" s="277"/>
      <c r="FO1162" s="277"/>
      <c r="FS1162" s="298"/>
    </row>
    <row r="1163" spans="2:175" x14ac:dyDescent="0.2">
      <c r="B1163" s="279"/>
      <c r="BC1163" s="312"/>
      <c r="BD1163" s="312"/>
      <c r="BE1163" s="312"/>
      <c r="BF1163" s="312"/>
      <c r="BG1163" s="312"/>
      <c r="BH1163" s="312"/>
      <c r="BI1163" s="312"/>
      <c r="BJ1163" s="312"/>
      <c r="FI1163" s="298"/>
      <c r="FN1163" s="277"/>
      <c r="FO1163" s="277"/>
      <c r="FS1163" s="298"/>
    </row>
    <row r="1164" spans="2:175" x14ac:dyDescent="0.2">
      <c r="B1164" s="279"/>
      <c r="BC1164" s="312"/>
      <c r="BD1164" s="312"/>
      <c r="BE1164" s="312"/>
      <c r="BF1164" s="312"/>
      <c r="BG1164" s="312"/>
      <c r="BH1164" s="312"/>
      <c r="BI1164" s="312"/>
      <c r="BJ1164" s="312"/>
      <c r="FI1164" s="298"/>
      <c r="FN1164" s="277"/>
      <c r="FO1164" s="277"/>
      <c r="FP1164" s="277"/>
      <c r="FQ1164" s="277"/>
      <c r="FR1164" s="277"/>
      <c r="FS1164" s="298"/>
    </row>
    <row r="1165" spans="2:175" x14ac:dyDescent="0.2">
      <c r="B1165" s="279"/>
      <c r="BC1165" s="312"/>
      <c r="BD1165" s="312"/>
      <c r="BE1165" s="312"/>
      <c r="BF1165" s="312"/>
      <c r="BG1165" s="312"/>
      <c r="BH1165" s="312"/>
      <c r="BI1165" s="312"/>
      <c r="BJ1165" s="312"/>
      <c r="FD1165" s="277"/>
      <c r="FE1165" s="277"/>
      <c r="FI1165" s="298"/>
      <c r="FN1165" s="277"/>
      <c r="FO1165" s="277"/>
      <c r="FP1165" s="277"/>
      <c r="FQ1165" s="277"/>
      <c r="FR1165" s="277"/>
      <c r="FS1165" s="298"/>
    </row>
    <row r="1166" spans="2:175" x14ac:dyDescent="0.2">
      <c r="B1166" s="279"/>
      <c r="BC1166" s="312"/>
      <c r="BD1166" s="312"/>
      <c r="BE1166" s="312"/>
      <c r="BF1166" s="312"/>
      <c r="BG1166" s="312"/>
      <c r="BH1166" s="312"/>
      <c r="BI1166" s="312"/>
      <c r="BJ1166" s="312"/>
      <c r="FD1166" s="277"/>
      <c r="FE1166" s="277"/>
      <c r="FI1166" s="298"/>
      <c r="FN1166" s="277"/>
      <c r="FO1166" s="277"/>
      <c r="FP1166" s="277"/>
      <c r="FQ1166" s="277"/>
      <c r="FR1166" s="277"/>
    </row>
    <row r="1167" spans="2:175" x14ac:dyDescent="0.2">
      <c r="B1167" s="279"/>
      <c r="BC1167" s="312"/>
      <c r="BD1167" s="312"/>
      <c r="BE1167" s="312"/>
      <c r="BF1167" s="312"/>
      <c r="BG1167" s="312"/>
      <c r="BH1167" s="312"/>
      <c r="BI1167" s="312"/>
      <c r="BJ1167" s="312"/>
      <c r="FD1167" s="277"/>
      <c r="FE1167" s="277"/>
      <c r="FF1167" s="277"/>
      <c r="FG1167" s="277"/>
      <c r="FH1167" s="277"/>
      <c r="FI1167" s="298"/>
      <c r="FN1167" s="277"/>
      <c r="FO1167" s="277"/>
      <c r="FP1167" s="277"/>
      <c r="FQ1167" s="277"/>
      <c r="FR1167" s="277"/>
    </row>
    <row r="1168" spans="2:175" x14ac:dyDescent="0.2">
      <c r="B1168" s="279"/>
      <c r="BC1168" s="312"/>
      <c r="BE1168" s="312"/>
      <c r="BF1168" s="312"/>
      <c r="FD1168" s="277"/>
      <c r="FE1168" s="277"/>
      <c r="FF1168" s="277"/>
      <c r="FG1168" s="277"/>
      <c r="FH1168" s="277"/>
      <c r="FI1168" s="298"/>
      <c r="FP1168" s="277"/>
      <c r="FQ1168" s="277"/>
      <c r="FR1168" s="277"/>
    </row>
    <row r="1169" spans="2:175" x14ac:dyDescent="0.2">
      <c r="B1169" s="279"/>
      <c r="CB1169" s="312"/>
      <c r="CC1169" s="312"/>
      <c r="CD1169" s="331"/>
      <c r="CE1169" s="331"/>
      <c r="CF1169" s="331"/>
      <c r="CG1169" s="331"/>
      <c r="FD1169" s="277"/>
      <c r="FE1169" s="277"/>
      <c r="FF1169" s="277"/>
      <c r="FG1169" s="277"/>
      <c r="FH1169" s="277"/>
      <c r="FP1169" s="277"/>
      <c r="FQ1169" s="277"/>
      <c r="FR1169" s="277"/>
    </row>
    <row r="1170" spans="2:175" x14ac:dyDescent="0.2">
      <c r="B1170" s="279"/>
      <c r="CB1170" s="312"/>
      <c r="CC1170" s="312"/>
      <c r="CD1170" s="331"/>
      <c r="CE1170" s="331"/>
      <c r="CF1170" s="331"/>
      <c r="CG1170" s="331"/>
      <c r="FD1170" s="277"/>
      <c r="FE1170" s="277"/>
      <c r="FF1170" s="277"/>
      <c r="FG1170" s="277"/>
      <c r="FH1170" s="277"/>
    </row>
    <row r="1171" spans="2:175" x14ac:dyDescent="0.2">
      <c r="B1171" s="279"/>
      <c r="CB1171" s="312"/>
      <c r="CC1171" s="312"/>
      <c r="CD1171" s="331"/>
      <c r="CE1171" s="331"/>
      <c r="CF1171" s="331"/>
      <c r="CG1171" s="331"/>
      <c r="FF1171" s="277"/>
      <c r="FG1171" s="277"/>
      <c r="FH1171" s="277"/>
    </row>
    <row r="1172" spans="2:175" x14ac:dyDescent="0.2">
      <c r="B1172" s="279"/>
      <c r="CB1172" s="312"/>
      <c r="CC1172" s="312"/>
      <c r="CD1172" s="331"/>
      <c r="CE1172" s="331"/>
      <c r="CF1172" s="331"/>
      <c r="CG1172" s="331"/>
      <c r="FF1172" s="277"/>
      <c r="FG1172" s="277"/>
      <c r="FH1172" s="277"/>
    </row>
    <row r="1173" spans="2:175" x14ac:dyDescent="0.2">
      <c r="B1173" s="279"/>
      <c r="CB1173" s="312"/>
      <c r="CC1173" s="312"/>
      <c r="CD1173" s="331"/>
      <c r="CE1173" s="331"/>
      <c r="CF1173" s="331"/>
      <c r="CG1173" s="331"/>
      <c r="FS1173" s="331"/>
    </row>
    <row r="1174" spans="2:175" x14ac:dyDescent="0.2">
      <c r="B1174" s="279"/>
      <c r="CB1174" s="312"/>
      <c r="CC1174" s="312"/>
      <c r="CD1174" s="331"/>
      <c r="CE1174" s="331"/>
      <c r="CF1174" s="331"/>
      <c r="CG1174" s="331"/>
      <c r="FS1174" s="331"/>
    </row>
    <row r="1175" spans="2:175" x14ac:dyDescent="0.2">
      <c r="B1175" s="279"/>
      <c r="FN1175" s="312"/>
      <c r="FO1175" s="312"/>
      <c r="FS1175" s="331"/>
    </row>
    <row r="1176" spans="2:175" x14ac:dyDescent="0.2">
      <c r="B1176" s="279"/>
      <c r="FI1176" s="331"/>
      <c r="FN1176" s="312"/>
      <c r="FO1176" s="312"/>
      <c r="FS1176" s="331"/>
    </row>
    <row r="1177" spans="2:175" x14ac:dyDescent="0.2">
      <c r="B1177" s="279"/>
      <c r="FI1177" s="331"/>
      <c r="FN1177" s="312"/>
      <c r="FO1177" s="312"/>
      <c r="FP1177" s="312"/>
      <c r="FQ1177" s="312"/>
      <c r="FR1177" s="312"/>
      <c r="FS1177" s="331"/>
    </row>
    <row r="1178" spans="2:175" x14ac:dyDescent="0.2">
      <c r="B1178" s="279"/>
      <c r="FD1178" s="312"/>
      <c r="FE1178" s="312"/>
      <c r="FI1178" s="331"/>
      <c r="FN1178" s="312"/>
      <c r="FO1178" s="312"/>
      <c r="FP1178" s="312"/>
      <c r="FQ1178" s="312"/>
      <c r="FR1178" s="312"/>
      <c r="FS1178" s="331"/>
    </row>
    <row r="1179" spans="2:175" x14ac:dyDescent="0.2">
      <c r="B1179" s="279"/>
      <c r="FD1179" s="312"/>
      <c r="FE1179" s="312"/>
      <c r="FI1179" s="331"/>
      <c r="FN1179" s="312"/>
      <c r="FO1179" s="312"/>
      <c r="FP1179" s="312"/>
      <c r="FQ1179" s="312"/>
      <c r="FR1179" s="312"/>
    </row>
    <row r="1180" spans="2:175" x14ac:dyDescent="0.2">
      <c r="B1180" s="279"/>
      <c r="FD1180" s="312"/>
      <c r="FE1180" s="312"/>
      <c r="FF1180" s="312"/>
      <c r="FG1180" s="312"/>
      <c r="FH1180" s="312"/>
      <c r="FI1180" s="331"/>
      <c r="FN1180" s="312"/>
      <c r="FO1180" s="312"/>
      <c r="FP1180" s="312"/>
      <c r="FQ1180" s="312"/>
      <c r="FR1180" s="312"/>
    </row>
    <row r="1181" spans="2:175" x14ac:dyDescent="0.2">
      <c r="B1181" s="279"/>
      <c r="FD1181" s="312"/>
      <c r="FE1181" s="312"/>
      <c r="FF1181" s="312"/>
      <c r="FG1181" s="312"/>
      <c r="FH1181" s="312"/>
      <c r="FI1181" s="331"/>
      <c r="FP1181" s="312"/>
      <c r="FQ1181" s="312"/>
      <c r="FR1181" s="312"/>
    </row>
    <row r="1182" spans="2:175" x14ac:dyDescent="0.2">
      <c r="B1182" s="279"/>
      <c r="FD1182" s="312"/>
      <c r="FE1182" s="312"/>
      <c r="FF1182" s="312"/>
      <c r="FG1182" s="312"/>
      <c r="FH1182" s="312"/>
      <c r="FP1182" s="312"/>
      <c r="FQ1182" s="312"/>
      <c r="FR1182" s="312"/>
    </row>
    <row r="1183" spans="2:175" x14ac:dyDescent="0.2">
      <c r="B1183" s="279"/>
      <c r="FD1183" s="312"/>
      <c r="FE1183" s="312"/>
      <c r="FF1183" s="312"/>
      <c r="FG1183" s="312"/>
      <c r="FH1183" s="312"/>
    </row>
    <row r="1184" spans="2:175" x14ac:dyDescent="0.2">
      <c r="B1184" s="279"/>
      <c r="FF1184" s="312"/>
      <c r="FG1184" s="312"/>
      <c r="FH1184" s="312"/>
    </row>
    <row r="1185" spans="2:164" x14ac:dyDescent="0.2">
      <c r="B1185" s="279"/>
      <c r="FF1185" s="312"/>
      <c r="FG1185" s="312"/>
      <c r="FH1185" s="312"/>
    </row>
    <row r="1186" spans="2:164" x14ac:dyDescent="0.2">
      <c r="B1186" s="279"/>
    </row>
    <row r="1187" spans="2:164" x14ac:dyDescent="0.2">
      <c r="B1187" s="279"/>
    </row>
    <row r="1188" spans="2:164" x14ac:dyDescent="0.2">
      <c r="B1188" s="279"/>
    </row>
    <row r="1189" spans="2:164" x14ac:dyDescent="0.2">
      <c r="B1189" s="279"/>
    </row>
    <row r="1190" spans="2:164" x14ac:dyDescent="0.2">
      <c r="B1190" s="279"/>
    </row>
    <row r="1191" spans="2:164" x14ac:dyDescent="0.2">
      <c r="B1191" s="279"/>
    </row>
    <row r="1192" spans="2:164" x14ac:dyDescent="0.2">
      <c r="B1192" s="279"/>
    </row>
    <row r="1193" spans="2:164" x14ac:dyDescent="0.2">
      <c r="B1193" s="279"/>
    </row>
    <row r="1194" spans="2:164" x14ac:dyDescent="0.2">
      <c r="B1194" s="279"/>
    </row>
    <row r="1195" spans="2:164" x14ac:dyDescent="0.2">
      <c r="B1195" s="279"/>
    </row>
    <row r="1196" spans="2:164" x14ac:dyDescent="0.2">
      <c r="B1196" s="279"/>
    </row>
    <row r="1197" spans="2:164" x14ac:dyDescent="0.2">
      <c r="B1197" s="279"/>
    </row>
    <row r="1198" spans="2:164" x14ac:dyDescent="0.2">
      <c r="B1198" s="279"/>
    </row>
    <row r="1199" spans="2:164" x14ac:dyDescent="0.2">
      <c r="B1199" s="279"/>
    </row>
    <row r="1200" spans="2:164" x14ac:dyDescent="0.2">
      <c r="B1200" s="279"/>
    </row>
    <row r="1201" spans="2:123" x14ac:dyDescent="0.2">
      <c r="B1201" s="279"/>
    </row>
    <row r="1202" spans="2:123" x14ac:dyDescent="0.2">
      <c r="B1202" s="279"/>
    </row>
    <row r="1203" spans="2:123" x14ac:dyDescent="0.2">
      <c r="B1203" s="279"/>
    </row>
    <row r="1204" spans="2:123" x14ac:dyDescent="0.2">
      <c r="B1204" s="279"/>
    </row>
    <row r="1205" spans="2:123" x14ac:dyDescent="0.2">
      <c r="B1205" s="279"/>
    </row>
    <row r="1206" spans="2:123" x14ac:dyDescent="0.2">
      <c r="B1206" s="279"/>
    </row>
    <row r="1207" spans="2:123" x14ac:dyDescent="0.2">
      <c r="B1207" s="279"/>
    </row>
    <row r="1208" spans="2:123" x14ac:dyDescent="0.2">
      <c r="B1208" s="279"/>
    </row>
    <row r="1209" spans="2:123" x14ac:dyDescent="0.2">
      <c r="B1209" s="279"/>
    </row>
    <row r="1210" spans="2:123" x14ac:dyDescent="0.2">
      <c r="B1210" s="279"/>
    </row>
    <row r="1211" spans="2:123" x14ac:dyDescent="0.2">
      <c r="B1211" s="279"/>
    </row>
    <row r="1212" spans="2:123" x14ac:dyDescent="0.2">
      <c r="B1212" s="279"/>
    </row>
    <row r="1213" spans="2:123" x14ac:dyDescent="0.2">
      <c r="B1213" s="279"/>
      <c r="C1213" s="290"/>
    </row>
    <row r="1214" spans="2:123" x14ac:dyDescent="0.2">
      <c r="B1214" s="279"/>
    </row>
    <row r="1215" spans="2:123" x14ac:dyDescent="0.2">
      <c r="B1215" s="279"/>
      <c r="DS1215" s="298"/>
    </row>
    <row r="1216" spans="2:123" x14ac:dyDescent="0.2">
      <c r="B1216" s="279"/>
      <c r="DS1216" s="298"/>
    </row>
    <row r="1217" spans="1:123" x14ac:dyDescent="0.2">
      <c r="B1217" s="279"/>
      <c r="DS1217" s="298"/>
    </row>
    <row r="1218" spans="1:123" x14ac:dyDescent="0.2">
      <c r="B1218" s="279"/>
      <c r="DS1218" s="298"/>
    </row>
    <row r="1219" spans="1:123" x14ac:dyDescent="0.2">
      <c r="B1219" s="279"/>
      <c r="DS1219" s="298"/>
    </row>
    <row r="1220" spans="1:123" x14ac:dyDescent="0.2">
      <c r="B1220" s="279"/>
      <c r="DS1220" s="298"/>
    </row>
    <row r="1221" spans="1:123" x14ac:dyDescent="0.2">
      <c r="B1221" s="279"/>
    </row>
    <row r="1222" spans="1:123" x14ac:dyDescent="0.2">
      <c r="B1222" s="279"/>
    </row>
    <row r="1223" spans="1:123" x14ac:dyDescent="0.2">
      <c r="B1223" s="279"/>
    </row>
    <row r="1224" spans="1:123" x14ac:dyDescent="0.2">
      <c r="B1224" s="279"/>
    </row>
    <row r="1225" spans="1:123" x14ac:dyDescent="0.2">
      <c r="B1225" s="279"/>
    </row>
    <row r="1226" spans="1:123" x14ac:dyDescent="0.2">
      <c r="B1226" s="279"/>
    </row>
    <row r="1227" spans="1:123" x14ac:dyDescent="0.2">
      <c r="B1227" s="279"/>
    </row>
    <row r="1228" spans="1:123" x14ac:dyDescent="0.2">
      <c r="B1228" s="279"/>
      <c r="DS1228" s="331"/>
    </row>
    <row r="1229" spans="1:123" x14ac:dyDescent="0.2">
      <c r="B1229" s="279"/>
      <c r="DS1229" s="331"/>
    </row>
    <row r="1230" spans="1:123" x14ac:dyDescent="0.2">
      <c r="A1230" s="278"/>
      <c r="DS1230" s="331"/>
    </row>
    <row r="1231" spans="1:123" x14ac:dyDescent="0.2">
      <c r="A1231" s="278"/>
      <c r="B1231" s="279"/>
      <c r="DN1231" s="277"/>
      <c r="DS1231" s="331"/>
    </row>
    <row r="1232" spans="1:123" x14ac:dyDescent="0.2">
      <c r="A1232" s="278"/>
      <c r="B1232" s="279"/>
      <c r="DN1232" s="277"/>
      <c r="DS1232" s="331"/>
    </row>
    <row r="1233" spans="1:123" x14ac:dyDescent="0.2">
      <c r="A1233" s="278"/>
      <c r="B1233" s="279"/>
      <c r="DN1233" s="277"/>
      <c r="DS1233" s="331"/>
    </row>
    <row r="1234" spans="1:123" x14ac:dyDescent="0.2">
      <c r="A1234" s="278"/>
      <c r="B1234" s="279"/>
      <c r="DN1234" s="277"/>
      <c r="DO1234" s="277"/>
    </row>
    <row r="1235" spans="1:123" x14ac:dyDescent="0.2">
      <c r="A1235" s="278"/>
      <c r="B1235" s="279"/>
      <c r="DN1235" s="277"/>
      <c r="DO1235" s="277"/>
    </row>
    <row r="1236" spans="1:123" x14ac:dyDescent="0.2">
      <c r="A1236" s="278"/>
      <c r="B1236" s="279"/>
      <c r="DN1236" s="277"/>
      <c r="DO1236" s="277"/>
    </row>
    <row r="1237" spans="1:123" x14ac:dyDescent="0.2">
      <c r="A1237" s="278"/>
      <c r="B1237" s="279"/>
      <c r="DO1237" s="277"/>
    </row>
    <row r="1238" spans="1:123" x14ac:dyDescent="0.2">
      <c r="A1238" s="278"/>
      <c r="B1238" s="279"/>
      <c r="DO1238" s="277"/>
    </row>
    <row r="1239" spans="1:123" x14ac:dyDescent="0.2">
      <c r="A1239" s="278"/>
      <c r="B1239" s="279"/>
      <c r="DO1239" s="277"/>
    </row>
    <row r="1240" spans="1:123" x14ac:dyDescent="0.2">
      <c r="A1240" s="278"/>
      <c r="B1240" s="279"/>
    </row>
    <row r="1241" spans="1:123" x14ac:dyDescent="0.2">
      <c r="A1241" s="278"/>
      <c r="B1241" s="279"/>
    </row>
    <row r="1242" spans="1:123" x14ac:dyDescent="0.2">
      <c r="A1242" s="278"/>
      <c r="B1242" s="279"/>
    </row>
    <row r="1243" spans="1:123" x14ac:dyDescent="0.2">
      <c r="A1243" s="278"/>
      <c r="B1243" s="279"/>
    </row>
    <row r="1244" spans="1:123" x14ac:dyDescent="0.2">
      <c r="A1244" s="278"/>
      <c r="B1244" s="279"/>
      <c r="DN1244" s="312"/>
    </row>
    <row r="1245" spans="1:123" x14ac:dyDescent="0.2">
      <c r="A1245" s="278"/>
      <c r="B1245" s="279"/>
      <c r="DN1245" s="312"/>
    </row>
    <row r="1246" spans="1:123" x14ac:dyDescent="0.2">
      <c r="A1246" s="278"/>
      <c r="B1246" s="279"/>
      <c r="DN1246" s="312"/>
    </row>
    <row r="1247" spans="1:123" x14ac:dyDescent="0.2">
      <c r="A1247" s="278"/>
      <c r="B1247" s="279"/>
      <c r="DN1247" s="312"/>
      <c r="DO1247" s="312"/>
    </row>
    <row r="1248" spans="1:123" x14ac:dyDescent="0.2">
      <c r="A1248" s="278"/>
      <c r="B1248" s="279"/>
      <c r="DN1248" s="312"/>
      <c r="DO1248" s="312"/>
    </row>
    <row r="1249" spans="1:119" x14ac:dyDescent="0.2">
      <c r="A1249" s="278"/>
      <c r="B1249" s="279"/>
      <c r="DN1249" s="312"/>
      <c r="DO1249" s="312"/>
    </row>
    <row r="1250" spans="1:119" x14ac:dyDescent="0.2">
      <c r="A1250" s="278"/>
      <c r="B1250" s="279"/>
      <c r="DO1250" s="312"/>
    </row>
    <row r="1251" spans="1:119" x14ac:dyDescent="0.2">
      <c r="A1251" s="278"/>
      <c r="B1251" s="279"/>
      <c r="DO1251" s="312"/>
    </row>
    <row r="1252" spans="1:119" x14ac:dyDescent="0.2">
      <c r="A1252" s="278"/>
      <c r="B1252" s="279"/>
      <c r="DO1252" s="312"/>
    </row>
    <row r="1253" spans="1:119" x14ac:dyDescent="0.2">
      <c r="A1253" s="278"/>
      <c r="B1253" s="279"/>
    </row>
    <row r="1254" spans="1:119" x14ac:dyDescent="0.2">
      <c r="A1254" s="278"/>
      <c r="B1254" s="279"/>
    </row>
    <row r="1255" spans="1:119" x14ac:dyDescent="0.2">
      <c r="A1255" s="278"/>
      <c r="B1255" s="279"/>
    </row>
    <row r="1256" spans="1:119" x14ac:dyDescent="0.2">
      <c r="A1256" s="278"/>
      <c r="B1256" s="279"/>
    </row>
    <row r="1257" spans="1:119" x14ac:dyDescent="0.2">
      <c r="A1257" s="278"/>
      <c r="B1257" s="279"/>
    </row>
    <row r="1258" spans="1:119" x14ac:dyDescent="0.2">
      <c r="A1258" s="278"/>
      <c r="B1258" s="279"/>
    </row>
    <row r="1259" spans="1:119" x14ac:dyDescent="0.2">
      <c r="A1259" s="278"/>
      <c r="B1259" s="279"/>
    </row>
    <row r="1260" spans="1:119" x14ac:dyDescent="0.2">
      <c r="A1260" s="278"/>
      <c r="B1260" s="279"/>
    </row>
    <row r="1261" spans="1:119" x14ac:dyDescent="0.2">
      <c r="B1261" s="279"/>
    </row>
    <row r="1262" spans="1:119" x14ac:dyDescent="0.2">
      <c r="B1262" s="279"/>
    </row>
    <row r="1263" spans="1:119" x14ac:dyDescent="0.2">
      <c r="B1263" s="279"/>
    </row>
    <row r="1264" spans="1:119" x14ac:dyDescent="0.2">
      <c r="B1264" s="279"/>
    </row>
    <row r="1265" spans="1:122" x14ac:dyDescent="0.2">
      <c r="A1265" s="278"/>
      <c r="B1265" s="279"/>
    </row>
    <row r="1266" spans="1:122" x14ac:dyDescent="0.2">
      <c r="A1266" s="278"/>
      <c r="B1266" s="279"/>
    </row>
    <row r="1267" spans="1:122" x14ac:dyDescent="0.2">
      <c r="A1267" s="278"/>
      <c r="B1267" s="279"/>
    </row>
    <row r="1268" spans="1:122" x14ac:dyDescent="0.2">
      <c r="A1268" s="278"/>
      <c r="B1268" s="279"/>
      <c r="DP1268" s="277"/>
      <c r="DQ1268" s="277"/>
    </row>
    <row r="1269" spans="1:122" x14ac:dyDescent="0.2">
      <c r="A1269" s="278"/>
      <c r="B1269" s="279"/>
      <c r="DP1269" s="277"/>
      <c r="DQ1269" s="277"/>
      <c r="DR1269" s="277"/>
    </row>
    <row r="1270" spans="1:122" x14ac:dyDescent="0.2">
      <c r="A1270" s="278"/>
      <c r="B1270" s="279"/>
      <c r="DP1270" s="277"/>
      <c r="DQ1270" s="277"/>
      <c r="DR1270" s="277"/>
    </row>
    <row r="1271" spans="1:122" x14ac:dyDescent="0.2">
      <c r="A1271" s="278"/>
      <c r="B1271" s="279"/>
      <c r="DP1271" s="277"/>
      <c r="DQ1271" s="277"/>
      <c r="DR1271" s="277"/>
    </row>
    <row r="1272" spans="1:122" x14ac:dyDescent="0.2">
      <c r="A1272" s="278"/>
      <c r="B1272" s="279"/>
      <c r="DP1272" s="277"/>
      <c r="DQ1272" s="277"/>
      <c r="DR1272" s="277"/>
    </row>
    <row r="1273" spans="1:122" x14ac:dyDescent="0.2">
      <c r="A1273" s="278"/>
      <c r="B1273" s="279"/>
      <c r="DP1273" s="277"/>
      <c r="DQ1273" s="277"/>
      <c r="DR1273" s="277"/>
    </row>
    <row r="1274" spans="1:122" x14ac:dyDescent="0.2">
      <c r="A1274" s="278"/>
      <c r="B1274" s="279"/>
      <c r="DR1274" s="277"/>
    </row>
    <row r="1275" spans="1:122" x14ac:dyDescent="0.2">
      <c r="A1275" s="278"/>
      <c r="B1275" s="279"/>
    </row>
    <row r="1276" spans="1:122" x14ac:dyDescent="0.2">
      <c r="A1276" s="278"/>
      <c r="B1276" s="279"/>
    </row>
    <row r="1277" spans="1:122" x14ac:dyDescent="0.2">
      <c r="A1277" s="278"/>
      <c r="B1277" s="279"/>
    </row>
    <row r="1278" spans="1:122" x14ac:dyDescent="0.2">
      <c r="A1278" s="278"/>
      <c r="B1278" s="279"/>
    </row>
    <row r="1279" spans="1:122" x14ac:dyDescent="0.2">
      <c r="A1279" s="278"/>
      <c r="B1279" s="279"/>
    </row>
    <row r="1280" spans="1:122" x14ac:dyDescent="0.2">
      <c r="A1280" s="278"/>
      <c r="B1280" s="279"/>
    </row>
    <row r="1281" spans="1:122" x14ac:dyDescent="0.2">
      <c r="A1281" s="278"/>
      <c r="B1281" s="279"/>
      <c r="DP1281" s="312"/>
      <c r="DQ1281" s="312"/>
    </row>
    <row r="1282" spans="1:122" x14ac:dyDescent="0.2">
      <c r="DP1282" s="312"/>
      <c r="DQ1282" s="312"/>
      <c r="DR1282" s="312"/>
    </row>
    <row r="1283" spans="1:122" x14ac:dyDescent="0.2">
      <c r="DP1283" s="312"/>
      <c r="DQ1283" s="312"/>
      <c r="DR1283" s="312"/>
    </row>
    <row r="1284" spans="1:122" x14ac:dyDescent="0.2">
      <c r="DP1284" s="312"/>
      <c r="DQ1284" s="312"/>
      <c r="DR1284" s="312"/>
    </row>
    <row r="1285" spans="1:122" x14ac:dyDescent="0.2">
      <c r="DP1285" s="312"/>
      <c r="DQ1285" s="312"/>
      <c r="DR1285" s="312"/>
    </row>
    <row r="1286" spans="1:122" x14ac:dyDescent="0.2">
      <c r="DP1286" s="312"/>
      <c r="DQ1286" s="312"/>
      <c r="DR1286" s="312"/>
    </row>
    <row r="1287" spans="1:122" x14ac:dyDescent="0.2">
      <c r="DR1287" s="312"/>
    </row>
    <row r="1414" spans="1:1" x14ac:dyDescent="0.2">
      <c r="A1414" s="281"/>
    </row>
    <row r="1445" spans="1:1" x14ac:dyDescent="0.2">
      <c r="A1445" s="276"/>
    </row>
    <row r="1446" spans="1:1" x14ac:dyDescent="0.2">
      <c r="A1446" s="276"/>
    </row>
    <row r="1447" spans="1:1" x14ac:dyDescent="0.2">
      <c r="A1447" s="276"/>
    </row>
  </sheetData>
  <mergeCells count="58">
    <mergeCell ref="DI7:DJ7"/>
    <mergeCell ref="AG3:AH3"/>
    <mergeCell ref="AG4:AH4"/>
    <mergeCell ref="AG7:AH7"/>
    <mergeCell ref="AG6:AH6"/>
    <mergeCell ref="AG5:AH5"/>
    <mergeCell ref="AG10:AH10"/>
    <mergeCell ref="AG9:AH9"/>
    <mergeCell ref="AG11:AH11"/>
    <mergeCell ref="B5:C5"/>
    <mergeCell ref="AG8:AH8"/>
    <mergeCell ref="F27:G27"/>
    <mergeCell ref="F31:G31"/>
    <mergeCell ref="AG36:AH36"/>
    <mergeCell ref="AG37:AH37"/>
    <mergeCell ref="AG38:AH38"/>
    <mergeCell ref="AG39:AH39"/>
    <mergeCell ref="AG24:AH24"/>
    <mergeCell ref="AG32:AH32"/>
    <mergeCell ref="AG33:AH33"/>
    <mergeCell ref="AG34:AH34"/>
    <mergeCell ref="AG35:AH35"/>
    <mergeCell ref="AG64:AH64"/>
    <mergeCell ref="AG68:AH68"/>
    <mergeCell ref="HO42:HT42"/>
    <mergeCell ref="HU42:HW42"/>
    <mergeCell ref="HY42:ID42"/>
    <mergeCell ref="IE42:IG42"/>
    <mergeCell ref="BY251:CC251"/>
    <mergeCell ref="BY238:CC238"/>
    <mergeCell ref="HO97:HO98"/>
    <mergeCell ref="HP97:HP98"/>
    <mergeCell ref="HQ97:HQ98"/>
    <mergeCell ref="HR97:HR98"/>
    <mergeCell ref="HS97:HS98"/>
    <mergeCell ref="HT97:HT98"/>
    <mergeCell ref="HU97:HU98"/>
    <mergeCell ref="IA105:IA106"/>
    <mergeCell ref="IB105:IB106"/>
    <mergeCell ref="HV97:HV98"/>
    <mergeCell ref="HW97:HW98"/>
    <mergeCell ref="HX97:HX98"/>
    <mergeCell ref="HY97:HY98"/>
    <mergeCell ref="HZ97:HZ98"/>
    <mergeCell ref="IA97:IA98"/>
    <mergeCell ref="IB97:IB98"/>
    <mergeCell ref="HY105:HY106"/>
    <mergeCell ref="HZ105:HZ106"/>
    <mergeCell ref="HO105:HO106"/>
    <mergeCell ref="HP105:HP106"/>
    <mergeCell ref="HQ105:HQ106"/>
    <mergeCell ref="HR105:HR106"/>
    <mergeCell ref="HS105:HS106"/>
    <mergeCell ref="HT105:HT106"/>
    <mergeCell ref="HU105:HU106"/>
    <mergeCell ref="HV105:HV106"/>
    <mergeCell ref="HW105:HW106"/>
    <mergeCell ref="HX105:HX106"/>
  </mergeCells>
  <phoneticPr fontId="0" type="noConversion"/>
  <conditionalFormatting sqref="I969:K974 BN1102:BT1107 BZ1137:BZ1142 DP1281:DP1286 EW1045:EW1050 EU1043:EU1048 FF1180:FF1185 FP1177:FQ1182 FN1175:FN1180 FX1132:FY1137 CB1169:CB1174 EG1038:EI1043 EN1056:EP1061 FD1178:FD1183 EB1073:EB1078 DV1073:DZ1078 GC992:GC997 BG1162:BI1167 BE1163:BE1168 CJ1135:CJ1140 CL1134:CM1139 CU1138:CU1143 DB1048:DB1053 CZ1049:CZ1054 DG1145:DJ1150 GG992:GT997 GV992:GW997 GY983:HA988 HM992:IW997 HC992:HI997 HK991:HK996">
    <cfRule type="expression" dxfId="966" priority="11" stopIfTrue="1">
      <formula>IF(J969&gt;0,TRUE,FALSE)</formula>
    </cfRule>
  </conditionalFormatting>
  <conditionalFormatting sqref="C995:C1000">
    <cfRule type="expression" dxfId="965" priority="116" stopIfTrue="1">
      <formula>IF(#REF!&gt;0,TRUE,FALSE)</formula>
    </cfRule>
  </conditionalFormatting>
  <conditionalFormatting sqref="F923:G928">
    <cfRule type="expression" dxfId="964" priority="128" stopIfTrue="1">
      <formula>IF(H968&gt;0,TRUE,FALSE)</formula>
    </cfRule>
  </conditionalFormatting>
  <conditionalFormatting sqref="D994:D999">
    <cfRule type="expression" dxfId="963" priority="130" stopIfTrue="1">
      <formula>IF(E978&gt;0,TRUE,FALSE)</formula>
    </cfRule>
  </conditionalFormatting>
  <conditionalFormatting sqref="E978:E983">
    <cfRule type="expression" dxfId="962" priority="131" stopIfTrue="1">
      <formula>IF(F923&gt;0,TRUE,FALSE)</formula>
    </cfRule>
  </conditionalFormatting>
  <conditionalFormatting sqref="H968:H973 DQ1281:DQ1286 FW1131:FW1136 BD1162:BD1167 HL991:HL996">
    <cfRule type="expression" dxfId="961" priority="133" stopIfTrue="1">
      <formula>IF(I969&gt;0,TRUE,FALSE)</formula>
    </cfRule>
  </conditionalFormatting>
  <conditionalFormatting sqref="BM1090:BM1095">
    <cfRule type="expression" dxfId="960" priority="135" stopIfTrue="1">
      <formula>IF(BO1102&gt;0,TRUE,FALSE)</formula>
    </cfRule>
  </conditionalFormatting>
  <conditionalFormatting sqref="BJ1162:BJ1167">
    <cfRule type="expression" dxfId="959" priority="140" stopIfTrue="1">
      <formula>IF(BK1024&gt;0,TRUE,FALSE)</formula>
    </cfRule>
  </conditionalFormatting>
  <conditionalFormatting sqref="BB1108:BB1113">
    <cfRule type="expression" dxfId="958" priority="141" stopIfTrue="1">
      <formula>IF(BC1163&gt;0,TRUE,FALSE)</formula>
    </cfRule>
  </conditionalFormatting>
  <conditionalFormatting sqref="BU1102:BU1107">
    <cfRule type="expression" dxfId="957" priority="143" stopIfTrue="1">
      <formula>IF(BX1155&gt;0,TRUE,FALSE)</formula>
    </cfRule>
  </conditionalFormatting>
  <conditionalFormatting sqref="BY1145:BY1150">
    <cfRule type="expression" dxfId="956" priority="145" stopIfTrue="1">
      <formula>IF(BZ1137&gt;0,TRUE,FALSE)</formula>
    </cfRule>
  </conditionalFormatting>
  <conditionalFormatting sqref="BX1155:BX1160">
    <cfRule type="expression" dxfId="955" priority="146" stopIfTrue="1">
      <formula>IF(BY1145&gt;0,TRUE,FALSE)</formula>
    </cfRule>
  </conditionalFormatting>
  <conditionalFormatting sqref="CA1137:CA1142">
    <cfRule type="expression" dxfId="954" priority="147" stopIfTrue="1">
      <formula>IF(CB1169&gt;0,TRUE,FALSE)</formula>
    </cfRule>
  </conditionalFormatting>
  <conditionalFormatting sqref="CS1140:CS1145 BF1163:BF1168 BC1163:BC1168 CK1135:CK1140 CT1139:CT1144 DA1049:DA1054 HJ992:HJ997">
    <cfRule type="expression" dxfId="953" priority="149" stopIfTrue="1">
      <formula>IF(BD991&gt;0,TRUE,FALSE)</formula>
    </cfRule>
  </conditionalFormatting>
  <conditionalFormatting sqref="DN1244:DN1249">
    <cfRule type="expression" dxfId="952" priority="153" stopIfTrue="1">
      <formula>IF(DO1247&gt;0,TRUE,FALSE)</formula>
    </cfRule>
  </conditionalFormatting>
  <conditionalFormatting sqref="CN1134:CN1139">
    <cfRule type="expression" dxfId="951" priority="154" stopIfTrue="1">
      <formula>IF(CO1125&gt;0,TRUE,FALSE)</formula>
    </cfRule>
  </conditionalFormatting>
  <conditionalFormatting sqref="EV1043:EV1048 FE1178:FE1183 FO1175:FO1180">
    <cfRule type="expression" dxfId="950" priority="158" stopIfTrue="1">
      <formula>IF(EW1045&gt;0,TRUE,FALSE)</formula>
    </cfRule>
  </conditionalFormatting>
  <conditionalFormatting sqref="DM1023:DM1028">
    <cfRule type="expression" dxfId="949" priority="162" stopIfTrue="1">
      <formula>IF(DO1244&gt;0,TRUE,FALSE)</formula>
    </cfRule>
  </conditionalFormatting>
  <conditionalFormatting sqref="DO1247:DO1252">
    <cfRule type="expression" dxfId="948" priority="165" stopIfTrue="1">
      <formula>IF(DP1281&gt;0,TRUE,FALSE)</formula>
    </cfRule>
  </conditionalFormatting>
  <conditionalFormatting sqref="L969:L974">
    <cfRule type="expression" dxfId="947" priority="166" stopIfTrue="1">
      <formula>IF(BB1108&gt;0,TRUE,FALSE)</formula>
    </cfRule>
  </conditionalFormatting>
  <conditionalFormatting sqref="EX1045:EX1050">
    <cfRule type="expression" dxfId="946" priority="179" stopIfTrue="1">
      <formula>IF(FC1021&gt;0,TRUE,FALSE)</formula>
    </cfRule>
  </conditionalFormatting>
  <conditionalFormatting sqref="ET903:ET908">
    <cfRule type="expression" dxfId="945" priority="183" stopIfTrue="1">
      <formula>IF(EU1043&gt;0,TRUE,FALSE)</formula>
    </cfRule>
  </conditionalFormatting>
  <conditionalFormatting sqref="FM1018:FM1023">
    <cfRule type="expression" dxfId="944" priority="190" stopIfTrue="1">
      <formula>IF(FN1175&gt;0,TRUE,FALSE)</formula>
    </cfRule>
  </conditionalFormatting>
  <conditionalFormatting sqref="FZ1132:FZ1137">
    <cfRule type="expression" dxfId="943" priority="191" stopIfTrue="1">
      <formula>IF(GA1112&gt;0,TRUE,FALSE)</formula>
    </cfRule>
  </conditionalFormatting>
  <conditionalFormatting sqref="BA995:BA1000">
    <cfRule type="expression" dxfId="942" priority="193" stopIfTrue="1">
      <formula>IF(BE1142&gt;0,TRUE,FALSE)</formula>
    </cfRule>
  </conditionalFormatting>
  <conditionalFormatting sqref="AY995:AY1000">
    <cfRule type="expression" dxfId="941" priority="194" stopIfTrue="1">
      <formula>IF(BE1141&gt;0,TRUE,FALSE)</formula>
    </cfRule>
  </conditionalFormatting>
  <conditionalFormatting sqref="AM996:AM1001">
    <cfRule type="expression" dxfId="940" priority="195" stopIfTrue="1">
      <formula>IF(BD1141&gt;0,TRUE,FALSE)</formula>
    </cfRule>
  </conditionalFormatting>
  <conditionalFormatting sqref="AL1002:AL1007">
    <cfRule type="expression" dxfId="939" priority="196" stopIfTrue="1">
      <formula>IF(BD1141&gt;0,TRUE,FALSE)</formula>
    </cfRule>
  </conditionalFormatting>
  <conditionalFormatting sqref="AK1002:AK1007">
    <cfRule type="expression" dxfId="938" priority="197" stopIfTrue="1">
      <formula>IF(BD1141&gt;0,TRUE,FALSE)</formula>
    </cfRule>
  </conditionalFormatting>
  <conditionalFormatting sqref="AJ1002:AJ1007">
    <cfRule type="expression" dxfId="937" priority="198" stopIfTrue="1">
      <formula>IF(BD1141&gt;0,TRUE,FALSE)</formula>
    </cfRule>
  </conditionalFormatting>
  <conditionalFormatting sqref="AH1004:AH1009">
    <cfRule type="expression" dxfId="936" priority="199" stopIfTrue="1">
      <formula>IF(BD1141&gt;0,TRUE,FALSE)</formula>
    </cfRule>
  </conditionalFormatting>
  <conditionalFormatting sqref="AG1004:AG1009">
    <cfRule type="expression" dxfId="935" priority="200" stopIfTrue="1">
      <formula>IF(BD1141&gt;0,TRUE,FALSE)</formula>
    </cfRule>
  </conditionalFormatting>
  <conditionalFormatting sqref="AF1004:AF1009">
    <cfRule type="expression" dxfId="934" priority="201" stopIfTrue="1">
      <formula>IF(BD1141&gt;0,TRUE,FALSE)</formula>
    </cfRule>
  </conditionalFormatting>
  <conditionalFormatting sqref="AE1004:AE1009">
    <cfRule type="expression" dxfId="933" priority="202" stopIfTrue="1">
      <formula>IF(BD1141&gt;0,TRUE,FALSE)</formula>
    </cfRule>
  </conditionalFormatting>
  <conditionalFormatting sqref="AD1004:AD1009">
    <cfRule type="expression" dxfId="932" priority="203" stopIfTrue="1">
      <formula>IF(BD1141&gt;0,TRUE,FALSE)</formula>
    </cfRule>
  </conditionalFormatting>
  <conditionalFormatting sqref="AC1004:AC1009">
    <cfRule type="expression" dxfId="931" priority="204" stopIfTrue="1">
      <formula>IF(BD1141&gt;0,TRUE,FALSE)</formula>
    </cfRule>
  </conditionalFormatting>
  <conditionalFormatting sqref="AB1002:AB1007">
    <cfRule type="expression" dxfId="930" priority="205" stopIfTrue="1">
      <formula>IF(BD1141&gt;0,TRUE,FALSE)</formula>
    </cfRule>
  </conditionalFormatting>
  <conditionalFormatting sqref="Z1002:Z1007">
    <cfRule type="expression" dxfId="929" priority="206" stopIfTrue="1">
      <formula>IF(BD1141&gt;0,TRUE,FALSE)</formula>
    </cfRule>
  </conditionalFormatting>
  <conditionalFormatting sqref="Y1002:Y1007">
    <cfRule type="expression" dxfId="928" priority="207" stopIfTrue="1">
      <formula>IF(BD1141&gt;0,TRUE,FALSE)</formula>
    </cfRule>
  </conditionalFormatting>
  <conditionalFormatting sqref="X1002:X1007">
    <cfRule type="expression" dxfId="927" priority="208" stopIfTrue="1">
      <formula>IF(BD1141&gt;0,TRUE,FALSE)</formula>
    </cfRule>
  </conditionalFormatting>
  <conditionalFormatting sqref="W986:W991">
    <cfRule type="expression" dxfId="926" priority="209" stopIfTrue="1">
      <formula>IF(BD1141&gt;0,TRUE,FALSE)</formula>
    </cfRule>
  </conditionalFormatting>
  <conditionalFormatting sqref="V986:V991">
    <cfRule type="expression" dxfId="925" priority="210" stopIfTrue="1">
      <formula>IF(BD1141&gt;0,TRUE,FALSE)</formula>
    </cfRule>
  </conditionalFormatting>
  <conditionalFormatting sqref="U986:U991">
    <cfRule type="expression" dxfId="924" priority="211" stopIfTrue="1">
      <formula>IF(BD1141&gt;0,TRUE,FALSE)</formula>
    </cfRule>
  </conditionalFormatting>
  <conditionalFormatting sqref="T986:T991">
    <cfRule type="expression" dxfId="923" priority="212" stopIfTrue="1">
      <formula>IF(BD1141&gt;0,TRUE,FALSE)</formula>
    </cfRule>
  </conditionalFormatting>
  <conditionalFormatting sqref="S990:S995">
    <cfRule type="expression" dxfId="922" priority="213" stopIfTrue="1">
      <formula>IF(BD1141&gt;0,TRUE,FALSE)</formula>
    </cfRule>
  </conditionalFormatting>
  <conditionalFormatting sqref="R990:R995">
    <cfRule type="expression" dxfId="921" priority="214" stopIfTrue="1">
      <formula>IF(BD1141&gt;0,TRUE,FALSE)</formula>
    </cfRule>
  </conditionalFormatting>
  <conditionalFormatting sqref="Q990:Q995">
    <cfRule type="expression" dxfId="920" priority="215" stopIfTrue="1">
      <formula>IF(BD1141&gt;0,TRUE,FALSE)</formula>
    </cfRule>
  </conditionalFormatting>
  <conditionalFormatting sqref="P990:P995">
    <cfRule type="expression" dxfId="919" priority="216" stopIfTrue="1">
      <formula>IF(BD1141&gt;0,TRUE,FALSE)</formula>
    </cfRule>
  </conditionalFormatting>
  <conditionalFormatting sqref="O990:O995">
    <cfRule type="expression" dxfId="918" priority="217" stopIfTrue="1">
      <formula>IF(BD1141&gt;0,TRUE,FALSE)</formula>
    </cfRule>
  </conditionalFormatting>
  <conditionalFormatting sqref="N1011:N1016">
    <cfRule type="expression" dxfId="917" priority="218" stopIfTrue="1">
      <formula>IF(BD1141&gt;0,TRUE,FALSE)</formula>
    </cfRule>
  </conditionalFormatting>
  <conditionalFormatting sqref="DR1282:DR1287">
    <cfRule type="expression" dxfId="916" priority="219" stopIfTrue="1">
      <formula>IF(DS1228&gt;0,TRUE,FALSE)</formula>
    </cfRule>
  </conditionalFormatting>
  <conditionalFormatting sqref="M969:M974">
    <cfRule type="expression" dxfId="915" priority="221" stopIfTrue="1">
      <formula>IF(BC1142&gt;0,TRUE,FALSE)</formula>
    </cfRule>
  </conditionalFormatting>
  <conditionalFormatting sqref="BW1065:BW1070">
    <cfRule type="expression" dxfId="914" priority="225" stopIfTrue="1">
      <formula>IF(BZ1169&gt;0,TRUE,FALSE)</formula>
    </cfRule>
  </conditionalFormatting>
  <conditionalFormatting sqref="CC1169:CC1174">
    <cfRule type="expression" dxfId="913" priority="226" stopIfTrue="1">
      <formula>IF(CI1070&gt;0,TRUE,FALSE)</formula>
    </cfRule>
  </conditionalFormatting>
  <conditionalFormatting sqref="BL998:BL1003">
    <cfRule type="expression" dxfId="912" priority="227" stopIfTrue="1">
      <formula>IF(BO1102&gt;0,TRUE,FALSE)</formula>
    </cfRule>
  </conditionalFormatting>
  <conditionalFormatting sqref="CO1125:CO1130">
    <cfRule type="expression" dxfId="911" priority="228" stopIfTrue="1">
      <formula>IF(CR1071&gt;0,TRUE,FALSE)</formula>
    </cfRule>
  </conditionalFormatting>
  <conditionalFormatting sqref="CI1070:CI1075">
    <cfRule type="expression" dxfId="910" priority="229" stopIfTrue="1">
      <formula>IF(CJ1135&gt;0,TRUE,FALSE)</formula>
    </cfRule>
  </conditionalFormatting>
  <conditionalFormatting sqref="CH1131:CH1136">
    <cfRule type="expression" dxfId="909" priority="230" stopIfTrue="1">
      <formula>IF(CK1132&gt;0,TRUE,FALSE)</formula>
    </cfRule>
  </conditionalFormatting>
  <conditionalFormatting sqref="CV1138:CV1143">
    <cfRule type="expression" dxfId="908" priority="231" stopIfTrue="1">
      <formula>IF(CW1122&gt;0,TRUE,FALSE)</formula>
    </cfRule>
  </conditionalFormatting>
  <conditionalFormatting sqref="CR1071:CR1076">
    <cfRule type="expression" dxfId="907" priority="232" stopIfTrue="1">
      <formula>IF(CS1140&gt;0,TRUE,FALSE)</formula>
    </cfRule>
  </conditionalFormatting>
  <conditionalFormatting sqref="DE993:DE998">
    <cfRule type="expression" dxfId="906" priority="233" stopIfTrue="1">
      <formula>IF(DH1145&gt;0,TRUE,FALSE)</formula>
    </cfRule>
  </conditionalFormatting>
  <conditionalFormatting sqref="CQ1087:CQ1092">
    <cfRule type="expression" dxfId="905" priority="234" stopIfTrue="1">
      <formula>IF(CT1138&gt;0,TRUE,FALSE)</formula>
    </cfRule>
  </conditionalFormatting>
  <conditionalFormatting sqref="CW1122:CW1127">
    <cfRule type="expression" dxfId="904" priority="235" stopIfTrue="1">
      <formula>IF(CY993&gt;0,TRUE,FALSE)</formula>
    </cfRule>
  </conditionalFormatting>
  <conditionalFormatting sqref="CX1048:CX1053">
    <cfRule type="expression" dxfId="903" priority="236" stopIfTrue="1">
      <formula>IF(CZ1049&gt;0,TRUE,FALSE)</formula>
    </cfRule>
  </conditionalFormatting>
  <conditionalFormatting sqref="DC1048:DC1053">
    <cfRule type="expression" dxfId="902" priority="240" stopIfTrue="1">
      <formula>IF(DF1101&gt;0,TRUE,FALSE)</formula>
    </cfRule>
  </conditionalFormatting>
  <conditionalFormatting sqref="CY993:CY998">
    <cfRule type="expression" dxfId="901" priority="241" stopIfTrue="1">
      <formula>IF(CZ1049&gt;0,TRUE,FALSE)</formula>
    </cfRule>
  </conditionalFormatting>
  <conditionalFormatting sqref="DK1145:DK1150">
    <cfRule type="expression" dxfId="900" priority="242" stopIfTrue="1">
      <formula>IF(DL1024&gt;0,TRUE,FALSE)</formula>
    </cfRule>
  </conditionalFormatting>
  <conditionalFormatting sqref="DT1029:DT1034">
    <cfRule type="expression" dxfId="899" priority="243" stopIfTrue="1">
      <formula>IF(DW1073&gt;0,TRUE,FALSE)</formula>
    </cfRule>
  </conditionalFormatting>
  <conditionalFormatting sqref="FG1180:FG1185">
    <cfRule type="expression" dxfId="898" priority="246" stopIfTrue="1">
      <formula>IF(FM1018&gt;0,TRUE,FALSE)</formula>
    </cfRule>
  </conditionalFormatting>
  <conditionalFormatting sqref="EC1073:EC1078">
    <cfRule type="expression" dxfId="897" priority="248" stopIfTrue="1">
      <formula>IF(EF983&gt;0,TRUE,FALSE)</formula>
    </cfRule>
  </conditionalFormatting>
  <conditionalFormatting sqref="EF983:EF988">
    <cfRule type="expression" dxfId="896" priority="249" stopIfTrue="1">
      <formula>IF(EG1038&gt;0,TRUE,FALSE)</formula>
    </cfRule>
  </conditionalFormatting>
  <conditionalFormatting sqref="ED1072:EE1077">
    <cfRule type="expression" dxfId="895" priority="251" stopIfTrue="1">
      <formula>IF(EG1038&gt;0,TRUE,FALSE)</formula>
    </cfRule>
  </conditionalFormatting>
  <conditionalFormatting sqref="EJ1038:EJ1043">
    <cfRule type="expression" dxfId="894" priority="253" stopIfTrue="1">
      <formula>IF(EM877&gt;0,TRUE,FALSE)</formula>
    </cfRule>
  </conditionalFormatting>
  <conditionalFormatting sqref="EM877:EM882">
    <cfRule type="expression" dxfId="893" priority="256" stopIfTrue="1">
      <formula>IF(EN1056&gt;0,TRUE,FALSE)</formula>
    </cfRule>
  </conditionalFormatting>
  <conditionalFormatting sqref="EL983:EL988">
    <cfRule type="expression" dxfId="892" priority="257" stopIfTrue="1">
      <formula>IF(EO1056&gt;0,TRUE,FALSE)</formula>
    </cfRule>
  </conditionalFormatting>
  <conditionalFormatting sqref="EQ1056:EQ1061">
    <cfRule type="expression" dxfId="891" priority="258" stopIfTrue="1">
      <formula>IF(ET903&gt;0,TRUE,FALSE)</formula>
    </cfRule>
  </conditionalFormatting>
  <conditionalFormatting sqref="ES1012:ES1017">
    <cfRule type="expression" dxfId="890" priority="259" stopIfTrue="1">
      <formula>IF(EV1047&gt;0,TRUE,FALSE)</formula>
    </cfRule>
  </conditionalFormatting>
  <conditionalFormatting sqref="EY1046:EY1051">
    <cfRule type="expression" dxfId="889" priority="260" stopIfTrue="1">
      <formula>IF(FD1178&gt;0,TRUE,FALSE)</formula>
    </cfRule>
  </conditionalFormatting>
  <conditionalFormatting sqref="FH1180:FH1185">
    <cfRule type="expression" dxfId="888" priority="262" stopIfTrue="1">
      <formula>IF(FN1175&gt;0,TRUE,FALSE)</formula>
    </cfRule>
  </conditionalFormatting>
  <conditionalFormatting sqref="GA1112:GA1117">
    <cfRule type="expression" dxfId="887" priority="265" stopIfTrue="1">
      <formula>IF(GB1058&gt;0,TRUE,FALSE)</formula>
    </cfRule>
  </conditionalFormatting>
  <conditionalFormatting sqref="AZ989:AZ994">
    <cfRule type="expression" dxfId="886" priority="266" stopIfTrue="1">
      <formula>IF(BD1141&gt;0,TRUE,FALSE)</formula>
    </cfRule>
  </conditionalFormatting>
  <conditionalFormatting sqref="BK1024:BK1029">
    <cfRule type="expression" dxfId="885" priority="269" stopIfTrue="1">
      <formula>IF(BN1102&gt;0,TRUE,FALSE)</formula>
    </cfRule>
  </conditionalFormatting>
  <conditionalFormatting sqref="BV1065:BV1070">
    <cfRule type="expression" dxfId="884" priority="271" stopIfTrue="1">
      <formula>IF(BY1169&gt;0,TRUE,FALSE)</formula>
    </cfRule>
  </conditionalFormatting>
  <conditionalFormatting sqref="DF1101:DF1106">
    <cfRule type="expression" dxfId="883" priority="272" stopIfTrue="1">
      <formula>IF(DG1145&gt;0,TRUE,FALSE)</formula>
    </cfRule>
  </conditionalFormatting>
  <conditionalFormatting sqref="DL1024:DL1029">
    <cfRule type="expression" dxfId="882" priority="275" stopIfTrue="1">
      <formula>IF(DN1244&gt;0,TRUE,FALSE)</formula>
    </cfRule>
  </conditionalFormatting>
  <conditionalFormatting sqref="DS1228:DS1233">
    <cfRule type="expression" dxfId="881" priority="277" stopIfTrue="1">
      <formula>IF(DV1073&gt;0,TRUE,FALSE)</formula>
    </cfRule>
  </conditionalFormatting>
  <conditionalFormatting sqref="EA1073:EA1078">
    <cfRule type="expression" dxfId="880" priority="279" stopIfTrue="1">
      <formula>IF(EB1073&gt;0,TRUE,FALSE)</formula>
    </cfRule>
  </conditionalFormatting>
  <conditionalFormatting sqref="DU1095:DU1100">
    <cfRule type="expression" dxfId="879" priority="281" stopIfTrue="1">
      <formula>IF(DX1073&gt;0,TRUE,FALSE)</formula>
    </cfRule>
  </conditionalFormatting>
  <conditionalFormatting sqref="FB1021:FB1026">
    <cfRule type="expression" dxfId="878" priority="283" stopIfTrue="1">
      <formula>IF(FF1178&gt;0,TRUE,FALSE)</formula>
    </cfRule>
  </conditionalFormatting>
  <conditionalFormatting sqref="FA890:FA895">
    <cfRule type="expression" dxfId="877" priority="284" stopIfTrue="1">
      <formula>IF(FF1178&gt;0,TRUE,FALSE)</formula>
    </cfRule>
  </conditionalFormatting>
  <conditionalFormatting sqref="FL1020:FL1025">
    <cfRule type="expression" dxfId="876" priority="286" stopIfTrue="1">
      <formula>IF(FP1175&gt;0,TRUE,FALSE)</formula>
    </cfRule>
  </conditionalFormatting>
  <conditionalFormatting sqref="FK1021:FK1026">
    <cfRule type="expression" dxfId="875" priority="287" stopIfTrue="1">
      <formula>IF(FP1175&gt;0,TRUE,FALSE)</formula>
    </cfRule>
  </conditionalFormatting>
  <conditionalFormatting sqref="FJ1088:FJ1093">
    <cfRule type="expression" dxfId="874" priority="288" stopIfTrue="1">
      <formula>IF(FP1175&gt;0,TRUE,FALSE)</formula>
    </cfRule>
  </conditionalFormatting>
  <conditionalFormatting sqref="FV1017:FV1022">
    <cfRule type="expression" dxfId="873" priority="290" stopIfTrue="1">
      <formula>IF(FX1127&gt;0,TRUE,FALSE)</formula>
    </cfRule>
  </conditionalFormatting>
  <conditionalFormatting sqref="FU1018:FU1023">
    <cfRule type="expression" dxfId="872" priority="291" stopIfTrue="1">
      <formula>IF(FX1127&gt;0,TRUE,FALSE)</formula>
    </cfRule>
  </conditionalFormatting>
  <conditionalFormatting sqref="FT1084:FT1089">
    <cfRule type="expression" dxfId="871" priority="292" stopIfTrue="1">
      <formula>IF(FX1127&gt;0,TRUE,FALSE)</formula>
    </cfRule>
  </conditionalFormatting>
  <conditionalFormatting sqref="EZ1044:EZ1049">
    <cfRule type="expression" dxfId="870" priority="294" stopIfTrue="1">
      <formula>IF(FE1178&gt;0,TRUE,FALSE)</formula>
    </cfRule>
  </conditionalFormatting>
  <conditionalFormatting sqref="FC1021:FC1026">
    <cfRule type="expression" dxfId="869" priority="295" stopIfTrue="1">
      <formula>IF(FD1178&gt;0,TRUE,FALSE)</formula>
    </cfRule>
  </conditionalFormatting>
  <conditionalFormatting sqref="GB1058:GB1063">
    <cfRule type="expression" dxfId="868" priority="297" stopIfTrue="1">
      <formula>IF(GC992&gt;0,TRUE,FALSE)</formula>
    </cfRule>
  </conditionalFormatting>
  <conditionalFormatting sqref="FR1177:FR1182">
    <cfRule type="expression" dxfId="867" priority="298" stopIfTrue="1">
      <formula>IF(#REF!&gt;0,TRUE,FALSE)</formula>
    </cfRule>
  </conditionalFormatting>
  <conditionalFormatting sqref="AI1004:AI1009">
    <cfRule type="expression" dxfId="866" priority="307" stopIfTrue="1">
      <formula>IF(BE1142&gt;0,TRUE,FALSE)</formula>
    </cfRule>
  </conditionalFormatting>
  <conditionalFormatting sqref="AA1002:AA1007">
    <cfRule type="expression" dxfId="865" priority="309" stopIfTrue="1">
      <formula>IF(BE1142&gt;0,TRUE,FALSE)</formula>
    </cfRule>
  </conditionalFormatting>
  <conditionalFormatting sqref="FI1176:FI1181">
    <cfRule type="expression" dxfId="864" priority="325" stopIfTrue="1">
      <formula>IF(FO1175&gt;0,TRUE,FALSE)</formula>
    </cfRule>
  </conditionalFormatting>
  <conditionalFormatting sqref="FS1173:FS1178">
    <cfRule type="expression" dxfId="863" priority="327" stopIfTrue="1">
      <formula>IF(FW1127&gt;0,TRUE,FALSE)</formula>
    </cfRule>
  </conditionalFormatting>
  <conditionalFormatting sqref="GD992:GD997">
    <cfRule type="expression" dxfId="862" priority="329" stopIfTrue="1">
      <formula>IF(#REF!&gt;0,TRUE,FALSE)</formula>
    </cfRule>
  </conditionalFormatting>
  <conditionalFormatting sqref="GU992:GU997">
    <cfRule type="expression" dxfId="861" priority="332" stopIfTrue="1">
      <formula>IF(#REF!&gt;0,TRUE,FALSE)</formula>
    </cfRule>
  </conditionalFormatting>
  <conditionalFormatting sqref="GX992:GX997">
    <cfRule type="expression" dxfId="860" priority="335" stopIfTrue="1">
      <formula>IF(GY983&gt;0,TRUE,FALSE)</formula>
    </cfRule>
  </conditionalFormatting>
  <conditionalFormatting sqref="HB983:HB988">
    <cfRule type="expression" dxfId="859" priority="336" stopIfTrue="1">
      <formula>IF(HC992&gt;0,TRUE,FALSE)</formula>
    </cfRule>
  </conditionalFormatting>
  <conditionalFormatting sqref="HK25 HK9 HK26:HL27">
    <cfRule type="cellIs" dxfId="858" priority="5" stopIfTrue="1" operator="equal">
      <formula>"N.C."</formula>
    </cfRule>
  </conditionalFormatting>
  <conditionalFormatting sqref="HN3:HO3">
    <cfRule type="cellIs" dxfId="857" priority="3" stopIfTrue="1" operator="equal">
      <formula>"N.A."</formula>
    </cfRule>
  </conditionalFormatting>
  <conditionalFormatting sqref="HN23:HN24 HN21">
    <cfRule type="cellIs" dxfId="856" priority="4" stopIfTrue="1" operator="equal">
      <formula>"N.C."</formula>
    </cfRule>
  </conditionalFormatting>
  <conditionalFormatting sqref="AX995:AX1000">
    <cfRule type="expression" dxfId="855" priority="398" stopIfTrue="1">
      <formula>IF(BE1141&gt;0,TRUE,FALSE)</formula>
    </cfRule>
  </conditionalFormatting>
  <conditionalFormatting sqref="AW995:AW1000">
    <cfRule type="expression" dxfId="854" priority="411" stopIfTrue="1">
      <formula>IF(BE1141&gt;0,TRUE,FALSE)</formula>
    </cfRule>
  </conditionalFormatting>
  <conditionalFormatting sqref="AV995:AV1000">
    <cfRule type="expression" dxfId="853" priority="424" stopIfTrue="1">
      <formula>IF(BE1141&gt;0,TRUE,FALSE)</formula>
    </cfRule>
  </conditionalFormatting>
  <conditionalFormatting sqref="AU995:AU1000">
    <cfRule type="expression" dxfId="852" priority="437" stopIfTrue="1">
      <formula>IF(BE1141&gt;0,TRUE,FALSE)</formula>
    </cfRule>
  </conditionalFormatting>
  <conditionalFormatting sqref="AT995:AT1000">
    <cfRule type="expression" dxfId="851" priority="450" stopIfTrue="1">
      <formula>IF(BE1141&gt;0,TRUE,FALSE)</formula>
    </cfRule>
  </conditionalFormatting>
  <conditionalFormatting sqref="AS995:AS1000">
    <cfRule type="expression" dxfId="850" priority="463" stopIfTrue="1">
      <formula>IF(BE1141&gt;0,TRUE,FALSE)</formula>
    </cfRule>
  </conditionalFormatting>
  <conditionalFormatting sqref="AR995:AR1000">
    <cfRule type="expression" dxfId="849" priority="476" stopIfTrue="1">
      <formula>IF(BE1141&gt;0,TRUE,FALSE)</formula>
    </cfRule>
  </conditionalFormatting>
  <conditionalFormatting sqref="AQ995:AQ1000">
    <cfRule type="expression" dxfId="848" priority="489" stopIfTrue="1">
      <formula>IF(BE1141&gt;0,TRUE,FALSE)</formula>
    </cfRule>
  </conditionalFormatting>
  <conditionalFormatting sqref="AP995:AP1000">
    <cfRule type="expression" dxfId="847" priority="502" stopIfTrue="1">
      <formula>IF(BE1141&gt;0,TRUE,FALSE)</formula>
    </cfRule>
  </conditionalFormatting>
  <conditionalFormatting sqref="AN996:AN1001">
    <cfRule type="expression" dxfId="846" priority="515" stopIfTrue="1">
      <formula>IF(BD1141&gt;0,TRUE,FALSE)</formula>
    </cfRule>
  </conditionalFormatting>
  <conditionalFormatting sqref="CG1169:CG1174">
    <cfRule type="expression" dxfId="845" priority="537" stopIfTrue="1">
      <formula>IF(CK1132&gt;0,TRUE,FALSE)</formula>
    </cfRule>
  </conditionalFormatting>
  <conditionalFormatting sqref="CF1169:CF1174">
    <cfRule type="expression" dxfId="844" priority="559" stopIfTrue="1">
      <formula>IF(CK1132&gt;0,TRUE,FALSE)</formula>
    </cfRule>
  </conditionalFormatting>
  <conditionalFormatting sqref="CD1169:CE1174">
    <cfRule type="expression" dxfId="843" priority="581" stopIfTrue="1">
      <formula>IF(CJ1132&gt;0,TRUE,FALSE)</formula>
    </cfRule>
  </conditionalFormatting>
  <conditionalFormatting sqref="CP1125:CP1130">
    <cfRule type="expression" dxfId="842" priority="607" stopIfTrue="1">
      <formula>IF(CS1138&gt;0,TRUE,FALSE)</formula>
    </cfRule>
  </conditionalFormatting>
  <conditionalFormatting sqref="DD1035:DD1040">
    <cfRule type="expression" dxfId="841" priority="633" stopIfTrue="1">
      <formula>IF(DG1145&gt;0,TRUE,FALSE)</formula>
    </cfRule>
  </conditionalFormatting>
  <conditionalFormatting sqref="EK1025:EK1030">
    <cfRule type="expression" dxfId="840" priority="659" stopIfTrue="1">
      <formula>IF(EN1056&gt;0,TRUE,FALSE)</formula>
    </cfRule>
  </conditionalFormatting>
  <conditionalFormatting sqref="AO995:AO1000">
    <cfRule type="expression" dxfId="839" priority="685" stopIfTrue="1">
      <formula>IF(BE1141&gt;0,TRUE,FALSE)</formula>
    </cfRule>
  </conditionalFormatting>
  <conditionalFormatting sqref="ER1054:ER1059">
    <cfRule type="expression" dxfId="838" priority="711" stopIfTrue="1">
      <formula>IF(EU1047&gt;0,TRUE,FALSE)</formula>
    </cfRule>
  </conditionalFormatting>
  <pageMargins left="0.78740157499999996" right="0.78740157499999996" top="0.984251969" bottom="0.984251969" header="0.4921259845" footer="0.4921259845"/>
  <pageSetup paperSize="9" orientation="portrait" horizontalDpi="300" verticalDpi="300" r:id="rId1"/>
  <headerFooter alignWithMargins="0"/>
  <ignoredErrors>
    <ignoredError sqref="P91:W92 P93:W104 CK50:CO84 CK88:CO122 CK130:CK134 CT58:CV95 CT99:CV137" calculatedColumn="1"/>
    <ignoredError sqref="HL37" formula="1"/>
  </ignoredErrors>
  <drawing r:id="rId2"/>
  <tableParts count="80">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 r:id="rId21"/>
    <tablePart r:id="rId22"/>
    <tablePart r:id="rId23"/>
    <tablePart r:id="rId24"/>
    <tablePart r:id="rId25"/>
    <tablePart r:id="rId26"/>
    <tablePart r:id="rId27"/>
    <tablePart r:id="rId28"/>
    <tablePart r:id="rId29"/>
    <tablePart r:id="rId30"/>
    <tablePart r:id="rId31"/>
    <tablePart r:id="rId32"/>
    <tablePart r:id="rId33"/>
    <tablePart r:id="rId34"/>
    <tablePart r:id="rId35"/>
    <tablePart r:id="rId36"/>
    <tablePart r:id="rId37"/>
    <tablePart r:id="rId38"/>
    <tablePart r:id="rId39"/>
    <tablePart r:id="rId40"/>
    <tablePart r:id="rId41"/>
    <tablePart r:id="rId42"/>
    <tablePart r:id="rId43"/>
    <tablePart r:id="rId44"/>
    <tablePart r:id="rId45"/>
    <tablePart r:id="rId46"/>
    <tablePart r:id="rId47"/>
    <tablePart r:id="rId48"/>
    <tablePart r:id="rId49"/>
    <tablePart r:id="rId50"/>
    <tablePart r:id="rId51"/>
    <tablePart r:id="rId52"/>
    <tablePart r:id="rId53"/>
    <tablePart r:id="rId54"/>
    <tablePart r:id="rId55"/>
    <tablePart r:id="rId56"/>
    <tablePart r:id="rId57"/>
    <tablePart r:id="rId58"/>
    <tablePart r:id="rId59"/>
    <tablePart r:id="rId60"/>
    <tablePart r:id="rId61"/>
    <tablePart r:id="rId62"/>
    <tablePart r:id="rId63"/>
    <tablePart r:id="rId64"/>
    <tablePart r:id="rId65"/>
    <tablePart r:id="rId66"/>
    <tablePart r:id="rId67"/>
    <tablePart r:id="rId68"/>
    <tablePart r:id="rId69"/>
    <tablePart r:id="rId70"/>
    <tablePart r:id="rId71"/>
    <tablePart r:id="rId72"/>
    <tablePart r:id="rId73"/>
    <tablePart r:id="rId74"/>
    <tablePart r:id="rId75"/>
    <tablePart r:id="rId76"/>
    <tablePart r:id="rId77"/>
    <tablePart r:id="rId78"/>
    <tablePart r:id="rId79"/>
    <tablePart r:id="rId80"/>
    <tablePart r:id="rId81"/>
    <tablePart r:id="rId8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1219</vt:i4>
      </vt:variant>
    </vt:vector>
  </HeadingPairs>
  <TitlesOfParts>
    <vt:vector size="1222" baseType="lpstr">
      <vt:lpstr>animaux</vt:lpstr>
      <vt:lpstr>coût alimentation</vt:lpstr>
      <vt:lpstr>BDD</vt:lpstr>
      <vt:lpstr>AlimentsBisons</vt:lpstr>
      <vt:lpstr>AlimentsBovins</vt:lpstr>
      <vt:lpstr>AlimentsCanards</vt:lpstr>
      <vt:lpstr>AlimentsCaprins</vt:lpstr>
      <vt:lpstr>AlimentsChevauxSelle</vt:lpstr>
      <vt:lpstr>AlimentsChevauxTrait</vt:lpstr>
      <vt:lpstr>AlimentsDaims</vt:lpstr>
      <vt:lpstr>AlimentsGavageOiesEtCanards</vt:lpstr>
      <vt:lpstr>AlimentsLapins</vt:lpstr>
      <vt:lpstr>AlimentsOies</vt:lpstr>
      <vt:lpstr>AlimentsOvins</vt:lpstr>
      <vt:lpstr>AlimentsPintades</vt:lpstr>
      <vt:lpstr>AlimentsPoneys</vt:lpstr>
      <vt:lpstr>AlimentsPorcins</vt:lpstr>
      <vt:lpstr>AlimentsRationBovinsFemelles</vt:lpstr>
      <vt:lpstr>AlimentsRationBovinsMâles</vt:lpstr>
      <vt:lpstr>AlimentsRationCanardsFemelles</vt:lpstr>
      <vt:lpstr>AlimentsRationCanardsMâles</vt:lpstr>
      <vt:lpstr>AlimentsRationCaprinsFemelles</vt:lpstr>
      <vt:lpstr>AlimentsRationCaprinsMâles</vt:lpstr>
      <vt:lpstr>AlimentsRationEcurieChevauxFemellesSelle</vt:lpstr>
      <vt:lpstr>AlimentsRationEcurieChevauxFemellesTrait</vt:lpstr>
      <vt:lpstr>AlimentsRationEcurieChevauxMâlesSelle</vt:lpstr>
      <vt:lpstr>AlimentsRationEcurieChevauxMâlesTrait</vt:lpstr>
      <vt:lpstr>AlimentsRationEcuriePoneysFemelles</vt:lpstr>
      <vt:lpstr>AlimentsRationEcuriePoneysMâles</vt:lpstr>
      <vt:lpstr>AlimentsRationHivernaleBisonsFemelles</vt:lpstr>
      <vt:lpstr>AlimentsRationHivernaleBisonsMâles</vt:lpstr>
      <vt:lpstr>AlimentsRationHivernaleBovins</vt:lpstr>
      <vt:lpstr>AlimentsRationHivernaleDaims</vt:lpstr>
      <vt:lpstr>AlimentsRationHivernaleOvins</vt:lpstr>
      <vt:lpstr>AlimentsRationOvinsFemelles</vt:lpstr>
      <vt:lpstr>AlimentsRationOvinsMâles</vt:lpstr>
      <vt:lpstr>AlimentsVolailles</vt:lpstr>
      <vt:lpstr>Avoine</vt:lpstr>
      <vt:lpstr>AvoineNécessaireBQ</vt:lpstr>
      <vt:lpstr>AvoineNécessaireMaQ</vt:lpstr>
      <vt:lpstr>AvoineNécessaireMoQ</vt:lpstr>
      <vt:lpstr>Belgique</vt:lpstr>
      <vt:lpstr>Betterave</vt:lpstr>
      <vt:lpstr>BetteraveNécessaireBQ</vt:lpstr>
      <vt:lpstr>BetteraveNécessaireMaQ</vt:lpstr>
      <vt:lpstr>BetteraveNécessaireMoQ</vt:lpstr>
      <vt:lpstr>Blé</vt:lpstr>
      <vt:lpstr>BléNécessaireBQ</vt:lpstr>
      <vt:lpstr>BléNécessaireMaQ</vt:lpstr>
      <vt:lpstr>BléNécessaireMoQ</vt:lpstr>
      <vt:lpstr>BONNE</vt:lpstr>
      <vt:lpstr>BouchonsLuzerne</vt:lpstr>
      <vt:lpstr>BouchonsLuzerneNécessaireBQ</vt:lpstr>
      <vt:lpstr>BouchonsLuzerneNécessaireMaQ</vt:lpstr>
      <vt:lpstr>BouchonsLuzerneNécessaireMoQ</vt:lpstr>
      <vt:lpstr>BovinsAuPré</vt:lpstr>
      <vt:lpstr>CANADA</vt:lpstr>
      <vt:lpstr>caneton_femelle_0_3_mois</vt:lpstr>
      <vt:lpstr>caneton_mâle_0_3_mois</vt:lpstr>
      <vt:lpstr>Canola</vt:lpstr>
      <vt:lpstr>CanolaNécessaireBQ</vt:lpstr>
      <vt:lpstr>CanolaNécessaireMaQ</vt:lpstr>
      <vt:lpstr>CanolaNécessaireMoQ</vt:lpstr>
      <vt:lpstr>ChanvreIndustriel</vt:lpstr>
      <vt:lpstr>chevreau_0_3_mois</vt:lpstr>
      <vt:lpstr>chevreau_3_6_mois</vt:lpstr>
      <vt:lpstr>chevrette_0_3_mois</vt:lpstr>
      <vt:lpstr>chevrette_3_6_mois</vt:lpstr>
      <vt:lpstr>ChoixBovinsPréEté</vt:lpstr>
      <vt:lpstr>ChoixBovinsPréHiver</vt:lpstr>
      <vt:lpstr>ChoixCaprinsPréEté</vt:lpstr>
      <vt:lpstr>ChoixChevauxSellePréEté</vt:lpstr>
      <vt:lpstr>ChoixChevauxSellePréHiver</vt:lpstr>
      <vt:lpstr>ChoixChevauxTraitPréEté</vt:lpstr>
      <vt:lpstr>ChoixChevauxTraitPréHiver</vt:lpstr>
      <vt:lpstr>ChoixElevageBovins</vt:lpstr>
      <vt:lpstr>ChoixElevageLapins</vt:lpstr>
      <vt:lpstr>ChoixElevagePintades</vt:lpstr>
      <vt:lpstr>ChoixElevagePorcins</vt:lpstr>
      <vt:lpstr>ChoixElevageVolailles</vt:lpstr>
      <vt:lpstr>ChoixOvinsPréEté</vt:lpstr>
      <vt:lpstr>ChoixOvinsPréHiver</vt:lpstr>
      <vt:lpstr>ChoixPaillageBovins</vt:lpstr>
      <vt:lpstr>ChoixPaillageCanards</vt:lpstr>
      <vt:lpstr>ChoixPaillageCaprins</vt:lpstr>
      <vt:lpstr>ChoixPaillageChevauxSelle</vt:lpstr>
      <vt:lpstr>ChoixPaillageChevauxTrait</vt:lpstr>
      <vt:lpstr>ChoixPaillageLapins</vt:lpstr>
      <vt:lpstr>ChoixPaillageOies</vt:lpstr>
      <vt:lpstr>ChoixPaillageOiesFoieGras</vt:lpstr>
      <vt:lpstr>ChoixPaillageOvins</vt:lpstr>
      <vt:lpstr>ChoixPaillagePintades</vt:lpstr>
      <vt:lpstr>ChoixPaillagePoneys</vt:lpstr>
      <vt:lpstr>ChoixPaillagePorcins</vt:lpstr>
      <vt:lpstr>ChoixPaillageVolailles</vt:lpstr>
      <vt:lpstr>ChoixPaysPartie</vt:lpstr>
      <vt:lpstr>ChoixPoneysPréEté</vt:lpstr>
      <vt:lpstr>ChoixPoneysPréHiver</vt:lpstr>
      <vt:lpstr>ChoixRationBisons</vt:lpstr>
      <vt:lpstr>ChoixRationBovins</vt:lpstr>
      <vt:lpstr>ChoixRationCanards</vt:lpstr>
      <vt:lpstr>ChoixRationCaprins</vt:lpstr>
      <vt:lpstr>ChoixRationComplèteBisons</vt:lpstr>
      <vt:lpstr>ChoixRationComplèteBovins</vt:lpstr>
      <vt:lpstr>ChoixRationComplèteCanards</vt:lpstr>
      <vt:lpstr>ChoixRationComplèteCaprins</vt:lpstr>
      <vt:lpstr>ChoixRationComplèteDaims</vt:lpstr>
      <vt:lpstr>ChoixRationComplèteEtéChevauxSelle</vt:lpstr>
      <vt:lpstr>ChoixRationComplèteEtéChevauxTrait</vt:lpstr>
      <vt:lpstr>ChoixRationComplèteEtéPoneys</vt:lpstr>
      <vt:lpstr>ChoixRationComplèteFoieGrasCanards</vt:lpstr>
      <vt:lpstr>ChoixRationComplèteFoieGrasOies</vt:lpstr>
      <vt:lpstr>ChoixRationComplèteLapins</vt:lpstr>
      <vt:lpstr>ChoixRationComplèteOies</vt:lpstr>
      <vt:lpstr>ChoixRationComplèteOvins</vt:lpstr>
      <vt:lpstr>ChoixRationComplètePintades</vt:lpstr>
      <vt:lpstr>ChoixRationComplètePorcins</vt:lpstr>
      <vt:lpstr>ChoixRationComplètePoules</vt:lpstr>
      <vt:lpstr>ChoixRationDaims</vt:lpstr>
      <vt:lpstr>ChoixRationFoieGrasCanards</vt:lpstr>
      <vt:lpstr>ChoixRationFoieGrasOies</vt:lpstr>
      <vt:lpstr>ChoixRationHivernaleComplèteBovins</vt:lpstr>
      <vt:lpstr>ChoixRationHivernaleComplèteChevauxSelle</vt:lpstr>
      <vt:lpstr>ChoixRationHivernaleComplèteChevauxTrait</vt:lpstr>
      <vt:lpstr>ChoixRationHivernaleComplètePoneys</vt:lpstr>
      <vt:lpstr>ChoixRationHivernaleOvinsComplète</vt:lpstr>
      <vt:lpstr>ChoixRationLapins</vt:lpstr>
      <vt:lpstr>ChoixRationOies</vt:lpstr>
      <vt:lpstr>ChoixRationOvins</vt:lpstr>
      <vt:lpstr>ChoixRationPintades</vt:lpstr>
      <vt:lpstr>ChoixRationPorcins</vt:lpstr>
      <vt:lpstr>ChoixRationVolailles</vt:lpstr>
      <vt:lpstr>ChoixSpécificité1Bisons</vt:lpstr>
      <vt:lpstr>ChoixSpécificité1FoieGrasCanards</vt:lpstr>
      <vt:lpstr>ChoixSpécificité1FoieGrasOies</vt:lpstr>
      <vt:lpstr>ChoixSpécificité2Bisons</vt:lpstr>
      <vt:lpstr>ChoixSpécificité2FoieGrasOies</vt:lpstr>
      <vt:lpstr>ChoixVaccinBisons</vt:lpstr>
      <vt:lpstr>ChoixVaccinBovins</vt:lpstr>
      <vt:lpstr>ChoixVaccinCanards</vt:lpstr>
      <vt:lpstr>ChoixVaccinCaprins</vt:lpstr>
      <vt:lpstr>ChoixVaccinChevauxSelle</vt:lpstr>
      <vt:lpstr>ChoixVaccinChevauxTrait</vt:lpstr>
      <vt:lpstr>ChoixVaccinDaims</vt:lpstr>
      <vt:lpstr>ChoixVaccinLapins</vt:lpstr>
      <vt:lpstr>ChoixVaccinOies</vt:lpstr>
      <vt:lpstr>ChoixVaccinOiesFoieGras</vt:lpstr>
      <vt:lpstr>ChoixVaccinOvins</vt:lpstr>
      <vt:lpstr>ChoixVaccinPintades</vt:lpstr>
      <vt:lpstr>ChoixVaccinPoneys</vt:lpstr>
      <vt:lpstr>ChoixVaccinPorcins</vt:lpstr>
      <vt:lpstr>ChoixVaccinVolailles</vt:lpstr>
      <vt:lpstr>CliquesIci</vt:lpstr>
      <vt:lpstr>Colza</vt:lpstr>
      <vt:lpstr>ColzaNécessaireBQ</vt:lpstr>
      <vt:lpstr>ColzaNécessaireMaQ</vt:lpstr>
      <vt:lpstr>ColzaNécessaireMoQ</vt:lpstr>
      <vt:lpstr>CommandeAvoineBQ</vt:lpstr>
      <vt:lpstr>CommandeAvoineMaQ</vt:lpstr>
      <vt:lpstr>CommandeAvoineMoQ</vt:lpstr>
      <vt:lpstr>CommandeBetteraveBQ</vt:lpstr>
      <vt:lpstr>CommandeBetteraveMaQ</vt:lpstr>
      <vt:lpstr>CommandeBetteraveMoQ</vt:lpstr>
      <vt:lpstr>CommandeBléBQ</vt:lpstr>
      <vt:lpstr>CommandeBléMaQ</vt:lpstr>
      <vt:lpstr>CommandeBléMoQ</vt:lpstr>
      <vt:lpstr>CommandeBouchonLuzerneBQ</vt:lpstr>
      <vt:lpstr>CommandeBouchonLuzerneMaQ</vt:lpstr>
      <vt:lpstr>CommandeBouchonLuzerneMoQ</vt:lpstr>
      <vt:lpstr>CommandeCanolaBQ</vt:lpstr>
      <vt:lpstr>CommandeCanolaMaQ</vt:lpstr>
      <vt:lpstr>CommandeCanolaMoQ</vt:lpstr>
      <vt:lpstr>CommandeColzaBQ</vt:lpstr>
      <vt:lpstr>CommandeColzaMaQ</vt:lpstr>
      <vt:lpstr>CommandeColzaMoQ</vt:lpstr>
      <vt:lpstr>CommandeConcentréBovinsBQ</vt:lpstr>
      <vt:lpstr>CommandeConcentréBovinsMaQ</vt:lpstr>
      <vt:lpstr>CommandeConcentréBovinsMoQ</vt:lpstr>
      <vt:lpstr>CommandeConcentréLapinsBQ</vt:lpstr>
      <vt:lpstr>CommandeConcentréLapinsMaQ</vt:lpstr>
      <vt:lpstr>CommandeConcentréLapinsMoQ</vt:lpstr>
      <vt:lpstr>CommandeConcentréPorcinsBQ</vt:lpstr>
      <vt:lpstr>CommandeConcentréPorcinsMaQ</vt:lpstr>
      <vt:lpstr>CommandeConcentréPorcinsMoQ</vt:lpstr>
      <vt:lpstr>CommandeEau</vt:lpstr>
      <vt:lpstr>CommandeEnsilageHerbeBQ</vt:lpstr>
      <vt:lpstr>CommandeEnsilageHerbeMaQ</vt:lpstr>
      <vt:lpstr>CommandeEnsilageHerbeMoQ</vt:lpstr>
      <vt:lpstr>CommandeFeveroleBQ</vt:lpstr>
      <vt:lpstr>CommandeFeveroleMaQ</vt:lpstr>
      <vt:lpstr>CommandeFeveroleMoQ</vt:lpstr>
      <vt:lpstr>CommandeFoinBQ</vt:lpstr>
      <vt:lpstr>CommandeFoinMaQ</vt:lpstr>
      <vt:lpstr>CommandeFoinMoQ</vt:lpstr>
      <vt:lpstr>CommandeMaïsEnsiléBQ</vt:lpstr>
      <vt:lpstr>CommandeMaïsEnsiléMaQ</vt:lpstr>
      <vt:lpstr>CommandeMaïsEnsiléMoQ</vt:lpstr>
      <vt:lpstr>CommandeMaïsGrainBQ</vt:lpstr>
      <vt:lpstr>CommandeMaïsGrainMaQ</vt:lpstr>
      <vt:lpstr>CommandeMaïsGrainMoQ</vt:lpstr>
      <vt:lpstr>CommandeMinérauxBQ</vt:lpstr>
      <vt:lpstr>CommandeMinérauxMaQ</vt:lpstr>
      <vt:lpstr>CommandeMinérauxMoQ</vt:lpstr>
      <vt:lpstr>CommandeOrgeBQ</vt:lpstr>
      <vt:lpstr>CommandeOrgeMaQ</vt:lpstr>
      <vt:lpstr>CommandeOrgeMoQ</vt:lpstr>
      <vt:lpstr>CommandePailleBQ</vt:lpstr>
      <vt:lpstr>CommandePailleMaQ</vt:lpstr>
      <vt:lpstr>CommandePailleMoQ</vt:lpstr>
      <vt:lpstr>CommandePoisBQ</vt:lpstr>
      <vt:lpstr>CommandePoisMaQ</vt:lpstr>
      <vt:lpstr>CommandePoisMoQ</vt:lpstr>
      <vt:lpstr>CommandeRationBisonsBQ</vt:lpstr>
      <vt:lpstr>CommandeRationBisonsMaQ</vt:lpstr>
      <vt:lpstr>CommandeRationBisonsMoQ</vt:lpstr>
      <vt:lpstr>CommandeRationBovinBQ</vt:lpstr>
      <vt:lpstr>CommandeRationBovinMaQ</vt:lpstr>
      <vt:lpstr>CommandeRationBovinMoQ</vt:lpstr>
      <vt:lpstr>CommandeRationCanardBQ</vt:lpstr>
      <vt:lpstr>CommandeRationCanardMaQ</vt:lpstr>
      <vt:lpstr>CommandeRationCanardMoQ</vt:lpstr>
      <vt:lpstr>CommandeRationCaprinsBQ</vt:lpstr>
      <vt:lpstr>CommandeRationCaprinsMaQ</vt:lpstr>
      <vt:lpstr>CommandeRationCaprinsMoQ</vt:lpstr>
      <vt:lpstr>CommandeRationChevauxSelleBQ</vt:lpstr>
      <vt:lpstr>CommandeRationChevauxSelleMaQ</vt:lpstr>
      <vt:lpstr>CommandeRationChevauxSelleMoQ</vt:lpstr>
      <vt:lpstr>CommandeRationChevauxTraitBQ</vt:lpstr>
      <vt:lpstr>CommandeRationChevauxTraitMaQ</vt:lpstr>
      <vt:lpstr>CommandeRationChevauxTraitMoQ</vt:lpstr>
      <vt:lpstr>CommandeRationDaimsBQ</vt:lpstr>
      <vt:lpstr>CommandeRationDaimsMaQ</vt:lpstr>
      <vt:lpstr>CommandeRationDaimsMoQ</vt:lpstr>
      <vt:lpstr>CommandeRationHiverBovinBQ</vt:lpstr>
      <vt:lpstr>CommandeRationHiverBovinMaQ</vt:lpstr>
      <vt:lpstr>CommandeRationHiverBovinMoQ</vt:lpstr>
      <vt:lpstr>CommandeRationHiverOvinBQ</vt:lpstr>
      <vt:lpstr>CommandeRationHiverOvinMaQ</vt:lpstr>
      <vt:lpstr>CommandeRationHiverOvinMoQ</vt:lpstr>
      <vt:lpstr>CommandeRationLapinBQ</vt:lpstr>
      <vt:lpstr>CommandeRationLapinMaQ</vt:lpstr>
      <vt:lpstr>CommandeRationLapinMoQ</vt:lpstr>
      <vt:lpstr>CommandeRationOieBQ</vt:lpstr>
      <vt:lpstr>CommandeRationOieMaQ</vt:lpstr>
      <vt:lpstr>CommandeRationOieMoQ</vt:lpstr>
      <vt:lpstr>CommandeRationOvinBQ</vt:lpstr>
      <vt:lpstr>CommandeRationOvinMaQ</vt:lpstr>
      <vt:lpstr>CommandeRationOvinMoQ</vt:lpstr>
      <vt:lpstr>CommandeRationPintadesBQ</vt:lpstr>
      <vt:lpstr>CommandeRationPintadesMaQ</vt:lpstr>
      <vt:lpstr>CommandeRationPintadesMoQ</vt:lpstr>
      <vt:lpstr>CommandeRationPoneysBQ</vt:lpstr>
      <vt:lpstr>CommandeRationPoneysMaQ</vt:lpstr>
      <vt:lpstr>CommandeRationPoneysMoQ</vt:lpstr>
      <vt:lpstr>CommandeRationPorcinsBQ</vt:lpstr>
      <vt:lpstr>CommandeRationPorcinsMaQ</vt:lpstr>
      <vt:lpstr>CommandeRationPorcinsMoQ</vt:lpstr>
      <vt:lpstr>CommandeRationVolaillesBQ</vt:lpstr>
      <vt:lpstr>CommandeRationVolaillesMaQ</vt:lpstr>
      <vt:lpstr>CommandeRationVolaillesMoQ</vt:lpstr>
      <vt:lpstr>CommandeSeigleBQ</vt:lpstr>
      <vt:lpstr>CommandeSeigleMaQ</vt:lpstr>
      <vt:lpstr>CommandeSeigleMoQ</vt:lpstr>
      <vt:lpstr>CommandeSojaBQ</vt:lpstr>
      <vt:lpstr>CommandeSojaMaQ</vt:lpstr>
      <vt:lpstr>CommandeSojaMoQ</vt:lpstr>
      <vt:lpstr>CommandeSorghoEnsiléBQ</vt:lpstr>
      <vt:lpstr>CommandeSorghoEnsiléMaQ</vt:lpstr>
      <vt:lpstr>CommandeSorghoEnsiléMoQ</vt:lpstr>
      <vt:lpstr>CommandeTournesolBQ</vt:lpstr>
      <vt:lpstr>CommandeTournesolMaQ</vt:lpstr>
      <vt:lpstr>CommandeTournesolMoQ</vt:lpstr>
      <vt:lpstr>CommandeTourteauColzaBQ</vt:lpstr>
      <vt:lpstr>CommandeTourteauColzaMaQ</vt:lpstr>
      <vt:lpstr>CommandeTourteauColzaMoQ</vt:lpstr>
      <vt:lpstr>CommandeTourteauTournesolBQ</vt:lpstr>
      <vt:lpstr>CommandeTourteauTournesolMaQ</vt:lpstr>
      <vt:lpstr>CommandeTourteauTournesolMoQ</vt:lpstr>
      <vt:lpstr>CommandeTriticaleBQ</vt:lpstr>
      <vt:lpstr>CommandeTriticaleMaQ</vt:lpstr>
      <vt:lpstr>CommandeTriticaleMoQ</vt:lpstr>
      <vt:lpstr>ConcentréBovins</vt:lpstr>
      <vt:lpstr>ConcentréBovinsNécessaireBQ</vt:lpstr>
      <vt:lpstr>ConcentréBovinsNécessaireMaQ</vt:lpstr>
      <vt:lpstr>ConcentréBovinsNécessaireMoQ</vt:lpstr>
      <vt:lpstr>ConcentréLapins</vt:lpstr>
      <vt:lpstr>ConcentréLapinsNécessaireBQ</vt:lpstr>
      <vt:lpstr>ConcentréLapinsNécessaireMaQ</vt:lpstr>
      <vt:lpstr>ConcentréLapinsNécessaireMoQ</vt:lpstr>
      <vt:lpstr>ConcentréPorcins</vt:lpstr>
      <vt:lpstr>ConcentréPorcinsNécessaireBQ</vt:lpstr>
      <vt:lpstr>ConcentréPorcinsNécessaireMaQ</vt:lpstr>
      <vt:lpstr>ConcentréPorcinsNécessaireMoQ</vt:lpstr>
      <vt:lpstr>CoutEcurie</vt:lpstr>
      <vt:lpstr>CoutPaillageAnnuelBovins</vt:lpstr>
      <vt:lpstr>CoutPaillageAnnuelCanards</vt:lpstr>
      <vt:lpstr>CoutPaillageAnnuelCaprins</vt:lpstr>
      <vt:lpstr>CoutPaillageAnnuelChevauxSelle</vt:lpstr>
      <vt:lpstr>CoutPaillageAnnuelChevauxTrait</vt:lpstr>
      <vt:lpstr>CoutPaillageAnnuelLapins</vt:lpstr>
      <vt:lpstr>CoutPaillageAnnuelOies</vt:lpstr>
      <vt:lpstr>CoutPaillageAnnuelOvins</vt:lpstr>
      <vt:lpstr>CoutPaillageAnnuelPintades</vt:lpstr>
      <vt:lpstr>CoutPaillageAnnuelPoneys</vt:lpstr>
      <vt:lpstr>CoutPaillageAnnuelPorcins</vt:lpstr>
      <vt:lpstr>CoutPaillageAnnuelVolailles</vt:lpstr>
      <vt:lpstr>CoutParcVolailles</vt:lpstr>
      <vt:lpstr>CoutPoulailler</vt:lpstr>
      <vt:lpstr>Cultures</vt:lpstr>
      <vt:lpstr>DuréeDeStockage</vt:lpstr>
      <vt:lpstr>DuréePhaseElevage0_1</vt:lpstr>
      <vt:lpstr>DuréePhaseElevage1_2</vt:lpstr>
      <vt:lpstr>DuréePhaseElevage2_3</vt:lpstr>
      <vt:lpstr>DuréePhaseGavageCanards</vt:lpstr>
      <vt:lpstr>DuréePhaseGavageOie</vt:lpstr>
      <vt:lpstr>Eau</vt:lpstr>
      <vt:lpstr>EauNécessaire</vt:lpstr>
      <vt:lpstr>Elevage</vt:lpstr>
      <vt:lpstr>ElevageLapinsConventionnel</vt:lpstr>
      <vt:lpstr>ElevagePintadesIntensif</vt:lpstr>
      <vt:lpstr>ElevagePorcinsCaillebottis</vt:lpstr>
      <vt:lpstr>ElevagePorcinsLitière</vt:lpstr>
      <vt:lpstr>ElevagePorcinsPleinAir</vt:lpstr>
      <vt:lpstr>ElevageVolaillesIntensif</vt:lpstr>
      <vt:lpstr>EnsilageHerbe</vt:lpstr>
      <vt:lpstr>EnsilageHerbeNécessaireBQ</vt:lpstr>
      <vt:lpstr>EnsilageHerbeNécessaireMaQ</vt:lpstr>
      <vt:lpstr>EnsilageHerbeNécessaireMoQ</vt:lpstr>
      <vt:lpstr>faon_mâle_0_3_mois</vt:lpstr>
      <vt:lpstr>faon_mâle_3_6_mois</vt:lpstr>
      <vt:lpstr>faon_mâle_6_12_mois</vt:lpstr>
      <vt:lpstr>FaonFemelle_0_3_mois</vt:lpstr>
      <vt:lpstr>FaonFemelle_3_6_mois</vt:lpstr>
      <vt:lpstr>FaonFemelle_6_12_mois</vt:lpstr>
      <vt:lpstr>Féverole</vt:lpstr>
      <vt:lpstr>FéveroleNécessaireBQ</vt:lpstr>
      <vt:lpstr>FéveroleNécessaireMaQ</vt:lpstr>
      <vt:lpstr>FéveroleNécessaireMoQ</vt:lpstr>
      <vt:lpstr>FoieGrasCanetons_0_1mois</vt:lpstr>
      <vt:lpstr>FoieGrasCanetons_1_2mois</vt:lpstr>
      <vt:lpstr>FoieGrasCanetons_2_3mois</vt:lpstr>
      <vt:lpstr>FoieGrasJeunesOies_3moisEtPlus</vt:lpstr>
      <vt:lpstr>FoieGrasOison_0_1mois</vt:lpstr>
      <vt:lpstr>FoieGrasOison_1_2mois</vt:lpstr>
      <vt:lpstr>FoieGrasOison_2_3mois</vt:lpstr>
      <vt:lpstr>FoieGrasTotalOisons</vt:lpstr>
      <vt:lpstr>Foin</vt:lpstr>
      <vt:lpstr>FoinNécessaireBQ</vt:lpstr>
      <vt:lpstr>FoinNécessaireMaQ</vt:lpstr>
      <vt:lpstr>FoinNécessaireMoQ</vt:lpstr>
      <vt:lpstr>France</vt:lpstr>
      <vt:lpstr>HerbeMangéeParAgneauParJour</vt:lpstr>
      <vt:lpstr>HerbeMangéeParBélierParJour</vt:lpstr>
      <vt:lpstr>HerbeMangéeParBoucParJour</vt:lpstr>
      <vt:lpstr>HerbeMangéeParBrebisParJour</vt:lpstr>
      <vt:lpstr>HerbeMangéeParChevauxSelleAdultesParJour</vt:lpstr>
      <vt:lpstr>HerbeMangéeParChevauxTraitAdultesParJour</vt:lpstr>
      <vt:lpstr>HerbeMangéeParChevreauParJour</vt:lpstr>
      <vt:lpstr>HerbeMangéeParChèvreParJour</vt:lpstr>
      <vt:lpstr>HerbeMangéeParDaimParJour</vt:lpstr>
      <vt:lpstr>HerbeMangéeParFaonParJour</vt:lpstr>
      <vt:lpstr>HerbeMangéeParGenisseParJour</vt:lpstr>
      <vt:lpstr>HerbeMangéeParJeuneBélierEtJeuneBrebisParJour</vt:lpstr>
      <vt:lpstr>HerbeMangéeParJeuneBoucEtJeuneChèvreParJour</vt:lpstr>
      <vt:lpstr>HerbeMangéeParJeuneChevauxTraitParJour</vt:lpstr>
      <vt:lpstr>HerbeMangéeParJeuneDaimParJour</vt:lpstr>
      <vt:lpstr>HerbeMangéeParJeunePoneyParJour</vt:lpstr>
      <vt:lpstr>HerbeMangéeParJeunesChevauxSelleParJour</vt:lpstr>
      <vt:lpstr>HerbeMangéeParPoneyAdulteParJour</vt:lpstr>
      <vt:lpstr>HerbeMangéeParPoulainPoneyParJour</vt:lpstr>
      <vt:lpstr>HerbeMangéeParPoulainSelleParJour</vt:lpstr>
      <vt:lpstr>HerbeMangéeParPoulainTraitParJour</vt:lpstr>
      <vt:lpstr>HerbeMangéeParTaureauParJour</vt:lpstr>
      <vt:lpstr>HerbeMangéeParTaurillonParJour</vt:lpstr>
      <vt:lpstr>HerbeMangéeParVacheParJour</vt:lpstr>
      <vt:lpstr>HerbeMangéeParVeauParJour</vt:lpstr>
      <vt:lpstr>jars</vt:lpstr>
      <vt:lpstr>jeune_bouc_6_12_mois</vt:lpstr>
      <vt:lpstr>jeune_canard_3_6_mois</vt:lpstr>
      <vt:lpstr>jeune_cane_3_6_mois</vt:lpstr>
      <vt:lpstr>jeune_chèvre_6_12_mois</vt:lpstr>
      <vt:lpstr>jeune_jars_3_6_mois</vt:lpstr>
      <vt:lpstr>jeune_oie_3_6_mois</vt:lpstr>
      <vt:lpstr>jeune_truie_3_6_mois</vt:lpstr>
      <vt:lpstr>jeune_truie_6_12_mois</vt:lpstr>
      <vt:lpstr>jeune_verrat_3_6_mois</vt:lpstr>
      <vt:lpstr>jeune_verrat_6_12_mois</vt:lpstr>
      <vt:lpstr>JeuneCoq_1_6_mois</vt:lpstr>
      <vt:lpstr>JeuneDaim_12_18_mois</vt:lpstr>
      <vt:lpstr>JeuneDaim_18_24_mois</vt:lpstr>
      <vt:lpstr>JeuneDaim_24_36_mois</vt:lpstr>
      <vt:lpstr>JeuneDaine_12_18_mois</vt:lpstr>
      <vt:lpstr>JeuneDaine_18_24_mois</vt:lpstr>
      <vt:lpstr>JeuneDaine_24_36_mois</vt:lpstr>
      <vt:lpstr>JeunePintadeFemelle_1_9_mois</vt:lpstr>
      <vt:lpstr>JeunePintadeMâle_1_9_mois</vt:lpstr>
      <vt:lpstr>JeunePoule_1_6_mois</vt:lpstr>
      <vt:lpstr>animaux!ListeBovins</vt:lpstr>
      <vt:lpstr>ListeCatégorie</vt:lpstr>
      <vt:lpstr>ListeCulturesBDD</vt:lpstr>
      <vt:lpstr>ListeDivers</vt:lpstr>
      <vt:lpstr>ListeMatériels</vt:lpstr>
      <vt:lpstr>ListeModèles</vt:lpstr>
      <vt:lpstr>ListePays</vt:lpstr>
      <vt:lpstr>ListeRegions</vt:lpstr>
      <vt:lpstr>ListeVergersBDD</vt:lpstr>
      <vt:lpstr>Luzerne</vt:lpstr>
      <vt:lpstr>MaïsEnsilé</vt:lpstr>
      <vt:lpstr>MaïsEnsiléNécessaireBQ</vt:lpstr>
      <vt:lpstr>MaïsEnsiléNécessaireMaQ</vt:lpstr>
      <vt:lpstr>MaïsEnsiléNécessaireMoQ</vt:lpstr>
      <vt:lpstr>MaïsGrain</vt:lpstr>
      <vt:lpstr>MaïsGrainNécessaireBQ</vt:lpstr>
      <vt:lpstr>MaïsGrainNécessaireMaQ</vt:lpstr>
      <vt:lpstr>MaïsGrainNécessaireMoQ</vt:lpstr>
      <vt:lpstr>MAUVAISE</vt:lpstr>
      <vt:lpstr>Minéraux</vt:lpstr>
      <vt:lpstr>MinérauxNécessaireBQ</vt:lpstr>
      <vt:lpstr>MinérauxNécessaireMaQ</vt:lpstr>
      <vt:lpstr>MinérauxNécessaireMoQ</vt:lpstr>
      <vt:lpstr>Miscanthus</vt:lpstr>
      <vt:lpstr>Moutarde</vt:lpstr>
      <vt:lpstr>MOYENNE</vt:lpstr>
      <vt:lpstr>NbreBisonsFemellesAuPré_0_3Mois</vt:lpstr>
      <vt:lpstr>NbreBisonsFemellesAuPré_12_18Mois</vt:lpstr>
      <vt:lpstr>NbreBisonsFemellesAuPré_18_24Mois</vt:lpstr>
      <vt:lpstr>NbreBisonsFemellesAuPré_24_36Mois</vt:lpstr>
      <vt:lpstr>NbreBisonsFemellesAuPré_3_6Mois</vt:lpstr>
      <vt:lpstr>NbreBisonsFemellesAuPré_3AnsEtPlus</vt:lpstr>
      <vt:lpstr>NbreBisonsFemellesAuPré_6_12Mois</vt:lpstr>
      <vt:lpstr>NbreBisonsMâlesAuPré_0_3Mois</vt:lpstr>
      <vt:lpstr>NbreBisonsMâlesAuPré_12_18Mois</vt:lpstr>
      <vt:lpstr>NbreBisonsMâlesAuPré_18_24Mois</vt:lpstr>
      <vt:lpstr>NbreBisonsMâlesAuPré_24_36Mois</vt:lpstr>
      <vt:lpstr>NbreBisonsMâlesAuPré_3_6Mois</vt:lpstr>
      <vt:lpstr>NbreBisonsMâlesAuPré_3AnsEtPlus</vt:lpstr>
      <vt:lpstr>NbreBisonsMâlesAuPré_6_12Mois</vt:lpstr>
      <vt:lpstr>NbreBovinsAuPré</vt:lpstr>
      <vt:lpstr>NbreBovinsFemellesAuPré_0_3Mois</vt:lpstr>
      <vt:lpstr>NbreBovinsFemellesAuPré_12_18Mois</vt:lpstr>
      <vt:lpstr>NbreBovinsFemellesAuPré_18_24Mois</vt:lpstr>
      <vt:lpstr>NbreBovinsFemellesAuPré_24_36Mois</vt:lpstr>
      <vt:lpstr>NbreBovinsFemellesAuPré_3_6Mois</vt:lpstr>
      <vt:lpstr>NbreBovinsFemellesAuPré_3AnsEtPlus</vt:lpstr>
      <vt:lpstr>NbreBovinsFemellesAuPré_6_12Mois</vt:lpstr>
      <vt:lpstr>NbreBovinsMâlesAuPré_0_3Mois</vt:lpstr>
      <vt:lpstr>NbreBovinsMâlesAuPré_12_18Mois</vt:lpstr>
      <vt:lpstr>NbreBovinsMâlesAuPré_18_24Mois</vt:lpstr>
      <vt:lpstr>NbreBovinsMâlesAuPré_24_36Mois</vt:lpstr>
      <vt:lpstr>NbreBovinsMâlesAuPré_3_6Mois</vt:lpstr>
      <vt:lpstr>NbreBovinsMâlesAuPré_3AnsEtPlus</vt:lpstr>
      <vt:lpstr>NbreBovinsMâlesAuPré_6_12Mois</vt:lpstr>
      <vt:lpstr>NbreCaprinsFemellesAuPré_0_3Mois</vt:lpstr>
      <vt:lpstr>NbreCaprinsFemellesAuPré_12_18Mois</vt:lpstr>
      <vt:lpstr>NbreCaprinsFemellesAuPré_18_24Mois</vt:lpstr>
      <vt:lpstr>NbreCaprinsFemellesAuPré_24_36Mois</vt:lpstr>
      <vt:lpstr>NbreCaprinsFemellesAuPré_3_6Mois</vt:lpstr>
      <vt:lpstr>NbreCaprinsFemellesAuPré_3AnsEtPlus</vt:lpstr>
      <vt:lpstr>NbreCaprinsFemellesAuPré_6_12Mois</vt:lpstr>
      <vt:lpstr>NbreCaprinsMâlesAuPré_0_3Mois</vt:lpstr>
      <vt:lpstr>NbreCaprinsMâlesAuPré_12_18Mois</vt:lpstr>
      <vt:lpstr>NbreCaprinsMâlesAuPré_18_24Mois</vt:lpstr>
      <vt:lpstr>NbreCaprinsMâlesAuPré_24_36Mois</vt:lpstr>
      <vt:lpstr>NbreCaprinsMâlesAuPré_3_6Mois</vt:lpstr>
      <vt:lpstr>NbreCaprinsMâlesAuPré_3AnsEtPlus</vt:lpstr>
      <vt:lpstr>NbreCaprinsMâlesAuPré_6_12Mois</vt:lpstr>
      <vt:lpstr>NbreChevauxSelleFemellesAuPré_0_3Mois</vt:lpstr>
      <vt:lpstr>NbreChevauxSelleFemellesAuPré_12_18Mois</vt:lpstr>
      <vt:lpstr>NbreChevauxSelleFemellesAuPré_18_24Mois</vt:lpstr>
      <vt:lpstr>NbreChevauxSelleFemellesAuPré_24_36Mois</vt:lpstr>
      <vt:lpstr>NbreChevauxSelleFemellesAuPré_3_6Mois</vt:lpstr>
      <vt:lpstr>NbreChevauxSelleFemellesAuPré_3AnsEtPlus</vt:lpstr>
      <vt:lpstr>NbreChevauxSelleFemellesAuPré_6_12Mois</vt:lpstr>
      <vt:lpstr>NbreChevauxSelleMâlesAuPré_0_3Mois</vt:lpstr>
      <vt:lpstr>NbreChevauxSelleMâlesAuPré_12_18Mois</vt:lpstr>
      <vt:lpstr>NbreChevauxSelleMâlesAuPré_18_24Mois</vt:lpstr>
      <vt:lpstr>NbreChevauxSelleMâlesAuPré_24_36Mois</vt:lpstr>
      <vt:lpstr>NbreChevauxSelleMâlesAuPré_3_6Mois</vt:lpstr>
      <vt:lpstr>NbreChevauxSelleMâlesAuPré_3AnsEtPlus</vt:lpstr>
      <vt:lpstr>NbreChevauxSelleMâlesAuPré_6_12Mois</vt:lpstr>
      <vt:lpstr>NbreChevauxTraitFemellesAuPré_0_3Mois</vt:lpstr>
      <vt:lpstr>NbreChevauxTraitFemellesAuPré_12_18Mois</vt:lpstr>
      <vt:lpstr>NbreChevauxTraitFemellesAuPré_18_24Mois</vt:lpstr>
      <vt:lpstr>NbreChevauxTraitFemellesAuPré_24_36Mois</vt:lpstr>
      <vt:lpstr>NbreChevauxTraitFemellesAuPré_3_6Mois</vt:lpstr>
      <vt:lpstr>NbreChevauxTraitFemellesAuPré_3AnsEtPlus</vt:lpstr>
      <vt:lpstr>NbreChevauxTraitFemellesAuPré_6_12Mois</vt:lpstr>
      <vt:lpstr>NbreChevauxTraitMâlesAuPré_0_3Mois</vt:lpstr>
      <vt:lpstr>NbreChevauxTraitMâlesAuPré_12_18Mois</vt:lpstr>
      <vt:lpstr>NbreChevauxTraitMâlesAuPré_18_24Mois</vt:lpstr>
      <vt:lpstr>NbreChevauxTraitMâlesAuPré_24_36Mois</vt:lpstr>
      <vt:lpstr>NbreChevauxTraitMâlesAuPré_3_6Mois</vt:lpstr>
      <vt:lpstr>NbreChevauxTraitMâlesAuPré_3AnsEtPlus</vt:lpstr>
      <vt:lpstr>NbreChevauxTraitMâlesAuPré_6_12Mois</vt:lpstr>
      <vt:lpstr>NbreDaimsFemellesAuPré_0_3Mois</vt:lpstr>
      <vt:lpstr>NbreDaimsFemellesAuPré_12_18Mois</vt:lpstr>
      <vt:lpstr>NbreDaimsFemellesAuPré_18_24Mois</vt:lpstr>
      <vt:lpstr>NbreDaimsFemellesAuPré_24_36Mois</vt:lpstr>
      <vt:lpstr>NbreDaimsFemellesAuPré_3_6Mois</vt:lpstr>
      <vt:lpstr>NbreDaimsFemellesAuPré_3AnsEtPlus</vt:lpstr>
      <vt:lpstr>NbreDaimsFemellesAuPré_6_12Mois</vt:lpstr>
      <vt:lpstr>NbreDaimsMâlesAuPré_0_3Mois</vt:lpstr>
      <vt:lpstr>NbreDaimsMâlesAuPré_12_18Mois</vt:lpstr>
      <vt:lpstr>NbreDaimsMâlesAuPré_18_24Mois</vt:lpstr>
      <vt:lpstr>NbreDaimsMâlesAuPré_24_36Mois</vt:lpstr>
      <vt:lpstr>NbreDaimsMâlesAuPré_3_6Mois</vt:lpstr>
      <vt:lpstr>NbreDaimsMâlesAuPré_3AnsEtPlus</vt:lpstr>
      <vt:lpstr>NbreDaimsMâlesAuPré_6_12Mois</vt:lpstr>
      <vt:lpstr>NbreJoursNourrirAutres</vt:lpstr>
      <vt:lpstr>NbreJoursNourrirBisonsDaims</vt:lpstr>
      <vt:lpstr>NbreJoursNourrirBovins</vt:lpstr>
      <vt:lpstr>NbreJoursNourrirCaprins</vt:lpstr>
      <vt:lpstr>NbreJoursNourrirChevauxSelle</vt:lpstr>
      <vt:lpstr>NbreJoursNourrirChevauxTrait</vt:lpstr>
      <vt:lpstr>NbreJoursNourrirOvins</vt:lpstr>
      <vt:lpstr>NbreJoursNourrirPoneys</vt:lpstr>
      <vt:lpstr>NbreOvinsFemellesAuPré_0_3Mois</vt:lpstr>
      <vt:lpstr>NbreOvinsFemellesAuPré_12_18Mois</vt:lpstr>
      <vt:lpstr>NbreOvinsFemellesAuPré_18_24Mois</vt:lpstr>
      <vt:lpstr>NbreOvinsFemellesAuPré_24_36Mois</vt:lpstr>
      <vt:lpstr>NbreOvinsFemellesAuPré_3_6Mois</vt:lpstr>
      <vt:lpstr>NbreOvinsFemellesAuPré_3AnsEtPlus</vt:lpstr>
      <vt:lpstr>NbreOvinsFemellesAuPré_6_12Mois</vt:lpstr>
      <vt:lpstr>NbreOvinsMâlesAuPré_0_3Mois</vt:lpstr>
      <vt:lpstr>NbreOvinsMâlesAuPré_12_18Mois</vt:lpstr>
      <vt:lpstr>NbreOvinsMâlesAuPré_18_24Mois</vt:lpstr>
      <vt:lpstr>NbreOvinsMâlesAuPré_24_36Mois</vt:lpstr>
      <vt:lpstr>NbreOvinsMâlesAuPré_3_6Mois</vt:lpstr>
      <vt:lpstr>NbreOvinsMâlesAuPré_3AnsEtPlus</vt:lpstr>
      <vt:lpstr>NbreOvinsMâlesAuPré_6_12Mois</vt:lpstr>
      <vt:lpstr>NbrePoneysFemellesAuPré_0_3Mois</vt:lpstr>
      <vt:lpstr>NbrePoneysFemellesAuPré_12_18Mois</vt:lpstr>
      <vt:lpstr>NbrePoneysFemellesAuPré_18_24Mois</vt:lpstr>
      <vt:lpstr>NbrePoneysFemellesAuPré_24_36Mois</vt:lpstr>
      <vt:lpstr>NbrePoneysFemellesAuPré_3_6Mois</vt:lpstr>
      <vt:lpstr>NbrePoneysFemellesAuPré_3AnsEtPlus</vt:lpstr>
      <vt:lpstr>NbrePoneysFemellesAuPré_6_12Mois</vt:lpstr>
      <vt:lpstr>NbrePoneysMâlesAuPré_0_3Mois</vt:lpstr>
      <vt:lpstr>NbrePoneysMâlesAuPré_12_18Mois</vt:lpstr>
      <vt:lpstr>NbrePoneysMâlesAuPré_18_24Mois</vt:lpstr>
      <vt:lpstr>NbrePoneysMâlesAuPré_24_36Mois</vt:lpstr>
      <vt:lpstr>NbrePoneysMâlesAuPré_3_6Mois</vt:lpstr>
      <vt:lpstr>NbrePoneysMâlesAuPré_3AnsEtPlus</vt:lpstr>
      <vt:lpstr>NbrePoneysMâlesAuPré_6_12Mois</vt:lpstr>
      <vt:lpstr>NON</vt:lpstr>
      <vt:lpstr>oie</vt:lpstr>
      <vt:lpstr>oison_femelle_0_3_mois</vt:lpstr>
      <vt:lpstr>oison_mâle_0_3_mois</vt:lpstr>
      <vt:lpstr>Orge</vt:lpstr>
      <vt:lpstr>OrgeNécessaireBQ</vt:lpstr>
      <vt:lpstr>OrgeNécessaireMaQ</vt:lpstr>
      <vt:lpstr>OrgeNécessaireMoQ</vt:lpstr>
      <vt:lpstr>OUI</vt:lpstr>
      <vt:lpstr>Paille</vt:lpstr>
      <vt:lpstr>PailleNécessaireBQ</vt:lpstr>
      <vt:lpstr>PailleNécessaireMaQ</vt:lpstr>
      <vt:lpstr>PailleNécessaireMoQ</vt:lpstr>
      <vt:lpstr>Phacélie</vt:lpstr>
      <vt:lpstr>pintadeau_mâle_0_1_mois</vt:lpstr>
      <vt:lpstr>PintadeauFemelle_0_1_mois</vt:lpstr>
      <vt:lpstr>Pois</vt:lpstr>
      <vt:lpstr>PoisNécessaireBQ</vt:lpstr>
      <vt:lpstr>PoisNécessaireMaQ</vt:lpstr>
      <vt:lpstr>PoisNécessaireMoQ</vt:lpstr>
      <vt:lpstr>porcelet_femelle_0_1_mois</vt:lpstr>
      <vt:lpstr>porcelet_femelle_1_3_mois</vt:lpstr>
      <vt:lpstr>porcelet_mâle_0_1_mois</vt:lpstr>
      <vt:lpstr>porcelet_mâle_1_3_mois</vt:lpstr>
      <vt:lpstr>poussin_femelle_0_1_mois</vt:lpstr>
      <vt:lpstr>PrixAvoine</vt:lpstr>
      <vt:lpstr>PrixBetterave</vt:lpstr>
      <vt:lpstr>PrixBlé</vt:lpstr>
      <vt:lpstr>PrixBouchonsLuzerne</vt:lpstr>
      <vt:lpstr>PrixCanola</vt:lpstr>
      <vt:lpstr>PrixColza</vt:lpstr>
      <vt:lpstr>PrixConcentréBovin</vt:lpstr>
      <vt:lpstr>PrixConcentréLapin</vt:lpstr>
      <vt:lpstr>PrixConcentréPorcin</vt:lpstr>
      <vt:lpstr>PrixEau</vt:lpstr>
      <vt:lpstr>PrixEnsilageHerbe</vt:lpstr>
      <vt:lpstr>PrixFeverole</vt:lpstr>
      <vt:lpstr>PrixFoin</vt:lpstr>
      <vt:lpstr>PrixMaïsEnsilé</vt:lpstr>
      <vt:lpstr>PrixMaïsGrain</vt:lpstr>
      <vt:lpstr>PrixMinéraux</vt:lpstr>
      <vt:lpstr>PrixOrge</vt:lpstr>
      <vt:lpstr>PrixPaille</vt:lpstr>
      <vt:lpstr>PrixPois</vt:lpstr>
      <vt:lpstr>PrixRationBisons</vt:lpstr>
      <vt:lpstr>PrixRationBovins</vt:lpstr>
      <vt:lpstr>PrixRationCanards</vt:lpstr>
      <vt:lpstr>PrixRationCaprins</vt:lpstr>
      <vt:lpstr>PrixRationChevauxSelle</vt:lpstr>
      <vt:lpstr>PrixRationChevauxTrait</vt:lpstr>
      <vt:lpstr>PrixRationDaims</vt:lpstr>
      <vt:lpstr>PrixRationHiverBovins</vt:lpstr>
      <vt:lpstr>PrixRationHiverOvins</vt:lpstr>
      <vt:lpstr>PrixRationLapins</vt:lpstr>
      <vt:lpstr>PrixRationOies</vt:lpstr>
      <vt:lpstr>PrixRationOvins</vt:lpstr>
      <vt:lpstr>PrixRationPintades</vt:lpstr>
      <vt:lpstr>PrixRationPoneys</vt:lpstr>
      <vt:lpstr>PrixRationPorcins</vt:lpstr>
      <vt:lpstr>PrixRationVolailles</vt:lpstr>
      <vt:lpstr>PrixSeigle</vt:lpstr>
      <vt:lpstr>PrixSoja</vt:lpstr>
      <vt:lpstr>PrixSorghoEnsilé</vt:lpstr>
      <vt:lpstr>PrixTournesol</vt:lpstr>
      <vt:lpstr>PrixTourteauColza</vt:lpstr>
      <vt:lpstr>PrixTourteauTournesol</vt:lpstr>
      <vt:lpstr>PrixTriticale</vt:lpstr>
      <vt:lpstr>PrixVaccinBison</vt:lpstr>
      <vt:lpstr>PrixVaccinBovin</vt:lpstr>
      <vt:lpstr>PrixVaccinCanard</vt:lpstr>
      <vt:lpstr>PrixVaccinCaprin</vt:lpstr>
      <vt:lpstr>PrixVaccinChevauxSelle</vt:lpstr>
      <vt:lpstr>PrixVaccinChevauxTrait</vt:lpstr>
      <vt:lpstr>PrixVaccinDaim</vt:lpstr>
      <vt:lpstr>PrixVaccinLapin</vt:lpstr>
      <vt:lpstr>PrixVaccinOie</vt:lpstr>
      <vt:lpstr>PrixVaccinOvin</vt:lpstr>
      <vt:lpstr>PrixVaccinPintade</vt:lpstr>
      <vt:lpstr>prixVaccinPoney</vt:lpstr>
      <vt:lpstr>PrixVaccinPorcin</vt:lpstr>
      <vt:lpstr>PrixVaccinVolaille</vt:lpstr>
      <vt:lpstr>PrixVenteCultures</vt:lpstr>
      <vt:lpstr>ProductionLaitBovins</vt:lpstr>
      <vt:lpstr>ProductionLaitCaprins</vt:lpstr>
      <vt:lpstr>ProductionLaitOvins</vt:lpstr>
      <vt:lpstr>QtéRationComplèteHivernaleBison_0_3Mois</vt:lpstr>
      <vt:lpstr>QtéRationComplèteHivernaleBison_12_18Mois</vt:lpstr>
      <vt:lpstr>QtéRationComplèteHivernaleBison_18_24Mois</vt:lpstr>
      <vt:lpstr>QtéRationComplèteHivernaleBison_24_36Mois</vt:lpstr>
      <vt:lpstr>QtéRationComplèteHivernaleBison_3_6Mois</vt:lpstr>
      <vt:lpstr>QtéRationComplèteHivernaleBison_3AnsEtPlus</vt:lpstr>
      <vt:lpstr>QtéRationComplèteHivernaleBison_6_12Mois</vt:lpstr>
      <vt:lpstr>QtéRationComplèteHivernaleBovin_0_3Mois</vt:lpstr>
      <vt:lpstr>QtéRationComplèteHivernaleBovin_12_18Mois</vt:lpstr>
      <vt:lpstr>QtéRationComplèteHivernaleBovin_18_24Mois</vt:lpstr>
      <vt:lpstr>QtéRationComplèteHivernaleBovin_24_36Mois</vt:lpstr>
      <vt:lpstr>QtéRationComplèteHivernaleBovin_3_6Mois</vt:lpstr>
      <vt:lpstr>QtéRationComplèteHivernaleBovin_3AnsEtPlus</vt:lpstr>
      <vt:lpstr>QtéRationComplèteHivernaleBovin_6_12Mois</vt:lpstr>
      <vt:lpstr>QtéRationComplèteHivernaleChevauxSelle0_12Mois</vt:lpstr>
      <vt:lpstr>QtéRationComplèteHivernaleChevauxSelle12_14Mois</vt:lpstr>
      <vt:lpstr>QtéRationComplèteHivernaleChevauxSelle24_36Mois</vt:lpstr>
      <vt:lpstr>QtéRationComplèteHivernaleChevauxSelle3AnsEtPlus</vt:lpstr>
      <vt:lpstr>QtéRationComplèteHivernaleChevauxTrait_0_12Mois</vt:lpstr>
      <vt:lpstr>QtéRationComplèteHivernaleChevauxTrait_12_24Mois</vt:lpstr>
      <vt:lpstr>QtéRationComplèteHivernaleChevauxTrait_24_36Mois</vt:lpstr>
      <vt:lpstr>QtéRationComplèteHivernaleChevauxTrait_3AnsEtPlus</vt:lpstr>
      <vt:lpstr>QtéRationComplèteHivernaleDaim_0_3Mois</vt:lpstr>
      <vt:lpstr>QtéRationComplèteHivernaleDaim_12_18Mois</vt:lpstr>
      <vt:lpstr>QtéRationComplèteHivernaleDaim_18_24Mois</vt:lpstr>
      <vt:lpstr>QtéRationComplèteHivernaleDaim_24_36Mois</vt:lpstr>
      <vt:lpstr>QtéRationComplèteHivernaleDaim_3_6Mois</vt:lpstr>
      <vt:lpstr>QtéRationComplèteHivernaleDaim_3AnsEtPlus</vt:lpstr>
      <vt:lpstr>QtéRationComplèteHivernaleDaim_6_12Mois</vt:lpstr>
      <vt:lpstr>QtéRationComplèteHivernaleOvin_0_3Mois</vt:lpstr>
      <vt:lpstr>QtéRationComplèteHivernaleOvin_1AnEtPlus</vt:lpstr>
      <vt:lpstr>QtéRationComplèteHivernaleOvin_3_6Mois</vt:lpstr>
      <vt:lpstr>QtéRationComplèteHivernaleOvin_6_12Mois</vt:lpstr>
      <vt:lpstr>QtéRationComplèteHivernalePoneys_0_12Mois</vt:lpstr>
      <vt:lpstr>QtéRationComplèteHivernalePoneys_12_24Mois</vt:lpstr>
      <vt:lpstr>QtéRationComplèteHivernalePoneys_24_36Mois</vt:lpstr>
      <vt:lpstr>QtéRationComplèteHivernalePoneys_3AnsEtPlus</vt:lpstr>
      <vt:lpstr>QualitéAlimentsAgneauFemelle_0_3_mois</vt:lpstr>
      <vt:lpstr>QualitéAlimentsAgneauFemelle_3_6_mois</vt:lpstr>
      <vt:lpstr>QualitéAlimentsAgneauMâle_0_3_mois</vt:lpstr>
      <vt:lpstr>QualitéAlimentsAgneauMâle_3_6_mois</vt:lpstr>
      <vt:lpstr>QualitéAlimentsBélier</vt:lpstr>
      <vt:lpstr>QualitéAlimentsBisonneauxFemelles_0_3_mois</vt:lpstr>
      <vt:lpstr>QualitéAlimentsBisonneauxFemelles_3_6_mois</vt:lpstr>
      <vt:lpstr>QualitéAlimentsBisonneauxFemelles_6_12_mois</vt:lpstr>
      <vt:lpstr>QualitéAlimentsBisonneauxMâles_0_3_mois</vt:lpstr>
      <vt:lpstr>QualitéAlimentsBisonneauxMâles_3_6_mois</vt:lpstr>
      <vt:lpstr>QualitéAlimentsBisonneauxMâles_6_12_mois</vt:lpstr>
      <vt:lpstr>QualitéAlimentsBisonnes</vt:lpstr>
      <vt:lpstr>QualitéAlimentsBisons</vt:lpstr>
      <vt:lpstr>QualitéAlimentsBouc</vt:lpstr>
      <vt:lpstr>QualitéAlimentsBovins</vt:lpstr>
      <vt:lpstr>QualitéAlimentsBrebis</vt:lpstr>
      <vt:lpstr>QualitéAlimentsCanard</vt:lpstr>
      <vt:lpstr>QualitéAlimentsCane</vt:lpstr>
      <vt:lpstr>QualitéAlimentsCanetonFemelle</vt:lpstr>
      <vt:lpstr>QualitéAlimentsCanetonMâle</vt:lpstr>
      <vt:lpstr>QualitéAlimentsCaprins</vt:lpstr>
      <vt:lpstr>QualitéAlimentsChèvre</vt:lpstr>
      <vt:lpstr>QualitéAlimentsChevreau_0_3_mois</vt:lpstr>
      <vt:lpstr>QualitéAlimentsChevreau_3_6_mois</vt:lpstr>
      <vt:lpstr>QualitéAlimentsChevrette_0_3_mois</vt:lpstr>
      <vt:lpstr>QualitéAlimentsChevrette_3_6_mois</vt:lpstr>
      <vt:lpstr>QualitéAlimentsCoq</vt:lpstr>
      <vt:lpstr>QualitéAlimentsDaim</vt:lpstr>
      <vt:lpstr>QualitéAlimentsDaine</vt:lpstr>
      <vt:lpstr>QualitéAlimentsEtalonPoney</vt:lpstr>
      <vt:lpstr>QualitéAlimentsEtalonSelle</vt:lpstr>
      <vt:lpstr>QualitéAlimentsEtalonTrait</vt:lpstr>
      <vt:lpstr>QualitéAlimentsFaonFemelle_0_3_mois</vt:lpstr>
      <vt:lpstr>QualitéAlimentsFaonFemelle_3_6_mois</vt:lpstr>
      <vt:lpstr>QualitéAlimentsFaonFemelle_6_12_mois</vt:lpstr>
      <vt:lpstr>QualitéAlimentsFaonMâle_0_3_mois</vt:lpstr>
      <vt:lpstr>QualitéAlimentsFaonMâle_3_6_mois</vt:lpstr>
      <vt:lpstr>QualitéAlimentsFaonMâle_6_12_mois</vt:lpstr>
      <vt:lpstr>QualitéAlimentsGavageCaneton_0_1_mois</vt:lpstr>
      <vt:lpstr>QualitéAlimentsGavageCaneton_1_2_mois</vt:lpstr>
      <vt:lpstr>QualitéAlimentsGavageCaneton_2_3_mois</vt:lpstr>
      <vt:lpstr>QualitéAlimentsGavageJeuneCanard</vt:lpstr>
      <vt:lpstr>QualitéAlimentsGavageJeunesOies</vt:lpstr>
      <vt:lpstr>QualitéAlimentsGavageOison_0_1_mois</vt:lpstr>
      <vt:lpstr>QualitéAlimentsGavageOison_1_2_mois</vt:lpstr>
      <vt:lpstr>QualitéAlimentsGavageOison_2_3_mois</vt:lpstr>
      <vt:lpstr>QualitéAlimentsGénisses_12_18_mois</vt:lpstr>
      <vt:lpstr>QualitéAlimentsGénisses_18_24_mois</vt:lpstr>
      <vt:lpstr>QualitéAlimentsGénisses_24_36_mois</vt:lpstr>
      <vt:lpstr>QualitéAlimentsJars</vt:lpstr>
      <vt:lpstr>QualitéAlimentsJeuneBélier</vt:lpstr>
      <vt:lpstr>QualitéAlimentsJeuneBouc</vt:lpstr>
      <vt:lpstr>QualitéAlimentsJeuneBrebis</vt:lpstr>
      <vt:lpstr>QualitéAlimentsJeuneCanard</vt:lpstr>
      <vt:lpstr>QualitéAlimentsJeuneCane</vt:lpstr>
      <vt:lpstr>QualitéAlimentsJeuneChèvre</vt:lpstr>
      <vt:lpstr>QualitéAlimentsJeuneCoq</vt:lpstr>
      <vt:lpstr>QualitéAlimentsJeuneDaim_12_18_mois</vt:lpstr>
      <vt:lpstr>QualitéAlimentsJeuneDaim_18_24_mois</vt:lpstr>
      <vt:lpstr>QualitéAlimentsJeuneDaim_24_36_mois</vt:lpstr>
      <vt:lpstr>QualitéAlimentsJeuneDaine_12_18_mois</vt:lpstr>
      <vt:lpstr>QualitéAlimentsJeuneDaine_18_24_mois</vt:lpstr>
      <vt:lpstr>QualitéAlimentsJeuneDaine_24_36_mois</vt:lpstr>
      <vt:lpstr>QualitéAlimentsJeuneEtalon_12_24_moisPoney</vt:lpstr>
      <vt:lpstr>QualitéAlimentsJeuneEtalon_12_24_moisSelle</vt:lpstr>
      <vt:lpstr>QualitéAlimentsJeuneEtalon_12_24_moisTrait</vt:lpstr>
      <vt:lpstr>QualitéAlimentsJeuneEtalon_24_36_moisPoney</vt:lpstr>
      <vt:lpstr>QualitéAlimentsJeuneEtalon_24_36_moisSelle</vt:lpstr>
      <vt:lpstr>QualitéAlimentsJeuneEtalon_24_36_moisTrait</vt:lpstr>
      <vt:lpstr>QualitéAlimentsJeuneJars</vt:lpstr>
      <vt:lpstr>QualitéAlimentsJeuneJument_12_24_moisPoney</vt:lpstr>
      <vt:lpstr>QualitéAlimentsJeuneJument_12_24_moisSelle</vt:lpstr>
      <vt:lpstr>QualitéAlimentsJeuneJument_12_24_moisTrait</vt:lpstr>
      <vt:lpstr>QualitéAlimentsJeuneJument_24_36_moisPoney</vt:lpstr>
      <vt:lpstr>QualitéAlimentsJeuneJument_24_36_moisSelle</vt:lpstr>
      <vt:lpstr>QualitéAlimentsJeuneJument_24_36_moisTrait</vt:lpstr>
      <vt:lpstr>QualitéAlimentsJeuneLapin</vt:lpstr>
      <vt:lpstr>QualitéAlimentsJeuneLapine</vt:lpstr>
      <vt:lpstr>QualitéAlimentsJeuneOie</vt:lpstr>
      <vt:lpstr>QualitéAlimentsJeunePintadeFemelle</vt:lpstr>
      <vt:lpstr>QualitéAlimentsJeunePintadeMâle</vt:lpstr>
      <vt:lpstr>QualitéAlimentsJeunePoule</vt:lpstr>
      <vt:lpstr>QualitéAlimentsJeunesBisonnes_12_18_mois</vt:lpstr>
      <vt:lpstr>QualitéAlimentsJeunesBisonnes_18_24_mois</vt:lpstr>
      <vt:lpstr>QualitéAlimentsJeunesBisonnes_24_36_mois</vt:lpstr>
      <vt:lpstr>QualitéAlimentsJeunesBisons_12_18_mois</vt:lpstr>
      <vt:lpstr>QualitéAlimentsJeunesBisons_18_24_mois</vt:lpstr>
      <vt:lpstr>QualitéAlimentsJeunesBisons_24_36_mois</vt:lpstr>
      <vt:lpstr>QualitéAlimentsJeuneTruie_3_6_mois</vt:lpstr>
      <vt:lpstr>QualitéAlimentsJeuneTruie_6_12_mois</vt:lpstr>
      <vt:lpstr>QualitéAlimentsJeuneVerrat_3_6_mois</vt:lpstr>
      <vt:lpstr>QualitéAlimentsJeuneVerrat_6_12_mois</vt:lpstr>
      <vt:lpstr>QualitéAlimentsJumentPoney</vt:lpstr>
      <vt:lpstr>QualitéAlimentsJumentSelle</vt:lpstr>
      <vt:lpstr>QualitéAlimentsJumentTrait</vt:lpstr>
      <vt:lpstr>QualitéAlimentsLapereauFemelle_0_1_mois</vt:lpstr>
      <vt:lpstr>QualitéAlimentsLapereauMâle_0_1_mois</vt:lpstr>
      <vt:lpstr>QualitéAlimentsLapin</vt:lpstr>
      <vt:lpstr>QualitéAlimentsLapine</vt:lpstr>
      <vt:lpstr>QualitéAlimentsOie</vt:lpstr>
      <vt:lpstr>QualitéAlimentsOisonFemelle_0_3_mois</vt:lpstr>
      <vt:lpstr>QualitéAlimentsOisonMâle_0_3_mois</vt:lpstr>
      <vt:lpstr>QualitéAlimentsPintadeauFemelle_0_1_mois</vt:lpstr>
      <vt:lpstr>QualitéAlimentsPintadeauMâle_0_1_mois</vt:lpstr>
      <vt:lpstr>QualitéAlimentsPintadeFemelle</vt:lpstr>
      <vt:lpstr>QualitéAlimentsPintadeMâle</vt:lpstr>
      <vt:lpstr>QualitéAlimentsPorceletFemelle_0_1_mois</vt:lpstr>
      <vt:lpstr>QualitéAlimentsPorceletFemelle_1_3_mois</vt:lpstr>
      <vt:lpstr>QualitéAlimentsPorceletMâle_0_1_mois</vt:lpstr>
      <vt:lpstr>QualitéAlimentsPorceletMâle_1_3_mois</vt:lpstr>
      <vt:lpstr>QualitéAlimentsPoulainFemellePoney</vt:lpstr>
      <vt:lpstr>QualitéAlimentsPoulainFemelleTrait</vt:lpstr>
      <vt:lpstr>QualitéAlimentsPoulainMâlePoney</vt:lpstr>
      <vt:lpstr>QualitéAlimentsPoulainMâleTrait</vt:lpstr>
      <vt:lpstr>QualitéAlimentsPoulainSelleFemelle</vt:lpstr>
      <vt:lpstr>QualitéAlimentsPoulainSelleMâle</vt:lpstr>
      <vt:lpstr>QualitéAlimentsPoule</vt:lpstr>
      <vt:lpstr>QualitéAlimentsPoussinFemelle_0_1_mois</vt:lpstr>
      <vt:lpstr>QualitéAlimentsPoussinMâle_0_1_mois</vt:lpstr>
      <vt:lpstr>QualitéAlimentsTaureaux</vt:lpstr>
      <vt:lpstr>QualitéAlimentsTaurillons_12_18_mois</vt:lpstr>
      <vt:lpstr>QualitéAlimentsTaurillons_18_24_mois</vt:lpstr>
      <vt:lpstr>QualitéAlimentsTaurillons_24_36_mois</vt:lpstr>
      <vt:lpstr>QualitéAlimentsTruie</vt:lpstr>
      <vt:lpstr>QualitéAlimentsVaches</vt:lpstr>
      <vt:lpstr>QualitéAlimentsVeauxFemelles_0_3_mois</vt:lpstr>
      <vt:lpstr>QualitéAlimentsVeauxFemelles_3_6_mois</vt:lpstr>
      <vt:lpstr>QualitéAlimentsVeauxFemelles_6_12_mois</vt:lpstr>
      <vt:lpstr>QualitéAlimentsVeauxMâles_0_3_mois</vt:lpstr>
      <vt:lpstr>QualitéAlimentsVeauxMâles_3_6_mois</vt:lpstr>
      <vt:lpstr>QualitéAlimentsVeauxMâles_6_12_mois</vt:lpstr>
      <vt:lpstr>QualitéAlimentsVerrat</vt:lpstr>
      <vt:lpstr>QualitéRationComplèteBovins</vt:lpstr>
      <vt:lpstr>RationBisonNécessaireBQ</vt:lpstr>
      <vt:lpstr>RationBisonNécessaireMaQ</vt:lpstr>
      <vt:lpstr>RationBisonNécessaireMoQ</vt:lpstr>
      <vt:lpstr>RationBisons</vt:lpstr>
      <vt:lpstr>RationBovins</vt:lpstr>
      <vt:lpstr>RationBovinsNécessaireBQ</vt:lpstr>
      <vt:lpstr>RationBovinsNécessaireMaQ</vt:lpstr>
      <vt:lpstr>RationBovinsNécessaireMoQ</vt:lpstr>
      <vt:lpstr>RationCanards</vt:lpstr>
      <vt:lpstr>RationCanardsNécessaireBQ</vt:lpstr>
      <vt:lpstr>RationCanardsNécessaireMaQ</vt:lpstr>
      <vt:lpstr>RationCanardsNécessaireMoQ</vt:lpstr>
      <vt:lpstr>RationCaprins</vt:lpstr>
      <vt:lpstr>RationCaprinsNécessaireBQ</vt:lpstr>
      <vt:lpstr>RationCaprinsNécessaireMaQ</vt:lpstr>
      <vt:lpstr>RationCaprinsNécessaireMoQ</vt:lpstr>
      <vt:lpstr>RationChevauxSelle</vt:lpstr>
      <vt:lpstr>RationChevauxSelleNécessaireBQ</vt:lpstr>
      <vt:lpstr>RationChevauxSelleNécessaireMaQ</vt:lpstr>
      <vt:lpstr>RationChevauxSelleNécessaireMoQ</vt:lpstr>
      <vt:lpstr>RationChevauxTrait</vt:lpstr>
      <vt:lpstr>RationChevauxTraitNécessaireBQ</vt:lpstr>
      <vt:lpstr>RationChevauxTraitNécessaireMaQ</vt:lpstr>
      <vt:lpstr>RationChevauxTraitNécessaireMoQ</vt:lpstr>
      <vt:lpstr>RationDaims</vt:lpstr>
      <vt:lpstr>RationDaimsNécessaireBQ</vt:lpstr>
      <vt:lpstr>RationDaimsNécessaireMaQ</vt:lpstr>
      <vt:lpstr>RationDaimsNécessaireMoQ</vt:lpstr>
      <vt:lpstr>RationDansEcurieChevauxSelle</vt:lpstr>
      <vt:lpstr>RationDansEcurieChevauxTrait</vt:lpstr>
      <vt:lpstr>RationDansEcuriePoneys</vt:lpstr>
      <vt:lpstr>RationDansPréChevauxSelle</vt:lpstr>
      <vt:lpstr>RationDansPréChevauxTrait</vt:lpstr>
      <vt:lpstr>RationDansPréPoneys</vt:lpstr>
      <vt:lpstr>RationEtéChevauxSelle</vt:lpstr>
      <vt:lpstr>RationEtéChevauxTrait</vt:lpstr>
      <vt:lpstr>RationEtéPoneys</vt:lpstr>
      <vt:lpstr>RationHiverBovins</vt:lpstr>
      <vt:lpstr>RationHiverBovinsNécessaireBQ</vt:lpstr>
      <vt:lpstr>RationHiverBovinsNécessaireMaQ</vt:lpstr>
      <vt:lpstr>RationHiverBovinsNécessaireMoQ</vt:lpstr>
      <vt:lpstr>RationHivernaleAuPréChevauxSelle</vt:lpstr>
      <vt:lpstr>RationHivernaleAuPréChevauxTrait</vt:lpstr>
      <vt:lpstr>RationHivernaleAuPréPoneys</vt:lpstr>
      <vt:lpstr>RationHivernaleBovinsAuPré</vt:lpstr>
      <vt:lpstr>RationHivernaleOvinsAuPré</vt:lpstr>
      <vt:lpstr>RationHiverOvins</vt:lpstr>
      <vt:lpstr>RationHiverOvinsNécessaireBQ</vt:lpstr>
      <vt:lpstr>RationHiverOvinsNécessaireMaQ</vt:lpstr>
      <vt:lpstr>RationHiverOvinsNécessaireMoQ</vt:lpstr>
      <vt:lpstr>RationLapins</vt:lpstr>
      <vt:lpstr>RationLapinsNécessaireBQ</vt:lpstr>
      <vt:lpstr>RationLapinsNécessaireMaQ</vt:lpstr>
      <vt:lpstr>RationLapinsNécessaireMoQ</vt:lpstr>
      <vt:lpstr>RationOies</vt:lpstr>
      <vt:lpstr>RationOiesNécessaireBQ</vt:lpstr>
      <vt:lpstr>RationOiesNécessaireMaQ</vt:lpstr>
      <vt:lpstr>RationOiesNécessaireMoQ</vt:lpstr>
      <vt:lpstr>RationOvins</vt:lpstr>
      <vt:lpstr>RationOvinsNécessaireBQ</vt:lpstr>
      <vt:lpstr>RationOvinsNécessaireMaQ</vt:lpstr>
      <vt:lpstr>RationOvinsNécessaireMoQ</vt:lpstr>
      <vt:lpstr>RationPintades</vt:lpstr>
      <vt:lpstr>RationPintadesNécessaireBQ</vt:lpstr>
      <vt:lpstr>RationPintadesNécessaireMaQ</vt:lpstr>
      <vt:lpstr>RationPintadesNécessaireMoQ</vt:lpstr>
      <vt:lpstr>RationPoneys</vt:lpstr>
      <vt:lpstr>RationPoneysNécessaireBQ</vt:lpstr>
      <vt:lpstr>RationPoneysNécessaireMaQ</vt:lpstr>
      <vt:lpstr>RationPoneysNécessaireMoQ</vt:lpstr>
      <vt:lpstr>RationPorcins</vt:lpstr>
      <vt:lpstr>RationPorcinsNécessaireBQ</vt:lpstr>
      <vt:lpstr>RationPorcinsNécessaireMaQ</vt:lpstr>
      <vt:lpstr>RationPorcinsNécessaireMoQ</vt:lpstr>
      <vt:lpstr>RationVolailles</vt:lpstr>
      <vt:lpstr>RationVolaillesNécessaireBQ</vt:lpstr>
      <vt:lpstr>RationVolaillesNécessaireMaQ</vt:lpstr>
      <vt:lpstr>RationVolaillesNécessaireMoQ</vt:lpstr>
      <vt:lpstr>Seigle</vt:lpstr>
      <vt:lpstr>SeigleNécessaireBQ</vt:lpstr>
      <vt:lpstr>SeigleNécessaireMaQ</vt:lpstr>
      <vt:lpstr>SeigleNécessaireMoQ</vt:lpstr>
      <vt:lpstr>Soja</vt:lpstr>
      <vt:lpstr>SojaNécessaireBQ</vt:lpstr>
      <vt:lpstr>SojaNécessaireMaQ</vt:lpstr>
      <vt:lpstr>SojaNécessaireMoQ</vt:lpstr>
      <vt:lpstr>SorghoEnsilé</vt:lpstr>
      <vt:lpstr>SorghoEnsiléNécessaireBQ</vt:lpstr>
      <vt:lpstr>SorghoEnsiléNécessaireMaQ</vt:lpstr>
      <vt:lpstr>SorghoEnsiléNécessaireMoQ</vt:lpstr>
      <vt:lpstr>Spécificité1Bovins</vt:lpstr>
      <vt:lpstr>Spécificité1Canards</vt:lpstr>
      <vt:lpstr>Spécificité1Caprins</vt:lpstr>
      <vt:lpstr>Spécificité1ChevauxSelle</vt:lpstr>
      <vt:lpstr>Spécificité1ChevauxTrait</vt:lpstr>
      <vt:lpstr>Spécificité1Daims</vt:lpstr>
      <vt:lpstr>Spécificité1Lapins</vt:lpstr>
      <vt:lpstr>Spécificité1Oies</vt:lpstr>
      <vt:lpstr>Spécificité1Ovins</vt:lpstr>
      <vt:lpstr>Spécificité1Pintades</vt:lpstr>
      <vt:lpstr>Spécificité1Poneys</vt:lpstr>
      <vt:lpstr>Spécificité1Porcins</vt:lpstr>
      <vt:lpstr>Spécificité1Volailles</vt:lpstr>
      <vt:lpstr>Spécificité2Bovins</vt:lpstr>
      <vt:lpstr>Spécificité2Canards</vt:lpstr>
      <vt:lpstr>Spécificité2Caprins</vt:lpstr>
      <vt:lpstr>Spécificité2ChevauxSelle</vt:lpstr>
      <vt:lpstr>Spécificité2ChevauxTrait</vt:lpstr>
      <vt:lpstr>Spécificité2Daims</vt:lpstr>
      <vt:lpstr>Spécificité2Lapins</vt:lpstr>
      <vt:lpstr>Spécificité2Oies</vt:lpstr>
      <vt:lpstr>Spécificité2Ovins</vt:lpstr>
      <vt:lpstr>Spécificité2Pintades</vt:lpstr>
      <vt:lpstr>Spécificité2Poneys</vt:lpstr>
      <vt:lpstr>Spécificité2Porcins</vt:lpstr>
      <vt:lpstr>Spécificité2Volailles</vt:lpstr>
      <vt:lpstr>StockFoinBQDansEntrepôt</vt:lpstr>
      <vt:lpstr>StockFoinDansEntrepôt</vt:lpstr>
      <vt:lpstr>StockFoinMaQDansEntrepôt</vt:lpstr>
      <vt:lpstr>StockFoinMoQDansEntrepôt</vt:lpstr>
      <vt:lpstr>StockMinérauxBQDansEntrepôt</vt:lpstr>
      <vt:lpstr>StockMinérauxMaQDansEntrepôt</vt:lpstr>
      <vt:lpstr>StockMinérauxMoQDansEntrepôt</vt:lpstr>
      <vt:lpstr>StockPailleBQDansEntrepôt</vt:lpstr>
      <vt:lpstr>StockPailleDansEntrepôt</vt:lpstr>
      <vt:lpstr>StockPailleMaQDansEntrepôt</vt:lpstr>
      <vt:lpstr>StockPailleMoQDansEntrepôt</vt:lpstr>
      <vt:lpstr>Suisse</vt:lpstr>
      <vt:lpstr>SurfaceAgneauBergerie</vt:lpstr>
      <vt:lpstr>SurfaceBalleFoin_500kg</vt:lpstr>
      <vt:lpstr>SurfaceBallePaille_500kg</vt:lpstr>
      <vt:lpstr>SurfaceBélierBergerie</vt:lpstr>
      <vt:lpstr>SurfaceBoucChèvrerie</vt:lpstr>
      <vt:lpstr>SurfaceBrebisBergerie</vt:lpstr>
      <vt:lpstr>SurfaceCanardAdultePoulailler</vt:lpstr>
      <vt:lpstr>SurfaceCanardParc</vt:lpstr>
      <vt:lpstr>SurfaceCanetonPoulailler</vt:lpstr>
      <vt:lpstr>SurfaceChevauxSelleAdulteEcurie</vt:lpstr>
      <vt:lpstr>SurfaceChevauxTraitAdultesEcurie</vt:lpstr>
      <vt:lpstr>SurfaceChevreauChèvrerie</vt:lpstr>
      <vt:lpstr>SurfaceChèvreChèvrerie</vt:lpstr>
      <vt:lpstr>SurfaceJeuneBovinStabu</vt:lpstr>
      <vt:lpstr>SurfaceJeuneCanardPoulailler</vt:lpstr>
      <vt:lpstr>SurfaceJeuneCaprinChèvrerie</vt:lpstr>
      <vt:lpstr>SurfaceJeuneChevalSelleEcurie</vt:lpstr>
      <vt:lpstr>SurfaceJeuneChevauxTraitEcurie</vt:lpstr>
      <vt:lpstr>SurfaceJeuneLapinClapier</vt:lpstr>
      <vt:lpstr>SurfaceJeuneLapinParc</vt:lpstr>
      <vt:lpstr>SurfaceJeuneOiePoulailler</vt:lpstr>
      <vt:lpstr>SurfaceJeuneOvinBergerie</vt:lpstr>
      <vt:lpstr>SurfaceJeunePintadePoulailler</vt:lpstr>
      <vt:lpstr>SurfaceJeunePoneysEcurie</vt:lpstr>
      <vt:lpstr>SurfaceJeunePorcinPorcherie</vt:lpstr>
      <vt:lpstr>SurfaceJeuneVolaillePoulailler</vt:lpstr>
      <vt:lpstr>SurfaceJumentSelleEcurie</vt:lpstr>
      <vt:lpstr>SurfaceLapereauClapier</vt:lpstr>
      <vt:lpstr>SurfaceLapereauParc</vt:lpstr>
      <vt:lpstr>SurfaceLapinAdulteClapier</vt:lpstr>
      <vt:lpstr>SurfaceLapinAdulteParc</vt:lpstr>
      <vt:lpstr>SurfaceNécessaireConcentréBovins</vt:lpstr>
      <vt:lpstr>SurfaceNécessaireConcentréLapins</vt:lpstr>
      <vt:lpstr>SurfaceNécessaireConcentréPorcins</vt:lpstr>
      <vt:lpstr>SurfaceNécessaireMinéraux</vt:lpstr>
      <vt:lpstr>SurfaceOieAdultePoulailler</vt:lpstr>
      <vt:lpstr>SurfaceOieParc</vt:lpstr>
      <vt:lpstr>SurfaceOisonPoulailler</vt:lpstr>
      <vt:lpstr>SurfacePintadeAdultePoulailler</vt:lpstr>
      <vt:lpstr>SurfacePintadeauPoulailler</vt:lpstr>
      <vt:lpstr>SurfacePintadeParc</vt:lpstr>
      <vt:lpstr>SurfacePoneysAdultesEcuries</vt:lpstr>
      <vt:lpstr>SurfacePorceletPorcherie</vt:lpstr>
      <vt:lpstr>SurfacePorcinsAbrisEtParcs</vt:lpstr>
      <vt:lpstr>SurfacePoulainPoneysEcuries</vt:lpstr>
      <vt:lpstr>SurfacePoulainSelleEcurie</vt:lpstr>
      <vt:lpstr>SurfacePoulainTraitEcurie</vt:lpstr>
      <vt:lpstr>SurfacePoussinPoulailler</vt:lpstr>
      <vt:lpstr>SurfaceTaureauStabu</vt:lpstr>
      <vt:lpstr>SurfaceTruiePorcherie</vt:lpstr>
      <vt:lpstr>SurfaceUtiliséeParFoinDansEntrepôt</vt:lpstr>
      <vt:lpstr>SurfaceUtiliséeParPailleDansEntrepôt</vt:lpstr>
      <vt:lpstr>SurfaceVacheStabu</vt:lpstr>
      <vt:lpstr>SurfaceVeauxStabu</vt:lpstr>
      <vt:lpstr>SurfaceVerratPorcherie</vt:lpstr>
      <vt:lpstr>SurfaceVolailleAdultePoulaille</vt:lpstr>
      <vt:lpstr>SurfaceVolailleParc</vt:lpstr>
      <vt:lpstr>TarifsCoopCultures</vt:lpstr>
      <vt:lpstr>TêteListe</vt:lpstr>
      <vt:lpstr>Total_PintadeMâle</vt:lpstr>
      <vt:lpstr>Total_poussin_mâle_0_1_mois</vt:lpstr>
      <vt:lpstr>TotalAgneau_0_3_mois</vt:lpstr>
      <vt:lpstr>TotalAgneau_3_6_mois</vt:lpstr>
      <vt:lpstr>TotalAgneaux</vt:lpstr>
      <vt:lpstr>TotalAgneauxRacesLaitières</vt:lpstr>
      <vt:lpstr>TotalAgnelle_0_3_mois</vt:lpstr>
      <vt:lpstr>TotalAgnelle_3_6_mois</vt:lpstr>
      <vt:lpstr>TotalBéliers</vt:lpstr>
      <vt:lpstr>TotalBéliersRacesLaitières</vt:lpstr>
      <vt:lpstr>TotalBisonneaux</vt:lpstr>
      <vt:lpstr>TotalBisonnes</vt:lpstr>
      <vt:lpstr>TotalBisons</vt:lpstr>
      <vt:lpstr>TotalBisons0_3</vt:lpstr>
      <vt:lpstr>TotalBisons12_18</vt:lpstr>
      <vt:lpstr>TotalBisons18_24</vt:lpstr>
      <vt:lpstr>TotalBisons24_36</vt:lpstr>
      <vt:lpstr>TotalBisons3_6</vt:lpstr>
      <vt:lpstr>TotalBisons6_12</vt:lpstr>
      <vt:lpstr>TotalBisonsAdultes</vt:lpstr>
      <vt:lpstr>TotalBisonsFemelles_0_3_mois</vt:lpstr>
      <vt:lpstr>TotalBisonsFemelles_12_18_mois</vt:lpstr>
      <vt:lpstr>TotalBisonsFemelles_18_24_mois</vt:lpstr>
      <vt:lpstr>TotalBisonsFemelles_24_36_mois</vt:lpstr>
      <vt:lpstr>TotalBisonsFemelles_3_6_mois</vt:lpstr>
      <vt:lpstr>TotalBisonsFemelles_6_12_mois</vt:lpstr>
      <vt:lpstr>TotalBisonsMales_0_3_mois</vt:lpstr>
      <vt:lpstr>TotalBisonsMales_12_18_mois</vt:lpstr>
      <vt:lpstr>TotalBisonsMales_18_24_mois</vt:lpstr>
      <vt:lpstr>TotalBisonsMales_24_36_mois</vt:lpstr>
      <vt:lpstr>TotalBisonsMales_3_6_mois</vt:lpstr>
      <vt:lpstr>TotalBisonsMales_6_12_mois</vt:lpstr>
      <vt:lpstr>TotalBisonsMalesAdultes</vt:lpstr>
      <vt:lpstr>TotalBoucs</vt:lpstr>
      <vt:lpstr>TotalBovins</vt:lpstr>
      <vt:lpstr>TotalBovins_0_3mois</vt:lpstr>
      <vt:lpstr>TotalBovins_0_3moisAuPré</vt:lpstr>
      <vt:lpstr>TotalBovins_0_3moisRacesLaitières</vt:lpstr>
      <vt:lpstr>TotalBovins_12_18mois</vt:lpstr>
      <vt:lpstr>TotalBovins_12_18moisAuPré</vt:lpstr>
      <vt:lpstr>TotalBovins_12_18moisRacesLaitières</vt:lpstr>
      <vt:lpstr>TotalBovins_18_24mois</vt:lpstr>
      <vt:lpstr>TotalBovins_18_24moisAuPré</vt:lpstr>
      <vt:lpstr>TotalBovins_18_24moisRacesLaitières</vt:lpstr>
      <vt:lpstr>TotalBovins_24_36mois</vt:lpstr>
      <vt:lpstr>TotalBovins_24_36moisAuPré</vt:lpstr>
      <vt:lpstr>TotalBovins_24_36moisRacesLaitières</vt:lpstr>
      <vt:lpstr>TotalBovins_3_6mois</vt:lpstr>
      <vt:lpstr>TotalBovins_3_6moisAuPré</vt:lpstr>
      <vt:lpstr>TotalBovins_3_6moisRacesLaitières</vt:lpstr>
      <vt:lpstr>TotalBovins_6_12mois</vt:lpstr>
      <vt:lpstr>TotalBovins_6_12moisAuPré</vt:lpstr>
      <vt:lpstr>TotalBovins_6_12moisRacesLaitières</vt:lpstr>
      <vt:lpstr>TotalBovinsAdultes</vt:lpstr>
      <vt:lpstr>TotalBovinsAdultesAuPré</vt:lpstr>
      <vt:lpstr>TotalBovinsAdultesRacesLaitières</vt:lpstr>
      <vt:lpstr>TotalBovinsFemelles_0_3mois</vt:lpstr>
      <vt:lpstr>TotalBovinsFemelles_12_18mois</vt:lpstr>
      <vt:lpstr>TotalBovinsFemelles_18_24mois</vt:lpstr>
      <vt:lpstr>TotalBovinsFemelles_24_36mois</vt:lpstr>
      <vt:lpstr>TotalBovinsFemelles_3_6mois</vt:lpstr>
      <vt:lpstr>TotalBovinsFemelles_6_12mois</vt:lpstr>
      <vt:lpstr>TotalBovinsLaitièresEtAlalaitantes</vt:lpstr>
      <vt:lpstr>TotalBovinsMâles_0_3mois</vt:lpstr>
      <vt:lpstr>TotalBovinsMâles_12_18mois</vt:lpstr>
      <vt:lpstr>TotalBovinsMâles_18_24mois</vt:lpstr>
      <vt:lpstr>TotalBovinsMâles_24_36mois</vt:lpstr>
      <vt:lpstr>TotalBovinsMâles_3_6mois</vt:lpstr>
      <vt:lpstr>TotalBovinsMâles_6_12mois</vt:lpstr>
      <vt:lpstr>TotalBovinsRacesLaitières</vt:lpstr>
      <vt:lpstr>TotalBrebis</vt:lpstr>
      <vt:lpstr>TotalBrebisRacesLaitières</vt:lpstr>
      <vt:lpstr>TotalCanards</vt:lpstr>
      <vt:lpstr>TotalCanardsAdultes</vt:lpstr>
      <vt:lpstr>TotalCanardsMalesAdultes</vt:lpstr>
      <vt:lpstr>TotalCanes</vt:lpstr>
      <vt:lpstr>TotalCanetons</vt:lpstr>
      <vt:lpstr>TotalCaprins</vt:lpstr>
      <vt:lpstr>TotalCaprins_0_3mois</vt:lpstr>
      <vt:lpstr>TotalCaprins_3_6mois</vt:lpstr>
      <vt:lpstr>TotalCaprinsAdultes</vt:lpstr>
      <vt:lpstr>TotalChevauxSelle</vt:lpstr>
      <vt:lpstr>TotalChevauxSelle_12_24mois</vt:lpstr>
      <vt:lpstr>TotalChevauxSelle_24_36mois</vt:lpstr>
      <vt:lpstr>TotalChevauxSelleAdultes</vt:lpstr>
      <vt:lpstr>TotalChevauxTrait</vt:lpstr>
      <vt:lpstr>TotalChevauxTrait_12_24mois</vt:lpstr>
      <vt:lpstr>TotalChevauxTrait_24_36mois</vt:lpstr>
      <vt:lpstr>TotalChevauxTraitAdultes</vt:lpstr>
      <vt:lpstr>TotalChevreaux</vt:lpstr>
      <vt:lpstr>TotalChèvres</vt:lpstr>
      <vt:lpstr>TotalCoqs</vt:lpstr>
      <vt:lpstr>TotalDaim</vt:lpstr>
      <vt:lpstr>TotalDaims</vt:lpstr>
      <vt:lpstr>TotalDaims0_3</vt:lpstr>
      <vt:lpstr>TotalDaims12_18</vt:lpstr>
      <vt:lpstr>TotalDaims18_24</vt:lpstr>
      <vt:lpstr>TotalDaims24_36</vt:lpstr>
      <vt:lpstr>TotalDaims3_6</vt:lpstr>
      <vt:lpstr>TotalDaims6_12</vt:lpstr>
      <vt:lpstr>TotalDaimsAdultes</vt:lpstr>
      <vt:lpstr>TotalDaine</vt:lpstr>
      <vt:lpstr>TotalEtalonPoney</vt:lpstr>
      <vt:lpstr>TotalEtalonSelle</vt:lpstr>
      <vt:lpstr>TotalEtalonTrait</vt:lpstr>
      <vt:lpstr>TotalFaons</vt:lpstr>
      <vt:lpstr>TotalGénisse_12_18_RacesLaitières</vt:lpstr>
      <vt:lpstr>TotalGénisse_18_24_RacesLaitières</vt:lpstr>
      <vt:lpstr>TotalGénisse_24_36_RacesLaitières</vt:lpstr>
      <vt:lpstr>TotalJars</vt:lpstr>
      <vt:lpstr>TotalJeune_bélier_6_12_mois</vt:lpstr>
      <vt:lpstr>TotalJeune_brebis_6_12_mois</vt:lpstr>
      <vt:lpstr>TotalJeuneBovin</vt:lpstr>
      <vt:lpstr>TotalJeuneEtalonPoney_12_24_mois</vt:lpstr>
      <vt:lpstr>TotalJeuneEtalonPoney_24_36_mois</vt:lpstr>
      <vt:lpstr>TotalJeuneEtalonSelle_12_24_mois</vt:lpstr>
      <vt:lpstr>TotalJeuneEtalonSelle_24_36_mois</vt:lpstr>
      <vt:lpstr>TotalJeuneEtalonTrait_12_24_mois</vt:lpstr>
      <vt:lpstr>TotalJeuneEtalonTrait_24_36_mois</vt:lpstr>
      <vt:lpstr>TotalJeuneJumentPoney_12_24_mois</vt:lpstr>
      <vt:lpstr>TotalJeuneJumentPoney_24_36_mois</vt:lpstr>
      <vt:lpstr>TotalJeuneJumentSelle_12_24_mois</vt:lpstr>
      <vt:lpstr>TotalJeuneJumentSelle_24_36_mois</vt:lpstr>
      <vt:lpstr>TotalJeuneJumentTrait_12_24_mois</vt:lpstr>
      <vt:lpstr>TotalJeuneJumentTrait_24_36_mois</vt:lpstr>
      <vt:lpstr>TotalJeuneLapin_1_3_mois</vt:lpstr>
      <vt:lpstr>TotalJeuneLapine_1_3_mois</vt:lpstr>
      <vt:lpstr>TotalJeunesBisons</vt:lpstr>
      <vt:lpstr>TotalJeunesBovinsAllaitants</vt:lpstr>
      <vt:lpstr>TotalJeunesBovinsRacesLaitières</vt:lpstr>
      <vt:lpstr>TotalJeunesCanards</vt:lpstr>
      <vt:lpstr>TotalJeunesCanards_3moisEtPlus</vt:lpstr>
      <vt:lpstr>TotalJeunesCaprins</vt:lpstr>
      <vt:lpstr>TotalJeunesChevauxSelle</vt:lpstr>
      <vt:lpstr>TotalJeunesChevauxTrait</vt:lpstr>
      <vt:lpstr>TotalJeunesDaims</vt:lpstr>
      <vt:lpstr>TotalJeunesLapins</vt:lpstr>
      <vt:lpstr>TotalJeunesOies</vt:lpstr>
      <vt:lpstr>TotalJeunesOvins</vt:lpstr>
      <vt:lpstr>TotalJeunesOvinsRacesLaitières</vt:lpstr>
      <vt:lpstr>TotalJeunesPintades</vt:lpstr>
      <vt:lpstr>TotalJeunesPoneys</vt:lpstr>
      <vt:lpstr>TotalJeunesPorcins</vt:lpstr>
      <vt:lpstr>TotalJeuneVolaille</vt:lpstr>
      <vt:lpstr>TotalJumentPoney</vt:lpstr>
      <vt:lpstr>TotalJumentSelle</vt:lpstr>
      <vt:lpstr>TotalJumentTrait</vt:lpstr>
      <vt:lpstr>TotalLapereauFemelle_0_1_mois</vt:lpstr>
      <vt:lpstr>TotalLapereauMale_0_1_mois</vt:lpstr>
      <vt:lpstr>TotalLapereaux</vt:lpstr>
      <vt:lpstr>TotalLapines</vt:lpstr>
      <vt:lpstr>TotalLapins</vt:lpstr>
      <vt:lpstr>TotalLapinsAdultes</vt:lpstr>
      <vt:lpstr>TotalOies</vt:lpstr>
      <vt:lpstr>TotalOiesAdultes</vt:lpstr>
      <vt:lpstr>TotalOiesFemellesAdultes</vt:lpstr>
      <vt:lpstr>TotalOisons</vt:lpstr>
      <vt:lpstr>TotalOvins</vt:lpstr>
      <vt:lpstr>TotalOvins_0_3mois</vt:lpstr>
      <vt:lpstr>TotalOvins_0_3moisAuPré</vt:lpstr>
      <vt:lpstr>TotalOvins_0_3moisRacesLaitières</vt:lpstr>
      <vt:lpstr>TotalOvins_3_6mois</vt:lpstr>
      <vt:lpstr>TotalOvins_3_6moisAuPré</vt:lpstr>
      <vt:lpstr>TotalOvins_3_6moisRacesLaitières</vt:lpstr>
      <vt:lpstr>TotalOvins_6_12moisAuPré</vt:lpstr>
      <vt:lpstr>TotalOvinsAdultes</vt:lpstr>
      <vt:lpstr>TotalOvinsAdultesAuPré</vt:lpstr>
      <vt:lpstr>TotalOvinsAdultesRacesLaitières</vt:lpstr>
      <vt:lpstr>TotalOvinsRacesLaitières</vt:lpstr>
      <vt:lpstr>TotalPintadeaux</vt:lpstr>
      <vt:lpstr>TotalPintadeFemelle</vt:lpstr>
      <vt:lpstr>TotalPintades</vt:lpstr>
      <vt:lpstr>TotalPintadesAdultes</vt:lpstr>
      <vt:lpstr>TotalPoneys</vt:lpstr>
      <vt:lpstr>TotalPoneys_12_24mois</vt:lpstr>
      <vt:lpstr>TotalPoneys_24_36mois</vt:lpstr>
      <vt:lpstr>TotalPoneysAdultes</vt:lpstr>
      <vt:lpstr>TotalPorcelets</vt:lpstr>
      <vt:lpstr>TotalPorcins</vt:lpstr>
      <vt:lpstr>TotalPorcins_0_1Mois</vt:lpstr>
      <vt:lpstr>TotalPorcins_1_3Mois</vt:lpstr>
      <vt:lpstr>TotalPorcins_3_6Mois</vt:lpstr>
      <vt:lpstr>TotalPorcins_6_12Mois</vt:lpstr>
      <vt:lpstr>TotalPorcinsAdultes</vt:lpstr>
      <vt:lpstr>TotalPoulainPoney_0_12_mois</vt:lpstr>
      <vt:lpstr>TotalPoulainSelle_0_12_mois</vt:lpstr>
      <vt:lpstr>TotalPoulainsPoneys</vt:lpstr>
      <vt:lpstr>TotalPoulainsSelle</vt:lpstr>
      <vt:lpstr>TotalPoulainsTrait</vt:lpstr>
      <vt:lpstr>TotalPoulainTrait_0_12_mois</vt:lpstr>
      <vt:lpstr>TotalPoules</vt:lpstr>
      <vt:lpstr>TotalPoulichePoney_0_12_mois</vt:lpstr>
      <vt:lpstr>TotalPoulicheSelle_0_12_mois</vt:lpstr>
      <vt:lpstr>TotalPoulicheTrait_0_12_mois</vt:lpstr>
      <vt:lpstr>TotalPoussins</vt:lpstr>
      <vt:lpstr>TotalTaureaux</vt:lpstr>
      <vt:lpstr>TotalTaureauxAllaitants</vt:lpstr>
      <vt:lpstr>TotalTaureauxRacesLaitières</vt:lpstr>
      <vt:lpstr>TotalTaurillon_12_18_RacesLaitières</vt:lpstr>
      <vt:lpstr>TotalTaurillon_18_24_RacesLaitières</vt:lpstr>
      <vt:lpstr>TotalTaurillon_24_36_RacesLaitières</vt:lpstr>
      <vt:lpstr>TotalTruies</vt:lpstr>
      <vt:lpstr>TotalVaches</vt:lpstr>
      <vt:lpstr>TotalVachesAllaitant</vt:lpstr>
      <vt:lpstr>TotalVachesRacesLaitières</vt:lpstr>
      <vt:lpstr>TotalVeauFemelle_0_3_RacesLaitières</vt:lpstr>
      <vt:lpstr>TotalVeauFemelle_3_6_RacesLaitières</vt:lpstr>
      <vt:lpstr>TotalVeauFemelle_6_12_RacesLaitières</vt:lpstr>
      <vt:lpstr>TotalVeauMâle_0_3_RacesLaitières</vt:lpstr>
      <vt:lpstr>TotalVeauMâle_3_6_RacesLaitières</vt:lpstr>
      <vt:lpstr>TotalVeauMâle_6_12_RacesLaitières</vt:lpstr>
      <vt:lpstr>TotalVeaux</vt:lpstr>
      <vt:lpstr>TotalVeauxAllaitants</vt:lpstr>
      <vt:lpstr>TotalVeauxRacesLaitières</vt:lpstr>
      <vt:lpstr>TotalVerrats</vt:lpstr>
      <vt:lpstr>TotalVolailleAdulte</vt:lpstr>
      <vt:lpstr>TotalVolailles</vt:lpstr>
      <vt:lpstr>Tournesol</vt:lpstr>
      <vt:lpstr>Tournesol_BDD</vt:lpstr>
      <vt:lpstr>TournesolNécessaireBQ</vt:lpstr>
      <vt:lpstr>TournesolNécessaireMaQ</vt:lpstr>
      <vt:lpstr>TournesolNécessaireMoQ</vt:lpstr>
      <vt:lpstr>TourteauColza</vt:lpstr>
      <vt:lpstr>TourteauColzaNécessaireBQ</vt:lpstr>
      <vt:lpstr>TourteauColzaNécessaireMaQ</vt:lpstr>
      <vt:lpstr>TourteauColzaNécessaireMoQ</vt:lpstr>
      <vt:lpstr>TourteauTournesol</vt:lpstr>
      <vt:lpstr>TourteauTournesolNécessaireBQ</vt:lpstr>
      <vt:lpstr>TourteauTournesolNécessaireMaQ</vt:lpstr>
      <vt:lpstr>TourteauTournesolNécessaireMoQ</vt:lpstr>
      <vt:lpstr>Triticale</vt:lpstr>
      <vt:lpstr>Triticale_BDD</vt:lpstr>
      <vt:lpstr>TriticaleNécessaireBQ</vt:lpstr>
      <vt:lpstr>TriticaleNécessaireMaQ</vt:lpstr>
      <vt:lpstr>TriticaleNécessaireMoQ</vt:lpstr>
      <vt:lpstr>USA</vt:lpstr>
    </vt:vector>
  </TitlesOfParts>
  <Manager>Ghislain</Manager>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Aide simagri</dc:title>
  <dc:subject>fichier d'aide à la gestion de la ferme sous www.SIMAGRI.com</dc:subject>
  <dc:creator>Ghislain</dc:creator>
  <cp:lastModifiedBy>DOMERCQ Ghislain</cp:lastModifiedBy>
  <dcterms:created xsi:type="dcterms:W3CDTF">2007-02-20T13:32:42Z</dcterms:created>
  <dcterms:modified xsi:type="dcterms:W3CDTF">2019-10-24T09:58:53Z</dcterms:modified>
  <cp:category>personnel</cp:category>
</cp:coreProperties>
</file>