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75" windowWidth="14115" windowHeight="7995" activeTab="1"/>
  </bookViews>
  <sheets>
    <sheet name="Globale" sheetId="6" r:id="rId1"/>
    <sheet name="KAMEL" sheetId="7" r:id="rId2"/>
    <sheet name="Raouf" sheetId="8" r:id="rId3"/>
  </sheets>
  <definedNames>
    <definedName name="_xlnm.Print_Titles" localSheetId="0">Globale!$8:$8</definedName>
    <definedName name="_xlnm.Print_Titles" localSheetId="1">KAMEL!$3:$3</definedName>
    <definedName name="_xlnm.Print_Titles" localSheetId="2">Raouf!$3:$3</definedName>
    <definedName name="_xlnm.Print_Area" localSheetId="0">Globale!$B$8:$S$15</definedName>
    <definedName name="_xlnm.Print_Area" localSheetId="1">KAMEL!$B$3:$T$14</definedName>
    <definedName name="_xlnm.Print_Area" localSheetId="2">Raouf!$B$3:$T$14</definedName>
  </definedNames>
  <calcPr calcId="125725" iterate="1"/>
</workbook>
</file>

<file path=xl/calcChain.xml><?xml version="1.0" encoding="utf-8"?>
<calcChain xmlns="http://schemas.openxmlformats.org/spreadsheetml/2006/main">
  <c r="H4" i="7"/>
  <c r="G4"/>
  <c r="F4"/>
  <c r="D4"/>
  <c r="T4"/>
  <c r="S5" i="8" l="1"/>
  <c r="N5"/>
  <c r="M5"/>
  <c r="K5"/>
  <c r="B5"/>
  <c r="B5" i="7" l="1"/>
  <c r="S5"/>
  <c r="D13" i="6"/>
  <c r="G13"/>
  <c r="L13"/>
  <c r="R13"/>
  <c r="S2" l="1"/>
  <c r="S3"/>
  <c r="B9"/>
  <c r="K9"/>
  <c r="M9"/>
  <c r="Q9"/>
  <c r="B10"/>
  <c r="K10"/>
  <c r="M10"/>
  <c r="Q10"/>
  <c r="B11"/>
  <c r="K11"/>
  <c r="M11"/>
  <c r="Q11"/>
  <c r="B12"/>
  <c r="K12"/>
  <c r="M12"/>
  <c r="Q12"/>
  <c r="N5" i="7" l="1"/>
  <c r="K5"/>
  <c r="M13" i="6"/>
  <c r="Q13"/>
  <c r="K13"/>
  <c r="N12"/>
  <c r="N11"/>
  <c r="N10"/>
  <c r="N9"/>
  <c r="N13" s="1"/>
  <c r="B7"/>
  <c r="N3" s="1"/>
  <c r="Q6" s="1"/>
  <c r="M5" i="7" l="1"/>
  <c r="F9" i="6"/>
  <c r="F10"/>
  <c r="E4" i="7" s="1"/>
  <c r="F11" i="6"/>
  <c r="F12"/>
  <c r="S6"/>
  <c r="P6"/>
  <c r="P3"/>
  <c r="R6"/>
  <c r="N6"/>
  <c r="P9" l="1"/>
  <c r="P12"/>
  <c r="P11"/>
  <c r="P10"/>
  <c r="O6"/>
  <c r="P13" l="1"/>
  <c r="S10"/>
  <c r="S11"/>
  <c r="S12"/>
  <c r="S9"/>
  <c r="S13" l="1"/>
</calcChain>
</file>

<file path=xl/sharedStrings.xml><?xml version="1.0" encoding="utf-8"?>
<sst xmlns="http://schemas.openxmlformats.org/spreadsheetml/2006/main" count="78" uniqueCount="31">
  <si>
    <t>SALAH TCA</t>
  </si>
  <si>
    <t>N°</t>
  </si>
  <si>
    <t>Prix</t>
  </si>
  <si>
    <t>Transport</t>
  </si>
  <si>
    <t>TOTAL</t>
  </si>
  <si>
    <t>RAOUF</t>
  </si>
  <si>
    <t xml:space="preserve"> - - -</t>
  </si>
  <si>
    <t>Total</t>
  </si>
  <si>
    <t>Prestation</t>
  </si>
  <si>
    <t>Montant</t>
  </si>
  <si>
    <t>Poids Net</t>
  </si>
  <si>
    <t>Dechets</t>
  </si>
  <si>
    <t>Poids Brut</t>
  </si>
  <si>
    <t>Qté</t>
  </si>
  <si>
    <t>Sup</t>
  </si>
  <si>
    <t>Poi/Cas.</t>
  </si>
  <si>
    <t>P/Cas.</t>
  </si>
  <si>
    <t>Nb Cas.</t>
  </si>
  <si>
    <t>Moy</t>
  </si>
  <si>
    <t xml:space="preserve">NOM </t>
  </si>
  <si>
    <t>CLIENT</t>
  </si>
  <si>
    <t>DATE</t>
  </si>
  <si>
    <t>Moy Prix</t>
  </si>
  <si>
    <t>au</t>
  </si>
  <si>
    <t xml:space="preserve">Du </t>
  </si>
  <si>
    <t>Client</t>
  </si>
  <si>
    <t xml:space="preserve">Versement </t>
  </si>
  <si>
    <t>Reste à verser</t>
  </si>
  <si>
    <t>kamel</t>
  </si>
  <si>
    <t xml:space="preserve">FARID </t>
  </si>
  <si>
    <t xml:space="preserve">ZOHIR 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</si>
</sst>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0.0"/>
    <numFmt numFmtId="165" formatCode="#,##0.0"/>
    <numFmt numFmtId="166" formatCode="#,##0.00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  <font>
      <sz val="12"/>
      <color rgb="FF000000"/>
      <name val="Calibri"/>
      <family val="2"/>
    </font>
    <font>
      <b/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7">
    <xf numFmtId="0" fontId="0" fillId="0" borderId="0"/>
    <xf numFmtId="0" fontId="4" fillId="0" borderId="0"/>
    <xf numFmtId="0" fontId="1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</cellStyleXfs>
  <cellXfs count="55">
    <xf numFmtId="0" fontId="0" fillId="0" borderId="0" xfId="0"/>
    <xf numFmtId="0" fontId="0" fillId="2" borderId="0" xfId="0" applyFill="1"/>
    <xf numFmtId="0" fontId="1" fillId="2" borderId="0" xfId="2" applyFill="1"/>
    <xf numFmtId="4" fontId="6" fillId="0" borderId="0" xfId="0" applyNumberFormat="1" applyFont="1" applyFill="1" applyBorder="1" applyAlignment="1">
      <alignment horizontal="right" vertical="center" indent="1"/>
    </xf>
    <xf numFmtId="4" fontId="3" fillId="0" borderId="0" xfId="2" applyNumberFormat="1" applyFont="1" applyFill="1" applyBorder="1" applyAlignment="1">
      <alignment horizontal="right" vertical="center" indent="1"/>
    </xf>
    <xf numFmtId="164" fontId="3" fillId="0" borderId="0" xfId="2" applyNumberFormat="1" applyFont="1" applyFill="1" applyBorder="1" applyAlignment="1">
      <alignment horizontal="right" vertical="center" indent="1"/>
    </xf>
    <xf numFmtId="3" fontId="3" fillId="0" borderId="0" xfId="2" applyNumberFormat="1" applyFont="1" applyFill="1" applyBorder="1" applyAlignment="1">
      <alignment horizontal="right" vertical="center" indent="1"/>
    </xf>
    <xf numFmtId="14" fontId="3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166" fontId="3" fillId="0" borderId="0" xfId="2" applyNumberFormat="1" applyFont="1" applyFill="1" applyBorder="1" applyAlignment="1">
      <alignment horizontal="right" vertical="center" indent="1"/>
    </xf>
    <xf numFmtId="4" fontId="7" fillId="0" borderId="0" xfId="0" applyNumberFormat="1" applyFont="1" applyFill="1" applyBorder="1" applyAlignment="1">
      <alignment horizontal="right" vertical="center" indent="1"/>
    </xf>
    <xf numFmtId="14" fontId="3" fillId="0" borderId="0" xfId="2" applyNumberFormat="1" applyFont="1" applyFill="1" applyBorder="1" applyAlignment="1">
      <alignment horizontal="left" vertical="center" indent="1"/>
    </xf>
    <xf numFmtId="0" fontId="3" fillId="0" borderId="0" xfId="0" applyFont="1" applyFill="1" applyBorder="1" applyAlignment="1">
      <alignment horizontal="center" vertical="center"/>
    </xf>
    <xf numFmtId="165" fontId="3" fillId="0" borderId="0" xfId="2" applyNumberFormat="1" applyFont="1" applyFill="1" applyBorder="1" applyAlignment="1">
      <alignment horizontal="right" vertical="center" indent="1"/>
    </xf>
    <xf numFmtId="0" fontId="3" fillId="0" borderId="0" xfId="2" applyFont="1" applyFill="1" applyBorder="1" applyAlignment="1">
      <alignment horizontal="right" vertical="center" indent="1"/>
    </xf>
    <xf numFmtId="0" fontId="3" fillId="0" borderId="0" xfId="2" applyFont="1" applyFill="1" applyBorder="1" applyAlignment="1">
      <alignment horizontal="left" vertical="center" indent="1"/>
    </xf>
    <xf numFmtId="4" fontId="6" fillId="0" borderId="0" xfId="0" applyNumberFormat="1" applyFont="1" applyBorder="1" applyAlignment="1">
      <alignment horizontal="right" vertical="center" indent="1"/>
    </xf>
    <xf numFmtId="0" fontId="1" fillId="2" borderId="0" xfId="2" applyFill="1" applyBorder="1"/>
    <xf numFmtId="0" fontId="1" fillId="0" borderId="0" xfId="2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3" fontId="7" fillId="2" borderId="0" xfId="0" applyNumberFormat="1" applyFont="1" applyFill="1" applyBorder="1" applyAlignment="1">
      <alignment horizontal="center" vertical="center"/>
    </xf>
    <xf numFmtId="14" fontId="2" fillId="2" borderId="0" xfId="0" applyNumberFormat="1" applyFont="1" applyFill="1" applyBorder="1" applyAlignment="1">
      <alignment horizontal="center" vertical="center"/>
    </xf>
    <xf numFmtId="14" fontId="8" fillId="2" borderId="0" xfId="0" applyNumberFormat="1" applyFont="1" applyFill="1" applyBorder="1" applyAlignment="1">
      <alignment horizontal="center" vertical="center"/>
    </xf>
    <xf numFmtId="0" fontId="5" fillId="2" borderId="0" xfId="3" applyFont="1" applyFill="1" applyBorder="1" applyAlignment="1">
      <alignment horizontal="center" vertical="center"/>
    </xf>
    <xf numFmtId="0" fontId="1" fillId="2" borderId="0" xfId="2" applyFill="1" applyAlignment="1">
      <alignment vertical="center"/>
    </xf>
    <xf numFmtId="0" fontId="9" fillId="2" borderId="0" xfId="2" applyFont="1" applyFill="1" applyAlignment="1">
      <alignment horizontal="center" vertical="center"/>
    </xf>
    <xf numFmtId="4" fontId="7" fillId="3" borderId="1" xfId="0" applyNumberFormat="1" applyFont="1" applyFill="1" applyBorder="1" applyAlignment="1">
      <alignment horizontal="right" vertical="center" indent="1"/>
    </xf>
    <xf numFmtId="4" fontId="7" fillId="4" borderId="1" xfId="0" applyNumberFormat="1" applyFont="1" applyFill="1" applyBorder="1" applyAlignment="1">
      <alignment horizontal="right" vertical="center" indent="1"/>
    </xf>
    <xf numFmtId="165" fontId="7" fillId="3" borderId="1" xfId="0" applyNumberFormat="1" applyFont="1" applyFill="1" applyBorder="1" applyAlignment="1">
      <alignment horizontal="right" vertical="center" indent="1"/>
    </xf>
    <xf numFmtId="0" fontId="5" fillId="5" borderId="1" xfId="3" applyFont="1" applyFill="1" applyBorder="1" applyAlignment="1">
      <alignment horizontal="center" vertical="center"/>
    </xf>
    <xf numFmtId="14" fontId="8" fillId="6" borderId="2" xfId="0" applyNumberFormat="1" applyFont="1" applyFill="1" applyBorder="1" applyAlignment="1">
      <alignment horizontal="center" vertical="center"/>
    </xf>
    <xf numFmtId="3" fontId="7" fillId="3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</xf>
    <xf numFmtId="14" fontId="1" fillId="2" borderId="0" xfId="2" applyNumberFormat="1" applyFill="1"/>
    <xf numFmtId="0" fontId="3" fillId="0" borderId="0" xfId="0" applyFont="1" applyFill="1" applyBorder="1" applyAlignment="1" applyProtection="1">
      <alignment horizontal="right" vertical="center"/>
    </xf>
    <xf numFmtId="0" fontId="3" fillId="0" borderId="0" xfId="0" applyNumberFormat="1" applyFont="1" applyFill="1" applyBorder="1" applyAlignment="1" applyProtection="1">
      <alignment horizontal="right" vertical="center"/>
    </xf>
    <xf numFmtId="166" fontId="11" fillId="0" borderId="0" xfId="0" applyNumberFormat="1" applyFont="1" applyFill="1" applyBorder="1" applyAlignment="1" applyProtection="1">
      <alignment horizontal="right" vertical="center"/>
    </xf>
    <xf numFmtId="165" fontId="3" fillId="0" borderId="0" xfId="0" applyNumberFormat="1" applyFont="1" applyFill="1" applyBorder="1" applyAlignment="1" applyProtection="1">
      <alignment horizontal="right" vertical="center"/>
    </xf>
    <xf numFmtId="3" fontId="3" fillId="0" borderId="0" xfId="0" applyNumberFormat="1" applyFont="1" applyFill="1" applyBorder="1" applyAlignment="1" applyProtection="1">
      <alignment horizontal="right" vertical="center"/>
    </xf>
    <xf numFmtId="164" fontId="3" fillId="0" borderId="0" xfId="0" applyNumberFormat="1" applyFont="1" applyFill="1" applyBorder="1" applyAlignment="1" applyProtection="1">
      <alignment horizontal="right" vertical="center"/>
    </xf>
    <xf numFmtId="4" fontId="3" fillId="0" borderId="0" xfId="0" applyNumberFormat="1" applyFont="1" applyFill="1" applyBorder="1" applyAlignment="1" applyProtection="1">
      <alignment horizontal="right" vertical="center"/>
    </xf>
    <xf numFmtId="4" fontId="7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horizontal="center" vertical="center"/>
    </xf>
    <xf numFmtId="4" fontId="10" fillId="0" borderId="0" xfId="0" applyNumberFormat="1" applyFont="1" applyFill="1" applyBorder="1" applyAlignment="1">
      <alignment horizontal="right" vertical="center" indent="1"/>
    </xf>
    <xf numFmtId="0" fontId="3" fillId="0" borderId="0" xfId="0" applyFont="1" applyFill="1" applyAlignment="1">
      <alignment horizontal="right" vertical="center"/>
    </xf>
    <xf numFmtId="165" fontId="3" fillId="0" borderId="0" xfId="0" applyNumberFormat="1" applyFont="1" applyFill="1" applyAlignment="1">
      <alignment horizontal="right" vertical="center"/>
    </xf>
    <xf numFmtId="1" fontId="3" fillId="0" borderId="0" xfId="0" applyNumberFormat="1" applyFont="1" applyFill="1" applyAlignment="1">
      <alignment horizontal="right" vertical="center"/>
    </xf>
    <xf numFmtId="4" fontId="3" fillId="0" borderId="0" xfId="0" applyNumberFormat="1" applyFont="1" applyFill="1" applyAlignment="1">
      <alignment horizontal="right" vertical="center"/>
    </xf>
    <xf numFmtId="3" fontId="3" fillId="0" borderId="0" xfId="0" applyNumberFormat="1" applyFont="1" applyFill="1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5" fillId="5" borderId="2" xfId="3" applyFont="1" applyFill="1" applyBorder="1" applyAlignment="1">
      <alignment horizontal="center" vertical="center"/>
    </xf>
    <xf numFmtId="0" fontId="5" fillId="5" borderId="5" xfId="3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/>
    </xf>
  </cellXfs>
  <cellStyles count="7">
    <cellStyle name="Milliers 2" xfId="4"/>
    <cellStyle name="Normal" xfId="0" builtinId="0"/>
    <cellStyle name="Normal 2" xfId="1"/>
    <cellStyle name="Normal 3" xfId="2"/>
    <cellStyle name="Normal 4" xfId="5"/>
    <cellStyle name="Normal 5" xfId="3"/>
    <cellStyle name="Normal 5 2" xfId="6"/>
  </cellStyles>
  <dxfs count="10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right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6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6" formatCode="#,##0.000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ill>
        <patternFill patternType="none">
          <fgColor rgb="FF000000"/>
          <bgColor auto="1"/>
        </patternFill>
      </fill>
      <alignment horizontal="righ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right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6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6" formatCode="#,##0.000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</dxf>
    <dxf>
      <font>
        <b/>
        <sz val="9"/>
        <color rgb="FF00000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.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6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6" formatCode="#,##0.000"/>
      <fill>
        <patternFill patternType="none">
          <fgColor indexed="64"/>
          <bgColor indexed="65"/>
        </patternFill>
      </fill>
      <alignment horizontal="righ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rgb="FF000000"/>
          <bgColor rgb="FFFFFFFF"/>
        </patternFill>
      </fill>
    </dxf>
    <dxf>
      <fill>
        <patternFill>
          <fgColor rgb="FF000000"/>
          <bgColor rgb="FFFFFFFF"/>
        </patternFill>
      </fill>
      <alignment horizontal="righ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24" displayName="Tableau24" ref="B8:S13" totalsRowCount="1" headerRowDxfId="104" dataDxfId="103" totalsRowDxfId="102">
  <autoFilter ref="B8:S12"/>
  <sortState ref="B191:S195">
    <sortCondition ref="C3:C136"/>
  </sortState>
  <tableColumns count="18">
    <tableColumn id="18" name="N°" dataDxfId="101" totalsRowDxfId="100">
      <calculatedColumnFormula>ROW(Tableau24[[#This Row],[N°]])-ROW(Tableau24[[#Headers],[N°]])</calculatedColumnFormula>
    </tableColumn>
    <tableColumn id="2" name="DATE" totalsRowDxfId="99"/>
    <tableColumn id="1" name="CLIENT" totalsRowFunction="count" dataDxfId="98" totalsRowDxfId="97" dataCellStyle="Normal 3"/>
    <tableColumn id="3" name="NOM " totalsRowDxfId="96"/>
    <tableColumn id="9" name="Moy" dataDxfId="95" totalsRowDxfId="94" dataCellStyle="Normal 3">
      <calculatedColumnFormula>IF(OR(Tableau24[[#This Row],[Poids Net]]=0,Tableau24[[#This Row],[Qté]]=0)," ",Tableau24[[#This Row],[Poids Net]]/Tableau24[[#This Row],[Qté]])</calculatedColumnFormula>
    </tableColumn>
    <tableColumn id="10" name="Nb Cas." totalsRowFunction="sum" totalsRowDxfId="93"/>
    <tableColumn id="11" name="P/Cas." totalsRowDxfId="92"/>
    <tableColumn id="12" name="Poi/Cas." totalsRowDxfId="91"/>
    <tableColumn id="13" name="Sup" totalsRowDxfId="90"/>
    <tableColumn id="4" name="Qté" totalsRowFunction="sum" totalsRowDxfId="89">
      <calculatedColumnFormula>SUM(PRODUCT(Tableau24[[#This Row],[Nb Cas.]:[P/Cas.]]),Tableau24[[#This Row],[Sup]])</calculatedColumnFormula>
    </tableColumn>
    <tableColumn id="14" name="Poids Brut" totalsRowFunction="sum" totalsRowDxfId="88"/>
    <tableColumn id="16" name="Dechets" totalsRowFunction="sum" totalsRowDxfId="87">
      <calculatedColumnFormula>ROUND(PRODUCT(G9,I9),0)</calculatedColumnFormula>
    </tableColumn>
    <tableColumn id="5" name="Poids Net" totalsRowFunction="sum" dataDxfId="86" totalsRowDxfId="85">
      <calculatedColumnFormula>Tableau24[[#This Row],[Poids Brut]]-Tableau24[[#This Row],[Dechets]]</calculatedColumnFormula>
    </tableColumn>
    <tableColumn id="6" name="Prix" totalsRowDxfId="84"/>
    <tableColumn id="7" name="Montant" totalsRowFunction="sum" dataDxfId="83" totalsRowDxfId="82">
      <calculatedColumnFormula>IF(OR(Tableau24[[#This Row],[Prix]]=0,Tableau24[[#This Row],[Moy]]=0)," ",ROUND(PRODUCT(Tableau24[[#This Row],[Poids Net]:[Prix]]),-2))</calculatedColumnFormula>
    </tableColumn>
    <tableColumn id="8" name="Prestation" totalsRowFunction="sum" dataDxfId="81" totalsRowDxfId="80">
      <calculatedColumnFormula>IF(Tableau24[[#This Row],[CLIENT]]="RAOUF","- - -",Tableau24[[#This Row],[Qté]]*18)</calculatedColumnFormula>
    </tableColumn>
    <tableColumn id="15" name="Transport" totalsRowFunction="sum" dataDxfId="79" totalsRowDxfId="78"/>
    <tableColumn id="17" name="Total" totalsRowFunction="sum" dataDxfId="77" totalsRowDxfId="76" dataCellStyle="Normal 3">
      <calculatedColumnFormula>SUM(Tableau24[[#This Row],[Montant]:[Transport]])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4" name="Tableau8" displayName="Tableau8" ref="B3:T5" totalsRowCount="1" headerRowDxfId="75" dataDxfId="74" totalsRowDxfId="73">
  <autoFilter ref="B3:T4"/>
  <tableColumns count="19">
    <tableColumn id="2" name="DATE" totalsRowFunction="count" dataDxfId="72" totalsRowDxfId="15" dataCellStyle="Normal 3"/>
    <tableColumn id="3" name="CLIENT" dataDxfId="71" totalsRowDxfId="14" dataCellStyle="Normal 3"/>
    <tableColumn id="17" name="NOM " dataDxfId="70" totalsRowDxfId="13" dataCellStyle="Normal 3">
      <calculatedColumnFormula>Globale!E10</calculatedColumnFormula>
    </tableColumn>
    <tableColumn id="10" name="Moy" dataDxfId="69" totalsRowDxfId="12" dataCellStyle="Normal 3">
      <calculatedColumnFormula>Globale!F10</calculatedColumnFormula>
    </tableColumn>
    <tableColumn id="11" name="Nb Cas." dataDxfId="68" totalsRowDxfId="11" dataCellStyle="Normal 3">
      <calculatedColumnFormula>Globale!G10</calculatedColumnFormula>
    </tableColumn>
    <tableColumn id="12" name="P/Cas." dataDxfId="67" totalsRowDxfId="10" dataCellStyle="Normal 3">
      <calculatedColumnFormula>Globale!H10</calculatedColumnFormula>
    </tableColumn>
    <tableColumn id="13" name="Poi/Cas." dataDxfId="66" totalsRowDxfId="9" dataCellStyle="Normal 3">
      <calculatedColumnFormula>Globale!I10</calculatedColumnFormula>
    </tableColumn>
    <tableColumn id="14" name="Sup" dataDxfId="65" totalsRowDxfId="8"/>
    <tableColumn id="16" name="Qté" dataDxfId="64" totalsRowDxfId="7" dataCellStyle="Normal 3"/>
    <tableColumn id="5" name="Poids Brut" totalsRowFunction="sum" dataDxfId="63" totalsRowDxfId="6" dataCellStyle="Normal 3"/>
    <tableColumn id="6" name="Dechets" dataDxfId="62" totalsRowDxfId="5" dataCellStyle="Normal 3"/>
    <tableColumn id="7" name="Poids Net" totalsRowFunction="sum" dataDxfId="61" totalsRowDxfId="4" dataCellStyle="Normal 3"/>
    <tableColumn id="20" name="Prix" totalsRowFunction="sum" dataDxfId="60" totalsRowDxfId="3" dataCellStyle="Normal 3"/>
    <tableColumn id="1" name="Montant" dataDxfId="59" dataCellStyle="Normal 3"/>
    <tableColumn id="8" name="Prestation" dataDxfId="58" totalsRowDxfId="2"/>
    <tableColumn id="9" name="Transport" dataDxfId="57"/>
    <tableColumn id="15" name="Total" dataDxfId="56" totalsRowDxfId="1"/>
    <tableColumn id="18" name="Versement " totalsRowFunction="sum" dataDxfId="55" totalsRowDxfId="0"/>
    <tableColumn id="19" name="Reste à verser" dataDxfId="54">
      <calculatedColumnFormula>IF(ROW(T4)=4,Tableau8[[#This Row],[Transport]]-Tableau8[[#This Row],[Versement ]],T3+Tableau8[[#This Row],[Transport]]-Tableau8[[#This Row],[Versement ]])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" name="Tableau82" displayName="Tableau82" ref="B3:T5" insertRow="1" totalsRowCount="1" headerRowDxfId="53" dataDxfId="52" totalsRowDxfId="51">
  <autoFilter ref="B3:T4"/>
  <tableColumns count="19">
    <tableColumn id="2" name="DATE" totalsRowFunction="count" dataDxfId="50" totalsRowDxfId="49" dataCellStyle="Normal 3"/>
    <tableColumn id="3" name="CLIENT" dataDxfId="48" totalsRowDxfId="47" dataCellStyle="Normal 3"/>
    <tableColumn id="17" name="NOM " dataDxfId="46" totalsRowDxfId="45" dataCellStyle="Normal 3"/>
    <tableColumn id="10" name="Moy" dataDxfId="44" totalsRowDxfId="43" dataCellStyle="Normal 3"/>
    <tableColumn id="11" name="Nb Cas." dataDxfId="42" totalsRowDxfId="41" dataCellStyle="Normal 3"/>
    <tableColumn id="12" name="P/Cas." dataDxfId="40" totalsRowDxfId="39" dataCellStyle="Normal 3"/>
    <tableColumn id="13" name="Poi/Cas." dataDxfId="38" totalsRowDxfId="37" dataCellStyle="Normal 3"/>
    <tableColumn id="14" name="Sup" dataDxfId="36" totalsRowDxfId="35"/>
    <tableColumn id="16" name="Qté" dataDxfId="34" totalsRowDxfId="33" dataCellStyle="Normal 3"/>
    <tableColumn id="5" name="Poids Brut" totalsRowFunction="sum" dataDxfId="32" totalsRowDxfId="31" dataCellStyle="Normal 3"/>
    <tableColumn id="6" name="Dechets" dataDxfId="30" totalsRowDxfId="29" dataCellStyle="Normal 3"/>
    <tableColumn id="7" name="Poids Net" totalsRowFunction="sum" dataDxfId="28" totalsRowDxfId="27" dataCellStyle="Normal 3"/>
    <tableColumn id="20" name="Prix" totalsRowFunction="sum" dataDxfId="26" totalsRowDxfId="25" dataCellStyle="Normal 3"/>
    <tableColumn id="1" name="Montant" dataDxfId="24" dataCellStyle="Normal 3"/>
    <tableColumn id="8" name="Prestation" dataDxfId="23" totalsRowDxfId="22"/>
    <tableColumn id="9" name="Transport" dataDxfId="21"/>
    <tableColumn id="15" name="Total" dataDxfId="20" totalsRowDxfId="19"/>
    <tableColumn id="18" name="Versement " totalsRowFunction="sum" dataDxfId="18" totalsRowDxfId="17"/>
    <tableColumn id="19" name="Reste à verser" dataDxfId="16">
      <calculatedColumnFormula>IF(ROW(T4)=4,Tableau82[[#This Row],[Transport]]-Tableau82[[#This Row],[Versement ]],T3+Tableau82[[#This Row],[Transport]]-Tableau82[[#This Row],[Versement 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B2:U100"/>
  <sheetViews>
    <sheetView showZeros="0" topLeftCell="A2" zoomScaleNormal="100" workbookViewId="0">
      <selection activeCell="F10" sqref="F10"/>
    </sheetView>
  </sheetViews>
  <sheetFormatPr baseColWidth="10" defaultRowHeight="15"/>
  <cols>
    <col min="1" max="1" width="5.7109375" style="2" customWidth="1"/>
    <col min="2" max="2" width="7.140625" style="2" hidden="1" customWidth="1"/>
    <col min="3" max="3" width="13" style="2" customWidth="1"/>
    <col min="4" max="4" width="12.85546875" style="2" customWidth="1"/>
    <col min="5" max="5" width="24.42578125" style="2" customWidth="1"/>
    <col min="6" max="6" width="10.140625" style="2" customWidth="1"/>
    <col min="7" max="9" width="7.85546875" style="2" customWidth="1"/>
    <col min="10" max="10" width="5.85546875" style="2" customWidth="1"/>
    <col min="11" max="11" width="9.28515625" style="2" customWidth="1"/>
    <col min="12" max="12" width="10" style="2" customWidth="1"/>
    <col min="13" max="13" width="9.28515625" style="2" customWidth="1"/>
    <col min="14" max="15" width="10.7109375" style="2" customWidth="1"/>
    <col min="16" max="16" width="14.28515625" style="2" customWidth="1"/>
    <col min="17" max="17" width="12.85546875" style="2" customWidth="1"/>
    <col min="18" max="18" width="11.42578125" style="2" customWidth="1"/>
    <col min="19" max="19" width="14.28515625" style="2" customWidth="1"/>
    <col min="20" max="16384" width="11.42578125" style="2"/>
  </cols>
  <sheetData>
    <row r="2" spans="2:21" ht="21" customHeight="1">
      <c r="N2" s="51" t="s">
        <v>25</v>
      </c>
      <c r="O2" s="52"/>
      <c r="P2" s="29" t="s">
        <v>13</v>
      </c>
      <c r="R2" s="29" t="s">
        <v>24</v>
      </c>
      <c r="S2" s="30" t="str">
        <f>IF(SUBTOTAL(102,Tableau24[DATE])=COUNT(Tableau24[DATE]),"",SUBTOTAL(105,Tableau24[DATE]))</f>
        <v/>
      </c>
    </row>
    <row r="3" spans="2:21" ht="21" customHeight="1">
      <c r="N3" s="53" t="str">
        <f>IF(SUBTOTAL(102,Tableau24[DATE])=COUNT(Tableau24[DATE]),"",VLOOKUP($B$7,Tableau24[],3,0))</f>
        <v/>
      </c>
      <c r="O3" s="54"/>
      <c r="P3" s="31">
        <f>SUMIFS(Tableau24[Qté],Tableau24[DATE],"&gt;="&amp;$S$2,Tableau24[DATE],"&lt;="&amp;$S$3,Tableau24[CLIENT],$N$3)</f>
        <v>0</v>
      </c>
      <c r="R3" s="29" t="s">
        <v>23</v>
      </c>
      <c r="S3" s="30" t="str">
        <f>IF(SUBTOTAL(102,Tableau24[DATE])=COUNT(Tableau24[DATE]),"",SUBTOTAL(104,Tableau24[DATE]))</f>
        <v/>
      </c>
    </row>
    <row r="4" spans="2:21" ht="21" customHeight="1"/>
    <row r="5" spans="2:21" ht="21" customHeight="1">
      <c r="B5" s="17"/>
      <c r="C5" s="17"/>
      <c r="D5" s="17"/>
      <c r="E5" s="17"/>
      <c r="K5" s="34"/>
      <c r="N5" s="29" t="s">
        <v>10</v>
      </c>
      <c r="O5" s="29" t="s">
        <v>22</v>
      </c>
      <c r="P5" s="29" t="s">
        <v>9</v>
      </c>
      <c r="Q5" s="29" t="s">
        <v>8</v>
      </c>
      <c r="R5" s="29" t="s">
        <v>3</v>
      </c>
      <c r="S5" s="29" t="s">
        <v>4</v>
      </c>
    </row>
    <row r="6" spans="2:21" ht="21" customHeight="1">
      <c r="B6" s="17"/>
      <c r="C6" s="17"/>
      <c r="D6" s="17"/>
      <c r="E6" s="17"/>
      <c r="N6" s="28">
        <f>SUMIFS(Tableau24[Poids Net],Tableau24[DATE],"&gt;="&amp;$S$2,Tableau24[DATE],"&lt;="&amp;$S$3,Tableau24[CLIENT],$N$3)</f>
        <v>0</v>
      </c>
      <c r="O6" s="27" t="str">
        <f>IF(AND($P$6=0,$N$6=0),"",$P$6/$N$6)</f>
        <v/>
      </c>
      <c r="P6" s="26">
        <f>SUMIFS(Tableau24[Montant],Tableau24[DATE],"&gt;="&amp;$S$2,Tableau24[DATE],"&lt;="&amp;$S$3,Tableau24[CLIENT],$N$3)</f>
        <v>0</v>
      </c>
      <c r="Q6" s="26">
        <f>SUMIFS(Tableau24[Prestation],Tableau24[DATE],"&gt;="&amp;$S$2,Tableau24[DATE],"&lt;="&amp;$S$3,Tableau24[CLIENT],$N$3)</f>
        <v>0</v>
      </c>
      <c r="R6" s="26">
        <f>SUMIFS(Tableau24[Transport],Tableau24[DATE],"&gt;="&amp;$S$2,Tableau24[DATE],"&lt;="&amp;$S$3,Tableau24[CLIENT],$N$3)</f>
        <v>0</v>
      </c>
      <c r="S6" s="26">
        <f>SUMIFS(Tableau24[Total],Tableau24[DATE],"&gt;="&amp;$S$2,Tableau24[DATE],"&lt;="&amp;$S$3,Tableau24[CLIENT],$N$3)</f>
        <v>0</v>
      </c>
    </row>
    <row r="7" spans="2:21" ht="21" customHeight="1">
      <c r="B7" s="25">
        <f>SUBTOTAL(5,Tableau24[N°])</f>
        <v>1</v>
      </c>
      <c r="C7" s="24"/>
      <c r="D7" s="24"/>
      <c r="E7" s="24"/>
      <c r="F7" s="24"/>
      <c r="G7" s="24"/>
      <c r="H7" s="24"/>
      <c r="I7" s="24"/>
      <c r="J7" s="24"/>
      <c r="K7" s="24"/>
      <c r="L7" s="24"/>
      <c r="M7" s="23"/>
      <c r="N7" s="22"/>
      <c r="O7" s="22"/>
      <c r="P7" s="21"/>
      <c r="Q7" s="21"/>
      <c r="R7" s="20"/>
    </row>
    <row r="8" spans="2:21" ht="22.5" customHeight="1">
      <c r="B8" s="19" t="s">
        <v>1</v>
      </c>
      <c r="C8" s="19" t="s">
        <v>21</v>
      </c>
      <c r="D8" s="19" t="s">
        <v>20</v>
      </c>
      <c r="E8" s="19" t="s">
        <v>19</v>
      </c>
      <c r="F8" s="19" t="s">
        <v>18</v>
      </c>
      <c r="G8" s="19" t="s">
        <v>17</v>
      </c>
      <c r="H8" s="19" t="s">
        <v>16</v>
      </c>
      <c r="I8" s="19" t="s">
        <v>15</v>
      </c>
      <c r="J8" s="19" t="s">
        <v>14</v>
      </c>
      <c r="K8" s="19" t="s">
        <v>13</v>
      </c>
      <c r="L8" s="19" t="s">
        <v>12</v>
      </c>
      <c r="M8" s="19" t="s">
        <v>11</v>
      </c>
      <c r="N8" s="19" t="s">
        <v>10</v>
      </c>
      <c r="O8" s="19" t="s">
        <v>2</v>
      </c>
      <c r="P8" s="19" t="s">
        <v>9</v>
      </c>
      <c r="Q8" s="18" t="s">
        <v>8</v>
      </c>
      <c r="R8" s="18" t="s">
        <v>3</v>
      </c>
      <c r="S8" s="18" t="s">
        <v>7</v>
      </c>
    </row>
    <row r="9" spans="2:21" ht="20.25" customHeight="1">
      <c r="B9" s="8">
        <f>ROW(Tableau24[[#This Row],[N°]])-ROW(Tableau24[[#Headers],[N°]])</f>
        <v>1</v>
      </c>
      <c r="C9" s="7">
        <v>41675</v>
      </c>
      <c r="D9" s="11" t="s">
        <v>5</v>
      </c>
      <c r="E9" s="15" t="s">
        <v>0</v>
      </c>
      <c r="F9" s="9">
        <f>IF(OR(Tableau24[[#This Row],[Poids Net]]=0,Tableau24[[#This Row],[Qté]]=0)," ",Tableau24[[#This Row],[Poids Net]]/Tableau24[[#This Row],[Qté]])</f>
        <v>2.2579365079365079</v>
      </c>
      <c r="G9" s="14">
        <v>21</v>
      </c>
      <c r="H9" s="14">
        <v>12</v>
      </c>
      <c r="I9" s="13">
        <v>8.5</v>
      </c>
      <c r="J9" s="12"/>
      <c r="K9" s="6">
        <f>SUM(PRODUCT(Tableau24[[#This Row],[Nb Cas.]:[P/Cas.]]),Tableau24[[#This Row],[Sup]])</f>
        <v>252</v>
      </c>
      <c r="L9" s="13">
        <v>748</v>
      </c>
      <c r="M9" s="5">
        <f t="shared" ref="M9:M12" si="0">ROUND(PRODUCT(G9,I9),0)</f>
        <v>179</v>
      </c>
      <c r="N9" s="5">
        <f>Tableau24[[#This Row],[Poids Brut]]-Tableau24[[#This Row],[Dechets]]</f>
        <v>569</v>
      </c>
      <c r="O9" s="4">
        <v>170</v>
      </c>
      <c r="P9" s="4">
        <f>IF(OR(Tableau24[[#This Row],[Prix]]=0,Tableau24[[#This Row],[Moy]]=0)," ",ROUND(PRODUCT(Tableau24[[#This Row],[Poids Net]:[Prix]]),-2))</f>
        <v>96700</v>
      </c>
      <c r="Q9" s="3" t="str">
        <f>IF(Tableau24[[#This Row],[CLIENT]]="RAOUF","- - -",Tableau24[[#This Row],[Qté]]*18)</f>
        <v>- - -</v>
      </c>
      <c r="R9" s="3" t="s">
        <v>6</v>
      </c>
      <c r="S9" s="10">
        <f>SUM(Tableau24[[#This Row],[Montant]:[Transport]])</f>
        <v>96700</v>
      </c>
      <c r="T9" s="1"/>
    </row>
    <row r="10" spans="2:21" ht="20.25" customHeight="1">
      <c r="B10" s="8">
        <f>ROW(Tableau24[[#This Row],[N°]])-ROW(Tableau24[[#Headers],[N°]])</f>
        <v>2</v>
      </c>
      <c r="C10" s="7">
        <v>41676</v>
      </c>
      <c r="D10" s="11" t="s">
        <v>28</v>
      </c>
      <c r="E10" s="15" t="s">
        <v>29</v>
      </c>
      <c r="F10" s="9">
        <f>IF(OR(Tableau24[[#This Row],[Poids Net]]=0,Tableau24[[#This Row],[Qté]]=0)," ",Tableau24[[#This Row],[Poids Net]]/Tableau24[[#This Row],[Qté]])</f>
        <v>2.2307692307692308</v>
      </c>
      <c r="G10" s="14">
        <v>10</v>
      </c>
      <c r="H10" s="14">
        <v>13</v>
      </c>
      <c r="I10" s="13">
        <v>8.5</v>
      </c>
      <c r="J10" s="12"/>
      <c r="K10" s="6">
        <f>SUM(PRODUCT(Tableau24[[#This Row],[Nb Cas.]:[P/Cas.]]),Tableau24[[#This Row],[Sup]])</f>
        <v>130</v>
      </c>
      <c r="L10" s="13">
        <v>375</v>
      </c>
      <c r="M10" s="5">
        <f t="shared" si="0"/>
        <v>85</v>
      </c>
      <c r="N10" s="5">
        <f>Tableau24[[#This Row],[Poids Brut]]-Tableau24[[#This Row],[Dechets]]</f>
        <v>290</v>
      </c>
      <c r="O10" s="4">
        <v>170</v>
      </c>
      <c r="P10" s="4">
        <f>IF(OR(Tableau24[[#This Row],[Prix]]=0,Tableau24[[#This Row],[Moy]]=0)," ",ROUND(PRODUCT(Tableau24[[#This Row],[Poids Net]:[Prix]]),-2))</f>
        <v>49300</v>
      </c>
      <c r="Q10" s="3">
        <f>IF(Tableau24[[#This Row],[CLIENT]]="RAOUF","- - -",Tableau24[[#This Row],[Qté]]*18)</f>
        <v>2340</v>
      </c>
      <c r="R10" s="3" t="s">
        <v>6</v>
      </c>
      <c r="S10" s="10">
        <f>SUM(Tableau24[[#This Row],[Montant]:[Transport]])</f>
        <v>51640</v>
      </c>
      <c r="T10" s="1"/>
      <c r="U10" s="17"/>
    </row>
    <row r="11" spans="2:21" ht="20.25" customHeight="1">
      <c r="B11" s="8">
        <f>ROW(Tableau24[[#This Row],[N°]])-ROW(Tableau24[[#Headers],[N°]])</f>
        <v>3</v>
      </c>
      <c r="C11" s="7">
        <v>41679</v>
      </c>
      <c r="D11" s="11" t="s">
        <v>5</v>
      </c>
      <c r="E11" s="15" t="s">
        <v>30</v>
      </c>
      <c r="F11" s="9">
        <f>IF(OR(Tableau24[[#This Row],[Poids Net]]=0,Tableau24[[#This Row],[Qté]]=0)," ",Tableau24[[#This Row],[Poids Net]]/Tableau24[[#This Row],[Qté]])</f>
        <v>2.2948113207547172</v>
      </c>
      <c r="G11" s="14">
        <v>70</v>
      </c>
      <c r="H11" s="14">
        <v>12</v>
      </c>
      <c r="I11" s="13">
        <v>8.5</v>
      </c>
      <c r="J11" s="12">
        <v>8</v>
      </c>
      <c r="K11" s="6">
        <f>SUM(PRODUCT(Tableau24[[#This Row],[Nb Cas.]:[P/Cas.]]),Tableau24[[#This Row],[Sup]])</f>
        <v>848</v>
      </c>
      <c r="L11" s="13">
        <v>2541</v>
      </c>
      <c r="M11" s="5">
        <f t="shared" si="0"/>
        <v>595</v>
      </c>
      <c r="N11" s="5">
        <f>Tableau24[[#This Row],[Poids Brut]]-Tableau24[[#This Row],[Dechets]]</f>
        <v>1946</v>
      </c>
      <c r="O11" s="4">
        <v>175</v>
      </c>
      <c r="P11" s="4">
        <f>IF(OR(Tableau24[[#This Row],[Prix]]=0,Tableau24[[#This Row],[Moy]]=0)," ",ROUND(PRODUCT(Tableau24[[#This Row],[Poids Net]:[Prix]]),-2))</f>
        <v>340600</v>
      </c>
      <c r="Q11" s="3" t="str">
        <f>IF(Tableau24[[#This Row],[CLIENT]]="RAOUF","- - -",Tableau24[[#This Row],[Qté]]*18)</f>
        <v>- - -</v>
      </c>
      <c r="R11" s="3" t="s">
        <v>6</v>
      </c>
      <c r="S11" s="10">
        <f>SUM(Tableau24[[#This Row],[Montant]:[Transport]])</f>
        <v>340600</v>
      </c>
      <c r="T11" s="1"/>
      <c r="U11" s="16"/>
    </row>
    <row r="12" spans="2:21" ht="20.25" customHeight="1">
      <c r="B12" s="8">
        <f>ROW(Tableau24[[#This Row],[N°]])-ROW(Tableau24[[#Headers],[N°]])</f>
        <v>4</v>
      </c>
      <c r="C12" s="7">
        <v>41680</v>
      </c>
      <c r="D12" s="11" t="s">
        <v>28</v>
      </c>
      <c r="E12" s="15" t="s">
        <v>30</v>
      </c>
      <c r="F12" s="9">
        <f>IF(OR(Tableau24[[#This Row],[Poids Net]]=0,Tableau24[[#This Row],[Qté]]=0)," ",Tableau24[[#This Row],[Poids Net]]/Tableau24[[#This Row],[Qté]])</f>
        <v>2.3224999999999998</v>
      </c>
      <c r="G12" s="14">
        <v>100</v>
      </c>
      <c r="H12" s="14">
        <v>12</v>
      </c>
      <c r="I12" s="13">
        <v>8.5</v>
      </c>
      <c r="J12" s="12"/>
      <c r="K12" s="6">
        <f>SUM(PRODUCT(Tableau24[[#This Row],[Nb Cas.]:[P/Cas.]]),Tableau24[[#This Row],[Sup]])</f>
        <v>1200</v>
      </c>
      <c r="L12" s="13">
        <v>3637</v>
      </c>
      <c r="M12" s="5">
        <f t="shared" si="0"/>
        <v>850</v>
      </c>
      <c r="N12" s="5">
        <f>Tableau24[[#This Row],[Poids Brut]]-Tableau24[[#This Row],[Dechets]]</f>
        <v>2787</v>
      </c>
      <c r="O12" s="4">
        <v>170</v>
      </c>
      <c r="P12" s="4">
        <f>IF(OR(Tableau24[[#This Row],[Prix]]=0,Tableau24[[#This Row],[Moy]]=0)," ",ROUND(PRODUCT(Tableau24[[#This Row],[Poids Net]:[Prix]]),-2))</f>
        <v>473800</v>
      </c>
      <c r="Q12" s="3">
        <f>IF(Tableau24[[#This Row],[CLIENT]]="RAOUF","- - -",Tableau24[[#This Row],[Qté]]*18)</f>
        <v>21600</v>
      </c>
      <c r="R12" s="3" t="s">
        <v>6</v>
      </c>
      <c r="S12" s="10">
        <f>SUM(Tableau24[[#This Row],[Montant]:[Transport]])</f>
        <v>495400</v>
      </c>
      <c r="T12" s="1"/>
    </row>
    <row r="13" spans="2:21" ht="20.25" customHeight="1">
      <c r="B13" s="35"/>
      <c r="C13" s="33"/>
      <c r="D13" s="33">
        <f>SUBTOTAL(103,[CLIENT])</f>
        <v>4</v>
      </c>
      <c r="E13" s="36"/>
      <c r="F13" s="37"/>
      <c r="G13" s="36">
        <f>SUBTOTAL(109,[Nb Cas.])</f>
        <v>201</v>
      </c>
      <c r="H13" s="36"/>
      <c r="I13" s="38"/>
      <c r="J13" s="36"/>
      <c r="K13" s="39">
        <f>SUBTOTAL(109,[Qté])</f>
        <v>2430</v>
      </c>
      <c r="L13" s="38">
        <f>SUBTOTAL(109,[Poids Brut])</f>
        <v>7301</v>
      </c>
      <c r="M13" s="40">
        <f>SUBTOTAL(109,[Dechets])</f>
        <v>1709</v>
      </c>
      <c r="N13" s="38">
        <f>SUBTOTAL(109,[Poids Net])</f>
        <v>5592</v>
      </c>
      <c r="O13" s="41"/>
      <c r="P13" s="41">
        <f>SUBTOTAL(109,[Montant])</f>
        <v>960400</v>
      </c>
      <c r="Q13" s="41">
        <f>SUBTOTAL(109,[Prestation])</f>
        <v>23940</v>
      </c>
      <c r="R13" s="41">
        <f>SUBTOTAL(109,[Transport])</f>
        <v>0</v>
      </c>
      <c r="S13" s="42">
        <f>SUBTOTAL(109,[Total])</f>
        <v>984340</v>
      </c>
      <c r="T13" s="1"/>
    </row>
    <row r="14" spans="2:21" ht="20.25" customHeight="1">
      <c r="T14" s="1"/>
    </row>
    <row r="15" spans="2:21" ht="20.25" customHeight="1"/>
    <row r="16" spans="2:21" ht="20.25" customHeight="1"/>
    <row r="17" ht="20.25" customHeight="1"/>
    <row r="18" ht="20.25" customHeight="1"/>
    <row r="19" ht="20.25" customHeight="1"/>
    <row r="20" ht="20.25" customHeight="1"/>
    <row r="21" ht="20.25" customHeight="1"/>
    <row r="22" ht="20.25" customHeight="1"/>
    <row r="23" ht="20.25" customHeight="1"/>
    <row r="24" ht="20.25" customHeight="1"/>
    <row r="25" ht="20.25" customHeight="1"/>
    <row r="26" ht="20.25" customHeight="1"/>
    <row r="27" ht="20.25" customHeight="1"/>
    <row r="28" ht="20.25" customHeight="1"/>
    <row r="29" ht="20.25" customHeight="1"/>
    <row r="30" ht="20.25" customHeight="1"/>
    <row r="31" ht="20.25" customHeight="1"/>
    <row r="32" ht="20.25" customHeight="1"/>
    <row r="33" ht="20.25" customHeight="1"/>
    <row r="34" ht="20.25" customHeight="1"/>
    <row r="35" ht="20.25" customHeight="1"/>
    <row r="36" ht="20.25" customHeight="1"/>
    <row r="37" ht="20.25" customHeight="1"/>
    <row r="38" ht="20.25" customHeight="1"/>
    <row r="39" ht="20.25" customHeight="1"/>
    <row r="40" ht="20.25" customHeight="1"/>
    <row r="41" ht="20.25" customHeight="1"/>
    <row r="42" ht="20.25" customHeight="1"/>
    <row r="43" ht="20.25" customHeight="1"/>
    <row r="44" ht="18.75" customHeight="1"/>
    <row r="45" ht="18.75" customHeight="1"/>
    <row r="46" ht="18.75" customHeight="1"/>
    <row r="47" ht="18.75" customHeight="1"/>
    <row r="48" ht="18.75" customHeight="1"/>
    <row r="49" ht="18.75" customHeight="1"/>
    <row r="50" ht="18.75" customHeight="1"/>
    <row r="51" ht="18.75" customHeight="1"/>
    <row r="52" ht="18.75" customHeight="1"/>
    <row r="53" ht="18.75" customHeight="1"/>
    <row r="54" ht="18.75" customHeight="1"/>
    <row r="55" ht="18.75" customHeight="1"/>
    <row r="56" ht="18.75" customHeight="1"/>
    <row r="57" ht="18.75" customHeight="1"/>
    <row r="58" ht="18.75" customHeight="1"/>
    <row r="59" ht="18.75" customHeight="1"/>
    <row r="60" ht="18.75" customHeight="1"/>
    <row r="61" ht="18.75" customHeight="1"/>
    <row r="62" ht="18.75" customHeight="1"/>
    <row r="63" ht="18.75" customHeight="1"/>
    <row r="64" ht="18.75" customHeight="1"/>
    <row r="65" ht="18.75" customHeight="1"/>
    <row r="66" ht="18.75" customHeight="1"/>
    <row r="67" ht="18.75" customHeight="1"/>
    <row r="68" ht="18.75" customHeight="1"/>
    <row r="69" ht="18.75" customHeight="1"/>
    <row r="70" ht="18.75" customHeight="1"/>
    <row r="71" ht="18.75" customHeight="1"/>
    <row r="72" ht="18.75" customHeight="1"/>
    <row r="73" ht="18.75" customHeight="1"/>
    <row r="74" ht="18.75" customHeight="1"/>
    <row r="75" ht="18.75" customHeight="1"/>
    <row r="76" ht="18.75" customHeight="1"/>
    <row r="77" ht="18.75" customHeight="1"/>
    <row r="78" ht="18.75" customHeight="1"/>
    <row r="79" ht="18.75" customHeight="1"/>
    <row r="80" ht="18.75" customHeight="1"/>
    <row r="81" ht="18.75" customHeight="1"/>
    <row r="82" ht="18.75" customHeight="1"/>
    <row r="83" ht="18.75" customHeight="1"/>
    <row r="84" ht="18.75" customHeight="1"/>
    <row r="85" ht="18.75" customHeight="1"/>
    <row r="86" ht="18.75" customHeight="1"/>
    <row r="87" ht="18.75" customHeight="1"/>
    <row r="88" ht="18.75" customHeight="1"/>
    <row r="89" ht="18.75" customHeight="1"/>
    <row r="90" ht="18.75" customHeight="1"/>
    <row r="91" ht="18.75" customHeight="1"/>
    <row r="92" ht="18.75" customHeight="1"/>
    <row r="93" ht="18.75" customHeight="1"/>
    <row r="94" ht="18.75" customHeight="1"/>
    <row r="95" ht="18.75" customHeight="1"/>
    <row r="96" ht="18.75" customHeight="1"/>
    <row r="97" ht="18.75" customHeight="1"/>
    <row r="98" ht="18.75" customHeight="1"/>
    <row r="99" ht="18.75" customHeight="1"/>
    <row r="100" ht="18.75" customHeight="1"/>
  </sheetData>
  <mergeCells count="2">
    <mergeCell ref="N2:O2"/>
    <mergeCell ref="N3:O3"/>
  </mergeCells>
  <conditionalFormatting sqref="F9:F12">
    <cfRule type="iconSet" priority="3">
      <iconSet>
        <cfvo type="percent" val="0"/>
        <cfvo type="num" val="2"/>
        <cfvo type="num" val="2.4"/>
      </iconSet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9" scale="75" fitToHeight="0" orientation="landscape" r:id="rId1"/>
  <headerFooter>
    <oddFooter xml:space="preserve">&amp;R&amp;"Arial,Normal"&amp;9&amp;P sur &amp;N&amp;"-,Normal"&amp;11  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B1:T28"/>
  <sheetViews>
    <sheetView showZeros="0" tabSelected="1" topLeftCell="D1" zoomScale="85" zoomScaleNormal="85" workbookViewId="0">
      <selection activeCell="H5" sqref="H5"/>
    </sheetView>
  </sheetViews>
  <sheetFormatPr baseColWidth="10" defaultRowHeight="15"/>
  <cols>
    <col min="1" max="1" width="8.5703125" style="1" customWidth="1"/>
    <col min="2" max="2" width="12.140625" style="1" customWidth="1"/>
    <col min="3" max="3" width="21.42578125" style="1" customWidth="1"/>
    <col min="4" max="4" width="10" style="1" customWidth="1"/>
    <col min="5" max="7" width="7.140625" style="1" customWidth="1"/>
    <col min="8" max="8" width="5.7109375" style="1" customWidth="1"/>
    <col min="9" max="10" width="10" style="1" customWidth="1"/>
    <col min="11" max="11" width="9.28515625" style="1" customWidth="1"/>
    <col min="12" max="12" width="10" style="1" customWidth="1"/>
    <col min="13" max="13" width="13.5703125" style="1" customWidth="1"/>
    <col min="14" max="14" width="9.28515625" style="1" customWidth="1"/>
    <col min="15" max="15" width="11.42578125" style="1" customWidth="1"/>
    <col min="16" max="16" width="10.7109375" style="1" customWidth="1"/>
    <col min="17" max="17" width="14.28515625" style="1" customWidth="1"/>
    <col min="18" max="18" width="11.42578125" style="1" customWidth="1"/>
    <col min="19" max="19" width="12.85546875" style="1" customWidth="1"/>
    <col min="20" max="20" width="15" style="1" customWidth="1"/>
    <col min="21" max="16384" width="11.42578125" style="1"/>
  </cols>
  <sheetData>
    <row r="1" spans="2:20" ht="18.75" customHeight="1"/>
    <row r="2" spans="2:20" ht="22.5" customHeight="1"/>
    <row r="3" spans="2:20" ht="22.5" customHeight="1">
      <c r="B3" s="19" t="s">
        <v>21</v>
      </c>
      <c r="C3" s="19" t="s">
        <v>20</v>
      </c>
      <c r="D3" s="19" t="s">
        <v>19</v>
      </c>
      <c r="E3" s="19" t="s">
        <v>18</v>
      </c>
      <c r="F3" s="19" t="s">
        <v>17</v>
      </c>
      <c r="G3" s="19" t="s">
        <v>16</v>
      </c>
      <c r="H3" s="19" t="s">
        <v>15</v>
      </c>
      <c r="I3" s="19" t="s">
        <v>14</v>
      </c>
      <c r="J3" s="19" t="s">
        <v>13</v>
      </c>
      <c r="K3" s="19" t="s">
        <v>12</v>
      </c>
      <c r="L3" s="19" t="s">
        <v>11</v>
      </c>
      <c r="M3" s="19" t="s">
        <v>10</v>
      </c>
      <c r="N3" s="19" t="s">
        <v>2</v>
      </c>
      <c r="O3" s="19" t="s">
        <v>9</v>
      </c>
      <c r="P3" s="18" t="s">
        <v>8</v>
      </c>
      <c r="Q3" s="18" t="s">
        <v>3</v>
      </c>
      <c r="R3" s="18" t="s">
        <v>7</v>
      </c>
      <c r="S3" s="32" t="s">
        <v>26</v>
      </c>
      <c r="T3" s="32" t="s">
        <v>27</v>
      </c>
    </row>
    <row r="4" spans="2:20" ht="20.25" customHeight="1">
      <c r="B4" s="7"/>
      <c r="C4" s="11"/>
      <c r="D4" s="15" t="str">
        <f>Globale!E10</f>
        <v xml:space="preserve">FARID </v>
      </c>
      <c r="E4" s="9">
        <f>Globale!F10</f>
        <v>2.2307692307692308</v>
      </c>
      <c r="F4" s="14">
        <f>Globale!G10</f>
        <v>10</v>
      </c>
      <c r="G4" s="14">
        <f>Globale!H10</f>
        <v>13</v>
      </c>
      <c r="H4" s="13">
        <f>Globale!I10</f>
        <v>8.5</v>
      </c>
      <c r="I4" s="12"/>
      <c r="J4" s="6"/>
      <c r="K4" s="13"/>
      <c r="L4" s="5"/>
      <c r="M4" s="5"/>
      <c r="N4" s="4"/>
      <c r="O4" s="4"/>
      <c r="P4" s="3"/>
      <c r="Q4" s="3"/>
      <c r="R4" s="10"/>
      <c r="S4" s="44"/>
      <c r="T4" s="10">
        <f>IF(ROW(T4)=4,Tableau8[[#This Row],[Transport]]-Tableau8[[#This Row],[Versement ]],T3+Tableau8[[#This Row],[Transport]]-Tableau8[[#This Row],[Versement ]])</f>
        <v>0</v>
      </c>
    </row>
    <row r="5" spans="2:20" ht="20.25" customHeight="1">
      <c r="B5" s="43">
        <f>SUBTOTAL(103,[DATE])</f>
        <v>0</v>
      </c>
      <c r="C5" s="45"/>
      <c r="D5" s="46"/>
      <c r="E5" s="47"/>
      <c r="F5" s="46"/>
      <c r="G5" s="46"/>
      <c r="H5" s="46"/>
      <c r="I5" s="46"/>
      <c r="J5" s="46"/>
      <c r="K5" s="46">
        <f>SUBTOTAL(109,[Poids Brut])</f>
        <v>0</v>
      </c>
      <c r="L5" s="46"/>
      <c r="M5" s="48">
        <f>SUBTOTAL(109,[Poids Net])</f>
        <v>0</v>
      </c>
      <c r="N5" s="49">
        <f>SUBTOTAL(109,[Prix])</f>
        <v>0</v>
      </c>
      <c r="O5"/>
      <c r="P5" s="45"/>
      <c r="Q5"/>
      <c r="R5" s="50"/>
      <c r="S5" s="48">
        <f>SUBTOTAL(109,[[Versement ]])</f>
        <v>0</v>
      </c>
      <c r="T5"/>
    </row>
    <row r="6" spans="2:20" ht="20.25" customHeight="1"/>
    <row r="7" spans="2:20" ht="20.25" customHeight="1"/>
    <row r="8" spans="2:20" ht="20.25" customHeight="1"/>
    <row r="9" spans="2:20" ht="20.25" customHeight="1"/>
    <row r="10" spans="2:20" ht="20.25" customHeight="1"/>
    <row r="11" spans="2:20" ht="20.25" customHeight="1"/>
    <row r="12" spans="2:20" ht="20.25" customHeight="1"/>
    <row r="13" spans="2:20" ht="20.25" customHeight="1"/>
    <row r="14" spans="2:20" ht="20.25" customHeight="1"/>
    <row r="15" spans="2:20" ht="20.25" customHeight="1"/>
    <row r="16" spans="2:20" ht="20.25" customHeight="1"/>
    <row r="17" ht="20.25" customHeight="1"/>
    <row r="18" ht="20.25" customHeight="1"/>
    <row r="19" ht="20.25" customHeight="1"/>
    <row r="20" ht="20.25" customHeight="1"/>
    <row r="21" ht="20.25" customHeight="1"/>
    <row r="22" ht="20.25" customHeight="1"/>
    <row r="23" ht="20.25" customHeight="1"/>
    <row r="24" ht="20.25" customHeight="1"/>
    <row r="25" ht="20.25" customHeight="1"/>
    <row r="26" ht="20.25" customHeight="1"/>
    <row r="27" ht="20.25" customHeight="1"/>
    <row r="28" ht="20.25" customHeight="1"/>
  </sheetData>
  <conditionalFormatting sqref="D4">
    <cfRule type="iconSet" priority="6">
      <iconSet>
        <cfvo type="percent" val="0"/>
        <cfvo type="num" val="2"/>
        <cfvo type="num" val="2.4"/>
      </iconSet>
    </cfRule>
  </conditionalFormatting>
  <conditionalFormatting sqref="E4">
    <cfRule type="iconSet" priority="7">
      <iconSet>
        <cfvo type="percent" val="0"/>
        <cfvo type="num" val="2"/>
        <cfvo type="num" val="2.4"/>
      </iconSet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9" scale="68" fitToHeight="0" orientation="landscape" r:id="rId1"/>
  <headerFooter>
    <oddFooter xml:space="preserve">&amp;R&amp;"Arial,Normal"&amp;9&amp;P sur &amp;N&amp;"-,Normal"&amp;11  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B1:T28"/>
  <sheetViews>
    <sheetView showZeros="0" zoomScale="85" zoomScaleNormal="85" workbookViewId="0">
      <selection activeCell="F4" sqref="F4"/>
    </sheetView>
  </sheetViews>
  <sheetFormatPr baseColWidth="10" defaultRowHeight="15"/>
  <cols>
    <col min="1" max="1" width="8.5703125" style="1" customWidth="1"/>
    <col min="2" max="2" width="12.140625" style="1" customWidth="1"/>
    <col min="3" max="3" width="21.42578125" style="1" customWidth="1"/>
    <col min="4" max="4" width="10" style="1" customWidth="1"/>
    <col min="5" max="7" width="7.140625" style="1" customWidth="1"/>
    <col min="8" max="8" width="5.7109375" style="1" customWidth="1"/>
    <col min="9" max="10" width="10" style="1" customWidth="1"/>
    <col min="11" max="11" width="9.28515625" style="1" customWidth="1"/>
    <col min="12" max="12" width="10" style="1" customWidth="1"/>
    <col min="13" max="13" width="13.5703125" style="1" customWidth="1"/>
    <col min="14" max="14" width="9.28515625" style="1" customWidth="1"/>
    <col min="15" max="15" width="11.42578125" style="1" customWidth="1"/>
    <col min="16" max="16" width="10.7109375" style="1" customWidth="1"/>
    <col min="17" max="17" width="14.28515625" style="1" customWidth="1"/>
    <col min="18" max="18" width="11.42578125" style="1" customWidth="1"/>
    <col min="19" max="19" width="12.85546875" style="1" customWidth="1"/>
    <col min="20" max="20" width="15" style="1" customWidth="1"/>
    <col min="21" max="16384" width="11.42578125" style="1"/>
  </cols>
  <sheetData>
    <row r="1" spans="2:20" ht="18.75" customHeight="1"/>
    <row r="2" spans="2:20" ht="22.5" customHeight="1"/>
    <row r="3" spans="2:20" ht="22.5" customHeight="1">
      <c r="B3" s="19" t="s">
        <v>21</v>
      </c>
      <c r="C3" s="19" t="s">
        <v>20</v>
      </c>
      <c r="D3" s="19" t="s">
        <v>19</v>
      </c>
      <c r="E3" s="19" t="s">
        <v>18</v>
      </c>
      <c r="F3" s="19" t="s">
        <v>17</v>
      </c>
      <c r="G3" s="19" t="s">
        <v>16</v>
      </c>
      <c r="H3" s="19" t="s">
        <v>15</v>
      </c>
      <c r="I3" s="19" t="s">
        <v>14</v>
      </c>
      <c r="J3" s="19" t="s">
        <v>13</v>
      </c>
      <c r="K3" s="19" t="s">
        <v>12</v>
      </c>
      <c r="L3" s="19" t="s">
        <v>11</v>
      </c>
      <c r="M3" s="19" t="s">
        <v>10</v>
      </c>
      <c r="N3" s="19" t="s">
        <v>2</v>
      </c>
      <c r="O3" s="19" t="s">
        <v>9</v>
      </c>
      <c r="P3" s="18" t="s">
        <v>8</v>
      </c>
      <c r="Q3" s="18" t="s">
        <v>3</v>
      </c>
      <c r="R3" s="18" t="s">
        <v>7</v>
      </c>
      <c r="S3" s="32" t="s">
        <v>26</v>
      </c>
      <c r="T3" s="32" t="s">
        <v>27</v>
      </c>
    </row>
    <row r="4" spans="2:20" ht="20.25" customHeight="1">
      <c r="B4" s="7"/>
      <c r="C4" s="11"/>
      <c r="D4" s="15"/>
      <c r="E4" s="9"/>
      <c r="F4" s="14"/>
      <c r="G4" s="14"/>
      <c r="H4" s="13"/>
      <c r="I4" s="12"/>
      <c r="J4" s="6"/>
      <c r="K4" s="13"/>
      <c r="L4" s="5"/>
      <c r="M4" s="5"/>
      <c r="N4" s="4"/>
      <c r="O4" s="4"/>
      <c r="P4" s="3"/>
      <c r="Q4" s="3"/>
      <c r="R4" s="10"/>
      <c r="S4" s="44"/>
      <c r="T4" s="10"/>
    </row>
    <row r="5" spans="2:20" ht="20.25" customHeight="1">
      <c r="B5" s="43">
        <f>SUBTOTAL(103,[DATE])</f>
        <v>0</v>
      </c>
      <c r="C5" s="45"/>
      <c r="D5" s="46"/>
      <c r="E5" s="47"/>
      <c r="F5" s="46"/>
      <c r="G5" s="46"/>
      <c r="H5" s="46"/>
      <c r="I5" s="46"/>
      <c r="J5" s="46"/>
      <c r="K5" s="46">
        <f>SUBTOTAL(109,[Poids Brut])</f>
        <v>0</v>
      </c>
      <c r="L5" s="46"/>
      <c r="M5" s="48">
        <f>SUBTOTAL(109,[Poids Net])</f>
        <v>0</v>
      </c>
      <c r="N5" s="49">
        <f>SUBTOTAL(109,[Prix])</f>
        <v>0</v>
      </c>
      <c r="O5"/>
      <c r="P5" s="45"/>
      <c r="Q5"/>
      <c r="R5" s="50"/>
      <c r="S5" s="48">
        <f>SUBTOTAL(109,[[Versement ]])</f>
        <v>0</v>
      </c>
      <c r="T5"/>
    </row>
    <row r="6" spans="2:20" ht="20.25" customHeight="1"/>
    <row r="7" spans="2:20" ht="20.25" customHeight="1"/>
    <row r="8" spans="2:20" ht="20.25" customHeight="1"/>
    <row r="9" spans="2:20" ht="20.25" customHeight="1"/>
    <row r="10" spans="2:20" ht="20.25" customHeight="1"/>
    <row r="11" spans="2:20" ht="20.25" customHeight="1"/>
    <row r="12" spans="2:20" ht="20.25" customHeight="1"/>
    <row r="13" spans="2:20" ht="20.25" customHeight="1"/>
    <row r="14" spans="2:20" ht="20.25" customHeight="1"/>
    <row r="15" spans="2:20" ht="20.25" customHeight="1"/>
    <row r="16" spans="2:20" ht="20.25" customHeight="1"/>
    <row r="17" ht="20.25" customHeight="1"/>
    <row r="18" ht="20.25" customHeight="1"/>
    <row r="19" ht="20.25" customHeight="1"/>
    <row r="20" ht="20.25" customHeight="1"/>
    <row r="21" ht="20.25" customHeight="1"/>
    <row r="22" ht="20.25" customHeight="1"/>
    <row r="23" ht="20.25" customHeight="1"/>
    <row r="24" ht="20.25" customHeight="1"/>
    <row r="25" ht="20.25" customHeight="1"/>
    <row r="26" ht="20.25" customHeight="1"/>
    <row r="27" ht="20.25" customHeight="1"/>
    <row r="28" ht="20.25" customHeight="1"/>
  </sheetData>
  <conditionalFormatting sqref="D4">
    <cfRule type="iconSet" priority="1">
      <iconSet>
        <cfvo type="percent" val="0"/>
        <cfvo type="num" val="2"/>
        <cfvo type="num" val="2.4"/>
      </iconSet>
    </cfRule>
  </conditionalFormatting>
  <conditionalFormatting sqref="E4">
    <cfRule type="iconSet" priority="2">
      <iconSet>
        <cfvo type="percent" val="0"/>
        <cfvo type="num" val="2"/>
        <cfvo type="num" val="2.4"/>
      </iconSet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9" scale="68" fitToHeight="0" orientation="landscape" r:id="rId1"/>
  <headerFooter>
    <oddFooter xml:space="preserve">&amp;R&amp;"Arial,Normal"&amp;9&amp;P sur &amp;N&amp;"-,Normal"&amp;11  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Globale</vt:lpstr>
      <vt:lpstr>KAMEL</vt:lpstr>
      <vt:lpstr>Raouf</vt:lpstr>
      <vt:lpstr>Globale!Impression_des_titres</vt:lpstr>
      <vt:lpstr>KAMEL!Impression_des_titres</vt:lpstr>
      <vt:lpstr>Raouf!Impression_des_titres</vt:lpstr>
      <vt:lpstr>Globale!Zone_d_impression</vt:lpstr>
      <vt:lpstr>KAMEL!Zone_d_impression</vt:lpstr>
      <vt:lpstr>Raouf!Zone_d_impression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DW</dc:creator>
  <cp:lastModifiedBy>alex 360</cp:lastModifiedBy>
  <dcterms:created xsi:type="dcterms:W3CDTF">2014-04-24T13:41:19Z</dcterms:created>
  <dcterms:modified xsi:type="dcterms:W3CDTF">2014-05-03T20:18:16Z</dcterms:modified>
</cp:coreProperties>
</file>