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390" yWindow="165" windowWidth="18375" windowHeight="7290" activeTab="2"/>
  </bookViews>
  <sheets>
    <sheet name="PCG" sheetId="1" r:id="rId1"/>
    <sheet name="journal" sheetId="2" r:id="rId2"/>
    <sheet name="Bilan" sheetId="4" r:id="rId3"/>
  </sheets>
  <externalReferences>
    <externalReference r:id="rId4"/>
  </externalReferences>
  <definedNames>
    <definedName name="costumes">PCG!$B$2:$B$21</definedName>
    <definedName name="credit">journal!$E$2:$E$674</definedName>
    <definedName name="debit">journal!$D$2:$D$674</definedName>
    <definedName name="journal">journal!$A$1:$F$674</definedName>
    <definedName name="ListePCG" localSheetId="0">journal!$A$45:$B$108</definedName>
    <definedName name="montant">journal!$B$1:$E$674</definedName>
    <definedName name="ncompte">journal!$B$1:$B$674</definedName>
    <definedName name="numcompte">Bilan!$B$5:$B$15,Bilan!$E$5:$E$15,Bilan!$B$22:$B$44,Bilan!$E$22:$E$44</definedName>
    <definedName name="table_des_comptes">[1]tab.dyn.1!$A$3:$C$34</definedName>
    <definedName name="TablePCG">PCG!$A$3:$B$53</definedName>
  </definedNames>
  <calcPr calcId="145621" iterateDelta="1E-4"/>
</workbook>
</file>

<file path=xl/calcChain.xml><?xml version="1.0" encoding="utf-8"?>
<calcChain xmlns="http://schemas.openxmlformats.org/spreadsheetml/2006/main">
  <c r="D6" i="4" l="1"/>
  <c r="D5" i="4"/>
  <c r="J8" i="2"/>
  <c r="J9" i="2"/>
  <c r="H10" i="2"/>
  <c r="H11" i="2"/>
  <c r="H12" i="2"/>
  <c r="H13" i="2"/>
  <c r="H14" i="2"/>
  <c r="H9" i="2"/>
  <c r="H8" i="2"/>
  <c r="H7" i="2"/>
  <c r="D7" i="4"/>
  <c r="D8" i="4"/>
  <c r="D11" i="4"/>
  <c r="D12" i="4"/>
  <c r="D13" i="4"/>
  <c r="D14" i="4"/>
  <c r="D15" i="4"/>
  <c r="C5" i="4"/>
  <c r="F5" i="4"/>
  <c r="G5" i="4" s="1"/>
  <c r="C6" i="4"/>
  <c r="F6" i="4"/>
  <c r="C7" i="4"/>
  <c r="C8" i="4"/>
  <c r="F8" i="4"/>
  <c r="G8" i="4" s="1"/>
  <c r="D10" i="4"/>
  <c r="F10" i="4"/>
  <c r="C11" i="4"/>
  <c r="C12" i="4"/>
  <c r="F12" i="4"/>
  <c r="C13" i="4"/>
  <c r="F13" i="4"/>
  <c r="C14" i="4"/>
  <c r="F14" i="4"/>
  <c r="C15" i="4"/>
  <c r="F15" i="4"/>
  <c r="C22" i="4"/>
  <c r="F22" i="4"/>
  <c r="C23" i="4"/>
  <c r="F23" i="4"/>
  <c r="C24" i="4"/>
  <c r="F24" i="4"/>
  <c r="C25" i="4"/>
  <c r="F25" i="4"/>
  <c r="C26" i="4"/>
  <c r="F26" i="4"/>
  <c r="C27" i="4"/>
  <c r="F27" i="4"/>
  <c r="C28" i="4"/>
  <c r="F28" i="4"/>
  <c r="C29" i="4"/>
  <c r="F29" i="4"/>
  <c r="C30" i="4"/>
  <c r="F30" i="4"/>
  <c r="C31" i="4"/>
  <c r="F31" i="4"/>
  <c r="C32" i="4"/>
  <c r="F32" i="4"/>
  <c r="C33" i="4"/>
  <c r="F33" i="4"/>
  <c r="C34" i="4"/>
  <c r="F34" i="4"/>
  <c r="C35" i="4"/>
  <c r="C37" i="4"/>
  <c r="F37" i="4"/>
  <c r="C39" i="4"/>
  <c r="F39" i="4"/>
  <c r="B241" i="2" l="1"/>
  <c r="C241" i="2" s="1"/>
  <c r="B615" i="2"/>
  <c r="D675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B583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579" i="2"/>
  <c r="C577" i="2"/>
  <c r="C576" i="2"/>
  <c r="C465" i="2" l="1"/>
  <c r="C464" i="2"/>
  <c r="C462" i="2"/>
  <c r="C461" i="2"/>
  <c r="C574" i="2"/>
  <c r="C573" i="2"/>
  <c r="C571" i="2"/>
  <c r="C570" i="2"/>
  <c r="C568" i="2"/>
  <c r="C567" i="2"/>
  <c r="C562" i="2"/>
  <c r="C561" i="2"/>
  <c r="C559" i="2"/>
  <c r="C558" i="2"/>
  <c r="C565" i="2"/>
  <c r="C564" i="2"/>
  <c r="B540" i="2" l="1"/>
  <c r="B35" i="2" l="1"/>
  <c r="C538" i="2" l="1"/>
  <c r="C537" i="2"/>
  <c r="C556" i="2"/>
  <c r="C555" i="2"/>
  <c r="C553" i="2"/>
  <c r="C552" i="2"/>
  <c r="C550" i="2"/>
  <c r="C549" i="2"/>
  <c r="C547" i="2"/>
  <c r="C546" i="2"/>
  <c r="C544" i="2"/>
  <c r="C543" i="2"/>
  <c r="C540" i="2"/>
  <c r="C541" i="2"/>
  <c r="C535" i="2"/>
  <c r="C534" i="2"/>
  <c r="C532" i="2"/>
  <c r="C531" i="2"/>
  <c r="C529" i="2"/>
  <c r="C528" i="2"/>
  <c r="C526" i="2"/>
  <c r="C525" i="2"/>
  <c r="B522" i="2"/>
  <c r="C522" i="2" s="1"/>
  <c r="C523" i="2"/>
  <c r="B515" i="2"/>
  <c r="C515" i="2" s="1"/>
  <c r="C516" i="2"/>
  <c r="B519" i="2"/>
  <c r="C519" i="2" s="1"/>
  <c r="B518" i="2"/>
  <c r="C518" i="2" s="1"/>
  <c r="C520" i="2"/>
  <c r="B513" i="2"/>
  <c r="C513" i="2" s="1"/>
  <c r="C512" i="2"/>
  <c r="C510" i="2"/>
  <c r="C509" i="2"/>
  <c r="C507" i="2"/>
  <c r="C506" i="2"/>
  <c r="C504" i="2"/>
  <c r="C503" i="2"/>
  <c r="C501" i="2"/>
  <c r="C500" i="2"/>
  <c r="C495" i="2"/>
  <c r="C494" i="2"/>
  <c r="C492" i="2"/>
  <c r="C491" i="2"/>
  <c r="C489" i="2"/>
  <c r="C488" i="2"/>
  <c r="B485" i="2"/>
  <c r="C486" i="2"/>
  <c r="C485" i="2"/>
  <c r="C483" i="2"/>
  <c r="C482" i="2"/>
  <c r="C480" i="2"/>
  <c r="C479" i="2"/>
  <c r="C477" i="2"/>
  <c r="C476" i="2"/>
  <c r="C498" i="2"/>
  <c r="C497" i="2"/>
  <c r="C474" i="2"/>
  <c r="C473" i="2"/>
  <c r="E241" i="2"/>
  <c r="B235" i="2"/>
  <c r="C235" i="2" s="1"/>
  <c r="C240" i="2"/>
  <c r="C238" i="2"/>
  <c r="C237" i="2"/>
  <c r="C234" i="2"/>
  <c r="B26" i="2"/>
  <c r="B219" i="2"/>
  <c r="C219" i="2" s="1"/>
  <c r="C220" i="2"/>
  <c r="B78" i="2"/>
  <c r="B23" i="2"/>
  <c r="B30" i="2"/>
  <c r="C471" i="2" l="1"/>
  <c r="C470" i="2"/>
  <c r="C468" i="2"/>
  <c r="C467" i="2"/>
  <c r="C459" i="2"/>
  <c r="C458" i="2"/>
  <c r="C456" i="2"/>
  <c r="C455" i="2"/>
  <c r="B138" i="2"/>
  <c r="B452" i="2"/>
  <c r="C453" i="2"/>
  <c r="C452" i="2"/>
  <c r="C450" i="2"/>
  <c r="C449" i="2"/>
  <c r="B446" i="2"/>
  <c r="C447" i="2"/>
  <c r="C446" i="2"/>
  <c r="C444" i="2"/>
  <c r="C443" i="2"/>
  <c r="B440" i="2"/>
  <c r="C440" i="2" s="1"/>
  <c r="C441" i="2"/>
  <c r="C438" i="2"/>
  <c r="C437" i="2"/>
  <c r="C435" i="2"/>
  <c r="C434" i="2"/>
  <c r="C432" i="2"/>
  <c r="C431" i="2"/>
  <c r="C429" i="2"/>
  <c r="C428" i="2"/>
  <c r="C426" i="2"/>
  <c r="C425" i="2"/>
  <c r="C423" i="2"/>
  <c r="C422" i="2"/>
  <c r="C420" i="2"/>
  <c r="C419" i="2"/>
  <c r="B416" i="2"/>
  <c r="C416" i="2" s="1"/>
  <c r="C417" i="2"/>
  <c r="B413" i="2"/>
  <c r="C413" i="2" s="1"/>
  <c r="C414" i="2"/>
  <c r="B411" i="2"/>
  <c r="C411" i="2" s="1"/>
  <c r="C410" i="2"/>
  <c r="C408" i="2"/>
  <c r="C407" i="2"/>
  <c r="C405" i="2"/>
  <c r="C404" i="2"/>
  <c r="C402" i="2"/>
  <c r="C401" i="2"/>
  <c r="C399" i="2"/>
  <c r="C398" i="2"/>
  <c r="C396" i="2"/>
  <c r="C395" i="2"/>
  <c r="C393" i="2"/>
  <c r="C392" i="2"/>
  <c r="C390" i="2"/>
  <c r="C389" i="2"/>
  <c r="C387" i="2"/>
  <c r="C386" i="2"/>
  <c r="C384" i="2"/>
  <c r="C383" i="2"/>
  <c r="C381" i="2"/>
  <c r="C380" i="2"/>
  <c r="B378" i="2"/>
  <c r="C378" i="2" s="1"/>
  <c r="C377" i="2"/>
  <c r="C375" i="2"/>
  <c r="C374" i="2"/>
  <c r="C372" i="2"/>
  <c r="C371" i="2"/>
  <c r="C369" i="2"/>
  <c r="C368" i="2"/>
  <c r="C363" i="2"/>
  <c r="C362" i="2"/>
  <c r="C366" i="2"/>
  <c r="C365" i="2"/>
  <c r="C360" i="2"/>
  <c r="C359" i="2"/>
  <c r="C357" i="2"/>
  <c r="C356" i="2"/>
  <c r="C354" i="2"/>
  <c r="C353" i="2"/>
  <c r="C351" i="2"/>
  <c r="C350" i="2"/>
  <c r="B347" i="2"/>
  <c r="C347" i="2" s="1"/>
  <c r="C348" i="2"/>
  <c r="B344" i="2"/>
  <c r="C344" i="2" s="1"/>
  <c r="C333" i="2"/>
  <c r="C332" i="2"/>
  <c r="C330" i="2"/>
  <c r="C329" i="2"/>
  <c r="C327" i="2"/>
  <c r="C326" i="2"/>
  <c r="C324" i="2"/>
  <c r="C323" i="2"/>
  <c r="C321" i="2"/>
  <c r="C320" i="2"/>
  <c r="B314" i="2"/>
  <c r="C314" i="2" s="1"/>
  <c r="C315" i="2"/>
  <c r="B317" i="2"/>
  <c r="C317" i="2" s="1"/>
  <c r="C318" i="2"/>
  <c r="C312" i="2"/>
  <c r="C311" i="2"/>
  <c r="C309" i="2"/>
  <c r="C308" i="2"/>
  <c r="C299" i="2"/>
  <c r="C298" i="2"/>
  <c r="C296" i="2"/>
  <c r="C295" i="2"/>
  <c r="C293" i="2"/>
  <c r="C292" i="2"/>
  <c r="C290" i="2"/>
  <c r="C289" i="2"/>
  <c r="C287" i="2"/>
  <c r="C286" i="2"/>
  <c r="C284" i="2"/>
  <c r="C283" i="2"/>
  <c r="C342" i="2"/>
  <c r="C341" i="2"/>
  <c r="C339" i="2"/>
  <c r="C338" i="2"/>
  <c r="B335" i="2"/>
  <c r="C335" i="2" s="1"/>
  <c r="C336" i="2"/>
  <c r="C306" i="2"/>
  <c r="C305" i="2"/>
  <c r="B302" i="2"/>
  <c r="C302" i="2" s="1"/>
  <c r="B301" i="2"/>
  <c r="C301" i="2" s="1"/>
  <c r="C303" i="2"/>
  <c r="C281" i="2"/>
  <c r="C280" i="2"/>
  <c r="C278" i="2"/>
  <c r="C277" i="2"/>
  <c r="B275" i="2"/>
  <c r="C275" i="2" s="1"/>
  <c r="C274" i="2"/>
  <c r="C272" i="2" l="1"/>
  <c r="C271" i="2"/>
  <c r="C269" i="2"/>
  <c r="C268" i="2"/>
  <c r="C266" i="2"/>
  <c r="C265" i="2"/>
  <c r="C263" i="2"/>
  <c r="C262" i="2"/>
  <c r="C260" i="2"/>
  <c r="C259" i="2"/>
  <c r="C257" i="2"/>
  <c r="C256" i="2"/>
  <c r="C254" i="2"/>
  <c r="C253" i="2"/>
  <c r="C251" i="2"/>
  <c r="C250" i="2"/>
  <c r="C248" i="2"/>
  <c r="C247" i="2"/>
  <c r="C245" i="2"/>
  <c r="C244" i="2"/>
  <c r="B231" i="2" l="1"/>
  <c r="C232" i="2"/>
  <c r="C231" i="2"/>
  <c r="C229" i="2"/>
  <c r="C228" i="2"/>
  <c r="C226" i="2"/>
  <c r="C225" i="2"/>
  <c r="B222" i="2"/>
  <c r="C222" i="2" s="1"/>
  <c r="C223" i="2"/>
  <c r="B216" i="2"/>
  <c r="C217" i="2"/>
  <c r="C216" i="2"/>
  <c r="C211" i="2"/>
  <c r="C210" i="2"/>
  <c r="C205" i="2"/>
  <c r="C204" i="2"/>
  <c r="B201" i="2"/>
  <c r="C202" i="2"/>
  <c r="C201" i="2"/>
  <c r="C199" i="2"/>
  <c r="C198" i="2"/>
  <c r="B195" i="2"/>
  <c r="C195" i="2" s="1"/>
  <c r="C196" i="2"/>
  <c r="C193" i="2"/>
  <c r="C192" i="2"/>
  <c r="B189" i="2"/>
  <c r="C189" i="2" s="1"/>
  <c r="C190" i="2"/>
  <c r="C187" i="2"/>
  <c r="C186" i="2"/>
  <c r="C184" i="2"/>
  <c r="C183" i="2"/>
  <c r="C181" i="2"/>
  <c r="C180" i="2"/>
  <c r="C178" i="2"/>
  <c r="C177" i="2"/>
  <c r="B175" i="2"/>
  <c r="C175" i="2" s="1"/>
  <c r="C174" i="2"/>
  <c r="C214" i="2"/>
  <c r="C213" i="2"/>
  <c r="B171" i="2"/>
  <c r="C171" i="2" s="1"/>
  <c r="C172" i="2"/>
  <c r="C169" i="2"/>
  <c r="C168" i="2"/>
  <c r="B166" i="2"/>
  <c r="C166" i="2" s="1"/>
  <c r="C164" i="2"/>
  <c r="C75" i="2"/>
  <c r="C74" i="2"/>
  <c r="B71" i="2"/>
  <c r="C72" i="2"/>
  <c r="C71" i="2"/>
  <c r="E69" i="2"/>
  <c r="C69" i="2"/>
  <c r="C68" i="2"/>
  <c r="E66" i="2"/>
  <c r="C66" i="2"/>
  <c r="C65" i="2"/>
  <c r="B20" i="2"/>
  <c r="C21" i="2"/>
  <c r="C20" i="2"/>
  <c r="B81" i="2"/>
  <c r="C81" i="2" s="1"/>
  <c r="C78" i="2"/>
  <c r="E81" i="2"/>
  <c r="C80" i="2"/>
  <c r="E78" i="2"/>
  <c r="C77" i="2"/>
  <c r="C54" i="2"/>
  <c r="C53" i="2"/>
  <c r="C51" i="2"/>
  <c r="C50" i="2"/>
  <c r="C18" i="2"/>
  <c r="C17" i="2"/>
  <c r="C27" i="2"/>
  <c r="C26" i="2"/>
  <c r="C24" i="2"/>
  <c r="C23" i="2"/>
  <c r="C42" i="2"/>
  <c r="C41" i="2"/>
  <c r="C39" i="2"/>
  <c r="C38" i="2"/>
  <c r="C36" i="2"/>
  <c r="C35" i="2"/>
  <c r="C33" i="2"/>
  <c r="C32" i="2"/>
  <c r="C30" i="2"/>
  <c r="C29" i="2"/>
  <c r="B15" i="2"/>
  <c r="C15" i="2" s="1"/>
  <c r="B14" i="2"/>
  <c r="C14" i="2" s="1"/>
  <c r="B13" i="2"/>
  <c r="C13" i="2" s="1"/>
  <c r="B12" i="2"/>
  <c r="C12" i="2" s="1"/>
  <c r="B11" i="2"/>
  <c r="C11" i="2" s="1"/>
  <c r="B10" i="2"/>
  <c r="C10" i="2" s="1"/>
  <c r="B9" i="2"/>
  <c r="C9" i="2" s="1"/>
  <c r="B8" i="2"/>
  <c r="C8" i="2" s="1"/>
  <c r="B7" i="2"/>
  <c r="B6" i="2"/>
  <c r="B5" i="2"/>
  <c r="C5" i="2" s="1"/>
  <c r="B4" i="2"/>
  <c r="C4" i="2" s="1"/>
  <c r="B3" i="2"/>
  <c r="C3" i="2" s="1"/>
  <c r="C6" i="2"/>
  <c r="C47" i="2"/>
  <c r="C48" i="2"/>
  <c r="B2" i="2"/>
  <c r="C162" i="2"/>
  <c r="C161" i="2"/>
  <c r="C159" i="2"/>
  <c r="C158" i="2"/>
  <c r="C156" i="2"/>
  <c r="C155" i="2"/>
  <c r="C153" i="2"/>
  <c r="C152" i="2"/>
  <c r="C150" i="2"/>
  <c r="C149" i="2"/>
  <c r="C147" i="2"/>
  <c r="C146" i="2"/>
  <c r="C144" i="2"/>
  <c r="C143" i="2"/>
  <c r="C140" i="2"/>
  <c r="C139" i="2"/>
  <c r="C138" i="2"/>
  <c r="C141" i="2"/>
  <c r="C136" i="2"/>
  <c r="C135" i="2"/>
  <c r="C133" i="2"/>
  <c r="C132" i="2"/>
  <c r="C130" i="2"/>
  <c r="C129" i="2"/>
  <c r="C127" i="2"/>
  <c r="C126" i="2"/>
  <c r="C124" i="2"/>
  <c r="C123" i="2"/>
  <c r="C121" i="2"/>
  <c r="C120" i="2"/>
  <c r="C118" i="2"/>
  <c r="C117" i="2"/>
  <c r="C115" i="2"/>
  <c r="C114" i="2"/>
  <c r="C112" i="2"/>
  <c r="C111" i="2"/>
  <c r="C109" i="2"/>
  <c r="C108" i="2"/>
  <c r="C106" i="2"/>
  <c r="B105" i="2"/>
  <c r="C105" i="2" s="1"/>
  <c r="C103" i="2"/>
  <c r="B102" i="2"/>
  <c r="C102" i="2" s="1"/>
  <c r="C100" i="2"/>
  <c r="C99" i="2"/>
  <c r="C97" i="2"/>
  <c r="B96" i="2"/>
  <c r="C96" i="2" s="1"/>
  <c r="C94" i="2"/>
  <c r="B93" i="2"/>
  <c r="C93" i="2" s="1"/>
  <c r="E84" i="2"/>
  <c r="E90" i="2"/>
  <c r="E91" i="2"/>
  <c r="E89" i="2"/>
  <c r="C89" i="2"/>
  <c r="C90" i="2"/>
  <c r="C91" i="2"/>
  <c r="C87" i="2"/>
  <c r="C88" i="2"/>
  <c r="B83" i="2"/>
  <c r="C83" i="2" s="1"/>
  <c r="C86" i="2"/>
  <c r="C84" i="2"/>
  <c r="E63" i="2"/>
  <c r="C63" i="2"/>
  <c r="C62" i="2"/>
  <c r="E60" i="2"/>
  <c r="E675" i="2" s="1"/>
  <c r="C60" i="2"/>
  <c r="C59" i="2"/>
  <c r="C57" i="2"/>
  <c r="B56" i="2"/>
  <c r="C7" i="2" l="1"/>
  <c r="B242" i="2"/>
  <c r="C242" i="2" s="1"/>
  <c r="C2" i="2"/>
  <c r="C56" i="2"/>
  <c r="D29" i="4" l="1"/>
  <c r="D31" i="4"/>
  <c r="D33" i="4"/>
  <c r="D35" i="4"/>
  <c r="G39" i="4"/>
  <c r="G40" i="4" s="1"/>
  <c r="C208" i="2"/>
  <c r="C207" i="2"/>
  <c r="C45" i="2"/>
  <c r="C44" i="2"/>
  <c r="D27" i="4" l="1"/>
  <c r="G24" i="4"/>
  <c r="D34" i="4"/>
  <c r="G29" i="4"/>
  <c r="D25" i="4"/>
  <c r="G22" i="4"/>
  <c r="D32" i="4"/>
  <c r="G25" i="4"/>
  <c r="D23" i="4"/>
  <c r="G14" i="4"/>
  <c r="D30" i="4"/>
  <c r="G23" i="4"/>
  <c r="D39" i="4"/>
  <c r="D40" i="4" s="1"/>
  <c r="G12" i="4"/>
  <c r="D28" i="4"/>
  <c r="G13" i="4"/>
  <c r="D37" i="4"/>
  <c r="D38" i="4" s="1"/>
  <c r="G32" i="4"/>
  <c r="D26" i="4"/>
  <c r="G31" i="4"/>
  <c r="G10" i="4"/>
  <c r="G11" i="4" s="1"/>
  <c r="G30" i="4"/>
  <c r="D24" i="4"/>
  <c r="G27" i="4"/>
  <c r="G6" i="4"/>
  <c r="G28" i="4"/>
  <c r="G34" i="4"/>
  <c r="D22" i="4"/>
  <c r="G15" i="4"/>
  <c r="G26" i="4"/>
  <c r="G37" i="4"/>
  <c r="G38" i="4" s="1"/>
  <c r="G33" i="4"/>
  <c r="D9" i="4" l="1"/>
  <c r="D16" i="4"/>
  <c r="G36" i="4"/>
  <c r="G41" i="4" s="1"/>
  <c r="D36" i="4"/>
  <c r="G16" i="4"/>
  <c r="D41" i="4" l="1"/>
  <c r="G42" i="4" s="1"/>
  <c r="G43" i="4" s="1"/>
  <c r="D17" i="4"/>
  <c r="D42" i="4" l="1"/>
  <c r="G7" i="4" s="1"/>
  <c r="G9" i="4" s="1"/>
  <c r="G17" i="4" s="1"/>
  <c r="D43" i="4" l="1"/>
</calcChain>
</file>

<file path=xl/sharedStrings.xml><?xml version="1.0" encoding="utf-8"?>
<sst xmlns="http://schemas.openxmlformats.org/spreadsheetml/2006/main" count="545" uniqueCount="255">
  <si>
    <t>N° compte</t>
  </si>
  <si>
    <t>Intitulé du compte</t>
  </si>
  <si>
    <t>décors</t>
  </si>
  <si>
    <t>matériels</t>
  </si>
  <si>
    <t>parts sociales</t>
  </si>
  <si>
    <t>fournisseurs</t>
  </si>
  <si>
    <t>créances diverses</t>
  </si>
  <si>
    <t>salaires à payer</t>
  </si>
  <si>
    <t>adhérents</t>
  </si>
  <si>
    <t>subvention à recevoir</t>
  </si>
  <si>
    <t>compte d'attente</t>
  </si>
  <si>
    <t>charges constatées d'avance</t>
  </si>
  <si>
    <t xml:space="preserve">produits constatés d'avance </t>
  </si>
  <si>
    <t>banque</t>
  </si>
  <si>
    <t>caisse</t>
  </si>
  <si>
    <t>virements internes</t>
  </si>
  <si>
    <t>n°compte</t>
  </si>
  <si>
    <t>date</t>
  </si>
  <si>
    <t>libellé</t>
  </si>
  <si>
    <t>débit</t>
  </si>
  <si>
    <t xml:space="preserve">crédit </t>
  </si>
  <si>
    <t>remb. Vir. SNCF</t>
  </si>
  <si>
    <t>doc2-cb 632</t>
  </si>
  <si>
    <t>doc4-cb 369</t>
  </si>
  <si>
    <t>doc3-cb 370</t>
  </si>
  <si>
    <t xml:space="preserve">doc8-carte </t>
  </si>
  <si>
    <t xml:space="preserve">doc6-carte </t>
  </si>
  <si>
    <t xml:space="preserve">doc5-carte </t>
  </si>
  <si>
    <t>doc10-cb641</t>
  </si>
  <si>
    <t>doc11-cb640</t>
  </si>
  <si>
    <t>doc12-cb638</t>
  </si>
  <si>
    <t>doc13-cb636</t>
  </si>
  <si>
    <t>doc14-cb635</t>
  </si>
  <si>
    <t>doc15-cb639</t>
  </si>
  <si>
    <t>doc16-cb631</t>
  </si>
  <si>
    <t>doc17-cb623</t>
  </si>
  <si>
    <t>doc18-cb630</t>
  </si>
  <si>
    <t>doc19-cb629</t>
  </si>
  <si>
    <t>doc20-cb624</t>
  </si>
  <si>
    <t>doc21-cb625</t>
  </si>
  <si>
    <t>doc22-cb626</t>
  </si>
  <si>
    <t>doc23-cb627</t>
  </si>
  <si>
    <t>doc24-vir</t>
  </si>
  <si>
    <t>doc25-carte</t>
  </si>
  <si>
    <t>doc26-cb622</t>
  </si>
  <si>
    <t>doc27-cb633</t>
  </si>
  <si>
    <t>doc28-cb634</t>
  </si>
  <si>
    <t>doc29-cb621</t>
  </si>
  <si>
    <t>doc30-cb628</t>
  </si>
  <si>
    <t>doc31-cb362</t>
  </si>
  <si>
    <t>cotisations à recevoir</t>
  </si>
  <si>
    <t>réserves</t>
  </si>
  <si>
    <t>loyers à payer</t>
  </si>
  <si>
    <t xml:space="preserve">à nouveaux </t>
  </si>
  <si>
    <t>concours bancaires courants</t>
  </si>
  <si>
    <t>A-nouveaux-Cb359</t>
  </si>
  <si>
    <t>A nouveaux-assurance</t>
  </si>
  <si>
    <t>A-nouveaux-Cb343</t>
  </si>
  <si>
    <t>A nouveaux-sub.à recevoir</t>
  </si>
  <si>
    <t xml:space="preserve">retrait pour la caisse </t>
  </si>
  <si>
    <r>
      <t>Remb.adhérent</t>
    </r>
    <r>
      <rPr>
        <sz val="11"/>
        <color theme="1"/>
        <rFont val="Calibri"/>
        <family val="2"/>
        <scheme val="minor"/>
      </rPr>
      <t>-cb643</t>
    </r>
  </si>
  <si>
    <r>
      <rPr>
        <sz val="11"/>
        <color theme="1"/>
        <rFont val="Calibri"/>
        <family val="2"/>
        <scheme val="minor"/>
      </rPr>
      <t>doc32</t>
    </r>
    <r>
      <rPr>
        <sz val="11"/>
        <color rgb="FFFF0000"/>
        <rFont val="Calibri"/>
        <family val="2"/>
        <scheme val="minor"/>
      </rPr>
      <t xml:space="preserve"> -</t>
    </r>
    <r>
      <rPr>
        <sz val="11"/>
        <rFont val="Calibri"/>
        <family val="2"/>
        <scheme val="minor"/>
      </rPr>
      <t>cb365</t>
    </r>
  </si>
  <si>
    <t>A nouveaux-loyers-cb645</t>
  </si>
  <si>
    <t>doc33-OVH-carte</t>
  </si>
  <si>
    <t>doc34-cb655</t>
  </si>
  <si>
    <t>doc35-cb659</t>
  </si>
  <si>
    <t>doc36-cb658</t>
  </si>
  <si>
    <t>doc37-cb657</t>
  </si>
  <si>
    <t>doc38-carte</t>
  </si>
  <si>
    <t>doc39-carte</t>
  </si>
  <si>
    <t>doc40-carte</t>
  </si>
  <si>
    <t>doc41-carte</t>
  </si>
  <si>
    <t>doc42-cb649</t>
  </si>
  <si>
    <t>doc43-cb648</t>
  </si>
  <si>
    <r>
      <rPr>
        <sz val="11"/>
        <rFont val="Calibri"/>
        <family val="2"/>
        <scheme val="minor"/>
      </rPr>
      <t>doc44-</t>
    </r>
    <r>
      <rPr>
        <sz val="11"/>
        <color theme="1"/>
        <rFont val="Calibri"/>
        <family val="2"/>
        <scheme val="minor"/>
      </rPr>
      <t>Cb646</t>
    </r>
  </si>
  <si>
    <r>
      <rPr>
        <sz val="11"/>
        <rFont val="Calibri"/>
        <family val="2"/>
        <scheme val="minor"/>
      </rPr>
      <t>doc45</t>
    </r>
    <r>
      <rPr>
        <sz val="11"/>
        <color theme="1"/>
        <rFont val="Calibri"/>
        <family val="2"/>
        <scheme val="minor"/>
      </rPr>
      <t xml:space="preserve"> cb647</t>
    </r>
  </si>
  <si>
    <t>doc46-carte</t>
  </si>
  <si>
    <t>doc47-carte</t>
  </si>
  <si>
    <r>
      <rPr>
        <sz val="11"/>
        <rFont val="Calibri"/>
        <family val="2"/>
        <scheme val="minor"/>
      </rPr>
      <t>doc48</t>
    </r>
    <r>
      <rPr>
        <sz val="11"/>
        <color theme="1"/>
        <rFont val="Calibri"/>
        <family val="2"/>
        <scheme val="minor"/>
      </rPr>
      <t xml:space="preserve">-carte </t>
    </r>
  </si>
  <si>
    <t>service civique mars</t>
  </si>
  <si>
    <t>doc49-carte</t>
  </si>
  <si>
    <t>S1- carte</t>
  </si>
  <si>
    <t>S2-cb675</t>
  </si>
  <si>
    <t>S3-cb671</t>
  </si>
  <si>
    <t>doc51-carte</t>
  </si>
  <si>
    <t>S4-URSSAF-sal quartett cb 667</t>
  </si>
  <si>
    <t>S5-sal quartett cb 667</t>
  </si>
  <si>
    <t>S6-sal quartett cb 666</t>
  </si>
  <si>
    <t>S7-shômage cb 665</t>
  </si>
  <si>
    <t>S8-FNAS-sal quartett cb 665</t>
  </si>
  <si>
    <t>S9-FNAS-sal quartett cb 670</t>
  </si>
  <si>
    <t>doc52-virement</t>
  </si>
  <si>
    <t>doc54-imprimante virement</t>
  </si>
  <si>
    <t>doc55-carte</t>
  </si>
  <si>
    <t>doc56-cb674</t>
  </si>
  <si>
    <t>doc57-carte</t>
  </si>
  <si>
    <t>doc58-cb675</t>
  </si>
  <si>
    <t>doc59-carte</t>
  </si>
  <si>
    <t>doc60-carte</t>
  </si>
  <si>
    <t>doc61-cb676</t>
  </si>
  <si>
    <t>doc62-cb676</t>
  </si>
  <si>
    <t>S10-cb678</t>
  </si>
  <si>
    <t>S11-cb679</t>
  </si>
  <si>
    <t>S12-cb680</t>
  </si>
  <si>
    <t>S13-cb691</t>
  </si>
  <si>
    <t>S14-cb692</t>
  </si>
  <si>
    <t>S15-cb693</t>
  </si>
  <si>
    <t>S16-cb694</t>
  </si>
  <si>
    <t>doc63-cb695</t>
  </si>
  <si>
    <t>S17-carte</t>
  </si>
  <si>
    <t>doc64 cb 471</t>
  </si>
  <si>
    <t>B1-commission</t>
  </si>
  <si>
    <t>B2 prélèvement</t>
  </si>
  <si>
    <t>B3 prélèvement</t>
  </si>
  <si>
    <t>B4 prélèvement</t>
  </si>
  <si>
    <t>B4-prélèvement</t>
  </si>
  <si>
    <t>S18-Cb368</t>
  </si>
  <si>
    <t xml:space="preserve">doc65-avance sur spectacle </t>
  </si>
  <si>
    <t>doc66-cb363 rappel salaire 2012</t>
  </si>
  <si>
    <t xml:space="preserve">doc68-billetterie lycée Tours </t>
  </si>
  <si>
    <r>
      <rPr>
        <sz val="11"/>
        <rFont val="Calibri"/>
        <family val="2"/>
        <scheme val="minor"/>
      </rPr>
      <t>doc73</t>
    </r>
    <r>
      <rPr>
        <sz val="11"/>
        <color theme="1"/>
        <rFont val="Calibri"/>
        <family val="2"/>
        <scheme val="minor"/>
      </rPr>
      <t>-cb637</t>
    </r>
  </si>
  <si>
    <t>S9  Cotisation FNAS cb651</t>
  </si>
  <si>
    <t>S9 Cotisation FNAS cb652</t>
  </si>
  <si>
    <t>doc74-carte</t>
  </si>
  <si>
    <t>doc 75 Cb473</t>
  </si>
  <si>
    <t>doc76 Carte</t>
  </si>
  <si>
    <t>doc77-cb660</t>
  </si>
  <si>
    <t>doc 78-gîte bataille cb656</t>
  </si>
  <si>
    <r>
      <rPr>
        <sz val="11"/>
        <rFont val="Calibri"/>
        <family val="2"/>
        <scheme val="minor"/>
      </rPr>
      <t>doc78</t>
    </r>
    <r>
      <rPr>
        <sz val="11"/>
        <color theme="1"/>
        <rFont val="Calibri"/>
        <family val="2"/>
        <scheme val="minor"/>
      </rPr>
      <t>-carte gite d'Argenton</t>
    </r>
  </si>
  <si>
    <t>doc80-cb364</t>
  </si>
  <si>
    <t>encaissement cotisations</t>
  </si>
  <si>
    <r>
      <rPr>
        <sz val="11"/>
        <rFont val="Calibri"/>
        <family val="2"/>
        <scheme val="minor"/>
      </rPr>
      <t>doc9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 Cb366</t>
    </r>
  </si>
  <si>
    <t>B5 prélèvement</t>
  </si>
  <si>
    <t>B6 prélèvement</t>
  </si>
  <si>
    <t>doc81-vir</t>
  </si>
  <si>
    <t>S19 Virement</t>
  </si>
  <si>
    <t>S20 Cb476</t>
  </si>
  <si>
    <t>S21-Cb477</t>
  </si>
  <si>
    <t>S22-</t>
  </si>
  <si>
    <t>S23 Cb474</t>
  </si>
  <si>
    <t>S24-cb664</t>
  </si>
  <si>
    <t>S24-cb663</t>
  </si>
  <si>
    <t>S 24-cb662</t>
  </si>
  <si>
    <t>S24-cb661</t>
  </si>
  <si>
    <t>S25</t>
  </si>
  <si>
    <t>S26 FNAS</t>
  </si>
  <si>
    <t>S27 FNAS</t>
  </si>
  <si>
    <t>S28 FNAS</t>
  </si>
  <si>
    <t>S29 pole emploi</t>
  </si>
  <si>
    <t>S30 URSSAF</t>
  </si>
  <si>
    <t>S31 octopus</t>
  </si>
  <si>
    <t>revenus des parts</t>
  </si>
  <si>
    <t>82 chèque</t>
  </si>
  <si>
    <t>83-chèque</t>
  </si>
  <si>
    <t>84-chèque</t>
  </si>
  <si>
    <t>85-chèque</t>
  </si>
  <si>
    <t>86-chèque</t>
  </si>
  <si>
    <t>87-chèque</t>
  </si>
  <si>
    <t>88-chèque</t>
  </si>
  <si>
    <t xml:space="preserve"> prélèvement </t>
  </si>
  <si>
    <t xml:space="preserve">doc90-virement </t>
  </si>
  <si>
    <t>89-chèque</t>
  </si>
  <si>
    <t>B1-esprit association 2012</t>
  </si>
  <si>
    <t>pas de ticket délivré carte</t>
  </si>
  <si>
    <t>frais de déplacement volapuk décembre 2012</t>
  </si>
  <si>
    <t xml:space="preserve">retrait fonds de caisse </t>
  </si>
  <si>
    <t>retour fonds de caisse</t>
  </si>
  <si>
    <t xml:space="preserve">Subvention conseil général </t>
  </si>
  <si>
    <t>Remise chèque</t>
  </si>
  <si>
    <t xml:space="preserve">doc 93 autoroute </t>
  </si>
  <si>
    <t xml:space="preserve">doc 94 train </t>
  </si>
  <si>
    <t>C</t>
  </si>
  <si>
    <t>virement</t>
  </si>
  <si>
    <t>carte</t>
  </si>
  <si>
    <t xml:space="preserve"> CB 653</t>
  </si>
  <si>
    <t>Carte</t>
  </si>
  <si>
    <t>cb696</t>
  </si>
  <si>
    <t>carte carrefour</t>
  </si>
  <si>
    <t>carte autoroute</t>
  </si>
  <si>
    <t>cb 1353697</t>
  </si>
  <si>
    <t>V</t>
  </si>
  <si>
    <t>B</t>
  </si>
  <si>
    <t>Affectation</t>
  </si>
  <si>
    <t xml:space="preserve">doc1-paiement </t>
  </si>
  <si>
    <t>20-fournitures, petit équipement</t>
  </si>
  <si>
    <t>21-loyers</t>
  </si>
  <si>
    <t>22-assurance</t>
  </si>
  <si>
    <t>23-droits d'auteurs, traductions</t>
  </si>
  <si>
    <t>24-publicité</t>
  </si>
  <si>
    <t>25-frais de résidence et de déplacement</t>
  </si>
  <si>
    <t>26-frais postaux et de téléphone</t>
  </si>
  <si>
    <t xml:space="preserve">27-services bancaires </t>
  </si>
  <si>
    <t>28-frais sur salaires</t>
  </si>
  <si>
    <t xml:space="preserve">29-cotisations </t>
  </si>
  <si>
    <t xml:space="preserve">30-autres charges </t>
  </si>
  <si>
    <t xml:space="preserve">31-salaires </t>
  </si>
  <si>
    <t>32-charges sur salaires</t>
  </si>
  <si>
    <t xml:space="preserve">33-charges diverses </t>
  </si>
  <si>
    <t>34-charges financières</t>
  </si>
  <si>
    <t>35-charges exceptionnelles</t>
  </si>
  <si>
    <t>38-prestations théâtre, lectures publiques</t>
  </si>
  <si>
    <t xml:space="preserve">39-adhésions </t>
  </si>
  <si>
    <t>41-subventions collectivités territoriales</t>
  </si>
  <si>
    <t>43-bourse défi jeune</t>
  </si>
  <si>
    <t>44-subvention collectif jeune</t>
  </si>
  <si>
    <t>45-subvention DRAC</t>
  </si>
  <si>
    <t>47-subvention aide à la création</t>
  </si>
  <si>
    <t xml:space="preserve">48-produits divers </t>
  </si>
  <si>
    <t>49-produits financiers</t>
  </si>
  <si>
    <t xml:space="preserve">50-cession parts sociales </t>
  </si>
  <si>
    <t>51-produits exceptionnels</t>
  </si>
  <si>
    <t xml:space="preserve">40-subvention municipalité </t>
  </si>
  <si>
    <t>37-recettes V</t>
  </si>
  <si>
    <t xml:space="preserve">36-recettes </t>
  </si>
  <si>
    <t>42-subvention Sped.</t>
  </si>
  <si>
    <t xml:space="preserve">46-subvention région </t>
  </si>
  <si>
    <t>doc67-</t>
  </si>
  <si>
    <t>doc 79 vir très.</t>
  </si>
  <si>
    <t>doc 72-virement Théâtre</t>
  </si>
  <si>
    <t>doc69-billetterie V</t>
  </si>
  <si>
    <t>doc71-billetterie V</t>
  </si>
  <si>
    <t>doc70-billetterie V</t>
  </si>
  <si>
    <t>doc68-billetterie V</t>
  </si>
  <si>
    <t>S32-Salaire service civil</t>
  </si>
  <si>
    <t xml:space="preserve">collège </t>
  </si>
  <si>
    <t>S32  Salaire service civil</t>
  </si>
  <si>
    <t>S32 Salaire service civil</t>
  </si>
  <si>
    <t xml:space="preserve">Subvention  DRFIP </t>
  </si>
  <si>
    <t>salaire service civil</t>
  </si>
  <si>
    <t>costumes</t>
  </si>
  <si>
    <t>Biens</t>
  </si>
  <si>
    <t>Montant</t>
  </si>
  <si>
    <t>Dettes/Ressources</t>
  </si>
  <si>
    <t>Résultat de l'exercice</t>
  </si>
  <si>
    <t>Immobilisations</t>
  </si>
  <si>
    <t>Capitaux propres</t>
  </si>
  <si>
    <t>Dettes financière</t>
  </si>
  <si>
    <t>Actif circulant</t>
  </si>
  <si>
    <t>Passif circulant</t>
  </si>
  <si>
    <t>TOTAL BILAN</t>
  </si>
  <si>
    <t>Résultat général du 1/1/2013 au 2/8/2013</t>
  </si>
  <si>
    <t>Charges</t>
  </si>
  <si>
    <t>Produits</t>
  </si>
  <si>
    <t xml:space="preserve">montant </t>
  </si>
  <si>
    <t>Charges d'exploitation</t>
  </si>
  <si>
    <t>Produits d'exploitation</t>
  </si>
  <si>
    <t>Charges financières</t>
  </si>
  <si>
    <t>Produits financiers</t>
  </si>
  <si>
    <t>Charges exceptionnelles</t>
  </si>
  <si>
    <t>Produits exceptionnels</t>
  </si>
  <si>
    <t>Sous-total des charges</t>
  </si>
  <si>
    <t>Sous-total des produits</t>
  </si>
  <si>
    <t>Excédent</t>
  </si>
  <si>
    <t>Pertes</t>
  </si>
  <si>
    <t>TOTAL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</si>
</sst>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&quot;Bilan au&quot;\ "/>
    <numFmt numFmtId="166" formatCode="0;\-0;;@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indexed="8"/>
      <name val="Calibri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30">
    <xf numFmtId="0" fontId="0" fillId="0" borderId="0" xfId="0"/>
    <xf numFmtId="0" fontId="2" fillId="0" borderId="1" xfId="0" applyFont="1" applyBorder="1"/>
    <xf numFmtId="0" fontId="2" fillId="0" borderId="3" xfId="0" applyFont="1" applyBorder="1"/>
    <xf numFmtId="0" fontId="2" fillId="0" borderId="3" xfId="0" applyFont="1" applyFill="1" applyBorder="1"/>
    <xf numFmtId="0" fontId="2" fillId="0" borderId="4" xfId="0" applyFont="1" applyFill="1" applyBorder="1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5" xfId="0" applyNumberFormat="1" applyBorder="1"/>
    <xf numFmtId="164" fontId="0" fillId="0" borderId="3" xfId="0" applyNumberFormat="1" applyBorder="1"/>
    <xf numFmtId="0" fontId="0" fillId="0" borderId="3" xfId="0" applyBorder="1"/>
    <xf numFmtId="164" fontId="0" fillId="0" borderId="4" xfId="0" applyNumberFormat="1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3" xfId="0" applyBorder="1" applyAlignment="1">
      <alignment horizontal="right"/>
    </xf>
    <xf numFmtId="4" fontId="0" fillId="0" borderId="5" xfId="0" applyNumberFormat="1" applyBorder="1"/>
    <xf numFmtId="4" fontId="0" fillId="0" borderId="3" xfId="0" applyNumberFormat="1" applyBorder="1"/>
    <xf numFmtId="4" fontId="0" fillId="0" borderId="4" xfId="0" applyNumberFormat="1" applyBorder="1"/>
    <xf numFmtId="0" fontId="2" fillId="0" borderId="6" xfId="0" applyFont="1" applyBorder="1"/>
    <xf numFmtId="16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0" fillId="0" borderId="2" xfId="0" applyNumberFormat="1" applyBorder="1"/>
    <xf numFmtId="0" fontId="0" fillId="0" borderId="2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2" xfId="0" applyBorder="1" applyAlignment="1">
      <alignment horizontal="right"/>
    </xf>
    <xf numFmtId="0" fontId="0" fillId="0" borderId="6" xfId="0" applyBorder="1" applyAlignment="1">
      <alignment horizontal="left"/>
    </xf>
    <xf numFmtId="16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4" fontId="0" fillId="0" borderId="5" xfId="0" applyNumberFormat="1" applyBorder="1" applyAlignment="1">
      <alignment horizontal="right"/>
    </xf>
    <xf numFmtId="4" fontId="0" fillId="0" borderId="3" xfId="0" applyNumberFormat="1" applyBorder="1" applyAlignment="1">
      <alignment horizontal="right"/>
    </xf>
    <xf numFmtId="4" fontId="0" fillId="0" borderId="4" xfId="0" applyNumberFormat="1" applyBorder="1" applyAlignment="1">
      <alignment horizontal="right"/>
    </xf>
    <xf numFmtId="0" fontId="0" fillId="0" borderId="0" xfId="0" applyAlignment="1">
      <alignment horizontal="center"/>
    </xf>
    <xf numFmtId="0" fontId="4" fillId="0" borderId="0" xfId="1" applyFont="1"/>
    <xf numFmtId="16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4" fontId="0" fillId="0" borderId="8" xfId="0" applyNumberForma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4" fontId="0" fillId="0" borderId="0" xfId="0" applyNumberFormat="1"/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4" fontId="0" fillId="0" borderId="2" xfId="0" applyNumberFormat="1" applyFill="1" applyBorder="1"/>
    <xf numFmtId="4" fontId="0" fillId="0" borderId="5" xfId="0" applyNumberFormat="1" applyFill="1" applyBorder="1"/>
    <xf numFmtId="0" fontId="5" fillId="0" borderId="3" xfId="0" applyFont="1" applyBorder="1" applyAlignment="1">
      <alignment horizontal="center"/>
    </xf>
    <xf numFmtId="4" fontId="0" fillId="0" borderId="3" xfId="0" applyNumberFormat="1" applyFill="1" applyBorder="1"/>
    <xf numFmtId="4" fontId="0" fillId="0" borderId="4" xfId="0" applyNumberFormat="1" applyFill="1" applyBorder="1"/>
    <xf numFmtId="4" fontId="0" fillId="0" borderId="5" xfId="0" applyNumberFormat="1" applyFill="1" applyBorder="1" applyAlignment="1">
      <alignment horizontal="center"/>
    </xf>
    <xf numFmtId="4" fontId="0" fillId="0" borderId="3" xfId="0" applyNumberFormat="1" applyFill="1" applyBorder="1" applyAlignment="1">
      <alignment horizontal="center"/>
    </xf>
    <xf numFmtId="4" fontId="0" fillId="0" borderId="8" xfId="0" applyNumberFormat="1" applyFill="1" applyBorder="1" applyAlignment="1">
      <alignment horizontal="center"/>
    </xf>
    <xf numFmtId="0" fontId="5" fillId="0" borderId="5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4" fontId="5" fillId="0" borderId="5" xfId="0" applyNumberFormat="1" applyFont="1" applyFill="1" applyBorder="1"/>
    <xf numFmtId="4" fontId="5" fillId="0" borderId="3" xfId="0" applyNumberFormat="1" applyFont="1" applyFill="1" applyBorder="1"/>
    <xf numFmtId="4" fontId="5" fillId="0" borderId="4" xfId="0" applyNumberFormat="1" applyFont="1" applyFill="1" applyBorder="1"/>
    <xf numFmtId="0" fontId="0" fillId="0" borderId="3" xfId="0" applyFont="1" applyBorder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4" xfId="0" applyBorder="1" applyAlignment="1">
      <alignment horizontal="right"/>
    </xf>
    <xf numFmtId="164" fontId="0" fillId="0" borderId="10" xfId="0" applyNumberFormat="1" applyBorder="1"/>
    <xf numFmtId="164" fontId="0" fillId="0" borderId="9" xfId="0" applyNumberFormat="1" applyBorder="1"/>
    <xf numFmtId="164" fontId="0" fillId="0" borderId="8" xfId="0" applyNumberFormat="1" applyBorder="1"/>
    <xf numFmtId="0" fontId="0" fillId="0" borderId="5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4" fontId="0" fillId="0" borderId="10" xfId="0" applyNumberFormat="1" applyFill="1" applyBorder="1" applyAlignment="1">
      <alignment horizontal="center"/>
    </xf>
    <xf numFmtId="0" fontId="0" fillId="0" borderId="10" xfId="0" applyBorder="1" applyAlignment="1">
      <alignment horizontal="center"/>
    </xf>
    <xf numFmtId="4" fontId="0" fillId="0" borderId="10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left"/>
    </xf>
    <xf numFmtId="165" fontId="7" fillId="0" borderId="11" xfId="0" applyNumberFormat="1" applyFont="1" applyBorder="1" applyAlignment="1">
      <alignment horizontal="center" vertical="center"/>
    </xf>
    <xf numFmtId="165" fontId="7" fillId="0" borderId="12" xfId="0" applyNumberFormat="1" applyFont="1" applyBorder="1" applyAlignment="1">
      <alignment horizontal="center" vertical="center"/>
    </xf>
    <xf numFmtId="165" fontId="7" fillId="0" borderId="13" xfId="0" applyNumberFormat="1" applyFont="1" applyBorder="1" applyAlignment="1">
      <alignment horizontal="center" vertical="center"/>
    </xf>
    <xf numFmtId="165" fontId="7" fillId="0" borderId="14" xfId="0" applyNumberFormat="1" applyFont="1" applyBorder="1" applyAlignment="1">
      <alignment horizontal="center" vertical="center"/>
    </xf>
    <xf numFmtId="165" fontId="7" fillId="0" borderId="15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6" fillId="0" borderId="17" xfId="0" applyFont="1" applyBorder="1"/>
    <xf numFmtId="0" fontId="6" fillId="0" borderId="18" xfId="0" applyFont="1" applyBorder="1"/>
    <xf numFmtId="0" fontId="6" fillId="0" borderId="19" xfId="0" applyFont="1" applyBorder="1"/>
    <xf numFmtId="0" fontId="6" fillId="0" borderId="20" xfId="0" applyFont="1" applyBorder="1"/>
    <xf numFmtId="0" fontId="6" fillId="0" borderId="21" xfId="0" applyFont="1" applyBorder="1"/>
    <xf numFmtId="166" fontId="0" fillId="0" borderId="22" xfId="0" applyNumberFormat="1" applyBorder="1"/>
    <xf numFmtId="0" fontId="0" fillId="0" borderId="22" xfId="0" applyBorder="1" applyAlignment="1">
      <alignment wrapText="1"/>
    </xf>
    <xf numFmtId="0" fontId="0" fillId="0" borderId="23" xfId="0" applyBorder="1"/>
    <xf numFmtId="166" fontId="0" fillId="0" borderId="24" xfId="0" applyNumberFormat="1" applyBorder="1"/>
    <xf numFmtId="166" fontId="0" fillId="0" borderId="25" xfId="0" applyNumberFormat="1" applyBorder="1"/>
    <xf numFmtId="166" fontId="0" fillId="0" borderId="26" xfId="0" applyNumberFormat="1" applyBorder="1"/>
    <xf numFmtId="0" fontId="0" fillId="0" borderId="27" xfId="0" applyBorder="1"/>
    <xf numFmtId="0" fontId="6" fillId="0" borderId="25" xfId="0" applyFont="1" applyBorder="1" applyAlignment="1">
      <alignment horizontal="right"/>
    </xf>
    <xf numFmtId="0" fontId="6" fillId="0" borderId="27" xfId="0" applyFont="1" applyBorder="1"/>
    <xf numFmtId="0" fontId="6" fillId="0" borderId="25" xfId="0" applyFont="1" applyBorder="1"/>
    <xf numFmtId="0" fontId="0" fillId="0" borderId="25" xfId="0" applyBorder="1"/>
    <xf numFmtId="0" fontId="0" fillId="0" borderId="26" xfId="0" applyBorder="1"/>
    <xf numFmtId="0" fontId="6" fillId="0" borderId="25" xfId="0" applyFont="1" applyBorder="1" applyAlignment="1">
      <alignment horizontal="center" vertical="center"/>
    </xf>
    <xf numFmtId="0" fontId="8" fillId="0" borderId="27" xfId="0" applyFont="1" applyBorder="1"/>
    <xf numFmtId="0" fontId="8" fillId="0" borderId="25" xfId="0" applyFont="1" applyBorder="1"/>
    <xf numFmtId="0" fontId="8" fillId="0" borderId="28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0" fontId="0" fillId="0" borderId="25" xfId="0" applyBorder="1" applyAlignment="1">
      <alignment wrapText="1"/>
    </xf>
    <xf numFmtId="166" fontId="0" fillId="0" borderId="25" xfId="0" applyNumberFormat="1" applyBorder="1" applyAlignment="1">
      <alignment horizontal="center" vertical="center"/>
    </xf>
    <xf numFmtId="0" fontId="6" fillId="0" borderId="25" xfId="0" applyFont="1" applyBorder="1" applyAlignment="1">
      <alignment horizontal="right" wrapText="1"/>
    </xf>
    <xf numFmtId="0" fontId="6" fillId="0" borderId="25" xfId="0" applyFont="1" applyBorder="1" applyAlignment="1">
      <alignment wrapText="1"/>
    </xf>
    <xf numFmtId="166" fontId="0" fillId="0" borderId="34" xfId="0" applyNumberForma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166" fontId="0" fillId="0" borderId="36" xfId="0" applyNumberFormat="1" applyBorder="1" applyAlignment="1">
      <alignment horizontal="center"/>
    </xf>
    <xf numFmtId="0" fontId="9" fillId="0" borderId="34" xfId="0" applyFont="1" applyBorder="1" applyAlignment="1">
      <alignment horizontal="center" vertical="center" wrapText="1"/>
    </xf>
    <xf numFmtId="0" fontId="8" fillId="0" borderId="34" xfId="0" applyFon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166" fontId="0" fillId="0" borderId="24" xfId="0" applyNumberFormat="1" applyBorder="1" applyAlignment="1">
      <alignment horizontal="center"/>
    </xf>
    <xf numFmtId="0" fontId="9" fillId="0" borderId="22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2">
    <cellStyle name="Excel Built-in Normal 1" xfId="1"/>
    <cellStyle name="Normal" xfId="0" builtinId="0"/>
  </cellStyles>
  <dxfs count="25">
    <dxf>
      <font>
        <color theme="0"/>
      </font>
      <fill>
        <patternFill>
          <bgColor theme="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nes/Documents/3-Pauline%20Bourse/arr&#234;t&#233;s%20%20des%20comptes/Comptes%20Mobius%20band%2020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ésorerie"/>
      <sheetName val="tab.dyn.1"/>
      <sheetName val="Tab.Dyn2"/>
      <sheetName val="données tab.dyn"/>
      <sheetName val="bilan compte résultat"/>
      <sheetName val="caisse"/>
      <sheetName val="résultats spécifiques "/>
      <sheetName val="Feuil1"/>
    </sheetNames>
    <sheetDataSet>
      <sheetData sheetId="0" refreshError="1"/>
      <sheetData sheetId="1" refreshError="1">
        <row r="3">
          <cell r="A3" t="str">
            <v>Étiquettes de lignes</v>
          </cell>
          <cell r="B3" t="str">
            <v>Somme de Dépense</v>
          </cell>
          <cell r="C3" t="str">
            <v>Somme de Recette</v>
          </cell>
        </row>
        <row r="4">
          <cell r="A4">
            <v>2151</v>
          </cell>
          <cell r="B4">
            <v>194.24</v>
          </cell>
        </row>
        <row r="5">
          <cell r="A5">
            <v>2152</v>
          </cell>
          <cell r="B5">
            <v>35.700000000000003</v>
          </cell>
        </row>
        <row r="6">
          <cell r="A6">
            <v>2153</v>
          </cell>
          <cell r="B6">
            <v>90.5</v>
          </cell>
        </row>
        <row r="7">
          <cell r="A7">
            <v>2710</v>
          </cell>
          <cell r="B7">
            <v>61</v>
          </cell>
        </row>
        <row r="8">
          <cell r="A8">
            <v>4550</v>
          </cell>
          <cell r="B8">
            <v>0</v>
          </cell>
          <cell r="C8">
            <v>900</v>
          </cell>
        </row>
        <row r="9">
          <cell r="A9">
            <v>4710</v>
          </cell>
          <cell r="B9">
            <v>436</v>
          </cell>
          <cell r="C9">
            <v>436</v>
          </cell>
        </row>
        <row r="10">
          <cell r="A10">
            <v>5800</v>
          </cell>
          <cell r="B10">
            <v>2161.61</v>
          </cell>
          <cell r="C10">
            <v>2121.61</v>
          </cell>
        </row>
        <row r="11">
          <cell r="A11">
            <v>6060</v>
          </cell>
          <cell r="B11">
            <v>440.29000000000008</v>
          </cell>
        </row>
        <row r="12">
          <cell r="A12">
            <v>6130</v>
          </cell>
          <cell r="B12">
            <v>500</v>
          </cell>
        </row>
        <row r="13">
          <cell r="A13">
            <v>6160</v>
          </cell>
          <cell r="B13">
            <v>104.97</v>
          </cell>
        </row>
        <row r="14">
          <cell r="A14">
            <v>6170</v>
          </cell>
          <cell r="B14">
            <v>822.46</v>
          </cell>
          <cell r="C14">
            <v>0</v>
          </cell>
        </row>
        <row r="15">
          <cell r="A15">
            <v>6230</v>
          </cell>
          <cell r="B15">
            <v>58.48</v>
          </cell>
        </row>
        <row r="16">
          <cell r="A16">
            <v>6250</v>
          </cell>
          <cell r="B16">
            <v>2617.9</v>
          </cell>
        </row>
        <row r="17">
          <cell r="A17">
            <v>6260</v>
          </cell>
          <cell r="B17">
            <v>44.55</v>
          </cell>
        </row>
        <row r="18">
          <cell r="A18">
            <v>6270</v>
          </cell>
          <cell r="B18">
            <v>733.59999999999991</v>
          </cell>
          <cell r="C18">
            <v>642.59999999999991</v>
          </cell>
        </row>
        <row r="19">
          <cell r="A19">
            <v>6280</v>
          </cell>
          <cell r="B19">
            <v>805.32999999999993</v>
          </cell>
        </row>
        <row r="20">
          <cell r="A20">
            <v>6281</v>
          </cell>
          <cell r="B20">
            <v>75</v>
          </cell>
        </row>
        <row r="21">
          <cell r="A21">
            <v>6410</v>
          </cell>
          <cell r="B21">
            <v>5219.3500000000004</v>
          </cell>
        </row>
        <row r="22">
          <cell r="A22">
            <v>7110</v>
          </cell>
          <cell r="B22">
            <v>0</v>
          </cell>
          <cell r="C22">
            <v>1733.89</v>
          </cell>
        </row>
        <row r="23">
          <cell r="A23">
            <v>7120</v>
          </cell>
          <cell r="B23">
            <v>0</v>
          </cell>
          <cell r="C23">
            <v>540</v>
          </cell>
        </row>
        <row r="24">
          <cell r="A24">
            <v>7130</v>
          </cell>
          <cell r="B24">
            <v>0</v>
          </cell>
          <cell r="C24">
            <v>800.19</v>
          </cell>
        </row>
        <row r="25">
          <cell r="A25">
            <v>7170</v>
          </cell>
          <cell r="B25">
            <v>0</v>
          </cell>
          <cell r="C25">
            <v>295.45999999999998</v>
          </cell>
        </row>
        <row r="26">
          <cell r="A26">
            <v>7250</v>
          </cell>
          <cell r="B26">
            <v>0</v>
          </cell>
          <cell r="C26">
            <v>400</v>
          </cell>
        </row>
        <row r="27">
          <cell r="A27">
            <v>7420</v>
          </cell>
          <cell r="B27">
            <v>0</v>
          </cell>
          <cell r="C27">
            <v>1200</v>
          </cell>
        </row>
        <row r="28">
          <cell r="A28">
            <v>7430</v>
          </cell>
          <cell r="B28">
            <v>0</v>
          </cell>
          <cell r="C28">
            <v>2000</v>
          </cell>
        </row>
        <row r="29">
          <cell r="A29">
            <v>7680</v>
          </cell>
          <cell r="B29">
            <v>0</v>
          </cell>
          <cell r="C29">
            <v>15</v>
          </cell>
        </row>
        <row r="30">
          <cell r="A30" t="str">
            <v>AN</v>
          </cell>
          <cell r="B30">
            <v>522.79999999999995</v>
          </cell>
          <cell r="C30">
            <v>2716.02</v>
          </cell>
        </row>
        <row r="31">
          <cell r="A31">
            <v>6700</v>
          </cell>
          <cell r="B31">
            <v>0</v>
          </cell>
        </row>
        <row r="32">
          <cell r="A32">
            <v>7410</v>
          </cell>
          <cell r="B32">
            <v>0</v>
          </cell>
          <cell r="C32">
            <v>2370</v>
          </cell>
        </row>
        <row r="33">
          <cell r="A33">
            <v>7125</v>
          </cell>
          <cell r="C33">
            <v>1425</v>
          </cell>
        </row>
        <row r="34">
          <cell r="A34" t="str">
            <v>(vide)</v>
          </cell>
          <cell r="C34">
            <v>22.3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53"/>
  <sheetViews>
    <sheetView zoomScaleNormal="100" workbookViewId="0">
      <selection activeCell="B3" sqref="B3"/>
    </sheetView>
  </sheetViews>
  <sheetFormatPr baseColWidth="10" defaultRowHeight="15" x14ac:dyDescent="0.25"/>
  <cols>
    <col min="1" max="1" width="10" customWidth="1"/>
    <col min="2" max="2" width="35.140625" customWidth="1"/>
    <col min="3" max="3" width="3.7109375" customWidth="1"/>
  </cols>
  <sheetData>
    <row r="1" spans="1:2" ht="15.75" thickBot="1" x14ac:dyDescent="0.3">
      <c r="A1" s="1" t="s">
        <v>0</v>
      </c>
      <c r="B1" s="1" t="s">
        <v>1</v>
      </c>
    </row>
    <row r="2" spans="1:2" ht="14.45" x14ac:dyDescent="0.3">
      <c r="A2" s="20">
        <v>0</v>
      </c>
      <c r="B2" s="20"/>
    </row>
    <row r="3" spans="1:2" x14ac:dyDescent="0.25">
      <c r="A3" s="2">
        <v>1060</v>
      </c>
      <c r="B3" s="2" t="s">
        <v>51</v>
      </c>
    </row>
    <row r="4" spans="1:2" ht="14.45" x14ac:dyDescent="0.3">
      <c r="A4" s="2">
        <v>1640</v>
      </c>
      <c r="B4" s="2" t="s">
        <v>54</v>
      </c>
    </row>
    <row r="5" spans="1:2" ht="14.45" x14ac:dyDescent="0.3">
      <c r="A5" s="2">
        <v>2151</v>
      </c>
      <c r="B5" s="2" t="s">
        <v>229</v>
      </c>
    </row>
    <row r="6" spans="1:2" x14ac:dyDescent="0.25">
      <c r="A6" s="2">
        <v>2152</v>
      </c>
      <c r="B6" s="2" t="s">
        <v>2</v>
      </c>
    </row>
    <row r="7" spans="1:2" x14ac:dyDescent="0.25">
      <c r="A7" s="2">
        <v>2153</v>
      </c>
      <c r="B7" s="2" t="s">
        <v>3</v>
      </c>
    </row>
    <row r="8" spans="1:2" ht="14.45" x14ac:dyDescent="0.3">
      <c r="A8" s="2">
        <v>2710</v>
      </c>
      <c r="B8" s="2" t="s">
        <v>4</v>
      </c>
    </row>
    <row r="9" spans="1:2" ht="14.45" x14ac:dyDescent="0.3">
      <c r="A9" s="3">
        <v>4010</v>
      </c>
      <c r="B9" s="3" t="s">
        <v>5</v>
      </c>
    </row>
    <row r="10" spans="1:2" x14ac:dyDescent="0.25">
      <c r="A10" s="3">
        <v>4050</v>
      </c>
      <c r="B10" s="3" t="s">
        <v>52</v>
      </c>
    </row>
    <row r="11" spans="1:2" x14ac:dyDescent="0.25">
      <c r="A11" s="3">
        <v>4110</v>
      </c>
      <c r="B11" s="3" t="s">
        <v>6</v>
      </c>
    </row>
    <row r="12" spans="1:2" x14ac:dyDescent="0.25">
      <c r="A12" s="3">
        <v>4210</v>
      </c>
      <c r="B12" s="3" t="s">
        <v>7</v>
      </c>
    </row>
    <row r="13" spans="1:2" x14ac:dyDescent="0.25">
      <c r="A13" s="2">
        <v>4550</v>
      </c>
      <c r="B13" s="2" t="s">
        <v>8</v>
      </c>
    </row>
    <row r="14" spans="1:2" x14ac:dyDescent="0.25">
      <c r="A14" s="3">
        <v>4680</v>
      </c>
      <c r="B14" s="3" t="s">
        <v>9</v>
      </c>
    </row>
    <row r="15" spans="1:2" x14ac:dyDescent="0.25">
      <c r="A15" s="3">
        <v>4685</v>
      </c>
      <c r="B15" s="3" t="s">
        <v>50</v>
      </c>
    </row>
    <row r="16" spans="1:2" ht="14.45" x14ac:dyDescent="0.3">
      <c r="A16" s="2">
        <v>4710</v>
      </c>
      <c r="B16" s="2" t="s">
        <v>10</v>
      </c>
    </row>
    <row r="17" spans="1:2" x14ac:dyDescent="0.25">
      <c r="A17" s="3">
        <v>4860</v>
      </c>
      <c r="B17" s="3" t="s">
        <v>11</v>
      </c>
    </row>
    <row r="18" spans="1:2" x14ac:dyDescent="0.25">
      <c r="A18" s="3">
        <v>4870</v>
      </c>
      <c r="B18" s="3" t="s">
        <v>12</v>
      </c>
    </row>
    <row r="19" spans="1:2" ht="14.45" x14ac:dyDescent="0.3">
      <c r="A19" s="3">
        <v>5120</v>
      </c>
      <c r="B19" s="3" t="s">
        <v>13</v>
      </c>
    </row>
    <row r="20" spans="1:2" ht="14.45" x14ac:dyDescent="0.3">
      <c r="A20" s="3">
        <v>5300</v>
      </c>
      <c r="B20" s="3" t="s">
        <v>14</v>
      </c>
    </row>
    <row r="21" spans="1:2" ht="14.45" x14ac:dyDescent="0.3">
      <c r="A21" s="2">
        <v>5800</v>
      </c>
      <c r="B21" s="2" t="s">
        <v>15</v>
      </c>
    </row>
    <row r="22" spans="1:2" x14ac:dyDescent="0.25">
      <c r="A22" s="2">
        <v>6060</v>
      </c>
      <c r="B22" s="2" t="s">
        <v>184</v>
      </c>
    </row>
    <row r="23" spans="1:2" x14ac:dyDescent="0.25">
      <c r="A23" s="2">
        <v>6130</v>
      </c>
      <c r="B23" s="2" t="s">
        <v>185</v>
      </c>
    </row>
    <row r="24" spans="1:2" x14ac:dyDescent="0.25">
      <c r="A24" s="2">
        <v>6160</v>
      </c>
      <c r="B24" s="2" t="s">
        <v>186</v>
      </c>
    </row>
    <row r="25" spans="1:2" x14ac:dyDescent="0.25">
      <c r="A25" s="2">
        <v>6170</v>
      </c>
      <c r="B25" s="2" t="s">
        <v>187</v>
      </c>
    </row>
    <row r="26" spans="1:2" x14ac:dyDescent="0.25">
      <c r="A26" s="2">
        <v>6230</v>
      </c>
      <c r="B26" s="2" t="s">
        <v>188</v>
      </c>
    </row>
    <row r="27" spans="1:2" x14ac:dyDescent="0.25">
      <c r="A27" s="2">
        <v>6250</v>
      </c>
      <c r="B27" s="2" t="s">
        <v>189</v>
      </c>
    </row>
    <row r="28" spans="1:2" x14ac:dyDescent="0.25">
      <c r="A28" s="2">
        <v>6260</v>
      </c>
      <c r="B28" s="2" t="s">
        <v>190</v>
      </c>
    </row>
    <row r="29" spans="1:2" x14ac:dyDescent="0.25">
      <c r="A29" s="2">
        <v>6270</v>
      </c>
      <c r="B29" s="2" t="s">
        <v>191</v>
      </c>
    </row>
    <row r="30" spans="1:2" x14ac:dyDescent="0.25">
      <c r="A30" s="2">
        <v>6280</v>
      </c>
      <c r="B30" s="2" t="s">
        <v>192</v>
      </c>
    </row>
    <row r="31" spans="1:2" x14ac:dyDescent="0.25">
      <c r="A31" s="2">
        <v>6281</v>
      </c>
      <c r="B31" s="2" t="s">
        <v>193</v>
      </c>
    </row>
    <row r="32" spans="1:2" x14ac:dyDescent="0.25">
      <c r="A32" s="2">
        <v>6285</v>
      </c>
      <c r="B32" s="2" t="s">
        <v>194</v>
      </c>
    </row>
    <row r="33" spans="1:2" x14ac:dyDescent="0.25">
      <c r="A33" s="2">
        <v>6410</v>
      </c>
      <c r="B33" s="2" t="s">
        <v>195</v>
      </c>
    </row>
    <row r="34" spans="1:2" x14ac:dyDescent="0.25">
      <c r="A34" s="2">
        <v>6415</v>
      </c>
      <c r="B34" s="2" t="s">
        <v>196</v>
      </c>
    </row>
    <row r="35" spans="1:2" x14ac:dyDescent="0.25">
      <c r="A35" s="3">
        <v>6580</v>
      </c>
      <c r="B35" s="3" t="s">
        <v>197</v>
      </c>
    </row>
    <row r="36" spans="1:2" x14ac:dyDescent="0.25">
      <c r="A36" s="3">
        <v>6610</v>
      </c>
      <c r="B36" s="3" t="s">
        <v>198</v>
      </c>
    </row>
    <row r="37" spans="1:2" x14ac:dyDescent="0.25">
      <c r="A37" s="3">
        <v>6700</v>
      </c>
      <c r="B37" s="3" t="s">
        <v>199</v>
      </c>
    </row>
    <row r="38" spans="1:2" x14ac:dyDescent="0.25">
      <c r="A38" s="2">
        <v>7110</v>
      </c>
      <c r="B38" s="2" t="s">
        <v>213</v>
      </c>
    </row>
    <row r="39" spans="1:2" x14ac:dyDescent="0.25">
      <c r="A39" s="2">
        <v>7112</v>
      </c>
      <c r="B39" s="2" t="s">
        <v>212</v>
      </c>
    </row>
    <row r="40" spans="1:2" x14ac:dyDescent="0.25">
      <c r="A40" s="2">
        <v>7120</v>
      </c>
      <c r="B40" s="2" t="s">
        <v>200</v>
      </c>
    </row>
    <row r="41" spans="1:2" x14ac:dyDescent="0.25">
      <c r="A41" s="2">
        <v>7130</v>
      </c>
      <c r="B41" s="2" t="s">
        <v>201</v>
      </c>
    </row>
    <row r="42" spans="1:2" x14ac:dyDescent="0.25">
      <c r="A42" s="2">
        <v>7410</v>
      </c>
      <c r="B42" s="2" t="s">
        <v>211</v>
      </c>
    </row>
    <row r="43" spans="1:2" x14ac:dyDescent="0.25">
      <c r="A43" s="2">
        <v>7420</v>
      </c>
      <c r="B43" s="2" t="s">
        <v>202</v>
      </c>
    </row>
    <row r="44" spans="1:2" x14ac:dyDescent="0.25">
      <c r="A44" s="2">
        <v>7430</v>
      </c>
      <c r="B44" s="2" t="s">
        <v>214</v>
      </c>
    </row>
    <row r="45" spans="1:2" x14ac:dyDescent="0.25">
      <c r="A45" s="3">
        <v>7440</v>
      </c>
      <c r="B45" s="3" t="s">
        <v>203</v>
      </c>
    </row>
    <row r="46" spans="1:2" x14ac:dyDescent="0.25">
      <c r="A46" s="3">
        <v>7450</v>
      </c>
      <c r="B46" s="3" t="s">
        <v>204</v>
      </c>
    </row>
    <row r="47" spans="1:2" x14ac:dyDescent="0.25">
      <c r="A47" s="3">
        <v>7455</v>
      </c>
      <c r="B47" s="3" t="s">
        <v>205</v>
      </c>
    </row>
    <row r="48" spans="1:2" x14ac:dyDescent="0.25">
      <c r="A48" s="3">
        <v>7460</v>
      </c>
      <c r="B48" s="3" t="s">
        <v>215</v>
      </c>
    </row>
    <row r="49" spans="1:2" x14ac:dyDescent="0.25">
      <c r="A49" s="3">
        <v>7470</v>
      </c>
      <c r="B49" s="3" t="s">
        <v>206</v>
      </c>
    </row>
    <row r="50" spans="1:2" x14ac:dyDescent="0.25">
      <c r="A50" s="3">
        <v>7580</v>
      </c>
      <c r="B50" s="3" t="s">
        <v>207</v>
      </c>
    </row>
    <row r="51" spans="1:2" x14ac:dyDescent="0.25">
      <c r="A51" s="3">
        <v>7610</v>
      </c>
      <c r="B51" s="3" t="s">
        <v>208</v>
      </c>
    </row>
    <row r="52" spans="1:2" x14ac:dyDescent="0.25">
      <c r="A52" s="2">
        <v>7680</v>
      </c>
      <c r="B52" s="2" t="s">
        <v>209</v>
      </c>
    </row>
    <row r="53" spans="1:2" ht="15.75" thickBot="1" x14ac:dyDescent="0.3">
      <c r="A53" s="4">
        <v>7700</v>
      </c>
      <c r="B53" s="4" t="s">
        <v>210</v>
      </c>
    </row>
  </sheetData>
  <pageMargins left="0.70866141732283472" right="0.70866141732283472" top="0.74803149606299213" bottom="0.74803149606299213" header="0.31496062992125984" footer="0.31496062992125984"/>
  <pageSetup paperSize="9" scale="95" orientation="portrait" r:id="rId1"/>
  <headerFooter>
    <oddHeader>&amp;C&amp;A</oddHeader>
    <oddFooter>&amp;L&amp;F&amp;R&amp;D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75"/>
  <sheetViews>
    <sheetView zoomScaleNormal="100" workbookViewId="0">
      <selection activeCell="H6" sqref="H6"/>
    </sheetView>
  </sheetViews>
  <sheetFormatPr baseColWidth="10" defaultRowHeight="15" x14ac:dyDescent="0.25"/>
  <cols>
    <col min="1" max="1" width="11.28515625" style="5" customWidth="1"/>
    <col min="2" max="2" width="9.85546875" style="38" customWidth="1"/>
    <col min="3" max="3" width="39.85546875" customWidth="1"/>
    <col min="4" max="4" width="9.5703125" customWidth="1"/>
    <col min="5" max="5" width="10.28515625" customWidth="1"/>
    <col min="6" max="6" width="10.7109375" style="38" customWidth="1"/>
  </cols>
  <sheetData>
    <row r="1" spans="1:10" ht="15.75" thickBot="1" x14ac:dyDescent="0.3">
      <c r="A1" s="7" t="s">
        <v>17</v>
      </c>
      <c r="B1" s="8" t="s">
        <v>16</v>
      </c>
      <c r="C1" s="6" t="s">
        <v>18</v>
      </c>
      <c r="D1" s="8" t="s">
        <v>19</v>
      </c>
      <c r="E1" s="8" t="s">
        <v>20</v>
      </c>
      <c r="F1" s="64" t="s">
        <v>182</v>
      </c>
    </row>
    <row r="2" spans="1:10" ht="14.45" x14ac:dyDescent="0.3">
      <c r="A2" s="30">
        <v>41275</v>
      </c>
      <c r="B2" s="31">
        <f>PCG!A6</f>
        <v>2152</v>
      </c>
      <c r="C2" s="26" t="str">
        <f t="shared" ref="C2:C15" si="0">VLOOKUP(B2,TablePCG,2,FALSE)</f>
        <v>décors</v>
      </c>
      <c r="D2" s="35">
        <v>115.84</v>
      </c>
      <c r="E2" s="35"/>
      <c r="F2" s="71"/>
    </row>
    <row r="3" spans="1:10" ht="14.45" x14ac:dyDescent="0.3">
      <c r="A3" s="21"/>
      <c r="B3" s="22">
        <f>PCG!A5</f>
        <v>2151</v>
      </c>
      <c r="C3" s="27" t="str">
        <f t="shared" si="0"/>
        <v>costumes</v>
      </c>
      <c r="D3" s="36">
        <v>264.08999999999997</v>
      </c>
      <c r="E3" s="36"/>
      <c r="F3" s="72"/>
      <c r="H3" s="39"/>
    </row>
    <row r="4" spans="1:10" ht="14.45" x14ac:dyDescent="0.3">
      <c r="A4" s="21"/>
      <c r="B4" s="22">
        <f>PCG!A7</f>
        <v>2153</v>
      </c>
      <c r="C4" s="27" t="str">
        <f t="shared" si="0"/>
        <v>matériels</v>
      </c>
      <c r="D4" s="36">
        <v>274.48</v>
      </c>
      <c r="E4" s="36"/>
      <c r="F4" s="72"/>
      <c r="H4" s="39"/>
    </row>
    <row r="5" spans="1:10" ht="14.45" x14ac:dyDescent="0.3">
      <c r="A5" s="21"/>
      <c r="B5" s="22">
        <f>PCG!A8</f>
        <v>2710</v>
      </c>
      <c r="C5" s="27" t="str">
        <f t="shared" si="0"/>
        <v>parts sociales</v>
      </c>
      <c r="D5" s="36">
        <v>61</v>
      </c>
      <c r="E5" s="36"/>
      <c r="F5" s="72"/>
      <c r="H5" s="39"/>
    </row>
    <row r="6" spans="1:10" ht="14.45" x14ac:dyDescent="0.3">
      <c r="A6" s="21"/>
      <c r="B6" s="22">
        <f>PCG!A14</f>
        <v>4680</v>
      </c>
      <c r="C6" s="27" t="str">
        <f t="shared" si="0"/>
        <v>subvention à recevoir</v>
      </c>
      <c r="D6" s="36">
        <v>600</v>
      </c>
      <c r="E6" s="36"/>
      <c r="F6" s="72"/>
      <c r="H6" s="39"/>
    </row>
    <row r="7" spans="1:10" ht="14.45" x14ac:dyDescent="0.3">
      <c r="A7" s="21"/>
      <c r="B7" s="22">
        <f>PCG!A15</f>
        <v>4685</v>
      </c>
      <c r="C7" s="27" t="str">
        <f t="shared" si="0"/>
        <v>cotisations à recevoir</v>
      </c>
      <c r="D7" s="36">
        <v>58.2</v>
      </c>
      <c r="E7" s="36"/>
      <c r="F7" s="72"/>
      <c r="H7" s="39">
        <f>COUNTIF(journal,2152)</f>
        <v>1</v>
      </c>
    </row>
    <row r="8" spans="1:10" ht="14.45" x14ac:dyDescent="0.3">
      <c r="A8" s="21"/>
      <c r="B8" s="22">
        <f>PCG!A20</f>
        <v>5300</v>
      </c>
      <c r="C8" s="27" t="str">
        <f t="shared" si="0"/>
        <v>caisse</v>
      </c>
      <c r="D8" s="36">
        <v>17.079999999999998</v>
      </c>
      <c r="E8" s="36"/>
      <c r="F8" s="72"/>
      <c r="H8" s="39">
        <f>COUNTIF(journal,2151)</f>
        <v>4</v>
      </c>
      <c r="J8" s="45">
        <f>D3+D56+D59+D62</f>
        <v>344.03</v>
      </c>
    </row>
    <row r="9" spans="1:10" ht="14.45" x14ac:dyDescent="0.3">
      <c r="A9" s="21"/>
      <c r="B9" s="22">
        <f>PCG!A19</f>
        <v>5120</v>
      </c>
      <c r="C9" s="27" t="str">
        <f t="shared" si="0"/>
        <v>banque</v>
      </c>
      <c r="D9" s="36">
        <v>512.74</v>
      </c>
      <c r="E9" s="36"/>
      <c r="F9" s="72"/>
      <c r="H9" s="39">
        <f>COUNTIF(ncompte,2153)</f>
        <v>2</v>
      </c>
      <c r="J9" s="45">
        <f>D4+D102</f>
        <v>310.74</v>
      </c>
    </row>
    <row r="10" spans="1:10" ht="14.45" x14ac:dyDescent="0.3">
      <c r="A10" s="21"/>
      <c r="B10" s="22">
        <f>PCG!A17</f>
        <v>4860</v>
      </c>
      <c r="C10" s="27" t="str">
        <f t="shared" si="0"/>
        <v>charges constatées d'avance</v>
      </c>
      <c r="D10" s="36">
        <v>104.97</v>
      </c>
      <c r="E10" s="36"/>
      <c r="F10" s="72"/>
      <c r="H10" s="39">
        <f>COUNTIF(ncompte,2153)</f>
        <v>2</v>
      </c>
    </row>
    <row r="11" spans="1:10" ht="14.45" x14ac:dyDescent="0.3">
      <c r="A11" s="21"/>
      <c r="B11" s="22">
        <f>PCG!A3</f>
        <v>1060</v>
      </c>
      <c r="C11" s="16" t="str">
        <f t="shared" si="0"/>
        <v>réserves</v>
      </c>
      <c r="D11" s="36"/>
      <c r="E11" s="36">
        <v>60.13</v>
      </c>
      <c r="F11" s="72"/>
      <c r="H11" s="39">
        <f>COUNTIF(ncompte,2153)</f>
        <v>2</v>
      </c>
    </row>
    <row r="12" spans="1:10" ht="14.45" x14ac:dyDescent="0.3">
      <c r="A12" s="21"/>
      <c r="B12" s="22">
        <f>PCG!A13</f>
        <v>4550</v>
      </c>
      <c r="C12" s="16" t="str">
        <f t="shared" si="0"/>
        <v>adhérents</v>
      </c>
      <c r="D12" s="36"/>
      <c r="E12" s="36">
        <v>900</v>
      </c>
      <c r="F12" s="72"/>
      <c r="H12" s="39">
        <f>COUNTIF(ncompte,2153)</f>
        <v>2</v>
      </c>
    </row>
    <row r="13" spans="1:10" ht="14.45" x14ac:dyDescent="0.3">
      <c r="A13" s="21"/>
      <c r="B13" s="22">
        <f>PCG!A9</f>
        <v>4010</v>
      </c>
      <c r="C13" s="16" t="str">
        <f t="shared" si="0"/>
        <v>fournisseurs</v>
      </c>
      <c r="D13" s="36"/>
      <c r="E13" s="36">
        <v>202.43</v>
      </c>
      <c r="F13" s="72"/>
      <c r="H13" s="39">
        <f>COUNTIF(ncompte,2153)</f>
        <v>2</v>
      </c>
    </row>
    <row r="14" spans="1:10" ht="14.45" x14ac:dyDescent="0.3">
      <c r="A14" s="21"/>
      <c r="B14" s="22">
        <f>PCG!A12</f>
        <v>4210</v>
      </c>
      <c r="C14" s="16" t="str">
        <f t="shared" si="0"/>
        <v>salaires à payer</v>
      </c>
      <c r="D14" s="36"/>
      <c r="E14" s="36">
        <v>645.84</v>
      </c>
      <c r="F14" s="72"/>
      <c r="H14" s="39">
        <f>COUNTIF(ncompte,2153)</f>
        <v>2</v>
      </c>
    </row>
    <row r="15" spans="1:10" ht="14.45" x14ac:dyDescent="0.3">
      <c r="A15" s="21"/>
      <c r="B15" s="22">
        <f>PCG!A10</f>
        <v>4050</v>
      </c>
      <c r="C15" s="16" t="str">
        <f t="shared" si="0"/>
        <v>loyers à payer</v>
      </c>
      <c r="D15" s="36"/>
      <c r="E15" s="36">
        <v>200</v>
      </c>
      <c r="F15" s="73"/>
      <c r="H15" s="39"/>
    </row>
    <row r="16" spans="1:10" ht="15.75" thickBot="1" x14ac:dyDescent="0.3">
      <c r="A16" s="32"/>
      <c r="B16" s="14"/>
      <c r="C16" s="14" t="s">
        <v>53</v>
      </c>
      <c r="D16" s="37"/>
      <c r="E16" s="37"/>
      <c r="F16" s="73"/>
    </row>
    <row r="17" spans="1:6" ht="14.45" x14ac:dyDescent="0.3">
      <c r="A17" s="30">
        <v>41275</v>
      </c>
      <c r="B17" s="31">
        <v>6160</v>
      </c>
      <c r="C17" s="15" t="str">
        <f>VLOOKUP(B17,TablePCG,2,FALSE)</f>
        <v>22-assurance</v>
      </c>
      <c r="D17" s="33">
        <v>104.97</v>
      </c>
      <c r="E17" s="33"/>
      <c r="F17" s="73" t="s">
        <v>171</v>
      </c>
    </row>
    <row r="18" spans="1:6" ht="14.45" x14ac:dyDescent="0.3">
      <c r="A18" s="21"/>
      <c r="B18" s="22">
        <v>4860</v>
      </c>
      <c r="C18" s="16" t="str">
        <f>VLOOKUP(B18,TablePCG,2,FALSE)</f>
        <v>charges constatées d'avance</v>
      </c>
      <c r="D18" s="34"/>
      <c r="E18" s="34">
        <v>104.97</v>
      </c>
      <c r="F18" s="73"/>
    </row>
    <row r="19" spans="1:6" thickBot="1" x14ac:dyDescent="0.35">
      <c r="A19" s="40"/>
      <c r="B19" s="41"/>
      <c r="C19" s="43" t="s">
        <v>56</v>
      </c>
      <c r="D19" s="42"/>
      <c r="E19" s="42"/>
      <c r="F19" s="73"/>
    </row>
    <row r="20" spans="1:6" ht="14.45" x14ac:dyDescent="0.3">
      <c r="A20" s="30">
        <v>41275</v>
      </c>
      <c r="B20" s="31">
        <f>PCG!A42</f>
        <v>7410</v>
      </c>
      <c r="C20" s="15" t="str">
        <f>VLOOKUP(B20,TablePCG,2,FALSE)</f>
        <v xml:space="preserve">40-subvention municipalité </v>
      </c>
      <c r="D20" s="33">
        <v>600</v>
      </c>
      <c r="E20" s="33"/>
      <c r="F20" s="73" t="s">
        <v>171</v>
      </c>
    </row>
    <row r="21" spans="1:6" ht="14.45" x14ac:dyDescent="0.3">
      <c r="A21" s="21"/>
      <c r="B21" s="22">
        <v>4680</v>
      </c>
      <c r="C21" s="16" t="str">
        <f>VLOOKUP(B21,TablePCG,2,FALSE)</f>
        <v>subvention à recevoir</v>
      </c>
      <c r="D21" s="34"/>
      <c r="E21" s="34">
        <v>600</v>
      </c>
      <c r="F21" s="73"/>
    </row>
    <row r="22" spans="1:6" ht="15.75" thickBot="1" x14ac:dyDescent="0.3">
      <c r="A22" s="40"/>
      <c r="B22" s="41"/>
      <c r="C22" s="43" t="s">
        <v>58</v>
      </c>
      <c r="D22" s="42"/>
      <c r="E22" s="42"/>
      <c r="F22" s="73"/>
    </row>
    <row r="23" spans="1:6" x14ac:dyDescent="0.25">
      <c r="A23" s="30">
        <v>41284</v>
      </c>
      <c r="B23" s="58">
        <f>PCG!A32</f>
        <v>6285</v>
      </c>
      <c r="C23" s="15" t="str">
        <f>VLOOKUP(B23,TablePCG,2,FALSE)</f>
        <v xml:space="preserve">30-autres charges </v>
      </c>
      <c r="D23" s="33">
        <v>8.41</v>
      </c>
      <c r="E23" s="33"/>
      <c r="F23" s="73" t="s">
        <v>171</v>
      </c>
    </row>
    <row r="24" spans="1:6" x14ac:dyDescent="0.25">
      <c r="A24" s="21"/>
      <c r="B24" s="22">
        <v>5120</v>
      </c>
      <c r="C24" s="16" t="str">
        <f>VLOOKUP(B24,TablePCG,2,FALSE)</f>
        <v>banque</v>
      </c>
      <c r="D24" s="34"/>
      <c r="E24" s="34">
        <v>8.41</v>
      </c>
      <c r="F24" s="73"/>
    </row>
    <row r="25" spans="1:6" ht="15.75" thickBot="1" x14ac:dyDescent="0.3">
      <c r="A25" s="40"/>
      <c r="B25" s="41"/>
      <c r="C25" s="43" t="s">
        <v>118</v>
      </c>
      <c r="D25" s="42"/>
      <c r="E25" s="42"/>
      <c r="F25" s="72"/>
    </row>
    <row r="26" spans="1:6" x14ac:dyDescent="0.25">
      <c r="A26" s="30">
        <v>41284</v>
      </c>
      <c r="B26" s="31">
        <f>+PCG!A27</f>
        <v>6250</v>
      </c>
      <c r="C26" s="15" t="str">
        <f>VLOOKUP(B26,TablePCG,2,FALSE)</f>
        <v>25-frais de résidence et de déplacement</v>
      </c>
      <c r="D26" s="33">
        <v>33.700000000000003</v>
      </c>
      <c r="E26" s="33"/>
      <c r="F26" s="72" t="s">
        <v>180</v>
      </c>
    </row>
    <row r="27" spans="1:6" x14ac:dyDescent="0.25">
      <c r="A27" s="21"/>
      <c r="B27" s="22">
        <v>5120</v>
      </c>
      <c r="C27" s="16" t="str">
        <f>VLOOKUP(B27,TablePCG,2,FALSE)</f>
        <v>banque</v>
      </c>
      <c r="D27" s="34"/>
      <c r="E27" s="34">
        <v>33.700000000000003</v>
      </c>
      <c r="F27" s="72"/>
    </row>
    <row r="28" spans="1:6" ht="15.75" thickBot="1" x14ac:dyDescent="0.3">
      <c r="A28" s="40"/>
      <c r="B28" s="41"/>
      <c r="C28" s="43" t="s">
        <v>129</v>
      </c>
      <c r="D28" s="42"/>
      <c r="E28" s="42"/>
      <c r="F28" s="72"/>
    </row>
    <row r="29" spans="1:6" x14ac:dyDescent="0.25">
      <c r="A29" s="30">
        <v>41289</v>
      </c>
      <c r="B29" s="31">
        <v>5120</v>
      </c>
      <c r="C29" s="15" t="str">
        <f>VLOOKUP(B29,TablePCG,2,FALSE)</f>
        <v>banque</v>
      </c>
      <c r="D29" s="33">
        <v>2000</v>
      </c>
      <c r="E29" s="33"/>
      <c r="F29" s="72"/>
    </row>
    <row r="30" spans="1:6" x14ac:dyDescent="0.25">
      <c r="A30" s="21"/>
      <c r="B30" s="22">
        <f>PCG!A39</f>
        <v>7112</v>
      </c>
      <c r="C30" s="16" t="str">
        <f>VLOOKUP(B30,TablePCG,2,FALSE)</f>
        <v>37-recettes V</v>
      </c>
      <c r="D30" s="34"/>
      <c r="E30" s="34">
        <v>2000</v>
      </c>
      <c r="F30" s="72" t="s">
        <v>180</v>
      </c>
    </row>
    <row r="31" spans="1:6" ht="15.75" thickBot="1" x14ac:dyDescent="0.3">
      <c r="A31" s="40"/>
      <c r="B31" s="41"/>
      <c r="C31" s="41" t="s">
        <v>117</v>
      </c>
      <c r="D31" s="42"/>
      <c r="E31" s="42"/>
      <c r="F31" s="72"/>
    </row>
    <row r="32" spans="1:6" x14ac:dyDescent="0.25">
      <c r="A32" s="30">
        <v>41289</v>
      </c>
      <c r="B32" s="31">
        <v>6250</v>
      </c>
      <c r="C32" s="15" t="str">
        <f>VLOOKUP(B32,TablePCG,2,FALSE)</f>
        <v>25-frais de résidence et de déplacement</v>
      </c>
      <c r="D32" s="33">
        <v>30</v>
      </c>
      <c r="E32" s="33"/>
      <c r="F32" s="72" t="s">
        <v>180</v>
      </c>
    </row>
    <row r="33" spans="1:6" x14ac:dyDescent="0.25">
      <c r="A33" s="21"/>
      <c r="B33" s="22">
        <v>5120</v>
      </c>
      <c r="C33" s="16" t="str">
        <f>VLOOKUP(B33,TablePCG,2,FALSE)</f>
        <v>banque</v>
      </c>
      <c r="D33" s="34"/>
      <c r="E33" s="34">
        <v>30</v>
      </c>
      <c r="F33" s="72"/>
    </row>
    <row r="34" spans="1:6" ht="15.75" thickBot="1" x14ac:dyDescent="0.3">
      <c r="A34" s="40"/>
      <c r="B34" s="41"/>
      <c r="C34" s="41" t="s">
        <v>120</v>
      </c>
      <c r="D34" s="42"/>
      <c r="E34" s="42"/>
      <c r="F34" s="72"/>
    </row>
    <row r="35" spans="1:6" x14ac:dyDescent="0.25">
      <c r="A35" s="30">
        <v>41290</v>
      </c>
      <c r="B35" s="31">
        <f>PCG!A27</f>
        <v>6250</v>
      </c>
      <c r="C35" s="15" t="str">
        <f>VLOOKUP(B35,TablePCG,2,FALSE)</f>
        <v>25-frais de résidence et de déplacement</v>
      </c>
      <c r="D35" s="33">
        <v>78.400000000000006</v>
      </c>
      <c r="E35" s="33"/>
      <c r="F35" s="72" t="s">
        <v>180</v>
      </c>
    </row>
    <row r="36" spans="1:6" x14ac:dyDescent="0.25">
      <c r="A36" s="21"/>
      <c r="B36" s="22">
        <v>5120</v>
      </c>
      <c r="C36" s="16" t="str">
        <f>VLOOKUP(B36,TablePCG,2,FALSE)</f>
        <v>banque</v>
      </c>
      <c r="D36" s="34"/>
      <c r="E36" s="34">
        <v>78.400000000000006</v>
      </c>
      <c r="F36" s="72"/>
    </row>
    <row r="37" spans="1:6" ht="15.75" thickBot="1" x14ac:dyDescent="0.3">
      <c r="A37" s="40"/>
      <c r="B37" s="41"/>
      <c r="C37" s="43" t="s">
        <v>29</v>
      </c>
      <c r="D37" s="42"/>
      <c r="E37" s="42"/>
      <c r="F37" s="72"/>
    </row>
    <row r="38" spans="1:6" x14ac:dyDescent="0.25">
      <c r="A38" s="30">
        <v>41290</v>
      </c>
      <c r="B38" s="58">
        <v>6580</v>
      </c>
      <c r="C38" s="15" t="str">
        <f>VLOOKUP(B38,TablePCG,2,FALSE)</f>
        <v xml:space="preserve">33-charges diverses </v>
      </c>
      <c r="D38" s="33">
        <v>167.3</v>
      </c>
      <c r="E38" s="33"/>
      <c r="F38" s="72" t="s">
        <v>171</v>
      </c>
    </row>
    <row r="39" spans="1:6" x14ac:dyDescent="0.25">
      <c r="A39" s="21"/>
      <c r="B39" s="22">
        <v>5120</v>
      </c>
      <c r="C39" s="16" t="str">
        <f>VLOOKUP(B39,TablePCG,2,FALSE)</f>
        <v>banque</v>
      </c>
      <c r="D39" s="34"/>
      <c r="E39" s="34">
        <v>167.3</v>
      </c>
      <c r="F39" s="72"/>
    </row>
    <row r="40" spans="1:6" ht="15.75" thickBot="1" x14ac:dyDescent="0.3">
      <c r="A40" s="40"/>
      <c r="B40" s="41"/>
      <c r="C40" s="43" t="s">
        <v>172</v>
      </c>
      <c r="D40" s="42"/>
      <c r="E40" s="42"/>
      <c r="F40" s="72"/>
    </row>
    <row r="41" spans="1:6" x14ac:dyDescent="0.25">
      <c r="A41" s="30">
        <v>41290</v>
      </c>
      <c r="B41" s="58">
        <v>6285</v>
      </c>
      <c r="C41" s="15" t="str">
        <f>VLOOKUP(B41,TablePCG,2,FALSE)</f>
        <v xml:space="preserve">30-autres charges </v>
      </c>
      <c r="D41" s="33">
        <v>7</v>
      </c>
      <c r="E41" s="33"/>
      <c r="F41" s="72" t="s">
        <v>171</v>
      </c>
    </row>
    <row r="42" spans="1:6" x14ac:dyDescent="0.25">
      <c r="A42" s="21"/>
      <c r="B42" s="22">
        <v>5120</v>
      </c>
      <c r="C42" s="16" t="str">
        <f>VLOOKUP(B42,TablePCG,2,FALSE)</f>
        <v>banque</v>
      </c>
      <c r="D42" s="34"/>
      <c r="E42" s="34">
        <v>7</v>
      </c>
      <c r="F42" s="72"/>
    </row>
    <row r="43" spans="1:6" ht="15.75" thickBot="1" x14ac:dyDescent="0.3">
      <c r="A43" s="40"/>
      <c r="B43" s="41"/>
      <c r="C43" s="43" t="s">
        <v>162</v>
      </c>
      <c r="D43" s="42"/>
      <c r="E43" s="42"/>
      <c r="F43" s="72"/>
    </row>
    <row r="44" spans="1:6" x14ac:dyDescent="0.25">
      <c r="A44" s="9">
        <v>41290</v>
      </c>
      <c r="B44" s="31">
        <v>6250</v>
      </c>
      <c r="C44" s="15" t="str">
        <f>VLOOKUP(B44,TablePCG,2,FALSE)</f>
        <v>25-frais de résidence et de déplacement</v>
      </c>
      <c r="D44" s="17">
        <v>100</v>
      </c>
      <c r="E44" s="17"/>
      <c r="F44" s="74" t="s">
        <v>180</v>
      </c>
    </row>
    <row r="45" spans="1:6" x14ac:dyDescent="0.25">
      <c r="A45" s="10"/>
      <c r="B45" s="22">
        <v>5120</v>
      </c>
      <c r="C45" s="16" t="str">
        <f>VLOOKUP(B45,TablePCG,2,FALSE)</f>
        <v>banque</v>
      </c>
      <c r="D45" s="18"/>
      <c r="E45" s="18">
        <v>100</v>
      </c>
      <c r="F45" s="74"/>
    </row>
    <row r="46" spans="1:6" ht="15.75" thickBot="1" x14ac:dyDescent="0.3">
      <c r="A46" s="12"/>
      <c r="B46" s="14"/>
      <c r="C46" s="57" t="s">
        <v>183</v>
      </c>
      <c r="D46" s="19"/>
      <c r="E46" s="19"/>
      <c r="F46" s="74"/>
    </row>
    <row r="47" spans="1:6" x14ac:dyDescent="0.25">
      <c r="A47" s="30">
        <v>41291</v>
      </c>
      <c r="B47" s="31">
        <v>4010</v>
      </c>
      <c r="C47" s="15" t="str">
        <f>VLOOKUP(B47,TablePCG,2,FALSE)</f>
        <v>fournisseurs</v>
      </c>
      <c r="D47" s="33">
        <v>77.8</v>
      </c>
      <c r="E47" s="33"/>
      <c r="F47" s="74"/>
    </row>
    <row r="48" spans="1:6" x14ac:dyDescent="0.25">
      <c r="A48" s="21"/>
      <c r="B48" s="22">
        <v>5120</v>
      </c>
      <c r="C48" s="16" t="str">
        <f>VLOOKUP(B48,TablePCG,2,FALSE)</f>
        <v>banque</v>
      </c>
      <c r="D48" s="34"/>
      <c r="E48" s="34">
        <v>77.8</v>
      </c>
      <c r="F48" s="74"/>
    </row>
    <row r="49" spans="1:6" ht="15.75" thickBot="1" x14ac:dyDescent="0.3">
      <c r="A49" s="40"/>
      <c r="B49" s="41"/>
      <c r="C49" s="41" t="s">
        <v>55</v>
      </c>
      <c r="D49" s="42"/>
      <c r="E49" s="42"/>
      <c r="F49" s="74"/>
    </row>
    <row r="50" spans="1:6" x14ac:dyDescent="0.25">
      <c r="A50" s="30">
        <v>41292</v>
      </c>
      <c r="B50" s="31">
        <v>6410</v>
      </c>
      <c r="C50" s="15" t="str">
        <f>VLOOKUP(B50,TablePCG,2,FALSE)</f>
        <v xml:space="preserve">31-salaires </v>
      </c>
      <c r="D50" s="53">
        <v>9132.82</v>
      </c>
      <c r="E50" s="53"/>
      <c r="F50" s="74" t="s">
        <v>180</v>
      </c>
    </row>
    <row r="51" spans="1:6" x14ac:dyDescent="0.25">
      <c r="A51" s="21"/>
      <c r="B51" s="22">
        <v>5120</v>
      </c>
      <c r="C51" s="16" t="str">
        <f>VLOOKUP(B51,TablePCG,2,FALSE)</f>
        <v>banque</v>
      </c>
      <c r="D51" s="54"/>
      <c r="E51" s="54">
        <v>9132.82</v>
      </c>
      <c r="F51" s="74"/>
    </row>
    <row r="52" spans="1:6" ht="15.75" thickBot="1" x14ac:dyDescent="0.3">
      <c r="A52" s="40"/>
      <c r="B52" s="41"/>
      <c r="C52" s="41" t="s">
        <v>116</v>
      </c>
      <c r="D52" s="55"/>
      <c r="E52" s="55"/>
      <c r="F52" s="74"/>
    </row>
    <row r="53" spans="1:6" x14ac:dyDescent="0.25">
      <c r="A53" s="30">
        <v>41291</v>
      </c>
      <c r="B53" s="31">
        <v>4010</v>
      </c>
      <c r="C53" s="15" t="str">
        <f>VLOOKUP(B53,TablePCG,2,FALSE)</f>
        <v>fournisseurs</v>
      </c>
      <c r="D53" s="53">
        <v>43.63</v>
      </c>
      <c r="E53" s="53"/>
      <c r="F53" s="74"/>
    </row>
    <row r="54" spans="1:6" x14ac:dyDescent="0.25">
      <c r="A54" s="21"/>
      <c r="B54" s="22">
        <v>5120</v>
      </c>
      <c r="C54" s="16" t="str">
        <f>VLOOKUP(B54,TablePCG,2,FALSE)</f>
        <v>banque</v>
      </c>
      <c r="D54" s="54"/>
      <c r="E54" s="54">
        <v>43.63</v>
      </c>
      <c r="F54" s="74"/>
    </row>
    <row r="55" spans="1:6" ht="15.75" thickBot="1" x14ac:dyDescent="0.3">
      <c r="A55" s="40"/>
      <c r="B55" s="41"/>
      <c r="C55" s="41" t="s">
        <v>57</v>
      </c>
      <c r="D55" s="55"/>
      <c r="E55" s="55"/>
      <c r="F55" s="74"/>
    </row>
    <row r="56" spans="1:6" x14ac:dyDescent="0.25">
      <c r="A56" s="9">
        <v>41296</v>
      </c>
      <c r="B56" s="31">
        <f>PCG!A5</f>
        <v>2151</v>
      </c>
      <c r="C56" s="15" t="str">
        <f>VLOOKUP(B56,TablePCG,2,FALSE)</f>
        <v>costumes</v>
      </c>
      <c r="D56" s="49">
        <v>19.95</v>
      </c>
      <c r="E56" s="49"/>
      <c r="F56" s="74"/>
    </row>
    <row r="57" spans="1:6" x14ac:dyDescent="0.25">
      <c r="A57" s="10"/>
      <c r="B57" s="22">
        <v>5120</v>
      </c>
      <c r="C57" s="16" t="str">
        <f>VLOOKUP(B57,TablePCG,2,FALSE)</f>
        <v>banque</v>
      </c>
      <c r="D57" s="51"/>
      <c r="E57" s="51">
        <v>19.95</v>
      </c>
      <c r="F57" s="74"/>
    </row>
    <row r="58" spans="1:6" ht="15.75" thickBot="1" x14ac:dyDescent="0.3">
      <c r="A58" s="12"/>
      <c r="B58" s="14"/>
      <c r="C58" s="14" t="s">
        <v>22</v>
      </c>
      <c r="D58" s="52"/>
      <c r="E58" s="52"/>
      <c r="F58" s="74"/>
    </row>
    <row r="59" spans="1:6" x14ac:dyDescent="0.25">
      <c r="A59" s="9">
        <v>41294</v>
      </c>
      <c r="B59" s="31">
        <v>2151</v>
      </c>
      <c r="C59" s="15" t="str">
        <f>VLOOKUP(B59,TablePCG,2,FALSE)</f>
        <v>costumes</v>
      </c>
      <c r="D59" s="49">
        <v>20.99</v>
      </c>
      <c r="E59" s="49"/>
      <c r="F59" s="74"/>
    </row>
    <row r="60" spans="1:6" x14ac:dyDescent="0.25">
      <c r="A60" s="10"/>
      <c r="B60" s="22">
        <v>5120</v>
      </c>
      <c r="C60" s="16" t="str">
        <f>VLOOKUP(B60,TablePCG,2,FALSE)</f>
        <v>banque</v>
      </c>
      <c r="D60" s="51"/>
      <c r="E60" s="51">
        <f>D59</f>
        <v>20.99</v>
      </c>
      <c r="F60" s="74"/>
    </row>
    <row r="61" spans="1:6" ht="15.75" thickBot="1" x14ac:dyDescent="0.3">
      <c r="A61" s="12"/>
      <c r="B61" s="14"/>
      <c r="C61" s="14" t="s">
        <v>24</v>
      </c>
      <c r="D61" s="52"/>
      <c r="E61" s="52"/>
      <c r="F61" s="74"/>
    </row>
    <row r="62" spans="1:6" x14ac:dyDescent="0.25">
      <c r="A62" s="9">
        <v>41294</v>
      </c>
      <c r="B62" s="31">
        <v>2151</v>
      </c>
      <c r="C62" s="15" t="str">
        <f>VLOOKUP(B62,TablePCG,2,FALSE)</f>
        <v>costumes</v>
      </c>
      <c r="D62" s="49">
        <v>39</v>
      </c>
      <c r="E62" s="49"/>
      <c r="F62" s="74"/>
    </row>
    <row r="63" spans="1:6" x14ac:dyDescent="0.25">
      <c r="A63" s="10"/>
      <c r="B63" s="22">
        <v>5120</v>
      </c>
      <c r="C63" s="16" t="str">
        <f>VLOOKUP(B63,TablePCG,2,FALSE)</f>
        <v>banque</v>
      </c>
      <c r="D63" s="51"/>
      <c r="E63" s="51">
        <f>D62</f>
        <v>39</v>
      </c>
      <c r="F63" s="74"/>
    </row>
    <row r="64" spans="1:6" ht="15.75" thickBot="1" x14ac:dyDescent="0.3">
      <c r="A64" s="12"/>
      <c r="B64" s="14"/>
      <c r="C64" s="14" t="s">
        <v>23</v>
      </c>
      <c r="D64" s="52"/>
      <c r="E64" s="52"/>
      <c r="F64" s="74"/>
    </row>
    <row r="65" spans="1:6" x14ac:dyDescent="0.25">
      <c r="A65" s="9">
        <v>41296</v>
      </c>
      <c r="B65" s="31">
        <v>5300</v>
      </c>
      <c r="C65" s="15" t="str">
        <f>VLOOKUP(B65,TablePCG,2,FALSE)</f>
        <v>caisse</v>
      </c>
      <c r="D65" s="49">
        <v>190</v>
      </c>
      <c r="E65" s="49"/>
      <c r="F65" s="74"/>
    </row>
    <row r="66" spans="1:6" x14ac:dyDescent="0.25">
      <c r="A66" s="10"/>
      <c r="B66" s="22">
        <v>5120</v>
      </c>
      <c r="C66" s="16" t="str">
        <f>VLOOKUP(B66,TablePCG,2,FALSE)</f>
        <v>banque</v>
      </c>
      <c r="D66" s="51"/>
      <c r="E66" s="51">
        <f>D65</f>
        <v>190</v>
      </c>
      <c r="F66" s="74"/>
    </row>
    <row r="67" spans="1:6" ht="15.75" thickBot="1" x14ac:dyDescent="0.3">
      <c r="A67" s="12"/>
      <c r="B67" s="14"/>
      <c r="C67" s="14" t="s">
        <v>59</v>
      </c>
      <c r="D67" s="52"/>
      <c r="E67" s="52"/>
      <c r="F67" s="74"/>
    </row>
    <row r="68" spans="1:6" x14ac:dyDescent="0.25">
      <c r="A68" s="9">
        <v>41296</v>
      </c>
      <c r="B68" s="31">
        <v>6270</v>
      </c>
      <c r="C68" s="15" t="str">
        <f>VLOOKUP(B68,TablePCG,2,FALSE)</f>
        <v xml:space="preserve">27-services bancaires </v>
      </c>
      <c r="D68" s="49">
        <v>22.5</v>
      </c>
      <c r="E68" s="49"/>
      <c r="F68" s="74" t="s">
        <v>171</v>
      </c>
    </row>
    <row r="69" spans="1:6" x14ac:dyDescent="0.25">
      <c r="A69" s="10"/>
      <c r="B69" s="22">
        <v>5120</v>
      </c>
      <c r="C69" s="16" t="str">
        <f>VLOOKUP(B69,TablePCG,2,FALSE)</f>
        <v>banque</v>
      </c>
      <c r="D69" s="51"/>
      <c r="E69" s="51">
        <f>D68</f>
        <v>22.5</v>
      </c>
      <c r="F69" s="74"/>
    </row>
    <row r="70" spans="1:6" ht="15.75" thickBot="1" x14ac:dyDescent="0.3">
      <c r="A70" s="12"/>
      <c r="B70" s="14"/>
      <c r="C70" s="14" t="s">
        <v>111</v>
      </c>
      <c r="D70" s="52"/>
      <c r="E70" s="52"/>
      <c r="F70" s="74"/>
    </row>
    <row r="71" spans="1:6" x14ac:dyDescent="0.25">
      <c r="A71" s="9">
        <v>41296</v>
      </c>
      <c r="B71" s="31">
        <f>PCG!A22</f>
        <v>6060</v>
      </c>
      <c r="C71" s="15" t="str">
        <f>VLOOKUP(B71,TablePCG,2,FALSE)</f>
        <v>20-fournitures, petit équipement</v>
      </c>
      <c r="D71" s="49">
        <v>28</v>
      </c>
      <c r="E71" s="49"/>
      <c r="F71" s="74" t="s">
        <v>171</v>
      </c>
    </row>
    <row r="72" spans="1:6" x14ac:dyDescent="0.25">
      <c r="A72" s="10"/>
      <c r="B72" s="22">
        <v>5120</v>
      </c>
      <c r="C72" s="16" t="str">
        <f>VLOOKUP(B72,TablePCG,2,FALSE)</f>
        <v>banque</v>
      </c>
      <c r="D72" s="51"/>
      <c r="E72" s="51">
        <v>28</v>
      </c>
      <c r="F72" s="74"/>
    </row>
    <row r="73" spans="1:6" ht="15.75" thickBot="1" x14ac:dyDescent="0.3">
      <c r="A73" s="12"/>
      <c r="B73" s="14"/>
      <c r="C73" s="14" t="s">
        <v>131</v>
      </c>
      <c r="D73" s="52"/>
      <c r="E73" s="52"/>
      <c r="F73" s="74"/>
    </row>
    <row r="74" spans="1:6" x14ac:dyDescent="0.25">
      <c r="A74" s="9">
        <v>41296</v>
      </c>
      <c r="B74" s="31">
        <v>6250</v>
      </c>
      <c r="C74" s="15" t="str">
        <f>VLOOKUP(B74,TablePCG,2,FALSE)</f>
        <v>25-frais de résidence et de déplacement</v>
      </c>
      <c r="D74" s="49">
        <v>59</v>
      </c>
      <c r="E74" s="49"/>
      <c r="F74" s="74" t="s">
        <v>181</v>
      </c>
    </row>
    <row r="75" spans="1:6" x14ac:dyDescent="0.25">
      <c r="A75" s="10"/>
      <c r="B75" s="22">
        <v>5120</v>
      </c>
      <c r="C75" s="16" t="str">
        <f>VLOOKUP(B75,TablePCG,2,FALSE)</f>
        <v>banque</v>
      </c>
      <c r="D75" s="51"/>
      <c r="E75" s="51">
        <v>59</v>
      </c>
      <c r="F75" s="74"/>
    </row>
    <row r="76" spans="1:6" ht="15.75" thickBot="1" x14ac:dyDescent="0.3">
      <c r="A76" s="12"/>
      <c r="B76" s="14"/>
      <c r="C76" s="23" t="s">
        <v>61</v>
      </c>
      <c r="D76" s="52"/>
      <c r="E76" s="52"/>
      <c r="F76" s="74"/>
    </row>
    <row r="77" spans="1:6" x14ac:dyDescent="0.25">
      <c r="A77" s="9">
        <v>41297</v>
      </c>
      <c r="B77" s="31">
        <v>5120</v>
      </c>
      <c r="C77" s="15" t="str">
        <f>VLOOKUP(B77,TablePCG,2,FALSE)</f>
        <v>banque</v>
      </c>
      <c r="D77" s="49">
        <v>250</v>
      </c>
      <c r="E77" s="49"/>
      <c r="F77" s="74"/>
    </row>
    <row r="78" spans="1:6" x14ac:dyDescent="0.25">
      <c r="A78" s="10"/>
      <c r="B78" s="22">
        <f>PCG!A40</f>
        <v>7120</v>
      </c>
      <c r="C78" s="16" t="str">
        <f>VLOOKUP(B78,TablePCG,2,FALSE)</f>
        <v>38-prestations théâtre, lectures publiques</v>
      </c>
      <c r="D78" s="51"/>
      <c r="E78" s="51">
        <f>D77</f>
        <v>250</v>
      </c>
      <c r="F78" s="74" t="s">
        <v>171</v>
      </c>
    </row>
    <row r="79" spans="1:6" ht="15.75" thickBot="1" x14ac:dyDescent="0.3">
      <c r="A79" s="12"/>
      <c r="B79" s="14"/>
      <c r="C79" s="44" t="s">
        <v>216</v>
      </c>
      <c r="D79" s="52"/>
      <c r="E79" s="52"/>
      <c r="F79" s="74"/>
    </row>
    <row r="80" spans="1:6" x14ac:dyDescent="0.25">
      <c r="A80" s="9">
        <v>41298</v>
      </c>
      <c r="B80" s="31">
        <v>5120</v>
      </c>
      <c r="C80" s="56" t="str">
        <f>VLOOKUP(B80,TablePCG,2,FALSE)</f>
        <v>banque</v>
      </c>
      <c r="D80" s="49">
        <v>2000</v>
      </c>
      <c r="E80" s="49"/>
      <c r="F80" s="74"/>
    </row>
    <row r="81" spans="1:6" x14ac:dyDescent="0.25">
      <c r="A81" s="10"/>
      <c r="B81" s="22">
        <f>PCG!A42</f>
        <v>7410</v>
      </c>
      <c r="C81" s="16" t="str">
        <f>VLOOKUP(B81,TablePCG,2,FALSE)</f>
        <v xml:space="preserve">40-subvention municipalité </v>
      </c>
      <c r="D81" s="51"/>
      <c r="E81" s="51">
        <f>D80</f>
        <v>2000</v>
      </c>
      <c r="F81" s="74" t="s">
        <v>171</v>
      </c>
    </row>
    <row r="82" spans="1:6" ht="15.75" thickBot="1" x14ac:dyDescent="0.3">
      <c r="A82" s="12"/>
      <c r="B82" s="14"/>
      <c r="C82" s="14" t="s">
        <v>217</v>
      </c>
      <c r="D82" s="52"/>
      <c r="E82" s="52"/>
      <c r="F82" s="74"/>
    </row>
    <row r="83" spans="1:6" x14ac:dyDescent="0.25">
      <c r="A83" s="9">
        <v>41299</v>
      </c>
      <c r="B83" s="31">
        <f>PCG!A27</f>
        <v>6250</v>
      </c>
      <c r="C83" s="15" t="str">
        <f>VLOOKUP(B83,TablePCG,2,FALSE)</f>
        <v>25-frais de résidence et de déplacement</v>
      </c>
      <c r="D83" s="49">
        <v>35.659999999999997</v>
      </c>
      <c r="E83" s="49"/>
      <c r="F83" s="74" t="s">
        <v>181</v>
      </c>
    </row>
    <row r="84" spans="1:6" x14ac:dyDescent="0.25">
      <c r="A84" s="10"/>
      <c r="B84" s="22">
        <v>5120</v>
      </c>
      <c r="C84" s="16" t="str">
        <f>VLOOKUP(B84,TablePCG,2,FALSE)</f>
        <v>banque</v>
      </c>
      <c r="D84" s="51"/>
      <c r="E84" s="51">
        <f>D83</f>
        <v>35.659999999999997</v>
      </c>
      <c r="F84" s="74"/>
    </row>
    <row r="85" spans="1:6" ht="15.75" thickBot="1" x14ac:dyDescent="0.3">
      <c r="A85" s="12"/>
      <c r="B85" s="14"/>
      <c r="C85" s="14" t="s">
        <v>27</v>
      </c>
      <c r="D85" s="52"/>
      <c r="E85" s="52"/>
      <c r="F85" s="74"/>
    </row>
    <row r="86" spans="1:6" x14ac:dyDescent="0.25">
      <c r="A86" s="9">
        <v>41291</v>
      </c>
      <c r="B86" s="31">
        <v>6250</v>
      </c>
      <c r="C86" s="26" t="str">
        <f t="shared" ref="C86:C91" si="1">VLOOKUP(B86,TablePCG,2,FALSE)</f>
        <v>25-frais de résidence et de déplacement</v>
      </c>
      <c r="D86" s="49">
        <v>8.4</v>
      </c>
      <c r="E86" s="49"/>
      <c r="F86" s="74" t="s">
        <v>181</v>
      </c>
    </row>
    <row r="87" spans="1:6" x14ac:dyDescent="0.25">
      <c r="A87" s="24"/>
      <c r="B87" s="46">
        <v>6250</v>
      </c>
      <c r="C87" s="27" t="str">
        <f t="shared" si="1"/>
        <v>25-frais de résidence et de déplacement</v>
      </c>
      <c r="D87" s="48">
        <v>9.4</v>
      </c>
      <c r="E87" s="48"/>
      <c r="F87" s="74" t="s">
        <v>181</v>
      </c>
    </row>
    <row r="88" spans="1:6" x14ac:dyDescent="0.25">
      <c r="A88" s="24"/>
      <c r="B88" s="46">
        <v>6250</v>
      </c>
      <c r="C88" s="25" t="str">
        <f t="shared" si="1"/>
        <v>25-frais de résidence et de déplacement</v>
      </c>
      <c r="D88" s="48">
        <v>50.74</v>
      </c>
      <c r="E88" s="48"/>
      <c r="F88" s="74" t="s">
        <v>181</v>
      </c>
    </row>
    <row r="89" spans="1:6" x14ac:dyDescent="0.25">
      <c r="A89" s="24"/>
      <c r="B89" s="46">
        <v>5120</v>
      </c>
      <c r="C89" s="28" t="str">
        <f t="shared" si="1"/>
        <v>banque</v>
      </c>
      <c r="D89" s="48"/>
      <c r="E89" s="48">
        <f>D86</f>
        <v>8.4</v>
      </c>
      <c r="F89" s="74"/>
    </row>
    <row r="90" spans="1:6" x14ac:dyDescent="0.25">
      <c r="A90" s="24"/>
      <c r="B90" s="46">
        <v>5120</v>
      </c>
      <c r="C90" s="28" t="str">
        <f t="shared" si="1"/>
        <v>banque</v>
      </c>
      <c r="D90" s="48"/>
      <c r="E90" s="48">
        <f>D87</f>
        <v>9.4</v>
      </c>
      <c r="F90" s="74"/>
    </row>
    <row r="91" spans="1:6" x14ac:dyDescent="0.25">
      <c r="A91" s="10"/>
      <c r="B91" s="22">
        <v>5120</v>
      </c>
      <c r="C91" s="28" t="str">
        <f t="shared" si="1"/>
        <v>banque</v>
      </c>
      <c r="D91" s="51"/>
      <c r="E91" s="48">
        <f>D88</f>
        <v>50.74</v>
      </c>
      <c r="F91" s="74"/>
    </row>
    <row r="92" spans="1:6" ht="15.75" thickBot="1" x14ac:dyDescent="0.3">
      <c r="A92" s="12"/>
      <c r="B92" s="14"/>
      <c r="C92" s="14" t="s">
        <v>26</v>
      </c>
      <c r="D92" s="52"/>
      <c r="E92" s="52"/>
      <c r="F92" s="74"/>
    </row>
    <row r="93" spans="1:6" x14ac:dyDescent="0.25">
      <c r="A93" s="9">
        <v>41305</v>
      </c>
      <c r="B93" s="31">
        <f>PCG!A22</f>
        <v>6060</v>
      </c>
      <c r="C93" s="15" t="str">
        <f>VLOOKUP(B93,TablePCG,2,FALSE)</f>
        <v>20-fournitures, petit équipement</v>
      </c>
      <c r="D93" s="49">
        <v>15.61</v>
      </c>
      <c r="E93" s="49"/>
      <c r="F93" s="74" t="s">
        <v>171</v>
      </c>
    </row>
    <row r="94" spans="1:6" x14ac:dyDescent="0.25">
      <c r="A94" s="10"/>
      <c r="B94" s="22">
        <v>5120</v>
      </c>
      <c r="C94" s="16" t="str">
        <f>VLOOKUP(B94,TablePCG,2,FALSE)</f>
        <v>banque</v>
      </c>
      <c r="D94" s="51"/>
      <c r="E94" s="51">
        <v>15.61</v>
      </c>
      <c r="F94" s="74"/>
    </row>
    <row r="95" spans="1:6" ht="15.75" thickBot="1" x14ac:dyDescent="0.3">
      <c r="A95" s="12"/>
      <c r="B95" s="14"/>
      <c r="C95" s="14" t="s">
        <v>25</v>
      </c>
      <c r="D95" s="52"/>
      <c r="E95" s="52"/>
      <c r="F95" s="74"/>
    </row>
    <row r="96" spans="1:6" x14ac:dyDescent="0.25">
      <c r="A96" s="9">
        <v>41305</v>
      </c>
      <c r="B96" s="31">
        <f>PCG!A28</f>
        <v>6260</v>
      </c>
      <c r="C96" s="15" t="str">
        <f>VLOOKUP(B96,TablePCG,2,FALSE)</f>
        <v>26-frais postaux et de téléphone</v>
      </c>
      <c r="D96" s="49">
        <v>7.23</v>
      </c>
      <c r="E96" s="49"/>
      <c r="F96" s="74" t="s">
        <v>171</v>
      </c>
    </row>
    <row r="97" spans="1:6" x14ac:dyDescent="0.25">
      <c r="A97" s="10"/>
      <c r="B97" s="22">
        <v>5120</v>
      </c>
      <c r="C97" s="16" t="str">
        <f>VLOOKUP(B97,TablePCG,2,FALSE)</f>
        <v>banque</v>
      </c>
      <c r="D97" s="51"/>
      <c r="E97" s="51">
        <v>7.23</v>
      </c>
      <c r="F97" s="74"/>
    </row>
    <row r="98" spans="1:6" ht="15.75" thickBot="1" x14ac:dyDescent="0.3">
      <c r="A98" s="12"/>
      <c r="B98" s="14"/>
      <c r="C98" s="14" t="s">
        <v>28</v>
      </c>
      <c r="D98" s="52"/>
      <c r="E98" s="52"/>
      <c r="F98" s="74"/>
    </row>
    <row r="99" spans="1:6" x14ac:dyDescent="0.25">
      <c r="A99" s="9">
        <v>41305</v>
      </c>
      <c r="B99" s="31">
        <v>6250</v>
      </c>
      <c r="C99" s="26" t="str">
        <f>VLOOKUP(B99,TablePCG,2,FALSE)</f>
        <v>25-frais de résidence et de déplacement</v>
      </c>
      <c r="D99" s="49">
        <v>78.400000000000006</v>
      </c>
      <c r="E99" s="49"/>
      <c r="F99" s="74" t="s">
        <v>181</v>
      </c>
    </row>
    <row r="100" spans="1:6" x14ac:dyDescent="0.25">
      <c r="A100" s="10"/>
      <c r="B100" s="22">
        <v>5120</v>
      </c>
      <c r="C100" s="16" t="str">
        <f>VLOOKUP(B100,TablePCG,2,FALSE)</f>
        <v>banque</v>
      </c>
      <c r="D100" s="51"/>
      <c r="E100" s="51">
        <v>78.400000000000006</v>
      </c>
      <c r="F100" s="74"/>
    </row>
    <row r="101" spans="1:6" ht="15.75" thickBot="1" x14ac:dyDescent="0.3">
      <c r="A101" s="12"/>
      <c r="B101" s="14"/>
      <c r="C101" s="14" t="s">
        <v>29</v>
      </c>
      <c r="D101" s="52"/>
      <c r="E101" s="52"/>
      <c r="F101" s="74"/>
    </row>
    <row r="102" spans="1:6" x14ac:dyDescent="0.25">
      <c r="A102" s="9">
        <v>41305</v>
      </c>
      <c r="B102" s="31">
        <f>PCG!A7</f>
        <v>2153</v>
      </c>
      <c r="C102" s="26" t="str">
        <f>VLOOKUP(B102,TablePCG,2,FALSE)</f>
        <v>matériels</v>
      </c>
      <c r="D102" s="49">
        <v>36.26</v>
      </c>
      <c r="E102" s="49"/>
      <c r="F102" s="74"/>
    </row>
    <row r="103" spans="1:6" x14ac:dyDescent="0.25">
      <c r="A103" s="10"/>
      <c r="B103" s="22">
        <v>5120</v>
      </c>
      <c r="C103" s="16" t="str">
        <f>VLOOKUP(B103,TablePCG,2,FALSE)</f>
        <v>banque</v>
      </c>
      <c r="D103" s="51"/>
      <c r="E103" s="51">
        <v>36.26</v>
      </c>
      <c r="F103" s="74"/>
    </row>
    <row r="104" spans="1:6" ht="15.75" thickBot="1" x14ac:dyDescent="0.3">
      <c r="A104" s="12"/>
      <c r="B104" s="14"/>
      <c r="C104" s="14" t="s">
        <v>30</v>
      </c>
      <c r="D104" s="52"/>
      <c r="E104" s="52"/>
      <c r="F104" s="74"/>
    </row>
    <row r="105" spans="1:6" x14ac:dyDescent="0.25">
      <c r="A105" s="9">
        <v>41304</v>
      </c>
      <c r="B105" s="31">
        <f>PCG!A27</f>
        <v>6250</v>
      </c>
      <c r="C105" s="26" t="str">
        <f>VLOOKUP(B105,TablePCG,2,FALSE)</f>
        <v>25-frais de résidence et de déplacement</v>
      </c>
      <c r="D105" s="49">
        <v>154.54</v>
      </c>
      <c r="E105" s="49"/>
      <c r="F105" s="74" t="s">
        <v>180</v>
      </c>
    </row>
    <row r="106" spans="1:6" x14ac:dyDescent="0.25">
      <c r="A106" s="10"/>
      <c r="B106" s="22">
        <v>5120</v>
      </c>
      <c r="C106" s="16" t="str">
        <f>VLOOKUP(B106,TablePCG,2,FALSE)</f>
        <v>banque</v>
      </c>
      <c r="D106" s="51"/>
      <c r="E106" s="51">
        <v>154.54</v>
      </c>
      <c r="F106" s="74"/>
    </row>
    <row r="107" spans="1:6" ht="15.75" thickBot="1" x14ac:dyDescent="0.3">
      <c r="A107" s="12"/>
      <c r="B107" s="14"/>
      <c r="C107" s="14" t="s">
        <v>31</v>
      </c>
      <c r="D107" s="52"/>
      <c r="E107" s="52"/>
      <c r="F107" s="74"/>
    </row>
    <row r="108" spans="1:6" x14ac:dyDescent="0.25">
      <c r="A108" s="9">
        <v>41304</v>
      </c>
      <c r="B108" s="31">
        <v>6250</v>
      </c>
      <c r="C108" s="26" t="str">
        <f>VLOOKUP(B108,TablePCG,2,FALSE)</f>
        <v>25-frais de résidence et de déplacement</v>
      </c>
      <c r="D108" s="49">
        <v>105.19</v>
      </c>
      <c r="E108" s="49"/>
      <c r="F108" s="74" t="s">
        <v>180</v>
      </c>
    </row>
    <row r="109" spans="1:6" x14ac:dyDescent="0.25">
      <c r="A109" s="10"/>
      <c r="B109" s="22">
        <v>5120</v>
      </c>
      <c r="C109" s="16" t="str">
        <f>VLOOKUP(B109,TablePCG,2,FALSE)</f>
        <v>banque</v>
      </c>
      <c r="D109" s="51"/>
      <c r="E109" s="51">
        <v>105.19</v>
      </c>
      <c r="F109" s="74"/>
    </row>
    <row r="110" spans="1:6" ht="15.75" thickBot="1" x14ac:dyDescent="0.3">
      <c r="A110" s="12"/>
      <c r="B110" s="14"/>
      <c r="C110" s="14" t="s">
        <v>32</v>
      </c>
      <c r="D110" s="52"/>
      <c r="E110" s="52"/>
      <c r="F110" s="74"/>
    </row>
    <row r="111" spans="1:6" x14ac:dyDescent="0.25">
      <c r="A111" s="9">
        <v>41304</v>
      </c>
      <c r="B111" s="31">
        <v>6250</v>
      </c>
      <c r="C111" s="26" t="str">
        <f>VLOOKUP(B111,TablePCG,2,FALSE)</f>
        <v>25-frais de résidence et de déplacement</v>
      </c>
      <c r="D111" s="49">
        <v>17.100000000000001</v>
      </c>
      <c r="E111" s="49"/>
      <c r="F111" s="74" t="s">
        <v>180</v>
      </c>
    </row>
    <row r="112" spans="1:6" x14ac:dyDescent="0.25">
      <c r="A112" s="10"/>
      <c r="B112" s="22">
        <v>5120</v>
      </c>
      <c r="C112" s="16" t="str">
        <f>VLOOKUP(B112,TablePCG,2,FALSE)</f>
        <v>banque</v>
      </c>
      <c r="D112" s="51"/>
      <c r="E112" s="51">
        <v>17.100000000000001</v>
      </c>
      <c r="F112" s="74"/>
    </row>
    <row r="113" spans="1:7" ht="15.75" thickBot="1" x14ac:dyDescent="0.3">
      <c r="A113" s="12"/>
      <c r="B113" s="14"/>
      <c r="C113" s="14" t="s">
        <v>33</v>
      </c>
      <c r="D113" s="52"/>
      <c r="E113" s="52"/>
      <c r="F113" s="74"/>
    </row>
    <row r="114" spans="1:7" x14ac:dyDescent="0.25">
      <c r="A114" s="9">
        <v>41296</v>
      </c>
      <c r="B114" s="31">
        <v>6250</v>
      </c>
      <c r="C114" s="26" t="str">
        <f>VLOOKUP(B114,TablePCG,2,FALSE)</f>
        <v>25-frais de résidence et de déplacement</v>
      </c>
      <c r="D114" s="49">
        <v>188.1</v>
      </c>
      <c r="E114" s="49"/>
      <c r="F114" s="72" t="s">
        <v>180</v>
      </c>
    </row>
    <row r="115" spans="1:7" x14ac:dyDescent="0.25">
      <c r="A115" s="10"/>
      <c r="B115" s="22">
        <v>5120</v>
      </c>
      <c r="C115" s="16" t="str">
        <f>VLOOKUP(B115,TablePCG,2,FALSE)</f>
        <v>banque</v>
      </c>
      <c r="D115" s="51"/>
      <c r="E115" s="51">
        <v>188.1</v>
      </c>
      <c r="F115" s="72"/>
    </row>
    <row r="116" spans="1:7" ht="15.75" thickBot="1" x14ac:dyDescent="0.3">
      <c r="A116" s="12"/>
      <c r="B116" s="14"/>
      <c r="C116" s="14" t="s">
        <v>34</v>
      </c>
      <c r="D116" s="52"/>
      <c r="E116" s="52"/>
      <c r="F116" s="72"/>
    </row>
    <row r="117" spans="1:7" x14ac:dyDescent="0.25">
      <c r="A117" s="9">
        <v>41296</v>
      </c>
      <c r="B117" s="31">
        <v>6250</v>
      </c>
      <c r="C117" s="26" t="str">
        <f>VLOOKUP(B117,TablePCG,2,FALSE)</f>
        <v>25-frais de résidence et de déplacement</v>
      </c>
      <c r="D117" s="49">
        <v>188.1</v>
      </c>
      <c r="E117" s="49"/>
      <c r="F117" s="72" t="s">
        <v>180</v>
      </c>
    </row>
    <row r="118" spans="1:7" x14ac:dyDescent="0.25">
      <c r="A118" s="10"/>
      <c r="B118" s="22">
        <v>5120</v>
      </c>
      <c r="C118" s="16" t="str">
        <f>VLOOKUP(B118,TablePCG,2,FALSE)</f>
        <v>banque</v>
      </c>
      <c r="D118" s="51"/>
      <c r="E118" s="51">
        <v>188.1</v>
      </c>
      <c r="F118" s="72"/>
    </row>
    <row r="119" spans="1:7" ht="15.75" thickBot="1" x14ac:dyDescent="0.3">
      <c r="A119" s="12"/>
      <c r="B119" s="14"/>
      <c r="C119" s="14" t="s">
        <v>35</v>
      </c>
      <c r="D119" s="52"/>
      <c r="E119" s="52"/>
      <c r="F119" s="72"/>
    </row>
    <row r="120" spans="1:7" x14ac:dyDescent="0.25">
      <c r="A120" s="9">
        <v>41296</v>
      </c>
      <c r="B120" s="31">
        <v>6250</v>
      </c>
      <c r="C120" s="26" t="str">
        <f>VLOOKUP(B120,TablePCG,2,FALSE)</f>
        <v>25-frais de résidence et de déplacement</v>
      </c>
      <c r="D120" s="49">
        <v>188.1</v>
      </c>
      <c r="E120" s="49"/>
      <c r="F120" s="72" t="s">
        <v>180</v>
      </c>
      <c r="G120" s="63"/>
    </row>
    <row r="121" spans="1:7" x14ac:dyDescent="0.25">
      <c r="A121" s="10"/>
      <c r="B121" s="22">
        <v>5120</v>
      </c>
      <c r="C121" s="16" t="str">
        <f>VLOOKUP(B121,TablePCG,2,FALSE)</f>
        <v>banque</v>
      </c>
      <c r="D121" s="51"/>
      <c r="E121" s="51">
        <v>188.1</v>
      </c>
      <c r="F121" s="72"/>
    </row>
    <row r="122" spans="1:7" ht="15.75" thickBot="1" x14ac:dyDescent="0.3">
      <c r="A122" s="12"/>
      <c r="B122" s="14"/>
      <c r="C122" s="14" t="s">
        <v>36</v>
      </c>
      <c r="D122" s="52"/>
      <c r="E122" s="52"/>
      <c r="F122" s="74"/>
    </row>
    <row r="123" spans="1:7" x14ac:dyDescent="0.25">
      <c r="A123" s="9">
        <v>41296</v>
      </c>
      <c r="B123" s="31">
        <v>6250</v>
      </c>
      <c r="C123" s="26" t="str">
        <f>VLOOKUP(B123,TablePCG,2,FALSE)</f>
        <v>25-frais de résidence et de déplacement</v>
      </c>
      <c r="D123" s="49">
        <v>188.1</v>
      </c>
      <c r="E123" s="49"/>
      <c r="F123" s="74" t="s">
        <v>181</v>
      </c>
    </row>
    <row r="124" spans="1:7" x14ac:dyDescent="0.25">
      <c r="A124" s="10"/>
      <c r="B124" s="22">
        <v>5120</v>
      </c>
      <c r="C124" s="16" t="str">
        <f>VLOOKUP(B124,TablePCG,2,FALSE)</f>
        <v>banque</v>
      </c>
      <c r="D124" s="51"/>
      <c r="E124" s="51">
        <v>188.1</v>
      </c>
      <c r="F124" s="74"/>
    </row>
    <row r="125" spans="1:7" ht="15.75" thickBot="1" x14ac:dyDescent="0.3">
      <c r="A125" s="12"/>
      <c r="B125" s="14"/>
      <c r="C125" s="14" t="s">
        <v>37</v>
      </c>
      <c r="D125" s="52"/>
      <c r="E125" s="52"/>
      <c r="F125" s="74"/>
    </row>
    <row r="126" spans="1:7" x14ac:dyDescent="0.25">
      <c r="A126" s="9">
        <v>41296</v>
      </c>
      <c r="B126" s="31">
        <v>6250</v>
      </c>
      <c r="C126" s="26" t="str">
        <f>VLOOKUP(B126,TablePCG,2,FALSE)</f>
        <v>25-frais de résidence et de déplacement</v>
      </c>
      <c r="D126" s="49">
        <v>188.1</v>
      </c>
      <c r="E126" s="49"/>
      <c r="F126" s="74" t="s">
        <v>181</v>
      </c>
    </row>
    <row r="127" spans="1:7" x14ac:dyDescent="0.25">
      <c r="A127" s="10"/>
      <c r="B127" s="22">
        <v>5120</v>
      </c>
      <c r="C127" s="16" t="str">
        <f>VLOOKUP(B127,TablePCG,2,FALSE)</f>
        <v>banque</v>
      </c>
      <c r="D127" s="51"/>
      <c r="E127" s="51">
        <v>188.1</v>
      </c>
      <c r="F127" s="74"/>
    </row>
    <row r="128" spans="1:7" ht="15.75" thickBot="1" x14ac:dyDescent="0.3">
      <c r="A128" s="12"/>
      <c r="B128" s="14"/>
      <c r="C128" s="14" t="s">
        <v>38</v>
      </c>
      <c r="D128" s="52"/>
      <c r="E128" s="52"/>
      <c r="F128" s="74"/>
    </row>
    <row r="129" spans="1:6" x14ac:dyDescent="0.25">
      <c r="A129" s="9">
        <v>41296</v>
      </c>
      <c r="B129" s="31">
        <v>6250</v>
      </c>
      <c r="C129" s="26" t="str">
        <f>VLOOKUP(B129,TablePCG,2,FALSE)</f>
        <v>25-frais de résidence et de déplacement</v>
      </c>
      <c r="D129" s="49">
        <v>188.1</v>
      </c>
      <c r="E129" s="49"/>
      <c r="F129" s="74" t="s">
        <v>181</v>
      </c>
    </row>
    <row r="130" spans="1:6" x14ac:dyDescent="0.25">
      <c r="A130" s="10"/>
      <c r="B130" s="22">
        <v>5120</v>
      </c>
      <c r="C130" s="16" t="str">
        <f>VLOOKUP(B130,TablePCG,2,FALSE)</f>
        <v>banque</v>
      </c>
      <c r="D130" s="51"/>
      <c r="E130" s="51">
        <v>188.1</v>
      </c>
      <c r="F130" s="74"/>
    </row>
    <row r="131" spans="1:6" ht="15.75" thickBot="1" x14ac:dyDescent="0.3">
      <c r="A131" s="12"/>
      <c r="B131" s="14"/>
      <c r="C131" s="14" t="s">
        <v>39</v>
      </c>
      <c r="D131" s="52"/>
      <c r="E131" s="52"/>
      <c r="F131" s="74"/>
    </row>
    <row r="132" spans="1:6" x14ac:dyDescent="0.25">
      <c r="A132" s="9">
        <v>41296</v>
      </c>
      <c r="B132" s="31">
        <v>6250</v>
      </c>
      <c r="C132" s="26" t="str">
        <f>VLOOKUP(B132,TablePCG,2,FALSE)</f>
        <v>25-frais de résidence et de déplacement</v>
      </c>
      <c r="D132" s="49">
        <v>51.3</v>
      </c>
      <c r="E132" s="49"/>
      <c r="F132" s="74" t="s">
        <v>181</v>
      </c>
    </row>
    <row r="133" spans="1:6" x14ac:dyDescent="0.25">
      <c r="A133" s="10"/>
      <c r="B133" s="22">
        <v>5120</v>
      </c>
      <c r="C133" s="16" t="str">
        <f>VLOOKUP(B133,TablePCG,2,FALSE)</f>
        <v>banque</v>
      </c>
      <c r="D133" s="51"/>
      <c r="E133" s="51">
        <v>51.3</v>
      </c>
      <c r="F133" s="74"/>
    </row>
    <row r="134" spans="1:6" ht="15.75" thickBot="1" x14ac:dyDescent="0.3">
      <c r="A134" s="12"/>
      <c r="B134" s="14"/>
      <c r="C134" s="14" t="s">
        <v>40</v>
      </c>
      <c r="D134" s="52"/>
      <c r="E134" s="52"/>
      <c r="F134" s="74"/>
    </row>
    <row r="135" spans="1:6" x14ac:dyDescent="0.25">
      <c r="A135" s="9">
        <v>41296</v>
      </c>
      <c r="B135" s="31">
        <v>6250</v>
      </c>
      <c r="C135" s="26" t="str">
        <f>VLOOKUP(B135,TablePCG,2,FALSE)</f>
        <v>25-frais de résidence et de déplacement</v>
      </c>
      <c r="D135" s="49">
        <v>239.4</v>
      </c>
      <c r="E135" s="49"/>
      <c r="F135" s="74" t="s">
        <v>181</v>
      </c>
    </row>
    <row r="136" spans="1:6" x14ac:dyDescent="0.25">
      <c r="A136" s="10"/>
      <c r="B136" s="22">
        <v>5120</v>
      </c>
      <c r="C136" s="16" t="str">
        <f>VLOOKUP(B136,TablePCG,2,FALSE)</f>
        <v>banque</v>
      </c>
      <c r="D136" s="51"/>
      <c r="E136" s="51">
        <v>239.4</v>
      </c>
      <c r="F136" s="74"/>
    </row>
    <row r="137" spans="1:6" ht="15.75" thickBot="1" x14ac:dyDescent="0.3">
      <c r="A137" s="12"/>
      <c r="B137" s="14"/>
      <c r="C137" s="14" t="s">
        <v>41</v>
      </c>
      <c r="D137" s="52"/>
      <c r="E137" s="52"/>
      <c r="F137" s="74"/>
    </row>
    <row r="138" spans="1:6" x14ac:dyDescent="0.25">
      <c r="A138" s="9">
        <v>41291</v>
      </c>
      <c r="B138" s="31">
        <f>PCG!A12</f>
        <v>4210</v>
      </c>
      <c r="C138" s="26" t="str">
        <f>VLOOKUP(B138,TablePCG,2,FALSE)</f>
        <v>salaires à payer</v>
      </c>
      <c r="D138" s="49">
        <v>222</v>
      </c>
      <c r="E138" s="49"/>
      <c r="F138" s="74"/>
    </row>
    <row r="139" spans="1:6" x14ac:dyDescent="0.25">
      <c r="A139" s="24"/>
      <c r="B139" s="46">
        <v>6270</v>
      </c>
      <c r="C139" s="27" t="str">
        <f>VLOOKUP(B139,TablePCG,2,FALSE)</f>
        <v xml:space="preserve">27-services bancaires </v>
      </c>
      <c r="D139" s="48">
        <v>3.75</v>
      </c>
      <c r="E139" s="48"/>
      <c r="F139" s="74" t="s">
        <v>171</v>
      </c>
    </row>
    <row r="140" spans="1:6" x14ac:dyDescent="0.25">
      <c r="A140" s="24"/>
      <c r="B140" s="46">
        <v>5120</v>
      </c>
      <c r="C140" s="29" t="str">
        <f>VLOOKUP(B140,TablePCG,2,FALSE)</f>
        <v>banque</v>
      </c>
      <c r="D140" s="48"/>
      <c r="E140" s="48">
        <v>3.75</v>
      </c>
      <c r="F140" s="74"/>
    </row>
    <row r="141" spans="1:6" x14ac:dyDescent="0.25">
      <c r="A141" s="10"/>
      <c r="B141" s="22">
        <v>5120</v>
      </c>
      <c r="C141" s="16" t="str">
        <f>VLOOKUP(B141,TablePCG,2,FALSE)</f>
        <v>banque</v>
      </c>
      <c r="D141" s="51"/>
      <c r="E141" s="51">
        <v>222</v>
      </c>
      <c r="F141" s="74"/>
    </row>
    <row r="142" spans="1:6" ht="15.75" thickBot="1" x14ac:dyDescent="0.3">
      <c r="A142" s="12"/>
      <c r="B142" s="14"/>
      <c r="C142" s="14" t="s">
        <v>42</v>
      </c>
      <c r="D142" s="52"/>
      <c r="E142" s="52"/>
      <c r="F142" s="74"/>
    </row>
    <row r="143" spans="1:6" x14ac:dyDescent="0.25">
      <c r="A143" s="9">
        <v>41299</v>
      </c>
      <c r="B143" s="31">
        <v>6250</v>
      </c>
      <c r="C143" s="26" t="str">
        <f>VLOOKUP(B143,TablePCG,2,FALSE)</f>
        <v>25-frais de résidence et de déplacement</v>
      </c>
      <c r="D143" s="49">
        <v>8.4</v>
      </c>
      <c r="E143" s="49"/>
      <c r="F143" s="74" t="s">
        <v>181</v>
      </c>
    </row>
    <row r="144" spans="1:6" x14ac:dyDescent="0.25">
      <c r="A144" s="10"/>
      <c r="B144" s="22">
        <v>5120</v>
      </c>
      <c r="C144" s="16" t="str">
        <f>VLOOKUP(B144,TablePCG,2,FALSE)</f>
        <v>banque</v>
      </c>
      <c r="D144" s="51"/>
      <c r="E144" s="51">
        <v>8.4</v>
      </c>
      <c r="F144" s="74"/>
    </row>
    <row r="145" spans="1:6" ht="15.75" thickBot="1" x14ac:dyDescent="0.3">
      <c r="A145" s="12"/>
      <c r="B145" s="14"/>
      <c r="C145" s="14" t="s">
        <v>43</v>
      </c>
      <c r="D145" s="52"/>
      <c r="E145" s="52"/>
      <c r="F145" s="74"/>
    </row>
    <row r="146" spans="1:6" x14ac:dyDescent="0.25">
      <c r="A146" s="9">
        <v>41295</v>
      </c>
      <c r="B146" s="31">
        <v>6250</v>
      </c>
      <c r="C146" s="26" t="str">
        <f>VLOOKUP(B146,TablePCG,2,FALSE)</f>
        <v>25-frais de résidence et de déplacement</v>
      </c>
      <c r="D146" s="49">
        <v>100</v>
      </c>
      <c r="E146" s="49"/>
      <c r="F146" s="74" t="s">
        <v>181</v>
      </c>
    </row>
    <row r="147" spans="1:6" x14ac:dyDescent="0.25">
      <c r="A147" s="10"/>
      <c r="B147" s="22">
        <v>5120</v>
      </c>
      <c r="C147" s="16" t="str">
        <f>VLOOKUP(B147,TablePCG,2,FALSE)</f>
        <v>banque</v>
      </c>
      <c r="D147" s="51"/>
      <c r="E147" s="51">
        <v>100</v>
      </c>
      <c r="F147" s="74"/>
    </row>
    <row r="148" spans="1:6" ht="15.75" thickBot="1" x14ac:dyDescent="0.3">
      <c r="A148" s="12"/>
      <c r="B148" s="14"/>
      <c r="C148" s="14" t="s">
        <v>44</v>
      </c>
      <c r="D148" s="52"/>
      <c r="E148" s="52"/>
      <c r="F148" s="74"/>
    </row>
    <row r="149" spans="1:6" x14ac:dyDescent="0.25">
      <c r="A149" s="9">
        <v>41299</v>
      </c>
      <c r="B149" s="31">
        <v>6250</v>
      </c>
      <c r="C149" s="26" t="str">
        <f>VLOOKUP(B149,TablePCG,2,FALSE)</f>
        <v>25-frais de résidence et de déplacement</v>
      </c>
      <c r="D149" s="49">
        <v>62</v>
      </c>
      <c r="E149" s="49"/>
      <c r="F149" s="74" t="s">
        <v>180</v>
      </c>
    </row>
    <row r="150" spans="1:6" x14ac:dyDescent="0.25">
      <c r="A150" s="10"/>
      <c r="B150" s="22">
        <v>5120</v>
      </c>
      <c r="C150" s="16" t="str">
        <f>VLOOKUP(B150,TablePCG,2,FALSE)</f>
        <v>banque</v>
      </c>
      <c r="D150" s="51"/>
      <c r="E150" s="51">
        <v>62</v>
      </c>
      <c r="F150" s="74"/>
    </row>
    <row r="151" spans="1:6" ht="15.75" thickBot="1" x14ac:dyDescent="0.3">
      <c r="A151" s="12"/>
      <c r="B151" s="14"/>
      <c r="C151" s="14" t="s">
        <v>45</v>
      </c>
      <c r="D151" s="52"/>
      <c r="E151" s="52"/>
      <c r="F151" s="74"/>
    </row>
    <row r="152" spans="1:6" x14ac:dyDescent="0.25">
      <c r="A152" s="9">
        <v>41304</v>
      </c>
      <c r="B152" s="31">
        <v>6250</v>
      </c>
      <c r="C152" s="26" t="str">
        <f>VLOOKUP(B152,TablePCG,2,FALSE)</f>
        <v>25-frais de résidence et de déplacement</v>
      </c>
      <c r="D152" s="49">
        <v>62.2</v>
      </c>
      <c r="E152" s="49"/>
      <c r="F152" s="74" t="s">
        <v>180</v>
      </c>
    </row>
    <row r="153" spans="1:6" x14ac:dyDescent="0.25">
      <c r="A153" s="10"/>
      <c r="B153" s="22">
        <v>5120</v>
      </c>
      <c r="C153" s="16" t="str">
        <f>VLOOKUP(B153,TablePCG,2,FALSE)</f>
        <v>banque</v>
      </c>
      <c r="D153" s="51"/>
      <c r="E153" s="51">
        <v>62.2</v>
      </c>
      <c r="F153" s="74"/>
    </row>
    <row r="154" spans="1:6" ht="15.75" thickBot="1" x14ac:dyDescent="0.3">
      <c r="A154" s="12"/>
      <c r="B154" s="14"/>
      <c r="C154" s="14" t="s">
        <v>46</v>
      </c>
      <c r="D154" s="52"/>
      <c r="E154" s="52"/>
      <c r="F154" s="74"/>
    </row>
    <row r="155" spans="1:6" x14ac:dyDescent="0.25">
      <c r="A155" s="9">
        <v>41294</v>
      </c>
      <c r="B155" s="31">
        <v>6250</v>
      </c>
      <c r="C155" s="26" t="str">
        <f>VLOOKUP(B155,TablePCG,2,FALSE)</f>
        <v>25-frais de résidence et de déplacement</v>
      </c>
      <c r="D155" s="49">
        <v>61</v>
      </c>
      <c r="E155" s="49"/>
      <c r="F155" s="74" t="s">
        <v>180</v>
      </c>
    </row>
    <row r="156" spans="1:6" x14ac:dyDescent="0.25">
      <c r="A156" s="10"/>
      <c r="B156" s="22">
        <v>5120</v>
      </c>
      <c r="C156" s="16" t="str">
        <f>VLOOKUP(B156,TablePCG,2,FALSE)</f>
        <v>banque</v>
      </c>
      <c r="D156" s="51"/>
      <c r="E156" s="51">
        <v>61</v>
      </c>
      <c r="F156" s="74"/>
    </row>
    <row r="157" spans="1:6" ht="15.75" thickBot="1" x14ac:dyDescent="0.3">
      <c r="A157" s="12"/>
      <c r="B157" s="14"/>
      <c r="C157" s="14" t="s">
        <v>47</v>
      </c>
      <c r="D157" s="52"/>
      <c r="E157" s="52"/>
      <c r="F157" s="74"/>
    </row>
    <row r="158" spans="1:6" x14ac:dyDescent="0.25">
      <c r="A158" s="9">
        <v>41296</v>
      </c>
      <c r="B158" s="31">
        <v>6250</v>
      </c>
      <c r="C158" s="26" t="str">
        <f>VLOOKUP(B158,TablePCG,2,FALSE)</f>
        <v>25-frais de résidence et de déplacement</v>
      </c>
      <c r="D158" s="49">
        <v>153.9</v>
      </c>
      <c r="E158" s="49"/>
      <c r="F158" s="74" t="s">
        <v>180</v>
      </c>
    </row>
    <row r="159" spans="1:6" x14ac:dyDescent="0.25">
      <c r="A159" s="10"/>
      <c r="B159" s="22">
        <v>5120</v>
      </c>
      <c r="C159" s="16" t="str">
        <f>VLOOKUP(B159,TablePCG,2,FALSE)</f>
        <v>banque</v>
      </c>
      <c r="D159" s="51"/>
      <c r="E159" s="51">
        <v>153.9</v>
      </c>
      <c r="F159" s="74"/>
    </row>
    <row r="160" spans="1:6" ht="15.75" thickBot="1" x14ac:dyDescent="0.3">
      <c r="A160" s="12"/>
      <c r="B160" s="14"/>
      <c r="C160" s="14" t="s">
        <v>48</v>
      </c>
      <c r="D160" s="52"/>
      <c r="E160" s="52"/>
      <c r="F160" s="74"/>
    </row>
    <row r="161" spans="1:6" x14ac:dyDescent="0.25">
      <c r="A161" s="9">
        <v>41296</v>
      </c>
      <c r="B161" s="31">
        <v>6250</v>
      </c>
      <c r="C161" s="26" t="str">
        <f>VLOOKUP(B161,TablePCG,2,FALSE)</f>
        <v>25-frais de résidence et de déplacement</v>
      </c>
      <c r="D161" s="49">
        <v>174.2</v>
      </c>
      <c r="E161" s="49"/>
      <c r="F161" s="74" t="s">
        <v>180</v>
      </c>
    </row>
    <row r="162" spans="1:6" x14ac:dyDescent="0.25">
      <c r="A162" s="10"/>
      <c r="B162" s="22">
        <v>5120</v>
      </c>
      <c r="C162" s="16" t="str">
        <f>VLOOKUP(B162,TablePCG,2,FALSE)</f>
        <v>banque</v>
      </c>
      <c r="D162" s="51"/>
      <c r="E162" s="51">
        <v>174.2</v>
      </c>
      <c r="F162" s="74"/>
    </row>
    <row r="163" spans="1:6" ht="15.75" thickBot="1" x14ac:dyDescent="0.3">
      <c r="A163" s="12"/>
      <c r="B163" s="14"/>
      <c r="C163" s="14" t="s">
        <v>49</v>
      </c>
      <c r="D163" s="52"/>
      <c r="E163" s="52"/>
      <c r="F163" s="74"/>
    </row>
    <row r="164" spans="1:6" x14ac:dyDescent="0.25">
      <c r="A164" s="9">
        <v>41302</v>
      </c>
      <c r="B164" s="31">
        <v>5120</v>
      </c>
      <c r="C164" s="15" t="str">
        <f>VLOOKUP(B164,TablePCG,2,FALSE)</f>
        <v>banque</v>
      </c>
      <c r="D164" s="49">
        <v>11010.3</v>
      </c>
      <c r="E164" s="49"/>
      <c r="F164" s="74"/>
    </row>
    <row r="165" spans="1:6" x14ac:dyDescent="0.25">
      <c r="A165" s="24"/>
      <c r="B165" s="46">
        <v>5300</v>
      </c>
      <c r="C165" s="16" t="s">
        <v>14</v>
      </c>
      <c r="D165" s="48"/>
      <c r="E165" s="48">
        <v>190</v>
      </c>
      <c r="F165" s="74"/>
    </row>
    <row r="166" spans="1:6" x14ac:dyDescent="0.25">
      <c r="A166" s="10"/>
      <c r="B166" s="22">
        <f>PCG!A39</f>
        <v>7112</v>
      </c>
      <c r="C166" s="16" t="str">
        <f>VLOOKUP(B166,TablePCG,2,FALSE)</f>
        <v>37-recettes V</v>
      </c>
      <c r="D166" s="51"/>
      <c r="E166" s="51">
        <v>10820.3</v>
      </c>
      <c r="F166" s="75" t="s">
        <v>180</v>
      </c>
    </row>
    <row r="167" spans="1:6" ht="15.75" thickBot="1" x14ac:dyDescent="0.3">
      <c r="A167" s="12"/>
      <c r="B167" s="14"/>
      <c r="C167" s="14" t="s">
        <v>218</v>
      </c>
      <c r="D167" s="52"/>
      <c r="E167" s="52"/>
      <c r="F167" s="74"/>
    </row>
    <row r="168" spans="1:6" x14ac:dyDescent="0.25">
      <c r="A168" s="9">
        <v>41305</v>
      </c>
      <c r="B168" s="31">
        <v>6250</v>
      </c>
      <c r="C168" s="26" t="str">
        <f>VLOOKUP(B168,TablePCG,2,FALSE)</f>
        <v>25-frais de résidence et de déplacement</v>
      </c>
      <c r="D168" s="49">
        <v>70</v>
      </c>
      <c r="E168" s="49"/>
      <c r="F168" s="74" t="s">
        <v>181</v>
      </c>
    </row>
    <row r="169" spans="1:6" x14ac:dyDescent="0.25">
      <c r="A169" s="10"/>
      <c r="B169" s="22">
        <v>5120</v>
      </c>
      <c r="C169" s="16" t="str">
        <f>VLOOKUP(B169,TablePCG,2,FALSE)</f>
        <v>banque</v>
      </c>
      <c r="D169" s="51"/>
      <c r="E169" s="51">
        <v>70</v>
      </c>
      <c r="F169" s="74"/>
    </row>
    <row r="170" spans="1:6" ht="15.75" thickBot="1" x14ac:dyDescent="0.3">
      <c r="A170" s="12"/>
      <c r="B170" s="14"/>
      <c r="C170" s="14" t="s">
        <v>120</v>
      </c>
      <c r="D170" s="52"/>
      <c r="E170" s="52"/>
      <c r="F170" s="74"/>
    </row>
    <row r="171" spans="1:6" x14ac:dyDescent="0.25">
      <c r="A171" s="9">
        <v>41305</v>
      </c>
      <c r="B171" s="31">
        <f>+PCG!A13</f>
        <v>4550</v>
      </c>
      <c r="C171" s="26" t="str">
        <f>VLOOKUP(B171,TablePCG,2,FALSE)</f>
        <v>adhérents</v>
      </c>
      <c r="D171" s="49">
        <v>600</v>
      </c>
      <c r="E171" s="49"/>
      <c r="F171" s="74"/>
    </row>
    <row r="172" spans="1:6" x14ac:dyDescent="0.25">
      <c r="A172" s="10"/>
      <c r="B172" s="22">
        <v>5120</v>
      </c>
      <c r="C172" s="16" t="str">
        <f>VLOOKUP(B172,TablePCG,2,FALSE)</f>
        <v>banque</v>
      </c>
      <c r="D172" s="51"/>
      <c r="E172" s="51">
        <v>600</v>
      </c>
      <c r="F172" s="74"/>
    </row>
    <row r="173" spans="1:6" ht="15.75" thickBot="1" x14ac:dyDescent="0.3">
      <c r="A173" s="12"/>
      <c r="B173" s="14"/>
      <c r="C173" s="14" t="s">
        <v>60</v>
      </c>
      <c r="D173" s="52"/>
      <c r="E173" s="52"/>
      <c r="F173" s="74"/>
    </row>
    <row r="174" spans="1:6" x14ac:dyDescent="0.25">
      <c r="A174" s="9">
        <v>41309</v>
      </c>
      <c r="B174" s="31">
        <v>5120</v>
      </c>
      <c r="C174" s="26" t="str">
        <f>VLOOKUP(B174,TablePCG,2,FALSE)</f>
        <v>banque</v>
      </c>
      <c r="D174" s="49">
        <v>42</v>
      </c>
      <c r="E174" s="49"/>
      <c r="F174" s="74"/>
    </row>
    <row r="175" spans="1:6" x14ac:dyDescent="0.25">
      <c r="A175" s="10"/>
      <c r="B175" s="22">
        <f>PCG!A39</f>
        <v>7112</v>
      </c>
      <c r="C175" s="16" t="str">
        <f>VLOOKUP(B175,TablePCG,2,FALSE)</f>
        <v>37-recettes V</v>
      </c>
      <c r="D175" s="51"/>
      <c r="E175" s="51">
        <v>42</v>
      </c>
      <c r="F175" s="74" t="s">
        <v>180</v>
      </c>
    </row>
    <row r="176" spans="1:6" ht="15.75" thickBot="1" x14ac:dyDescent="0.3">
      <c r="A176" s="12"/>
      <c r="B176" s="14"/>
      <c r="C176" s="14" t="s">
        <v>219</v>
      </c>
      <c r="D176" s="52"/>
      <c r="E176" s="52"/>
      <c r="F176" s="74"/>
    </row>
    <row r="177" spans="1:6" x14ac:dyDescent="0.25">
      <c r="A177" s="9">
        <v>41309</v>
      </c>
      <c r="B177" s="31">
        <v>5120</v>
      </c>
      <c r="C177" s="26" t="str">
        <f>VLOOKUP(B177,TablePCG,2,FALSE)</f>
        <v>banque</v>
      </c>
      <c r="D177" s="49">
        <v>354</v>
      </c>
      <c r="E177" s="49"/>
      <c r="F177" s="74"/>
    </row>
    <row r="178" spans="1:6" x14ac:dyDescent="0.25">
      <c r="A178" s="10"/>
      <c r="B178" s="22">
        <v>7112</v>
      </c>
      <c r="C178" s="16" t="str">
        <f>VLOOKUP(B178,TablePCG,2,FALSE)</f>
        <v>37-recettes V</v>
      </c>
      <c r="D178" s="51"/>
      <c r="E178" s="51">
        <v>354</v>
      </c>
      <c r="F178" s="74" t="s">
        <v>180</v>
      </c>
    </row>
    <row r="179" spans="1:6" ht="15.75" thickBot="1" x14ac:dyDescent="0.3">
      <c r="A179" s="12"/>
      <c r="B179" s="14"/>
      <c r="C179" s="14" t="s">
        <v>220</v>
      </c>
      <c r="D179" s="52"/>
      <c r="E179" s="52"/>
      <c r="F179" s="74"/>
    </row>
    <row r="180" spans="1:6" x14ac:dyDescent="0.25">
      <c r="A180" s="9">
        <v>41309</v>
      </c>
      <c r="B180" s="31">
        <v>5120</v>
      </c>
      <c r="C180" s="26" t="str">
        <f>VLOOKUP(B180,TablePCG,2,FALSE)</f>
        <v>banque</v>
      </c>
      <c r="D180" s="49">
        <v>870</v>
      </c>
      <c r="E180" s="49"/>
      <c r="F180" s="74"/>
    </row>
    <row r="181" spans="1:6" x14ac:dyDescent="0.25">
      <c r="A181" s="10"/>
      <c r="B181" s="22">
        <v>7112</v>
      </c>
      <c r="C181" s="16" t="str">
        <f>VLOOKUP(B181,TablePCG,2,FALSE)</f>
        <v>37-recettes V</v>
      </c>
      <c r="D181" s="51"/>
      <c r="E181" s="51">
        <v>870</v>
      </c>
      <c r="F181" s="74" t="s">
        <v>180</v>
      </c>
    </row>
    <row r="182" spans="1:6" ht="15.75" thickBot="1" x14ac:dyDescent="0.3">
      <c r="A182" s="12"/>
      <c r="B182" s="14"/>
      <c r="C182" s="14" t="s">
        <v>221</v>
      </c>
      <c r="D182" s="52"/>
      <c r="E182" s="52"/>
      <c r="F182" s="74"/>
    </row>
    <row r="183" spans="1:6" x14ac:dyDescent="0.25">
      <c r="A183" s="9">
        <v>41309</v>
      </c>
      <c r="B183" s="31">
        <v>5120</v>
      </c>
      <c r="C183" s="26" t="str">
        <f>VLOOKUP(B183,TablePCG,2,FALSE)</f>
        <v>banque</v>
      </c>
      <c r="D183" s="49">
        <v>472.5</v>
      </c>
      <c r="E183" s="49"/>
      <c r="F183" s="74"/>
    </row>
    <row r="184" spans="1:6" x14ac:dyDescent="0.25">
      <c r="A184" s="10"/>
      <c r="B184" s="22">
        <v>7112</v>
      </c>
      <c r="C184" s="16" t="str">
        <f>VLOOKUP(B184,TablePCG,2,FALSE)</f>
        <v>37-recettes V</v>
      </c>
      <c r="D184" s="51"/>
      <c r="E184" s="51">
        <v>472.5</v>
      </c>
      <c r="F184" s="74" t="s">
        <v>180</v>
      </c>
    </row>
    <row r="185" spans="1:6" ht="15.75" thickBot="1" x14ac:dyDescent="0.3">
      <c r="A185" s="12"/>
      <c r="B185" s="14"/>
      <c r="C185" s="14" t="s">
        <v>222</v>
      </c>
      <c r="D185" s="52"/>
      <c r="E185" s="52"/>
      <c r="F185" s="74"/>
    </row>
    <row r="186" spans="1:6" x14ac:dyDescent="0.25">
      <c r="A186" s="9">
        <v>41309</v>
      </c>
      <c r="B186" s="31">
        <v>5120</v>
      </c>
      <c r="C186" s="26" t="str">
        <f>VLOOKUP(B186,TablePCG,2,FALSE)</f>
        <v>banque</v>
      </c>
      <c r="D186" s="49">
        <v>645</v>
      </c>
      <c r="E186" s="49"/>
      <c r="F186" s="74"/>
    </row>
    <row r="187" spans="1:6" x14ac:dyDescent="0.25">
      <c r="A187" s="10"/>
      <c r="B187" s="22">
        <v>7112</v>
      </c>
      <c r="C187" s="16" t="str">
        <f>VLOOKUP(B187,TablePCG,2,FALSE)</f>
        <v>37-recettes V</v>
      </c>
      <c r="D187" s="51"/>
      <c r="E187" s="51">
        <v>645</v>
      </c>
      <c r="F187" s="74" t="s">
        <v>180</v>
      </c>
    </row>
    <row r="188" spans="1:6" ht="15.75" thickBot="1" x14ac:dyDescent="0.3">
      <c r="A188" s="12"/>
      <c r="B188" s="14"/>
      <c r="C188" s="14" t="s">
        <v>222</v>
      </c>
      <c r="D188" s="52"/>
      <c r="E188" s="52"/>
      <c r="F188" s="74"/>
    </row>
    <row r="189" spans="1:6" x14ac:dyDescent="0.25">
      <c r="A189" s="9">
        <v>41319</v>
      </c>
      <c r="B189" s="31">
        <f>PCG!A10</f>
        <v>4050</v>
      </c>
      <c r="C189" s="26" t="str">
        <f>VLOOKUP(B189,TablePCG,2,FALSE)</f>
        <v>loyers à payer</v>
      </c>
      <c r="D189" s="49">
        <v>200</v>
      </c>
      <c r="E189" s="49"/>
      <c r="F189" s="74"/>
    </row>
    <row r="190" spans="1:6" x14ac:dyDescent="0.25">
      <c r="A190" s="10"/>
      <c r="B190" s="22">
        <v>5120</v>
      </c>
      <c r="C190" s="16" t="str">
        <f>VLOOKUP(B190,TablePCG,2,FALSE)</f>
        <v>banque</v>
      </c>
      <c r="D190" s="51"/>
      <c r="E190" s="51">
        <v>200</v>
      </c>
      <c r="F190" s="74"/>
    </row>
    <row r="191" spans="1:6" ht="15.75" thickBot="1" x14ac:dyDescent="0.3">
      <c r="A191" s="12"/>
      <c r="B191" s="14"/>
      <c r="C191" s="14" t="s">
        <v>62</v>
      </c>
      <c r="D191" s="52"/>
      <c r="E191" s="52"/>
      <c r="F191" s="74"/>
    </row>
    <row r="192" spans="1:6" x14ac:dyDescent="0.25">
      <c r="A192" s="9">
        <v>41319</v>
      </c>
      <c r="B192" s="58">
        <v>6580</v>
      </c>
      <c r="C192" s="26" t="str">
        <f>VLOOKUP(B192,TablePCG,2,FALSE)</f>
        <v xml:space="preserve">33-charges diverses </v>
      </c>
      <c r="D192" s="59">
        <v>117</v>
      </c>
      <c r="E192" s="49"/>
      <c r="F192" s="74" t="s">
        <v>171</v>
      </c>
    </row>
    <row r="193" spans="1:6" x14ac:dyDescent="0.25">
      <c r="A193" s="10"/>
      <c r="B193" s="22">
        <v>5120</v>
      </c>
      <c r="C193" s="16" t="str">
        <f>VLOOKUP(B193,TablePCG,2,FALSE)</f>
        <v>banque</v>
      </c>
      <c r="D193" s="51"/>
      <c r="E193" s="51">
        <v>117</v>
      </c>
      <c r="F193" s="74"/>
    </row>
    <row r="194" spans="1:6" ht="15.75" thickBot="1" x14ac:dyDescent="0.3">
      <c r="A194" s="12"/>
      <c r="B194" s="14"/>
      <c r="C194" s="14" t="s">
        <v>173</v>
      </c>
      <c r="D194" s="52"/>
      <c r="E194" s="52"/>
      <c r="F194" s="74"/>
    </row>
    <row r="195" spans="1:6" x14ac:dyDescent="0.25">
      <c r="A195" s="9">
        <v>41319</v>
      </c>
      <c r="B195" s="31">
        <f>PCG!A31</f>
        <v>6281</v>
      </c>
      <c r="C195" s="26" t="str">
        <f>VLOOKUP(B195,TablePCG,2,FALSE)</f>
        <v xml:space="preserve">29-cotisations </v>
      </c>
      <c r="D195" s="49">
        <v>143.35</v>
      </c>
      <c r="E195" s="49"/>
      <c r="F195" s="74" t="s">
        <v>171</v>
      </c>
    </row>
    <row r="196" spans="1:6" x14ac:dyDescent="0.25">
      <c r="A196" s="10"/>
      <c r="B196" s="22">
        <v>5120</v>
      </c>
      <c r="C196" s="16" t="str">
        <f>VLOOKUP(B196,TablePCG,2,FALSE)</f>
        <v>banque</v>
      </c>
      <c r="D196" s="51"/>
      <c r="E196" s="51">
        <v>143.35</v>
      </c>
      <c r="F196" s="74"/>
    </row>
    <row r="197" spans="1:6" ht="15.75" thickBot="1" x14ac:dyDescent="0.3">
      <c r="A197" s="12"/>
      <c r="B197" s="14"/>
      <c r="C197" s="14" t="s">
        <v>121</v>
      </c>
      <c r="D197" s="52"/>
      <c r="E197" s="52"/>
      <c r="F197" s="74"/>
    </row>
    <row r="198" spans="1:6" x14ac:dyDescent="0.25">
      <c r="A198" s="9">
        <v>41319</v>
      </c>
      <c r="B198" s="31">
        <v>6281</v>
      </c>
      <c r="C198" s="26" t="str">
        <f>VLOOKUP(B198,TablePCG,2,FALSE)</f>
        <v xml:space="preserve">29-cotisations </v>
      </c>
      <c r="D198" s="49">
        <v>23.51</v>
      </c>
      <c r="E198" s="49"/>
      <c r="F198" s="74" t="s">
        <v>171</v>
      </c>
    </row>
    <row r="199" spans="1:6" x14ac:dyDescent="0.25">
      <c r="A199" s="10"/>
      <c r="B199" s="22">
        <v>5120</v>
      </c>
      <c r="C199" s="16" t="str">
        <f>VLOOKUP(B199,TablePCG,2,FALSE)</f>
        <v>banque</v>
      </c>
      <c r="D199" s="51"/>
      <c r="E199" s="51">
        <v>23.51</v>
      </c>
      <c r="F199" s="74"/>
    </row>
    <row r="200" spans="1:6" ht="15.75" thickBot="1" x14ac:dyDescent="0.3">
      <c r="A200" s="12"/>
      <c r="B200" s="14"/>
      <c r="C200" s="14" t="s">
        <v>122</v>
      </c>
      <c r="D200" s="52"/>
      <c r="E200" s="52"/>
      <c r="F200" s="74"/>
    </row>
    <row r="201" spans="1:6" x14ac:dyDescent="0.25">
      <c r="A201" s="9">
        <v>41326</v>
      </c>
      <c r="B201" s="31">
        <f>PCG!A27</f>
        <v>6250</v>
      </c>
      <c r="C201" s="26" t="str">
        <f>VLOOKUP(B201,TablePCG,2,FALSE)</f>
        <v>25-frais de résidence et de déplacement</v>
      </c>
      <c r="D201" s="49">
        <v>105.69</v>
      </c>
      <c r="E201" s="49"/>
      <c r="F201" s="74" t="s">
        <v>181</v>
      </c>
    </row>
    <row r="202" spans="1:6" x14ac:dyDescent="0.25">
      <c r="A202" s="10"/>
      <c r="B202" s="22">
        <v>5120</v>
      </c>
      <c r="C202" s="16" t="str">
        <f>VLOOKUP(B202,TablePCG,2,FALSE)</f>
        <v>banque</v>
      </c>
      <c r="D202" s="51"/>
      <c r="E202" s="51">
        <v>105.69</v>
      </c>
      <c r="F202" s="74"/>
    </row>
    <row r="203" spans="1:6" ht="15.75" thickBot="1" x14ac:dyDescent="0.3">
      <c r="A203" s="12"/>
      <c r="B203" s="14"/>
      <c r="C203" s="14" t="s">
        <v>74</v>
      </c>
      <c r="D203" s="52"/>
      <c r="E203" s="52"/>
      <c r="F203" s="74"/>
    </row>
    <row r="204" spans="1:6" x14ac:dyDescent="0.25">
      <c r="A204" s="9">
        <v>41326</v>
      </c>
      <c r="B204" s="31">
        <v>6250</v>
      </c>
      <c r="C204" s="26" t="str">
        <f>VLOOKUP(B204,TablePCG,2,FALSE)</f>
        <v>25-frais de résidence et de déplacement</v>
      </c>
      <c r="D204" s="49">
        <v>190.02</v>
      </c>
      <c r="E204" s="49"/>
      <c r="F204" s="74" t="s">
        <v>181</v>
      </c>
    </row>
    <row r="205" spans="1:6" x14ac:dyDescent="0.25">
      <c r="A205" s="10"/>
      <c r="B205" s="22">
        <v>5120</v>
      </c>
      <c r="C205" s="16" t="str">
        <f>VLOOKUP(B205,TablePCG,2,FALSE)</f>
        <v>banque</v>
      </c>
      <c r="D205" s="51"/>
      <c r="E205" s="51">
        <v>190.02</v>
      </c>
      <c r="F205" s="74"/>
    </row>
    <row r="206" spans="1:6" ht="15.75" thickBot="1" x14ac:dyDescent="0.3">
      <c r="A206" s="12"/>
      <c r="B206" s="14"/>
      <c r="C206" s="14" t="s">
        <v>75</v>
      </c>
      <c r="D206" s="52"/>
      <c r="E206" s="52"/>
      <c r="F206" s="74"/>
    </row>
    <row r="207" spans="1:6" x14ac:dyDescent="0.25">
      <c r="A207" s="9">
        <v>41326</v>
      </c>
      <c r="B207" s="31">
        <v>5120</v>
      </c>
      <c r="C207" s="15" t="str">
        <f>VLOOKUP(B207,TablePCG,2,FALSE)</f>
        <v>banque</v>
      </c>
      <c r="D207" s="49">
        <v>100</v>
      </c>
      <c r="E207" s="49"/>
      <c r="F207" s="74"/>
    </row>
    <row r="208" spans="1:6" x14ac:dyDescent="0.25">
      <c r="A208" s="10"/>
      <c r="B208" s="22">
        <v>7470</v>
      </c>
      <c r="C208" s="16" t="str">
        <f>VLOOKUP(B208,TablePCG,2,FALSE)</f>
        <v>47-subvention aide à la création</v>
      </c>
      <c r="D208" s="51"/>
      <c r="E208" s="51">
        <v>100</v>
      </c>
      <c r="F208" s="74" t="s">
        <v>181</v>
      </c>
    </row>
    <row r="209" spans="1:6" ht="15.75" thickBot="1" x14ac:dyDescent="0.3">
      <c r="A209" s="12"/>
      <c r="B209" s="14"/>
      <c r="C209" s="14" t="s">
        <v>21</v>
      </c>
      <c r="D209" s="52"/>
      <c r="E209" s="52"/>
      <c r="F209" s="74"/>
    </row>
    <row r="210" spans="1:6" x14ac:dyDescent="0.25">
      <c r="A210" s="9">
        <v>41330</v>
      </c>
      <c r="B210" s="58">
        <v>6580</v>
      </c>
      <c r="C210" s="15" t="str">
        <f>VLOOKUP(B210,TablePCG,2,FALSE)</f>
        <v xml:space="preserve">33-charges diverses </v>
      </c>
      <c r="D210" s="59">
        <v>63</v>
      </c>
      <c r="E210" s="49"/>
      <c r="F210" s="74" t="s">
        <v>171</v>
      </c>
    </row>
    <row r="211" spans="1:6" x14ac:dyDescent="0.25">
      <c r="A211" s="10"/>
      <c r="B211" s="22">
        <v>5120</v>
      </c>
      <c r="C211" s="16" t="str">
        <f>VLOOKUP(B211,TablePCG,2,FALSE)</f>
        <v>banque</v>
      </c>
      <c r="D211" s="51"/>
      <c r="E211" s="51">
        <v>63</v>
      </c>
      <c r="F211" s="74"/>
    </row>
    <row r="212" spans="1:6" ht="15.75" thickBot="1" x14ac:dyDescent="0.3">
      <c r="A212" s="12"/>
      <c r="B212" s="14"/>
      <c r="C212" s="14" t="s">
        <v>174</v>
      </c>
      <c r="D212" s="52"/>
      <c r="E212" s="52"/>
      <c r="F212" s="74"/>
    </row>
    <row r="213" spans="1:6" x14ac:dyDescent="0.25">
      <c r="A213" s="9">
        <v>41335</v>
      </c>
      <c r="B213" s="31">
        <v>5120</v>
      </c>
      <c r="C213" s="15" t="str">
        <f>VLOOKUP(B213,TablePCG,2,FALSE)</f>
        <v>banque</v>
      </c>
      <c r="D213" s="49">
        <v>78.400000000000006</v>
      </c>
      <c r="E213" s="49"/>
      <c r="F213" s="74"/>
    </row>
    <row r="214" spans="1:6" x14ac:dyDescent="0.25">
      <c r="A214" s="10"/>
      <c r="B214" s="22">
        <v>7470</v>
      </c>
      <c r="C214" s="16" t="str">
        <f>VLOOKUP(B214,TablePCG,2,FALSE)</f>
        <v>47-subvention aide à la création</v>
      </c>
      <c r="D214" s="51"/>
      <c r="E214" s="51">
        <v>78.400000000000006</v>
      </c>
      <c r="F214" s="74" t="s">
        <v>181</v>
      </c>
    </row>
    <row r="215" spans="1:6" ht="15.75" thickBot="1" x14ac:dyDescent="0.3">
      <c r="A215" s="12"/>
      <c r="B215" s="14"/>
      <c r="C215" s="14" t="s">
        <v>21</v>
      </c>
      <c r="D215" s="52"/>
      <c r="E215" s="52"/>
      <c r="F215" s="74"/>
    </row>
    <row r="216" spans="1:6" x14ac:dyDescent="0.25">
      <c r="A216" s="9">
        <v>41337</v>
      </c>
      <c r="B216" s="31">
        <f>+PCG!A31</f>
        <v>6281</v>
      </c>
      <c r="C216" s="15" t="str">
        <f>VLOOKUP(B216,TablePCG,2,FALSE)</f>
        <v xml:space="preserve">29-cotisations </v>
      </c>
      <c r="D216" s="49">
        <v>71.62</v>
      </c>
      <c r="E216" s="49"/>
      <c r="F216" s="74" t="s">
        <v>171</v>
      </c>
    </row>
    <row r="217" spans="1:6" x14ac:dyDescent="0.25">
      <c r="A217" s="10"/>
      <c r="B217" s="22">
        <v>5120</v>
      </c>
      <c r="C217" s="16" t="str">
        <f>VLOOKUP(B217,TablePCG,2,FALSE)</f>
        <v>banque</v>
      </c>
      <c r="D217" s="51"/>
      <c r="E217" s="51">
        <v>71.62</v>
      </c>
      <c r="F217" s="74"/>
    </row>
    <row r="218" spans="1:6" ht="15.75" thickBot="1" x14ac:dyDescent="0.3">
      <c r="A218" s="12"/>
      <c r="B218" s="14"/>
      <c r="C218" s="14" t="s">
        <v>63</v>
      </c>
      <c r="D218" s="52"/>
      <c r="E218" s="52"/>
      <c r="F218" s="74"/>
    </row>
    <row r="219" spans="1:6" x14ac:dyDescent="0.25">
      <c r="A219" s="9">
        <v>41340</v>
      </c>
      <c r="B219" s="31">
        <f>PCG!A27</f>
        <v>6250</v>
      </c>
      <c r="C219" s="15" t="str">
        <f>VLOOKUP(B219,TablePCG,2,FALSE)</f>
        <v>25-frais de résidence et de déplacement</v>
      </c>
      <c r="D219" s="49">
        <v>72.3</v>
      </c>
      <c r="E219" s="49"/>
      <c r="F219" s="74" t="s">
        <v>181</v>
      </c>
    </row>
    <row r="220" spans="1:6" x14ac:dyDescent="0.25">
      <c r="A220" s="10"/>
      <c r="B220" s="22">
        <v>5120</v>
      </c>
      <c r="C220" s="16" t="str">
        <f>VLOOKUP(B220,TablePCG,2,FALSE)</f>
        <v>banque</v>
      </c>
      <c r="D220" s="51"/>
      <c r="E220" s="51">
        <v>72.3</v>
      </c>
      <c r="F220" s="74"/>
    </row>
    <row r="221" spans="1:6" ht="15.75" thickBot="1" x14ac:dyDescent="0.3">
      <c r="A221" s="12"/>
      <c r="B221" s="14"/>
      <c r="C221" s="14" t="s">
        <v>123</v>
      </c>
      <c r="D221" s="52"/>
      <c r="E221" s="52"/>
      <c r="F221" s="74"/>
    </row>
    <row r="222" spans="1:6" x14ac:dyDescent="0.25">
      <c r="A222" s="9">
        <v>41346</v>
      </c>
      <c r="B222" s="31">
        <f>PCG!A22</f>
        <v>6060</v>
      </c>
      <c r="C222" s="15" t="str">
        <f>VLOOKUP(B222,TablePCG,2,FALSE)</f>
        <v>20-fournitures, petit équipement</v>
      </c>
      <c r="D222" s="49">
        <v>33.75</v>
      </c>
      <c r="E222" s="49"/>
      <c r="F222" s="74" t="s">
        <v>171</v>
      </c>
    </row>
    <row r="223" spans="1:6" x14ac:dyDescent="0.25">
      <c r="A223" s="10"/>
      <c r="B223" s="22">
        <v>5120</v>
      </c>
      <c r="C223" s="16" t="str">
        <f>VLOOKUP(B223,TablePCG,2,FALSE)</f>
        <v>banque</v>
      </c>
      <c r="D223" s="51"/>
      <c r="E223" s="51">
        <v>33.75</v>
      </c>
      <c r="F223" s="74"/>
    </row>
    <row r="224" spans="1:6" ht="15.75" thickBot="1" x14ac:dyDescent="0.3">
      <c r="A224" s="12"/>
      <c r="B224" s="14"/>
      <c r="C224" s="14" t="s">
        <v>64</v>
      </c>
      <c r="D224" s="52"/>
      <c r="E224" s="52"/>
      <c r="F224" s="74"/>
    </row>
    <row r="225" spans="1:6" x14ac:dyDescent="0.25">
      <c r="A225" s="9">
        <v>41346</v>
      </c>
      <c r="B225" s="31">
        <v>6060</v>
      </c>
      <c r="C225" s="15" t="str">
        <f>VLOOKUP(B225,TablePCG,2,FALSE)</f>
        <v>20-fournitures, petit équipement</v>
      </c>
      <c r="D225" s="49">
        <v>131.30000000000001</v>
      </c>
      <c r="E225" s="49"/>
      <c r="F225" s="74" t="s">
        <v>171</v>
      </c>
    </row>
    <row r="226" spans="1:6" x14ac:dyDescent="0.25">
      <c r="A226" s="10"/>
      <c r="B226" s="22">
        <v>5120</v>
      </c>
      <c r="C226" s="16" t="str">
        <f>VLOOKUP(B226,TablePCG,2,FALSE)</f>
        <v>banque</v>
      </c>
      <c r="D226" s="51"/>
      <c r="E226" s="51">
        <v>131.30000000000001</v>
      </c>
      <c r="F226" s="74"/>
    </row>
    <row r="227" spans="1:6" ht="15.75" thickBot="1" x14ac:dyDescent="0.3">
      <c r="A227" s="12"/>
      <c r="B227" s="14"/>
      <c r="C227" s="14" t="s">
        <v>65</v>
      </c>
      <c r="D227" s="52"/>
      <c r="E227" s="52"/>
      <c r="F227" s="74"/>
    </row>
    <row r="228" spans="1:6" x14ac:dyDescent="0.25">
      <c r="A228" s="9">
        <v>41346</v>
      </c>
      <c r="B228" s="31">
        <v>6060</v>
      </c>
      <c r="C228" s="15" t="str">
        <f>VLOOKUP(B228,TablePCG,2,FALSE)</f>
        <v>20-fournitures, petit équipement</v>
      </c>
      <c r="D228" s="49">
        <v>71.13</v>
      </c>
      <c r="E228" s="49"/>
      <c r="F228" s="74" t="s">
        <v>171</v>
      </c>
    </row>
    <row r="229" spans="1:6" x14ac:dyDescent="0.25">
      <c r="A229" s="10"/>
      <c r="B229" s="22">
        <v>5120</v>
      </c>
      <c r="C229" s="16" t="str">
        <f>VLOOKUP(B229,TablePCG,2,FALSE)</f>
        <v>banque</v>
      </c>
      <c r="D229" s="51"/>
      <c r="E229" s="51">
        <v>71.13</v>
      </c>
      <c r="F229" s="74"/>
    </row>
    <row r="230" spans="1:6" ht="15.75" thickBot="1" x14ac:dyDescent="0.3">
      <c r="A230" s="12"/>
      <c r="B230" s="14"/>
      <c r="C230" s="14" t="s">
        <v>66</v>
      </c>
      <c r="D230" s="52"/>
      <c r="E230" s="52"/>
      <c r="F230" s="74"/>
    </row>
    <row r="231" spans="1:6" x14ac:dyDescent="0.25">
      <c r="A231" s="9">
        <v>41346</v>
      </c>
      <c r="B231" s="31">
        <f>PCG!A23</f>
        <v>6130</v>
      </c>
      <c r="C231" s="15" t="str">
        <f>VLOOKUP(B231,TablePCG,2,FALSE)</f>
        <v>21-loyers</v>
      </c>
      <c r="D231" s="49">
        <v>300</v>
      </c>
      <c r="E231" s="49"/>
      <c r="F231" s="74" t="s">
        <v>171</v>
      </c>
    </row>
    <row r="232" spans="1:6" x14ac:dyDescent="0.25">
      <c r="A232" s="10"/>
      <c r="B232" s="22">
        <v>5120</v>
      </c>
      <c r="C232" s="16" t="str">
        <f>VLOOKUP(B232,TablePCG,2,FALSE)</f>
        <v>banque</v>
      </c>
      <c r="D232" s="51"/>
      <c r="E232" s="51">
        <v>300</v>
      </c>
      <c r="F232" s="74"/>
    </row>
    <row r="233" spans="1:6" ht="15.75" thickBot="1" x14ac:dyDescent="0.3">
      <c r="A233" s="12"/>
      <c r="B233" s="14"/>
      <c r="C233" s="14" t="s">
        <v>67</v>
      </c>
      <c r="D233" s="52"/>
      <c r="E233" s="52"/>
      <c r="F233" s="74"/>
    </row>
    <row r="234" spans="1:6" x14ac:dyDescent="0.25">
      <c r="A234" s="9">
        <v>41346</v>
      </c>
      <c r="B234" s="31">
        <v>5120</v>
      </c>
      <c r="C234" s="15" t="str">
        <f>VLOOKUP(B234,TablePCG,2,FALSE)</f>
        <v>banque</v>
      </c>
      <c r="D234" s="49">
        <v>10</v>
      </c>
      <c r="E234" s="49"/>
      <c r="F234" s="74"/>
    </row>
    <row r="235" spans="1:6" x14ac:dyDescent="0.25">
      <c r="A235" s="10"/>
      <c r="B235" s="22">
        <f>PCG!A41</f>
        <v>7130</v>
      </c>
      <c r="C235" s="16" t="str">
        <f>VLOOKUP(B235,TablePCG,2,FALSE)</f>
        <v xml:space="preserve">39-adhésions </v>
      </c>
      <c r="D235" s="51"/>
      <c r="E235" s="51">
        <v>10</v>
      </c>
      <c r="F235" s="74" t="s">
        <v>171</v>
      </c>
    </row>
    <row r="236" spans="1:6" ht="15.75" thickBot="1" x14ac:dyDescent="0.3">
      <c r="A236" s="12"/>
      <c r="B236" s="14"/>
      <c r="C236" s="14" t="s">
        <v>130</v>
      </c>
      <c r="D236" s="52"/>
      <c r="E236" s="52"/>
      <c r="F236" s="74"/>
    </row>
    <row r="237" spans="1:6" x14ac:dyDescent="0.25">
      <c r="A237" s="9">
        <v>41346</v>
      </c>
      <c r="B237" s="31">
        <v>5120</v>
      </c>
      <c r="C237" s="15" t="str">
        <f>VLOOKUP(B237,TablePCG,2,FALSE)</f>
        <v>banque</v>
      </c>
      <c r="D237" s="49">
        <v>10</v>
      </c>
      <c r="E237" s="49"/>
      <c r="F237" s="74"/>
    </row>
    <row r="238" spans="1:6" x14ac:dyDescent="0.25">
      <c r="A238" s="10"/>
      <c r="B238" s="22">
        <v>7130</v>
      </c>
      <c r="C238" s="16" t="str">
        <f>VLOOKUP(B238,TablePCG,2,FALSE)</f>
        <v xml:space="preserve">39-adhésions </v>
      </c>
      <c r="D238" s="51"/>
      <c r="E238" s="51">
        <v>10</v>
      </c>
      <c r="F238" s="74" t="s">
        <v>171</v>
      </c>
    </row>
    <row r="239" spans="1:6" ht="15.75" thickBot="1" x14ac:dyDescent="0.3">
      <c r="A239" s="12"/>
      <c r="B239" s="14"/>
      <c r="C239" s="14" t="s">
        <v>130</v>
      </c>
      <c r="D239" s="52"/>
      <c r="E239" s="52"/>
      <c r="F239" s="74"/>
    </row>
    <row r="240" spans="1:6" x14ac:dyDescent="0.25">
      <c r="A240" s="9">
        <v>41346</v>
      </c>
      <c r="B240" s="31">
        <v>5120</v>
      </c>
      <c r="C240" s="26" t="str">
        <f>VLOOKUP(B240,TablePCG,2,FALSE)</f>
        <v>banque</v>
      </c>
      <c r="D240" s="49">
        <v>183.7</v>
      </c>
      <c r="E240" s="49"/>
      <c r="F240" s="74"/>
    </row>
    <row r="241" spans="1:6" x14ac:dyDescent="0.25">
      <c r="A241" s="24"/>
      <c r="B241" s="46">
        <f>+PCG!A41</f>
        <v>7130</v>
      </c>
      <c r="C241" s="77" t="str">
        <f>VLOOKUP(B241,TablePCG,2,FALSE)</f>
        <v xml:space="preserve">39-adhésions </v>
      </c>
      <c r="D241" s="48"/>
      <c r="E241" s="48">
        <f>D240-E242</f>
        <v>125.49999999999999</v>
      </c>
      <c r="F241" s="74" t="s">
        <v>171</v>
      </c>
    </row>
    <row r="242" spans="1:6" x14ac:dyDescent="0.25">
      <c r="A242" s="10"/>
      <c r="B242" s="22">
        <f>B7</f>
        <v>4685</v>
      </c>
      <c r="C242" s="16" t="str">
        <f>VLOOKUP(B242,TablePCG,2,FALSE)</f>
        <v>cotisations à recevoir</v>
      </c>
      <c r="D242" s="51"/>
      <c r="E242" s="51">
        <v>58.2</v>
      </c>
      <c r="F242" s="74"/>
    </row>
    <row r="243" spans="1:6" ht="15.75" thickBot="1" x14ac:dyDescent="0.3">
      <c r="A243" s="12"/>
      <c r="B243" s="14"/>
      <c r="C243" s="14" t="s">
        <v>130</v>
      </c>
      <c r="D243" s="52"/>
      <c r="E243" s="52"/>
      <c r="F243" s="74"/>
    </row>
    <row r="244" spans="1:6" x14ac:dyDescent="0.25">
      <c r="A244" s="9">
        <v>41349</v>
      </c>
      <c r="B244" s="31">
        <v>6250</v>
      </c>
      <c r="C244" s="15" t="str">
        <f>VLOOKUP(B244,TablePCG,2,FALSE)</f>
        <v>25-frais de résidence et de déplacement</v>
      </c>
      <c r="D244" s="49">
        <v>15.6</v>
      </c>
      <c r="E244" s="49"/>
      <c r="F244" s="74" t="s">
        <v>181</v>
      </c>
    </row>
    <row r="245" spans="1:6" x14ac:dyDescent="0.25">
      <c r="A245" s="10"/>
      <c r="B245" s="22">
        <v>5120</v>
      </c>
      <c r="C245" s="16" t="str">
        <f>VLOOKUP(B245,TablePCG,2,FALSE)</f>
        <v>banque</v>
      </c>
      <c r="D245" s="51"/>
      <c r="E245" s="51">
        <v>15.6</v>
      </c>
      <c r="F245" s="74"/>
    </row>
    <row r="246" spans="1:6" ht="15.75" thickBot="1" x14ac:dyDescent="0.3">
      <c r="A246" s="12"/>
      <c r="B246" s="14"/>
      <c r="C246" s="14" t="s">
        <v>68</v>
      </c>
      <c r="D246" s="52"/>
      <c r="E246" s="52"/>
      <c r="F246" s="74"/>
    </row>
    <row r="247" spans="1:6" x14ac:dyDescent="0.25">
      <c r="A247" s="9">
        <v>41348</v>
      </c>
      <c r="B247" s="31">
        <v>6250</v>
      </c>
      <c r="C247" s="15" t="str">
        <f>VLOOKUP(B247,TablePCG,2,FALSE)</f>
        <v>25-frais de résidence et de déplacement</v>
      </c>
      <c r="D247" s="49">
        <v>55.45</v>
      </c>
      <c r="E247" s="49"/>
      <c r="F247" s="74" t="s">
        <v>181</v>
      </c>
    </row>
    <row r="248" spans="1:6" x14ac:dyDescent="0.25">
      <c r="A248" s="10"/>
      <c r="B248" s="22">
        <v>5120</v>
      </c>
      <c r="C248" s="16" t="str">
        <f>VLOOKUP(B248,TablePCG,2,FALSE)</f>
        <v>banque</v>
      </c>
      <c r="D248" s="51"/>
      <c r="E248" s="51">
        <v>55.45</v>
      </c>
      <c r="F248" s="74"/>
    </row>
    <row r="249" spans="1:6" ht="15.75" thickBot="1" x14ac:dyDescent="0.3">
      <c r="A249" s="12"/>
      <c r="B249" s="14"/>
      <c r="C249" s="14" t="s">
        <v>69</v>
      </c>
      <c r="D249" s="52"/>
      <c r="E249" s="52"/>
      <c r="F249" s="74"/>
    </row>
    <row r="250" spans="1:6" x14ac:dyDescent="0.25">
      <c r="A250" s="9">
        <v>41348</v>
      </c>
      <c r="B250" s="31">
        <v>6250</v>
      </c>
      <c r="C250" s="15" t="str">
        <f>VLOOKUP(B250,TablePCG,2,FALSE)</f>
        <v>25-frais de résidence et de déplacement</v>
      </c>
      <c r="D250" s="49">
        <v>7.6</v>
      </c>
      <c r="E250" s="49"/>
      <c r="F250" s="74" t="s">
        <v>181</v>
      </c>
    </row>
    <row r="251" spans="1:6" x14ac:dyDescent="0.25">
      <c r="A251" s="10"/>
      <c r="B251" s="22">
        <v>5120</v>
      </c>
      <c r="C251" s="16" t="str">
        <f>VLOOKUP(B251,TablePCG,2,FALSE)</f>
        <v>banque</v>
      </c>
      <c r="D251" s="51"/>
      <c r="E251" s="51">
        <v>7.6</v>
      </c>
      <c r="F251" s="74"/>
    </row>
    <row r="252" spans="1:6" ht="15.75" thickBot="1" x14ac:dyDescent="0.3">
      <c r="A252" s="12"/>
      <c r="B252" s="14"/>
      <c r="C252" s="14" t="s">
        <v>70</v>
      </c>
      <c r="D252" s="52"/>
      <c r="E252" s="52"/>
      <c r="F252" s="74"/>
    </row>
    <row r="253" spans="1:6" x14ac:dyDescent="0.25">
      <c r="A253" s="9">
        <v>41346</v>
      </c>
      <c r="B253" s="31">
        <v>6060</v>
      </c>
      <c r="C253" s="15" t="str">
        <f>VLOOKUP(B253,TablePCG,2,FALSE)</f>
        <v>20-fournitures, petit équipement</v>
      </c>
      <c r="D253" s="49">
        <v>18</v>
      </c>
      <c r="E253" s="49"/>
      <c r="F253" s="74" t="s">
        <v>171</v>
      </c>
    </row>
    <row r="254" spans="1:6" x14ac:dyDescent="0.25">
      <c r="A254" s="10"/>
      <c r="B254" s="22">
        <v>5120</v>
      </c>
      <c r="C254" s="16" t="str">
        <f>VLOOKUP(B254,TablePCG,2,FALSE)</f>
        <v>banque</v>
      </c>
      <c r="D254" s="51"/>
      <c r="E254" s="51">
        <v>18</v>
      </c>
      <c r="F254" s="74"/>
    </row>
    <row r="255" spans="1:6" ht="15.75" thickBot="1" x14ac:dyDescent="0.3">
      <c r="A255" s="12"/>
      <c r="B255" s="14"/>
      <c r="C255" s="14" t="s">
        <v>71</v>
      </c>
      <c r="D255" s="52"/>
      <c r="E255" s="52"/>
      <c r="F255" s="74"/>
    </row>
    <row r="256" spans="1:6" x14ac:dyDescent="0.25">
      <c r="A256" s="9">
        <v>41346</v>
      </c>
      <c r="B256" s="31">
        <v>6060</v>
      </c>
      <c r="C256" s="15" t="str">
        <f>VLOOKUP(B256,TablePCG,2,FALSE)</f>
        <v>20-fournitures, petit équipement</v>
      </c>
      <c r="D256" s="49">
        <v>17.899999999999999</v>
      </c>
      <c r="E256" s="49"/>
      <c r="F256" s="74" t="s">
        <v>171</v>
      </c>
    </row>
    <row r="257" spans="1:6" x14ac:dyDescent="0.25">
      <c r="A257" s="10"/>
      <c r="B257" s="22">
        <v>5120</v>
      </c>
      <c r="C257" s="16" t="str">
        <f>VLOOKUP(B257,TablePCG,2,FALSE)</f>
        <v>banque</v>
      </c>
      <c r="D257" s="51"/>
      <c r="E257" s="51">
        <v>17.899999999999999</v>
      </c>
      <c r="F257" s="74"/>
    </row>
    <row r="258" spans="1:6" ht="15.75" thickBot="1" x14ac:dyDescent="0.3">
      <c r="A258" s="12"/>
      <c r="B258" s="14"/>
      <c r="C258" s="14" t="s">
        <v>72</v>
      </c>
      <c r="D258" s="52"/>
      <c r="E258" s="52"/>
      <c r="F258" s="74"/>
    </row>
    <row r="259" spans="1:6" x14ac:dyDescent="0.25">
      <c r="A259" s="9">
        <v>41346</v>
      </c>
      <c r="B259" s="31">
        <v>6250</v>
      </c>
      <c r="C259" s="15" t="str">
        <f>VLOOKUP(B259,TablePCG,2,FALSE)</f>
        <v>25-frais de résidence et de déplacement</v>
      </c>
      <c r="D259" s="49">
        <v>30</v>
      </c>
      <c r="E259" s="49"/>
      <c r="F259" s="74" t="s">
        <v>181</v>
      </c>
    </row>
    <row r="260" spans="1:6" x14ac:dyDescent="0.25">
      <c r="A260" s="10"/>
      <c r="B260" s="22">
        <v>5120</v>
      </c>
      <c r="C260" s="16" t="str">
        <f>VLOOKUP(B260,TablePCG,2,FALSE)</f>
        <v>banque</v>
      </c>
      <c r="D260" s="51"/>
      <c r="E260" s="51">
        <v>30</v>
      </c>
      <c r="F260" s="74"/>
    </row>
    <row r="261" spans="1:6" ht="15.75" thickBot="1" x14ac:dyDescent="0.3">
      <c r="A261" s="12"/>
      <c r="B261" s="14"/>
      <c r="C261" s="14" t="s">
        <v>73</v>
      </c>
      <c r="D261" s="52"/>
      <c r="E261" s="52"/>
      <c r="F261" s="74"/>
    </row>
    <row r="262" spans="1:6" x14ac:dyDescent="0.25">
      <c r="A262" s="9">
        <v>41337</v>
      </c>
      <c r="B262" s="31">
        <v>6250</v>
      </c>
      <c r="C262" s="15" t="str">
        <f>VLOOKUP(B262,TablePCG,2,FALSE)</f>
        <v>25-frais de résidence et de déplacement</v>
      </c>
      <c r="D262" s="49">
        <v>155.63</v>
      </c>
      <c r="E262" s="49"/>
      <c r="F262" s="74" t="s">
        <v>181</v>
      </c>
    </row>
    <row r="263" spans="1:6" x14ac:dyDescent="0.25">
      <c r="A263" s="10"/>
      <c r="B263" s="22">
        <v>5120</v>
      </c>
      <c r="C263" s="16" t="str">
        <f>VLOOKUP(B263,TablePCG,2,FALSE)</f>
        <v>banque</v>
      </c>
      <c r="D263" s="51"/>
      <c r="E263" s="51">
        <v>155.63</v>
      </c>
      <c r="F263" s="74"/>
    </row>
    <row r="264" spans="1:6" ht="15.75" thickBot="1" x14ac:dyDescent="0.3">
      <c r="A264" s="12"/>
      <c r="B264" s="14"/>
      <c r="C264" s="14" t="s">
        <v>76</v>
      </c>
      <c r="D264" s="52"/>
      <c r="E264" s="52"/>
      <c r="F264" s="74"/>
    </row>
    <row r="265" spans="1:6" x14ac:dyDescent="0.25">
      <c r="A265" s="9">
        <v>41337</v>
      </c>
      <c r="B265" s="31">
        <v>6250</v>
      </c>
      <c r="C265" s="15" t="str">
        <f>VLOOKUP(B265,TablePCG,2,FALSE)</f>
        <v>25-frais de résidence et de déplacement</v>
      </c>
      <c r="D265" s="49">
        <v>17.09</v>
      </c>
      <c r="E265" s="49"/>
      <c r="F265" s="74" t="s">
        <v>171</v>
      </c>
    </row>
    <row r="266" spans="1:6" x14ac:dyDescent="0.25">
      <c r="A266" s="10"/>
      <c r="B266" s="22">
        <v>5120</v>
      </c>
      <c r="C266" s="16" t="str">
        <f>VLOOKUP(B266,TablePCG,2,FALSE)</f>
        <v>banque</v>
      </c>
      <c r="D266" s="51"/>
      <c r="E266" s="51">
        <v>17.09</v>
      </c>
      <c r="F266" s="74"/>
    </row>
    <row r="267" spans="1:6" ht="15.75" thickBot="1" x14ac:dyDescent="0.3">
      <c r="A267" s="12"/>
      <c r="B267" s="14"/>
      <c r="C267" s="14" t="s">
        <v>77</v>
      </c>
      <c r="D267" s="52"/>
      <c r="E267" s="52"/>
      <c r="F267" s="74"/>
    </row>
    <row r="268" spans="1:6" x14ac:dyDescent="0.25">
      <c r="A268" s="9">
        <v>41337</v>
      </c>
      <c r="B268" s="31">
        <v>6250</v>
      </c>
      <c r="C268" s="15" t="str">
        <f>VLOOKUP(B268,TablePCG,2,FALSE)</f>
        <v>25-frais de résidence et de déplacement</v>
      </c>
      <c r="D268" s="49">
        <v>70</v>
      </c>
      <c r="E268" s="49"/>
      <c r="F268" s="74" t="s">
        <v>181</v>
      </c>
    </row>
    <row r="269" spans="1:6" x14ac:dyDescent="0.25">
      <c r="A269" s="10"/>
      <c r="B269" s="22">
        <v>5120</v>
      </c>
      <c r="C269" s="16" t="str">
        <f>VLOOKUP(B269,TablePCG,2,FALSE)</f>
        <v>banque</v>
      </c>
      <c r="D269" s="51"/>
      <c r="E269" s="51">
        <v>70</v>
      </c>
      <c r="F269" s="74"/>
    </row>
    <row r="270" spans="1:6" ht="15.75" thickBot="1" x14ac:dyDescent="0.3">
      <c r="A270" s="12"/>
      <c r="B270" s="14"/>
      <c r="C270" s="14" t="s">
        <v>128</v>
      </c>
      <c r="D270" s="52"/>
      <c r="E270" s="52"/>
      <c r="F270" s="74"/>
    </row>
    <row r="271" spans="1:6" x14ac:dyDescent="0.25">
      <c r="A271" s="9">
        <v>41350</v>
      </c>
      <c r="B271" s="31">
        <v>6250</v>
      </c>
      <c r="C271" s="15" t="str">
        <f>VLOOKUP(B271,TablePCG,2,FALSE)</f>
        <v>25-frais de résidence et de déplacement</v>
      </c>
      <c r="D271" s="49">
        <v>59.5</v>
      </c>
      <c r="E271" s="49"/>
      <c r="F271" s="74" t="s">
        <v>181</v>
      </c>
    </row>
    <row r="272" spans="1:6" x14ac:dyDescent="0.25">
      <c r="A272" s="10"/>
      <c r="B272" s="22">
        <v>5120</v>
      </c>
      <c r="C272" s="16" t="str">
        <f>VLOOKUP(B272,TablePCG,2,FALSE)</f>
        <v>banque</v>
      </c>
      <c r="D272" s="51"/>
      <c r="E272" s="51">
        <v>59.5</v>
      </c>
      <c r="F272" s="74"/>
    </row>
    <row r="273" spans="1:6" ht="15.75" thickBot="1" x14ac:dyDescent="0.3">
      <c r="A273" s="12"/>
      <c r="B273" s="14"/>
      <c r="C273" s="14" t="s">
        <v>78</v>
      </c>
      <c r="D273" s="52"/>
      <c r="E273" s="52"/>
      <c r="F273" s="74"/>
    </row>
    <row r="274" spans="1:6" x14ac:dyDescent="0.25">
      <c r="A274" s="9">
        <v>41351</v>
      </c>
      <c r="B274" s="31">
        <v>5120</v>
      </c>
      <c r="C274" s="15" t="str">
        <f>VLOOKUP(B274,TablePCG,2,FALSE)</f>
        <v>banque</v>
      </c>
      <c r="D274" s="49">
        <v>382.5</v>
      </c>
      <c r="E274" s="49"/>
      <c r="F274" s="74"/>
    </row>
    <row r="275" spans="1:6" x14ac:dyDescent="0.25">
      <c r="A275" s="10"/>
      <c r="B275" s="22">
        <f>PCG!A39</f>
        <v>7112</v>
      </c>
      <c r="C275" s="16" t="str">
        <f>VLOOKUP(B275,TablePCG,2,FALSE)</f>
        <v>37-recettes V</v>
      </c>
      <c r="D275" s="51"/>
      <c r="E275" s="51">
        <v>382.5</v>
      </c>
      <c r="F275" s="74" t="s">
        <v>180</v>
      </c>
    </row>
    <row r="276" spans="1:6" ht="15.75" thickBot="1" x14ac:dyDescent="0.3">
      <c r="A276" s="12"/>
      <c r="B276" s="14"/>
      <c r="C276" s="44" t="s">
        <v>119</v>
      </c>
      <c r="D276" s="52"/>
      <c r="E276" s="52"/>
      <c r="F276" s="74"/>
    </row>
    <row r="277" spans="1:6" x14ac:dyDescent="0.25">
      <c r="A277" s="9">
        <v>41353</v>
      </c>
      <c r="B277" s="31">
        <v>6410</v>
      </c>
      <c r="C277" s="15" t="str">
        <f>VLOOKUP(B277,TablePCG,2,FALSE)</f>
        <v xml:space="preserve">31-salaires </v>
      </c>
      <c r="D277" s="49">
        <v>106.31</v>
      </c>
      <c r="E277" s="49"/>
      <c r="F277" s="74" t="s">
        <v>180</v>
      </c>
    </row>
    <row r="278" spans="1:6" x14ac:dyDescent="0.25">
      <c r="A278" s="10"/>
      <c r="B278" s="22">
        <v>5120</v>
      </c>
      <c r="C278" s="16" t="str">
        <f>VLOOKUP(B278,TablePCG,2,FALSE)</f>
        <v>banque</v>
      </c>
      <c r="D278" s="51"/>
      <c r="E278" s="51">
        <v>106.31</v>
      </c>
      <c r="F278" s="74"/>
    </row>
    <row r="279" spans="1:6" ht="15.75" thickBot="1" x14ac:dyDescent="0.3">
      <c r="A279" s="12"/>
      <c r="B279" s="14"/>
      <c r="C279" s="44" t="s">
        <v>79</v>
      </c>
      <c r="D279" s="52"/>
      <c r="E279" s="52"/>
      <c r="F279" s="74"/>
    </row>
    <row r="280" spans="1:6" x14ac:dyDescent="0.25">
      <c r="A280" s="9">
        <v>41353</v>
      </c>
      <c r="B280" s="31">
        <v>6250</v>
      </c>
      <c r="C280" s="15" t="str">
        <f>VLOOKUP(B280,TablePCG,2,FALSE)</f>
        <v>25-frais de résidence et de déplacement</v>
      </c>
      <c r="D280" s="49">
        <v>3.8</v>
      </c>
      <c r="E280" s="49"/>
      <c r="F280" s="74" t="s">
        <v>180</v>
      </c>
    </row>
    <row r="281" spans="1:6" x14ac:dyDescent="0.25">
      <c r="A281" s="10"/>
      <c r="B281" s="22">
        <v>5120</v>
      </c>
      <c r="C281" s="16" t="str">
        <f>VLOOKUP(B281,TablePCG,2,FALSE)</f>
        <v>banque</v>
      </c>
      <c r="D281" s="51"/>
      <c r="E281" s="51">
        <v>3.8</v>
      </c>
      <c r="F281" s="74"/>
    </row>
    <row r="282" spans="1:6" ht="15.75" thickBot="1" x14ac:dyDescent="0.3">
      <c r="A282" s="12"/>
      <c r="B282" s="14"/>
      <c r="C282" s="44" t="s">
        <v>80</v>
      </c>
      <c r="D282" s="52"/>
      <c r="E282" s="52"/>
      <c r="F282" s="74"/>
    </row>
    <row r="283" spans="1:6" x14ac:dyDescent="0.25">
      <c r="A283" s="9">
        <v>41353</v>
      </c>
      <c r="B283" s="31">
        <v>6250</v>
      </c>
      <c r="C283" s="15" t="str">
        <f>VLOOKUP(B283,TablePCG,2,FALSE)</f>
        <v>25-frais de résidence et de déplacement</v>
      </c>
      <c r="D283" s="49">
        <v>205</v>
      </c>
      <c r="E283" s="49"/>
      <c r="F283" s="74" t="s">
        <v>180</v>
      </c>
    </row>
    <row r="284" spans="1:6" x14ac:dyDescent="0.25">
      <c r="A284" s="10"/>
      <c r="B284" s="22">
        <v>5120</v>
      </c>
      <c r="C284" s="16" t="str">
        <f>VLOOKUP(B284,TablePCG,2,FALSE)</f>
        <v>banque</v>
      </c>
      <c r="D284" s="51"/>
      <c r="E284" s="51">
        <v>205</v>
      </c>
      <c r="F284" s="74"/>
    </row>
    <row r="285" spans="1:6" ht="15.75" thickBot="1" x14ac:dyDescent="0.3">
      <c r="A285" s="12"/>
      <c r="B285" s="14"/>
      <c r="C285" s="44" t="s">
        <v>127</v>
      </c>
      <c r="D285" s="52"/>
      <c r="E285" s="52"/>
      <c r="F285" s="74"/>
    </row>
    <row r="286" spans="1:6" x14ac:dyDescent="0.25">
      <c r="A286" s="9">
        <v>41358</v>
      </c>
      <c r="B286" s="31">
        <v>6250</v>
      </c>
      <c r="C286" s="15" t="str">
        <f>VLOOKUP(B286,TablePCG,2,FALSE)</f>
        <v>25-frais de résidence et de déplacement</v>
      </c>
      <c r="D286" s="49">
        <v>37.6</v>
      </c>
      <c r="E286" s="49"/>
      <c r="F286" s="74" t="s">
        <v>180</v>
      </c>
    </row>
    <row r="287" spans="1:6" x14ac:dyDescent="0.25">
      <c r="A287" s="10"/>
      <c r="B287" s="22">
        <v>5120</v>
      </c>
      <c r="C287" s="16" t="str">
        <f>VLOOKUP(B287,TablePCG,2,FALSE)</f>
        <v>banque</v>
      </c>
      <c r="D287" s="51"/>
      <c r="E287" s="51">
        <v>37.6</v>
      </c>
      <c r="F287" s="74"/>
    </row>
    <row r="288" spans="1:6" ht="15.75" thickBot="1" x14ac:dyDescent="0.3">
      <c r="A288" s="12"/>
      <c r="B288" s="14"/>
      <c r="C288" s="44" t="s">
        <v>126</v>
      </c>
      <c r="D288" s="52"/>
      <c r="E288" s="52"/>
      <c r="F288" s="74"/>
    </row>
    <row r="289" spans="1:6" x14ac:dyDescent="0.25">
      <c r="A289" s="9">
        <v>41358</v>
      </c>
      <c r="B289" s="31">
        <v>6410</v>
      </c>
      <c r="C289" s="15" t="str">
        <f>VLOOKUP(B289,TablePCG,2,FALSE)</f>
        <v xml:space="preserve">31-salaires </v>
      </c>
      <c r="D289" s="49">
        <v>46.67</v>
      </c>
      <c r="E289" s="49"/>
      <c r="F289" s="74" t="s">
        <v>180</v>
      </c>
    </row>
    <row r="290" spans="1:6" x14ac:dyDescent="0.25">
      <c r="A290" s="10"/>
      <c r="B290" s="22">
        <v>5120</v>
      </c>
      <c r="C290" s="16" t="str">
        <f>VLOOKUP(B290,TablePCG,2,FALSE)</f>
        <v>banque</v>
      </c>
      <c r="D290" s="51"/>
      <c r="E290" s="51">
        <v>46.67</v>
      </c>
      <c r="F290" s="74"/>
    </row>
    <row r="291" spans="1:6" ht="15.75" thickBot="1" x14ac:dyDescent="0.3">
      <c r="A291" s="12"/>
      <c r="B291" s="14"/>
      <c r="C291" s="44" t="s">
        <v>143</v>
      </c>
      <c r="D291" s="52"/>
      <c r="E291" s="52"/>
      <c r="F291" s="74"/>
    </row>
    <row r="292" spans="1:6" x14ac:dyDescent="0.25">
      <c r="A292" s="9">
        <v>41358</v>
      </c>
      <c r="B292" s="31">
        <v>6410</v>
      </c>
      <c r="C292" s="15" t="str">
        <f>VLOOKUP(B292,TablePCG,2,FALSE)</f>
        <v xml:space="preserve">31-salaires </v>
      </c>
      <c r="D292" s="49">
        <v>48.82</v>
      </c>
      <c r="E292" s="49"/>
      <c r="F292" s="74" t="s">
        <v>180</v>
      </c>
    </row>
    <row r="293" spans="1:6" x14ac:dyDescent="0.25">
      <c r="A293" s="10"/>
      <c r="B293" s="22">
        <v>5120</v>
      </c>
      <c r="C293" s="16" t="str">
        <f>VLOOKUP(B293,TablePCG,2,FALSE)</f>
        <v>banque</v>
      </c>
      <c r="D293" s="51"/>
      <c r="E293" s="51">
        <v>48.82</v>
      </c>
      <c r="F293" s="74"/>
    </row>
    <row r="294" spans="1:6" ht="15.75" thickBot="1" x14ac:dyDescent="0.3">
      <c r="A294" s="12"/>
      <c r="B294" s="14"/>
      <c r="C294" s="44" t="s">
        <v>142</v>
      </c>
      <c r="D294" s="52"/>
      <c r="E294" s="52"/>
      <c r="F294" s="74"/>
    </row>
    <row r="295" spans="1:6" x14ac:dyDescent="0.25">
      <c r="A295" s="9">
        <v>41358</v>
      </c>
      <c r="B295" s="31">
        <v>6410</v>
      </c>
      <c r="C295" s="15" t="str">
        <f>VLOOKUP(B295,TablePCG,2,FALSE)</f>
        <v xml:space="preserve">31-salaires </v>
      </c>
      <c r="D295" s="49">
        <v>46.67</v>
      </c>
      <c r="E295" s="49"/>
      <c r="F295" s="74" t="s">
        <v>180</v>
      </c>
    </row>
    <row r="296" spans="1:6" x14ac:dyDescent="0.25">
      <c r="A296" s="10"/>
      <c r="B296" s="22">
        <v>5120</v>
      </c>
      <c r="C296" s="16" t="str">
        <f>VLOOKUP(B296,TablePCG,2,FALSE)</f>
        <v>banque</v>
      </c>
      <c r="D296" s="51"/>
      <c r="E296" s="51">
        <v>46.67</v>
      </c>
      <c r="F296" s="74"/>
    </row>
    <row r="297" spans="1:6" ht="15.75" thickBot="1" x14ac:dyDescent="0.3">
      <c r="A297" s="12"/>
      <c r="B297" s="14"/>
      <c r="C297" s="44" t="s">
        <v>141</v>
      </c>
      <c r="D297" s="52"/>
      <c r="E297" s="52"/>
      <c r="F297" s="74"/>
    </row>
    <row r="298" spans="1:6" x14ac:dyDescent="0.25">
      <c r="A298" s="9">
        <v>41358</v>
      </c>
      <c r="B298" s="31">
        <v>6410</v>
      </c>
      <c r="C298" s="15" t="str">
        <f>VLOOKUP(B298,TablePCG,2,FALSE)</f>
        <v xml:space="preserve">31-salaires </v>
      </c>
      <c r="D298" s="49">
        <v>46.67</v>
      </c>
      <c r="E298" s="49"/>
      <c r="F298" s="74" t="s">
        <v>180</v>
      </c>
    </row>
    <row r="299" spans="1:6" x14ac:dyDescent="0.25">
      <c r="A299" s="10"/>
      <c r="B299" s="22">
        <v>5120</v>
      </c>
      <c r="C299" s="16" t="str">
        <f>VLOOKUP(B299,TablePCG,2,FALSE)</f>
        <v>banque</v>
      </c>
      <c r="D299" s="51"/>
      <c r="E299" s="51">
        <v>46.67</v>
      </c>
      <c r="F299" s="74"/>
    </row>
    <row r="300" spans="1:6" ht="15.75" thickBot="1" x14ac:dyDescent="0.3">
      <c r="A300" s="12"/>
      <c r="B300" s="14"/>
      <c r="C300" s="44" t="s">
        <v>140</v>
      </c>
      <c r="D300" s="52"/>
      <c r="E300" s="52"/>
      <c r="F300" s="74"/>
    </row>
    <row r="301" spans="1:6" x14ac:dyDescent="0.25">
      <c r="A301" s="9">
        <v>41360</v>
      </c>
      <c r="B301" s="47">
        <f>PCG!A30</f>
        <v>6280</v>
      </c>
      <c r="C301" s="26" t="str">
        <f>VLOOKUP(B301,TablePCG,2,FALSE)</f>
        <v>28-frais sur salaires</v>
      </c>
      <c r="D301" s="49">
        <v>80</v>
      </c>
      <c r="E301" s="49"/>
      <c r="F301" s="74" t="s">
        <v>180</v>
      </c>
    </row>
    <row r="302" spans="1:6" x14ac:dyDescent="0.25">
      <c r="A302" s="24"/>
      <c r="B302" s="22">
        <f>PCG!A31</f>
        <v>6281</v>
      </c>
      <c r="C302" s="27" t="str">
        <f>VLOOKUP(B302,TablePCG,2,FALSE)</f>
        <v xml:space="preserve">29-cotisations </v>
      </c>
      <c r="D302" s="48">
        <v>50</v>
      </c>
      <c r="E302" s="48"/>
      <c r="F302" s="74" t="s">
        <v>180</v>
      </c>
    </row>
    <row r="303" spans="1:6" x14ac:dyDescent="0.25">
      <c r="A303" s="10"/>
      <c r="B303" s="22">
        <v>5120</v>
      </c>
      <c r="C303" s="16" t="str">
        <f>VLOOKUP(B303,TablePCG,2,FALSE)</f>
        <v>banque</v>
      </c>
      <c r="D303" s="51"/>
      <c r="E303" s="51">
        <v>130</v>
      </c>
      <c r="F303" s="74"/>
    </row>
    <row r="304" spans="1:6" ht="15.75" thickBot="1" x14ac:dyDescent="0.3">
      <c r="A304" s="12"/>
      <c r="B304" s="14"/>
      <c r="C304" s="44" t="s">
        <v>81</v>
      </c>
      <c r="D304" s="52"/>
      <c r="E304" s="52"/>
      <c r="F304" s="74"/>
    </row>
    <row r="305" spans="1:6" x14ac:dyDescent="0.25">
      <c r="A305" s="9">
        <v>41360</v>
      </c>
      <c r="B305" s="31">
        <v>4210</v>
      </c>
      <c r="C305" s="15" t="str">
        <f>VLOOKUP(B305,TablePCG,2,FALSE)</f>
        <v>salaires à payer</v>
      </c>
      <c r="D305" s="49">
        <v>423.84</v>
      </c>
      <c r="E305" s="49"/>
      <c r="F305" s="74"/>
    </row>
    <row r="306" spans="1:6" x14ac:dyDescent="0.25">
      <c r="A306" s="10"/>
      <c r="B306" s="22">
        <v>5120</v>
      </c>
      <c r="C306" s="16" t="str">
        <f>VLOOKUP(B306,TablePCG,2,FALSE)</f>
        <v>banque</v>
      </c>
      <c r="D306" s="51"/>
      <c r="E306" s="51">
        <v>423.84</v>
      </c>
      <c r="F306" s="74"/>
    </row>
    <row r="307" spans="1:6" ht="15.75" thickBot="1" x14ac:dyDescent="0.3">
      <c r="A307" s="12"/>
      <c r="B307" s="14"/>
      <c r="C307" s="44" t="s">
        <v>82</v>
      </c>
      <c r="D307" s="52"/>
      <c r="E307" s="52"/>
      <c r="F307" s="74"/>
    </row>
    <row r="308" spans="1:6" x14ac:dyDescent="0.25">
      <c r="A308" s="9">
        <v>41364</v>
      </c>
      <c r="B308" s="31">
        <v>6270</v>
      </c>
      <c r="C308" s="15" t="str">
        <f>VLOOKUP(B308,TablePCG,2,FALSE)</f>
        <v xml:space="preserve">27-services bancaires </v>
      </c>
      <c r="D308" s="49">
        <v>8.57</v>
      </c>
      <c r="E308" s="49"/>
      <c r="F308" s="74" t="s">
        <v>171</v>
      </c>
    </row>
    <row r="309" spans="1:6" x14ac:dyDescent="0.25">
      <c r="A309" s="10"/>
      <c r="B309" s="22">
        <v>5120</v>
      </c>
      <c r="C309" s="16" t="str">
        <f>VLOOKUP(B309,TablePCG,2,FALSE)</f>
        <v>banque</v>
      </c>
      <c r="D309" s="51"/>
      <c r="E309" s="51">
        <v>8.57</v>
      </c>
      <c r="F309" s="74"/>
    </row>
    <row r="310" spans="1:6" ht="15.75" thickBot="1" x14ac:dyDescent="0.3">
      <c r="A310" s="12"/>
      <c r="B310" s="14"/>
      <c r="C310" s="44" t="s">
        <v>115</v>
      </c>
      <c r="D310" s="52"/>
      <c r="E310" s="52"/>
      <c r="F310" s="74"/>
    </row>
    <row r="311" spans="1:6" x14ac:dyDescent="0.25">
      <c r="A311" s="9">
        <v>41364</v>
      </c>
      <c r="B311" s="31">
        <v>6610</v>
      </c>
      <c r="C311" s="15" t="str">
        <f>VLOOKUP(B311,TablePCG,2,FALSE)</f>
        <v>34-charges financières</v>
      </c>
      <c r="D311" s="49">
        <v>8.0500000000000007</v>
      </c>
      <c r="E311" s="49"/>
      <c r="F311" s="74" t="s">
        <v>171</v>
      </c>
    </row>
    <row r="312" spans="1:6" x14ac:dyDescent="0.25">
      <c r="A312" s="10"/>
      <c r="B312" s="22">
        <v>5120</v>
      </c>
      <c r="C312" s="16" t="str">
        <f>VLOOKUP(B312,TablePCG,2,FALSE)</f>
        <v>banque</v>
      </c>
      <c r="D312" s="51"/>
      <c r="E312" s="51">
        <v>8.0500000000000007</v>
      </c>
      <c r="F312" s="74"/>
    </row>
    <row r="313" spans="1:6" ht="15.75" thickBot="1" x14ac:dyDescent="0.3">
      <c r="A313" s="12"/>
      <c r="B313" s="14"/>
      <c r="C313" s="44" t="s">
        <v>115</v>
      </c>
      <c r="D313" s="52"/>
      <c r="E313" s="52"/>
      <c r="F313" s="74"/>
    </row>
    <row r="314" spans="1:6" x14ac:dyDescent="0.25">
      <c r="A314" s="9">
        <v>41370</v>
      </c>
      <c r="B314" s="31">
        <f>PCG!A22</f>
        <v>6060</v>
      </c>
      <c r="C314" s="15" t="str">
        <f>VLOOKUP(B314,TablePCG,2,FALSE)</f>
        <v>20-fournitures, petit équipement</v>
      </c>
      <c r="D314" s="49">
        <v>25.3</v>
      </c>
      <c r="E314" s="49"/>
      <c r="F314" s="74" t="s">
        <v>171</v>
      </c>
    </row>
    <row r="315" spans="1:6" x14ac:dyDescent="0.25">
      <c r="A315" s="10"/>
      <c r="B315" s="22">
        <v>5120</v>
      </c>
      <c r="C315" s="16" t="str">
        <f>VLOOKUP(B315,TablePCG,2,FALSE)</f>
        <v>banque</v>
      </c>
      <c r="D315" s="51"/>
      <c r="E315" s="51">
        <v>25.3</v>
      </c>
      <c r="F315" s="74"/>
    </row>
    <row r="316" spans="1:6" ht="15.75" thickBot="1" x14ac:dyDescent="0.3">
      <c r="A316" s="12"/>
      <c r="B316" s="14"/>
      <c r="C316" s="44" t="s">
        <v>84</v>
      </c>
      <c r="D316" s="52"/>
      <c r="E316" s="52"/>
      <c r="F316" s="74"/>
    </row>
    <row r="317" spans="1:6" x14ac:dyDescent="0.25">
      <c r="A317" s="9">
        <v>41373</v>
      </c>
      <c r="B317" s="31">
        <f>+PCG!A34</f>
        <v>6415</v>
      </c>
      <c r="C317" s="15" t="str">
        <f>VLOOKUP(B317,TablePCG,2,FALSE)</f>
        <v>32-charges sur salaires</v>
      </c>
      <c r="D317" s="49">
        <v>25</v>
      </c>
      <c r="E317" s="49"/>
      <c r="F317" s="74" t="s">
        <v>180</v>
      </c>
    </row>
    <row r="318" spans="1:6" x14ac:dyDescent="0.25">
      <c r="A318" s="10"/>
      <c r="B318" s="22">
        <v>5120</v>
      </c>
      <c r="C318" s="16" t="str">
        <f>VLOOKUP(B318,TablePCG,2,FALSE)</f>
        <v>banque</v>
      </c>
      <c r="D318" s="51"/>
      <c r="E318" s="51">
        <v>25</v>
      </c>
      <c r="F318" s="74"/>
    </row>
    <row r="319" spans="1:6" ht="15.75" thickBot="1" x14ac:dyDescent="0.3">
      <c r="A319" s="12"/>
      <c r="B319" s="14"/>
      <c r="C319" s="44" t="s">
        <v>88</v>
      </c>
      <c r="D319" s="52"/>
      <c r="E319" s="52"/>
      <c r="F319" s="74"/>
    </row>
    <row r="320" spans="1:6" x14ac:dyDescent="0.25">
      <c r="A320" s="9">
        <v>41373</v>
      </c>
      <c r="B320" s="31">
        <v>6415</v>
      </c>
      <c r="C320" s="15" t="str">
        <f>VLOOKUP(B320,TablePCG,2,FALSE)</f>
        <v>32-charges sur salaires</v>
      </c>
      <c r="D320" s="49">
        <v>36</v>
      </c>
      <c r="E320" s="49"/>
      <c r="F320" s="74" t="s">
        <v>180</v>
      </c>
    </row>
    <row r="321" spans="1:6" x14ac:dyDescent="0.25">
      <c r="A321" s="10"/>
      <c r="B321" s="22">
        <v>5120</v>
      </c>
      <c r="C321" s="16" t="str">
        <f>VLOOKUP(B321,TablePCG,2,FALSE)</f>
        <v>banque</v>
      </c>
      <c r="D321" s="51"/>
      <c r="E321" s="51">
        <v>36</v>
      </c>
      <c r="F321" s="74"/>
    </row>
    <row r="322" spans="1:6" ht="15.75" thickBot="1" x14ac:dyDescent="0.3">
      <c r="A322" s="12"/>
      <c r="B322" s="14"/>
      <c r="C322" s="44" t="s">
        <v>87</v>
      </c>
      <c r="D322" s="52"/>
      <c r="E322" s="52"/>
      <c r="F322" s="74"/>
    </row>
    <row r="323" spans="1:6" x14ac:dyDescent="0.25">
      <c r="A323" s="9">
        <v>41373</v>
      </c>
      <c r="B323" s="31">
        <v>6415</v>
      </c>
      <c r="C323" s="15" t="str">
        <f>VLOOKUP(B323,TablePCG,2,FALSE)</f>
        <v>32-charges sur salaires</v>
      </c>
      <c r="D323" s="49">
        <v>26</v>
      </c>
      <c r="E323" s="49"/>
      <c r="F323" s="74" t="s">
        <v>180</v>
      </c>
    </row>
    <row r="324" spans="1:6" x14ac:dyDescent="0.25">
      <c r="A324" s="10"/>
      <c r="B324" s="22">
        <v>5120</v>
      </c>
      <c r="C324" s="16" t="str">
        <f>VLOOKUP(B324,TablePCG,2,FALSE)</f>
        <v>banque</v>
      </c>
      <c r="D324" s="51"/>
      <c r="E324" s="51">
        <v>26</v>
      </c>
      <c r="F324" s="74"/>
    </row>
    <row r="325" spans="1:6" ht="15.75" thickBot="1" x14ac:dyDescent="0.3">
      <c r="A325" s="12"/>
      <c r="B325" s="14"/>
      <c r="C325" s="44" t="s">
        <v>86</v>
      </c>
      <c r="D325" s="52"/>
      <c r="E325" s="52"/>
      <c r="F325" s="74"/>
    </row>
    <row r="326" spans="1:6" x14ac:dyDescent="0.25">
      <c r="A326" s="9">
        <v>41373</v>
      </c>
      <c r="B326" s="31">
        <v>6415</v>
      </c>
      <c r="C326" s="15" t="str">
        <f>VLOOKUP(B326,TablePCG,2,FALSE)</f>
        <v>32-charges sur salaires</v>
      </c>
      <c r="D326" s="49">
        <v>80</v>
      </c>
      <c r="E326" s="49"/>
      <c r="F326" s="74" t="s">
        <v>180</v>
      </c>
    </row>
    <row r="327" spans="1:6" x14ac:dyDescent="0.25">
      <c r="A327" s="10"/>
      <c r="B327" s="22">
        <v>5120</v>
      </c>
      <c r="C327" s="16" t="str">
        <f>VLOOKUP(B327,TablePCG,2,FALSE)</f>
        <v>banque</v>
      </c>
      <c r="D327" s="51"/>
      <c r="E327" s="51">
        <v>80</v>
      </c>
      <c r="F327" s="74"/>
    </row>
    <row r="328" spans="1:6" ht="15.75" thickBot="1" x14ac:dyDescent="0.3">
      <c r="A328" s="12"/>
      <c r="B328" s="14"/>
      <c r="C328" s="44" t="s">
        <v>85</v>
      </c>
      <c r="D328" s="52"/>
      <c r="E328" s="52"/>
      <c r="F328" s="74"/>
    </row>
    <row r="329" spans="1:6" x14ac:dyDescent="0.25">
      <c r="A329" s="9">
        <v>41373</v>
      </c>
      <c r="B329" s="31">
        <v>6415</v>
      </c>
      <c r="C329" s="15" t="str">
        <f>VLOOKUP(B329,TablePCG,2,FALSE)</f>
        <v>32-charges sur salaires</v>
      </c>
      <c r="D329" s="49">
        <v>3</v>
      </c>
      <c r="E329" s="49"/>
      <c r="F329" s="74" t="s">
        <v>180</v>
      </c>
    </row>
    <row r="330" spans="1:6" x14ac:dyDescent="0.25">
      <c r="A330" s="10"/>
      <c r="B330" s="22">
        <v>5120</v>
      </c>
      <c r="C330" s="16" t="str">
        <f>VLOOKUP(B330,TablePCG,2,FALSE)</f>
        <v>banque</v>
      </c>
      <c r="D330" s="51"/>
      <c r="E330" s="51">
        <v>3</v>
      </c>
      <c r="F330" s="74"/>
    </row>
    <row r="331" spans="1:6" ht="15.75" thickBot="1" x14ac:dyDescent="0.3">
      <c r="A331" s="12"/>
      <c r="B331" s="14"/>
      <c r="C331" s="44" t="s">
        <v>89</v>
      </c>
      <c r="D331" s="52"/>
      <c r="E331" s="52"/>
      <c r="F331" s="74"/>
    </row>
    <row r="332" spans="1:6" x14ac:dyDescent="0.25">
      <c r="A332" s="9">
        <v>41373</v>
      </c>
      <c r="B332" s="31">
        <v>6415</v>
      </c>
      <c r="C332" s="15" t="str">
        <f>VLOOKUP(B332,TablePCG,2,FALSE)</f>
        <v>32-charges sur salaires</v>
      </c>
      <c r="D332" s="49">
        <v>64</v>
      </c>
      <c r="E332" s="49"/>
      <c r="F332" s="74" t="s">
        <v>180</v>
      </c>
    </row>
    <row r="333" spans="1:6" x14ac:dyDescent="0.25">
      <c r="A333" s="10"/>
      <c r="B333" s="22">
        <v>5120</v>
      </c>
      <c r="C333" s="16" t="str">
        <f>VLOOKUP(B333,TablePCG,2,FALSE)</f>
        <v>banque</v>
      </c>
      <c r="D333" s="51"/>
      <c r="E333" s="51">
        <v>64</v>
      </c>
      <c r="F333" s="74"/>
    </row>
    <row r="334" spans="1:6" ht="15.75" thickBot="1" x14ac:dyDescent="0.3">
      <c r="A334" s="12"/>
      <c r="B334" s="14"/>
      <c r="C334" s="44" t="s">
        <v>90</v>
      </c>
      <c r="D334" s="52"/>
      <c r="E334" s="52"/>
      <c r="F334" s="74"/>
    </row>
    <row r="335" spans="1:6" x14ac:dyDescent="0.25">
      <c r="A335" s="9">
        <v>41373</v>
      </c>
      <c r="B335" s="31">
        <f>PCG!A34</f>
        <v>6415</v>
      </c>
      <c r="C335" s="15" t="str">
        <f>VLOOKUP(B335,TablePCG,2,FALSE)</f>
        <v>32-charges sur salaires</v>
      </c>
      <c r="D335" s="49">
        <v>47.84</v>
      </c>
      <c r="E335" s="49"/>
      <c r="F335" s="74" t="s">
        <v>180</v>
      </c>
    </row>
    <row r="336" spans="1:6" x14ac:dyDescent="0.25">
      <c r="A336" s="10"/>
      <c r="B336" s="22">
        <v>5120</v>
      </c>
      <c r="C336" s="16" t="str">
        <f>VLOOKUP(B336,TablePCG,2,FALSE)</f>
        <v>banque</v>
      </c>
      <c r="D336" s="51"/>
      <c r="E336" s="51">
        <v>47.84</v>
      </c>
      <c r="F336" s="74"/>
    </row>
    <row r="337" spans="1:6" ht="15.75" thickBot="1" x14ac:dyDescent="0.3">
      <c r="A337" s="12"/>
      <c r="B337" s="14"/>
      <c r="C337" s="44" t="s">
        <v>83</v>
      </c>
      <c r="D337" s="52"/>
      <c r="E337" s="52"/>
      <c r="F337" s="74"/>
    </row>
    <row r="338" spans="1:6" x14ac:dyDescent="0.25">
      <c r="A338" s="9">
        <v>41374</v>
      </c>
      <c r="B338" s="31">
        <v>6250</v>
      </c>
      <c r="C338" s="15" t="str">
        <f>VLOOKUP(B338,TablePCG,2,FALSE)</f>
        <v>25-frais de résidence et de déplacement</v>
      </c>
      <c r="D338" s="49">
        <v>190.2</v>
      </c>
      <c r="E338" s="49"/>
      <c r="F338" s="74" t="s">
        <v>181</v>
      </c>
    </row>
    <row r="339" spans="1:6" x14ac:dyDescent="0.25">
      <c r="A339" s="10"/>
      <c r="B339" s="22">
        <v>5120</v>
      </c>
      <c r="C339" s="16" t="str">
        <f>VLOOKUP(B339,TablePCG,2,FALSE)</f>
        <v>banque</v>
      </c>
      <c r="D339" s="51"/>
      <c r="E339" s="51">
        <v>190.2</v>
      </c>
      <c r="F339" s="74"/>
    </row>
    <row r="340" spans="1:6" ht="15.75" thickBot="1" x14ac:dyDescent="0.3">
      <c r="A340" s="12"/>
      <c r="B340" s="14"/>
      <c r="C340" s="44" t="s">
        <v>91</v>
      </c>
      <c r="D340" s="52"/>
      <c r="E340" s="52"/>
      <c r="F340" s="74"/>
    </row>
    <row r="341" spans="1:6" x14ac:dyDescent="0.25">
      <c r="A341" s="9">
        <v>41374</v>
      </c>
      <c r="B341" s="31">
        <v>6250</v>
      </c>
      <c r="C341" s="15" t="str">
        <f>VLOOKUP(B341,TablePCG,2,FALSE)</f>
        <v>25-frais de résidence et de déplacement</v>
      </c>
      <c r="D341" s="49">
        <v>48.4</v>
      </c>
      <c r="E341" s="49"/>
      <c r="F341" s="74" t="s">
        <v>181</v>
      </c>
    </row>
    <row r="342" spans="1:6" x14ac:dyDescent="0.25">
      <c r="A342" s="10"/>
      <c r="B342" s="22">
        <v>5120</v>
      </c>
      <c r="C342" s="16" t="str">
        <f>VLOOKUP(B342,TablePCG,2,FALSE)</f>
        <v>banque</v>
      </c>
      <c r="D342" s="51"/>
      <c r="E342" s="51">
        <v>48.4</v>
      </c>
      <c r="F342" s="74"/>
    </row>
    <row r="343" spans="1:6" ht="15.75" thickBot="1" x14ac:dyDescent="0.3">
      <c r="A343" s="12"/>
      <c r="B343" s="14"/>
      <c r="C343" s="44" t="s">
        <v>160</v>
      </c>
      <c r="D343" s="52"/>
      <c r="E343" s="52"/>
      <c r="F343" s="74"/>
    </row>
    <row r="344" spans="1:6" x14ac:dyDescent="0.25">
      <c r="A344" s="9">
        <v>41374</v>
      </c>
      <c r="B344" s="31">
        <f>+PCG!A23</f>
        <v>6130</v>
      </c>
      <c r="C344" s="15" t="str">
        <f>VLOOKUP(B344,TablePCG,2,FALSE)</f>
        <v>21-loyers</v>
      </c>
      <c r="D344" s="49">
        <v>100</v>
      </c>
      <c r="E344" s="49"/>
      <c r="F344" s="74" t="s">
        <v>171</v>
      </c>
    </row>
    <row r="345" spans="1:6" x14ac:dyDescent="0.25">
      <c r="A345" s="10"/>
      <c r="B345" s="22">
        <v>5120</v>
      </c>
      <c r="C345" s="16">
        <v>39</v>
      </c>
      <c r="D345" s="51"/>
      <c r="E345" s="51">
        <v>100</v>
      </c>
      <c r="F345" s="74"/>
    </row>
    <row r="346" spans="1:6" ht="15.75" thickBot="1" x14ac:dyDescent="0.3">
      <c r="A346" s="12"/>
      <c r="B346" s="14"/>
      <c r="C346" s="44">
        <v>59</v>
      </c>
      <c r="D346" s="52"/>
      <c r="E346" s="52"/>
      <c r="F346" s="74"/>
    </row>
    <row r="347" spans="1:6" x14ac:dyDescent="0.25">
      <c r="A347" s="9">
        <v>41374</v>
      </c>
      <c r="B347" s="31">
        <f>PCG!A22</f>
        <v>6060</v>
      </c>
      <c r="C347" s="15" t="str">
        <f>VLOOKUP(B347,TablePCG,2,FALSE)</f>
        <v>20-fournitures, petit équipement</v>
      </c>
      <c r="D347" s="49">
        <v>220.16</v>
      </c>
      <c r="E347" s="49"/>
      <c r="F347" s="74" t="s">
        <v>171</v>
      </c>
    </row>
    <row r="348" spans="1:6" x14ac:dyDescent="0.25">
      <c r="A348" s="10"/>
      <c r="B348" s="22">
        <v>5120</v>
      </c>
      <c r="C348" s="16" t="str">
        <f>VLOOKUP(B348,TablePCG,2,FALSE)</f>
        <v>banque</v>
      </c>
      <c r="D348" s="51"/>
      <c r="E348" s="51">
        <v>220.16</v>
      </c>
      <c r="F348" s="74"/>
    </row>
    <row r="349" spans="1:6" ht="15.75" thickBot="1" x14ac:dyDescent="0.3">
      <c r="A349" s="12"/>
      <c r="B349" s="14"/>
      <c r="C349" s="44" t="s">
        <v>92</v>
      </c>
      <c r="D349" s="52"/>
      <c r="E349" s="52"/>
      <c r="F349" s="74"/>
    </row>
    <row r="350" spans="1:6" x14ac:dyDescent="0.25">
      <c r="A350" s="9">
        <v>41376</v>
      </c>
      <c r="B350" s="31">
        <v>6060</v>
      </c>
      <c r="C350" s="15" t="str">
        <f>VLOOKUP(B350,TablePCG,2,FALSE)</f>
        <v>20-fournitures, petit équipement</v>
      </c>
      <c r="D350" s="49">
        <v>26.9</v>
      </c>
      <c r="E350" s="49"/>
      <c r="F350" s="74" t="s">
        <v>171</v>
      </c>
    </row>
    <row r="351" spans="1:6" x14ac:dyDescent="0.25">
      <c r="A351" s="10"/>
      <c r="B351" s="22">
        <v>5120</v>
      </c>
      <c r="C351" s="16" t="str">
        <f>VLOOKUP(B351,TablePCG,2,FALSE)</f>
        <v>banque</v>
      </c>
      <c r="D351" s="51"/>
      <c r="E351" s="51">
        <v>26.9</v>
      </c>
      <c r="F351" s="74"/>
    </row>
    <row r="352" spans="1:6" ht="15.75" thickBot="1" x14ac:dyDescent="0.3">
      <c r="A352" s="12"/>
      <c r="B352" s="14"/>
      <c r="C352" s="44" t="s">
        <v>93</v>
      </c>
      <c r="D352" s="52"/>
      <c r="E352" s="52"/>
      <c r="F352" s="74"/>
    </row>
    <row r="353" spans="1:6" x14ac:dyDescent="0.25">
      <c r="A353" s="9">
        <v>41385</v>
      </c>
      <c r="B353" s="31">
        <v>6270</v>
      </c>
      <c r="C353" s="15" t="str">
        <f>VLOOKUP(B353,TablePCG,2,FALSE)</f>
        <v xml:space="preserve">27-services bancaires </v>
      </c>
      <c r="D353" s="49">
        <v>7</v>
      </c>
      <c r="E353" s="49"/>
      <c r="F353" s="74" t="s">
        <v>171</v>
      </c>
    </row>
    <row r="354" spans="1:6" x14ac:dyDescent="0.25">
      <c r="A354" s="10"/>
      <c r="B354" s="22">
        <v>5120</v>
      </c>
      <c r="C354" s="16" t="str">
        <f>VLOOKUP(B354,TablePCG,2,FALSE)</f>
        <v>banque</v>
      </c>
      <c r="D354" s="51"/>
      <c r="E354" s="51">
        <v>7</v>
      </c>
      <c r="F354" s="74"/>
    </row>
    <row r="355" spans="1:6" ht="15.75" thickBot="1" x14ac:dyDescent="0.3">
      <c r="A355" s="12"/>
      <c r="B355" s="14"/>
      <c r="C355" s="44" t="s">
        <v>159</v>
      </c>
      <c r="D355" s="52"/>
      <c r="E355" s="52"/>
      <c r="F355" s="74"/>
    </row>
    <row r="356" spans="1:6" x14ac:dyDescent="0.25">
      <c r="A356" s="9">
        <v>41386</v>
      </c>
      <c r="B356" s="31">
        <v>6410</v>
      </c>
      <c r="C356" s="15" t="str">
        <f>VLOOKUP(B356,TablePCG,2,FALSE)</f>
        <v xml:space="preserve">31-salaires </v>
      </c>
      <c r="D356" s="49">
        <v>106.31</v>
      </c>
      <c r="E356" s="49"/>
      <c r="F356" s="74" t="s">
        <v>171</v>
      </c>
    </row>
    <row r="357" spans="1:6" x14ac:dyDescent="0.25">
      <c r="A357" s="10"/>
      <c r="B357" s="22">
        <v>5120</v>
      </c>
      <c r="C357" s="16" t="str">
        <f>VLOOKUP(B357,TablePCG,2,FALSE)</f>
        <v>banque</v>
      </c>
      <c r="D357" s="51"/>
      <c r="E357" s="51">
        <v>106.31</v>
      </c>
      <c r="F357" s="74"/>
    </row>
    <row r="358" spans="1:6" ht="15.75" thickBot="1" x14ac:dyDescent="0.3">
      <c r="A358" s="12"/>
      <c r="B358" s="14"/>
      <c r="C358" s="44" t="s">
        <v>223</v>
      </c>
      <c r="D358" s="52"/>
      <c r="E358" s="52"/>
      <c r="F358" s="74"/>
    </row>
    <row r="359" spans="1:6" x14ac:dyDescent="0.25">
      <c r="A359" s="9">
        <v>41388</v>
      </c>
      <c r="B359" s="31">
        <v>6060</v>
      </c>
      <c r="C359" s="15" t="str">
        <f>VLOOKUP(B359,TablePCG,2,FALSE)</f>
        <v>20-fournitures, petit équipement</v>
      </c>
      <c r="D359" s="49">
        <v>10</v>
      </c>
      <c r="E359" s="49"/>
      <c r="F359" s="74" t="s">
        <v>171</v>
      </c>
    </row>
    <row r="360" spans="1:6" x14ac:dyDescent="0.25">
      <c r="A360" s="10"/>
      <c r="B360" s="22">
        <v>5120</v>
      </c>
      <c r="C360" s="16" t="str">
        <f>VLOOKUP(B360,TablePCG,2,FALSE)</f>
        <v>banque</v>
      </c>
      <c r="D360" s="51"/>
      <c r="E360" s="51">
        <v>10</v>
      </c>
      <c r="F360" s="74"/>
    </row>
    <row r="361" spans="1:6" ht="15.75" thickBot="1" x14ac:dyDescent="0.3">
      <c r="A361" s="12"/>
      <c r="B361" s="14"/>
      <c r="C361" s="44" t="s">
        <v>94</v>
      </c>
      <c r="D361" s="52"/>
      <c r="E361" s="52"/>
      <c r="F361" s="74"/>
    </row>
    <row r="362" spans="1:6" x14ac:dyDescent="0.25">
      <c r="A362" s="9">
        <v>41388</v>
      </c>
      <c r="B362" s="31">
        <v>6060</v>
      </c>
      <c r="C362" s="15" t="str">
        <f>VLOOKUP(B362,TablePCG,2,FALSE)</f>
        <v>20-fournitures, petit équipement</v>
      </c>
      <c r="D362" s="49">
        <v>10.64</v>
      </c>
      <c r="E362" s="49"/>
      <c r="F362" s="74" t="s">
        <v>171</v>
      </c>
    </row>
    <row r="363" spans="1:6" x14ac:dyDescent="0.25">
      <c r="A363" s="10"/>
      <c r="B363" s="22">
        <v>5120</v>
      </c>
      <c r="C363" s="16" t="str">
        <f>VLOOKUP(B363,TablePCG,2,FALSE)</f>
        <v>banque</v>
      </c>
      <c r="D363" s="51"/>
      <c r="E363" s="51">
        <v>10.64</v>
      </c>
      <c r="F363" s="74"/>
    </row>
    <row r="364" spans="1:6" ht="15.75" thickBot="1" x14ac:dyDescent="0.3">
      <c r="A364" s="12"/>
      <c r="B364" s="14"/>
      <c r="C364" s="44" t="s">
        <v>96</v>
      </c>
      <c r="D364" s="52"/>
      <c r="E364" s="52"/>
      <c r="F364" s="74"/>
    </row>
    <row r="365" spans="1:6" x14ac:dyDescent="0.25">
      <c r="A365" s="9">
        <v>41394</v>
      </c>
      <c r="B365" s="31">
        <v>6250</v>
      </c>
      <c r="C365" s="15" t="str">
        <f>VLOOKUP(B365,TablePCG,2,FALSE)</f>
        <v>25-frais de résidence et de déplacement</v>
      </c>
      <c r="D365" s="49">
        <v>148.43</v>
      </c>
      <c r="E365" s="49"/>
      <c r="F365" s="74" t="s">
        <v>181</v>
      </c>
    </row>
    <row r="366" spans="1:6" x14ac:dyDescent="0.25">
      <c r="A366" s="10"/>
      <c r="B366" s="22">
        <v>5120</v>
      </c>
      <c r="C366" s="16" t="str">
        <f>VLOOKUP(B366,TablePCG,2,FALSE)</f>
        <v>banque</v>
      </c>
      <c r="D366" s="51"/>
      <c r="E366" s="51">
        <v>148.43</v>
      </c>
      <c r="F366" s="74"/>
    </row>
    <row r="367" spans="1:6" ht="15.75" thickBot="1" x14ac:dyDescent="0.3">
      <c r="A367" s="12"/>
      <c r="B367" s="14"/>
      <c r="C367" s="44" t="s">
        <v>95</v>
      </c>
      <c r="D367" s="52"/>
      <c r="E367" s="52"/>
      <c r="F367" s="74"/>
    </row>
    <row r="368" spans="1:6" x14ac:dyDescent="0.25">
      <c r="A368" s="9">
        <v>41396</v>
      </c>
      <c r="B368" s="31">
        <v>5120</v>
      </c>
      <c r="C368" s="15" t="str">
        <f>VLOOKUP(B368,TablePCG,2,FALSE)</f>
        <v>banque</v>
      </c>
      <c r="D368" s="49">
        <v>1410</v>
      </c>
      <c r="E368" s="49"/>
      <c r="F368" s="74"/>
    </row>
    <row r="369" spans="1:6" x14ac:dyDescent="0.25">
      <c r="A369" s="10"/>
      <c r="B369" s="22">
        <v>7455</v>
      </c>
      <c r="C369" s="16" t="str">
        <f>VLOOKUP(B369,TablePCG,2,FALSE)</f>
        <v>45-subvention DRAC</v>
      </c>
      <c r="D369" s="51"/>
      <c r="E369" s="51">
        <v>1410</v>
      </c>
      <c r="F369" s="74" t="s">
        <v>180</v>
      </c>
    </row>
    <row r="370" spans="1:6" ht="15.75" thickBot="1" x14ac:dyDescent="0.3">
      <c r="A370" s="12"/>
      <c r="B370" s="14"/>
      <c r="C370" s="44"/>
      <c r="D370" s="52"/>
      <c r="E370" s="52"/>
      <c r="F370" s="74"/>
    </row>
    <row r="371" spans="1:6" x14ac:dyDescent="0.25">
      <c r="A371" s="9">
        <v>41398</v>
      </c>
      <c r="B371" s="31">
        <v>6250</v>
      </c>
      <c r="C371" s="15" t="str">
        <f>VLOOKUP(B371,TablePCG,2,FALSE)</f>
        <v>25-frais de résidence et de déplacement</v>
      </c>
      <c r="D371" s="49">
        <v>58.77</v>
      </c>
      <c r="E371" s="49"/>
      <c r="F371" s="74" t="s">
        <v>181</v>
      </c>
    </row>
    <row r="372" spans="1:6" x14ac:dyDescent="0.25">
      <c r="A372" s="10"/>
      <c r="B372" s="22">
        <v>5120</v>
      </c>
      <c r="C372" s="16" t="str">
        <f>VLOOKUP(B372,TablePCG,2,FALSE)</f>
        <v>banque</v>
      </c>
      <c r="D372" s="51"/>
      <c r="E372" s="51">
        <v>58.77</v>
      </c>
      <c r="F372" s="74"/>
    </row>
    <row r="373" spans="1:6" ht="15.75" thickBot="1" x14ac:dyDescent="0.3">
      <c r="A373" s="12"/>
      <c r="B373" s="14"/>
      <c r="C373" s="44" t="s">
        <v>97</v>
      </c>
      <c r="D373" s="52"/>
      <c r="E373" s="52"/>
      <c r="F373" s="74"/>
    </row>
    <row r="374" spans="1:6" x14ac:dyDescent="0.25">
      <c r="A374" s="9">
        <v>41398</v>
      </c>
      <c r="B374" s="31">
        <v>6250</v>
      </c>
      <c r="C374" s="15" t="str">
        <f>VLOOKUP(B374,TablePCG,2,FALSE)</f>
        <v>25-frais de résidence et de déplacement</v>
      </c>
      <c r="D374" s="49">
        <v>227.6</v>
      </c>
      <c r="E374" s="49"/>
      <c r="F374" s="74" t="s">
        <v>181</v>
      </c>
    </row>
    <row r="375" spans="1:6" x14ac:dyDescent="0.25">
      <c r="A375" s="10"/>
      <c r="B375" s="22">
        <v>5120</v>
      </c>
      <c r="C375" s="16" t="str">
        <f>VLOOKUP(B375,TablePCG,2,FALSE)</f>
        <v>banque</v>
      </c>
      <c r="D375" s="51"/>
      <c r="E375" s="51">
        <v>227.6</v>
      </c>
      <c r="F375" s="74"/>
    </row>
    <row r="376" spans="1:6" ht="15.75" thickBot="1" x14ac:dyDescent="0.3">
      <c r="A376" s="12"/>
      <c r="B376" s="14"/>
      <c r="C376" s="44" t="s">
        <v>98</v>
      </c>
      <c r="D376" s="52"/>
      <c r="E376" s="52"/>
      <c r="F376" s="74"/>
    </row>
    <row r="377" spans="1:6" x14ac:dyDescent="0.25">
      <c r="A377" s="9">
        <v>41401</v>
      </c>
      <c r="B377" s="31">
        <v>5120</v>
      </c>
      <c r="C377" s="15" t="str">
        <f>VLOOKUP(B377,TablePCG,2,FALSE)</f>
        <v>banque</v>
      </c>
      <c r="D377" s="49">
        <v>180</v>
      </c>
      <c r="E377" s="49"/>
      <c r="F377" s="74"/>
    </row>
    <row r="378" spans="1:6" x14ac:dyDescent="0.25">
      <c r="A378" s="10"/>
      <c r="B378" s="22">
        <f>PCG!A40</f>
        <v>7120</v>
      </c>
      <c r="C378" s="16" t="str">
        <f>VLOOKUP(B378,TablePCG,2,FALSE)</f>
        <v>38-prestations théâtre, lectures publiques</v>
      </c>
      <c r="D378" s="51"/>
      <c r="E378" s="51">
        <v>180</v>
      </c>
      <c r="F378" s="74" t="s">
        <v>171</v>
      </c>
    </row>
    <row r="379" spans="1:6" ht="15.75" thickBot="1" x14ac:dyDescent="0.3">
      <c r="A379" s="12"/>
      <c r="B379" s="14"/>
      <c r="C379" s="44" t="s">
        <v>224</v>
      </c>
      <c r="D379" s="52"/>
      <c r="E379" s="52"/>
      <c r="F379" s="74"/>
    </row>
    <row r="380" spans="1:6" x14ac:dyDescent="0.25">
      <c r="A380" s="9">
        <v>41401</v>
      </c>
      <c r="B380" s="31">
        <v>6250</v>
      </c>
      <c r="C380" s="15" t="str">
        <f>VLOOKUP(B380,TablePCG,2,FALSE)</f>
        <v>25-frais de résidence et de déplacement</v>
      </c>
      <c r="D380" s="49">
        <v>5.4</v>
      </c>
      <c r="E380" s="49"/>
      <c r="F380" s="74" t="s">
        <v>180</v>
      </c>
    </row>
    <row r="381" spans="1:6" x14ac:dyDescent="0.25">
      <c r="A381" s="10"/>
      <c r="B381" s="22">
        <v>5120</v>
      </c>
      <c r="C381" s="16" t="str">
        <f>VLOOKUP(B381,TablePCG,2,FALSE)</f>
        <v>banque</v>
      </c>
      <c r="D381" s="51"/>
      <c r="E381" s="51">
        <v>5.4</v>
      </c>
      <c r="F381" s="74"/>
    </row>
    <row r="382" spans="1:6" ht="15.75" thickBot="1" x14ac:dyDescent="0.3">
      <c r="A382" s="12"/>
      <c r="B382" s="14"/>
      <c r="C382" s="44" t="s">
        <v>99</v>
      </c>
      <c r="D382" s="52"/>
      <c r="E382" s="52"/>
      <c r="F382" s="74"/>
    </row>
    <row r="383" spans="1:6" x14ac:dyDescent="0.25">
      <c r="A383" s="9">
        <v>41401</v>
      </c>
      <c r="B383" s="31">
        <v>6250</v>
      </c>
      <c r="C383" s="15" t="str">
        <f>VLOOKUP(B383,TablePCG,2,FALSE)</f>
        <v>25-frais de résidence et de déplacement</v>
      </c>
      <c r="D383" s="49">
        <v>104.5</v>
      </c>
      <c r="E383" s="49"/>
      <c r="F383" s="74" t="s">
        <v>180</v>
      </c>
    </row>
    <row r="384" spans="1:6" x14ac:dyDescent="0.25">
      <c r="A384" s="10"/>
      <c r="B384" s="22">
        <v>5120</v>
      </c>
      <c r="C384" s="16" t="str">
        <f>VLOOKUP(B384,TablePCG,2,FALSE)</f>
        <v>banque</v>
      </c>
      <c r="D384" s="51"/>
      <c r="E384" s="51">
        <v>104.5</v>
      </c>
      <c r="F384" s="74"/>
    </row>
    <row r="385" spans="1:6" ht="15.75" thickBot="1" x14ac:dyDescent="0.3">
      <c r="A385" s="12"/>
      <c r="B385" s="14"/>
      <c r="C385" s="44" t="s">
        <v>100</v>
      </c>
      <c r="D385" s="52"/>
      <c r="E385" s="52"/>
      <c r="F385" s="74"/>
    </row>
    <row r="386" spans="1:6" x14ac:dyDescent="0.25">
      <c r="A386" s="9">
        <v>41401</v>
      </c>
      <c r="B386" s="31">
        <v>6410</v>
      </c>
      <c r="C386" s="15" t="str">
        <f>VLOOKUP(B386,TablePCG,2,FALSE)</f>
        <v xml:space="preserve">31-salaires </v>
      </c>
      <c r="D386" s="49">
        <v>86.18</v>
      </c>
      <c r="E386" s="49"/>
      <c r="F386" s="74" t="s">
        <v>180</v>
      </c>
    </row>
    <row r="387" spans="1:6" x14ac:dyDescent="0.25">
      <c r="A387" s="10"/>
      <c r="B387" s="22">
        <v>5120</v>
      </c>
      <c r="C387" s="16" t="str">
        <f>VLOOKUP(B387,TablePCG,2,FALSE)</f>
        <v>banque</v>
      </c>
      <c r="D387" s="51"/>
      <c r="E387" s="51">
        <v>86.18</v>
      </c>
      <c r="F387" s="74"/>
    </row>
    <row r="388" spans="1:6" ht="15.75" thickBot="1" x14ac:dyDescent="0.3">
      <c r="A388" s="12"/>
      <c r="B388" s="14"/>
      <c r="C388" s="44" t="s">
        <v>101</v>
      </c>
      <c r="D388" s="52"/>
      <c r="E388" s="52"/>
      <c r="F388" s="74"/>
    </row>
    <row r="389" spans="1:6" x14ac:dyDescent="0.25">
      <c r="A389" s="9">
        <v>41401</v>
      </c>
      <c r="B389" s="31">
        <v>6410</v>
      </c>
      <c r="C389" s="15" t="str">
        <f>VLOOKUP(B389,TablePCG,2,FALSE)</f>
        <v xml:space="preserve">31-salaires </v>
      </c>
      <c r="D389" s="49">
        <v>86.18</v>
      </c>
      <c r="E389" s="49"/>
      <c r="F389" s="74" t="s">
        <v>180</v>
      </c>
    </row>
    <row r="390" spans="1:6" x14ac:dyDescent="0.25">
      <c r="A390" s="10"/>
      <c r="B390" s="22">
        <v>5120</v>
      </c>
      <c r="C390" s="16" t="str">
        <f>VLOOKUP(B390,TablePCG,2,FALSE)</f>
        <v>banque</v>
      </c>
      <c r="D390" s="51"/>
      <c r="E390" s="51">
        <v>86.18</v>
      </c>
      <c r="F390" s="74"/>
    </row>
    <row r="391" spans="1:6" ht="15.75" thickBot="1" x14ac:dyDescent="0.3">
      <c r="A391" s="12"/>
      <c r="B391" s="14"/>
      <c r="C391" s="44" t="s">
        <v>102</v>
      </c>
      <c r="D391" s="52"/>
      <c r="E391" s="52"/>
      <c r="F391" s="74"/>
    </row>
    <row r="392" spans="1:6" x14ac:dyDescent="0.25">
      <c r="A392" s="9">
        <v>41401</v>
      </c>
      <c r="B392" s="31">
        <v>6410</v>
      </c>
      <c r="C392" s="15" t="str">
        <f>VLOOKUP(B392,TablePCG,2,FALSE)</f>
        <v xml:space="preserve">31-salaires </v>
      </c>
      <c r="D392" s="49">
        <v>92.1</v>
      </c>
      <c r="E392" s="49"/>
      <c r="F392" s="74" t="s">
        <v>180</v>
      </c>
    </row>
    <row r="393" spans="1:6" x14ac:dyDescent="0.25">
      <c r="A393" s="10"/>
      <c r="B393" s="22">
        <v>5120</v>
      </c>
      <c r="C393" s="16" t="str">
        <f>VLOOKUP(B393,TablePCG,2,FALSE)</f>
        <v>banque</v>
      </c>
      <c r="D393" s="51"/>
      <c r="E393" s="51">
        <v>92.1</v>
      </c>
      <c r="F393" s="74"/>
    </row>
    <row r="394" spans="1:6" ht="15.75" thickBot="1" x14ac:dyDescent="0.3">
      <c r="A394" s="12"/>
      <c r="B394" s="14"/>
      <c r="C394" s="44" t="s">
        <v>103</v>
      </c>
      <c r="D394" s="52"/>
      <c r="E394" s="52"/>
      <c r="F394" s="74"/>
    </row>
    <row r="395" spans="1:6" x14ac:dyDescent="0.25">
      <c r="A395" s="9">
        <v>41401</v>
      </c>
      <c r="B395" s="31">
        <v>6410</v>
      </c>
      <c r="C395" s="15" t="str">
        <f>VLOOKUP(B395,TablePCG,2,FALSE)</f>
        <v xml:space="preserve">31-salaires </v>
      </c>
      <c r="D395" s="49">
        <v>88.04</v>
      </c>
      <c r="E395" s="49"/>
      <c r="F395" s="74" t="s">
        <v>181</v>
      </c>
    </row>
    <row r="396" spans="1:6" x14ac:dyDescent="0.25">
      <c r="A396" s="10"/>
      <c r="B396" s="22">
        <v>5120</v>
      </c>
      <c r="C396" s="16" t="str">
        <f>VLOOKUP(B396,TablePCG,2,FALSE)</f>
        <v>banque</v>
      </c>
      <c r="D396" s="51"/>
      <c r="E396" s="51">
        <v>88.04</v>
      </c>
      <c r="F396" s="74"/>
    </row>
    <row r="397" spans="1:6" ht="15.75" thickBot="1" x14ac:dyDescent="0.3">
      <c r="A397" s="12"/>
      <c r="B397" s="14"/>
      <c r="C397" s="44" t="s">
        <v>104</v>
      </c>
      <c r="D397" s="52"/>
      <c r="E397" s="52"/>
      <c r="F397" s="74"/>
    </row>
    <row r="398" spans="1:6" x14ac:dyDescent="0.25">
      <c r="A398" s="9">
        <v>41401</v>
      </c>
      <c r="B398" s="31">
        <v>6410</v>
      </c>
      <c r="C398" s="15" t="str">
        <f>VLOOKUP(B398,TablePCG,2,FALSE)</f>
        <v xml:space="preserve">31-salaires </v>
      </c>
      <c r="D398" s="49">
        <v>88.04</v>
      </c>
      <c r="E398" s="49"/>
      <c r="F398" s="74" t="s">
        <v>181</v>
      </c>
    </row>
    <row r="399" spans="1:6" x14ac:dyDescent="0.25">
      <c r="A399" s="10"/>
      <c r="B399" s="22">
        <v>5120</v>
      </c>
      <c r="C399" s="16" t="str">
        <f>VLOOKUP(B399,TablePCG,2,FALSE)</f>
        <v>banque</v>
      </c>
      <c r="D399" s="51"/>
      <c r="E399" s="51">
        <v>88.04</v>
      </c>
      <c r="F399" s="74"/>
    </row>
    <row r="400" spans="1:6" ht="15.75" thickBot="1" x14ac:dyDescent="0.3">
      <c r="A400" s="12"/>
      <c r="B400" s="14"/>
      <c r="C400" s="44" t="s">
        <v>105</v>
      </c>
      <c r="D400" s="52"/>
      <c r="E400" s="52"/>
      <c r="F400" s="74"/>
    </row>
    <row r="401" spans="1:6" x14ac:dyDescent="0.25">
      <c r="A401" s="9">
        <v>41401</v>
      </c>
      <c r="B401" s="31">
        <v>6410</v>
      </c>
      <c r="C401" s="15" t="str">
        <f>VLOOKUP(B401,TablePCG,2,FALSE)</f>
        <v xml:space="preserve">31-salaires </v>
      </c>
      <c r="D401" s="49">
        <v>92.1</v>
      </c>
      <c r="E401" s="49"/>
      <c r="F401" s="74" t="s">
        <v>181</v>
      </c>
    </row>
    <row r="402" spans="1:6" x14ac:dyDescent="0.25">
      <c r="A402" s="10"/>
      <c r="B402" s="22">
        <v>5120</v>
      </c>
      <c r="C402" s="16" t="str">
        <f>VLOOKUP(B402,TablePCG,2,FALSE)</f>
        <v>banque</v>
      </c>
      <c r="D402" s="51"/>
      <c r="E402" s="51">
        <v>92.1</v>
      </c>
      <c r="F402" s="74"/>
    </row>
    <row r="403" spans="1:6" ht="15.75" thickBot="1" x14ac:dyDescent="0.3">
      <c r="A403" s="12"/>
      <c r="B403" s="14"/>
      <c r="C403" s="44" t="s">
        <v>106</v>
      </c>
      <c r="D403" s="52"/>
      <c r="E403" s="52"/>
      <c r="F403" s="74"/>
    </row>
    <row r="404" spans="1:6" x14ac:dyDescent="0.25">
      <c r="A404" s="9">
        <v>41401</v>
      </c>
      <c r="B404" s="31">
        <v>6410</v>
      </c>
      <c r="C404" s="15" t="str">
        <f>VLOOKUP(B404,TablePCG,2,FALSE)</f>
        <v xml:space="preserve">31-salaires </v>
      </c>
      <c r="D404" s="49">
        <v>92.1</v>
      </c>
      <c r="E404" s="49"/>
      <c r="F404" s="74" t="s">
        <v>181</v>
      </c>
    </row>
    <row r="405" spans="1:6" x14ac:dyDescent="0.25">
      <c r="A405" s="10"/>
      <c r="B405" s="22">
        <v>5120</v>
      </c>
      <c r="C405" s="16" t="str">
        <f>VLOOKUP(B405,TablePCG,2,FALSE)</f>
        <v>banque</v>
      </c>
      <c r="D405" s="51"/>
      <c r="E405" s="51">
        <v>92.1</v>
      </c>
      <c r="F405" s="74"/>
    </row>
    <row r="406" spans="1:6" ht="15.75" thickBot="1" x14ac:dyDescent="0.3">
      <c r="A406" s="12"/>
      <c r="B406" s="14"/>
      <c r="C406" s="44" t="s">
        <v>107</v>
      </c>
      <c r="D406" s="52"/>
      <c r="E406" s="52"/>
      <c r="F406" s="74"/>
    </row>
    <row r="407" spans="1:6" x14ac:dyDescent="0.25">
      <c r="A407" s="9">
        <v>41404</v>
      </c>
      <c r="B407" s="31">
        <v>6250</v>
      </c>
      <c r="C407" s="15" t="str">
        <f>VLOOKUP(B407,TablePCG,2,FALSE)</f>
        <v>25-frais de résidence et de déplacement</v>
      </c>
      <c r="D407" s="49">
        <v>69</v>
      </c>
      <c r="E407" s="49"/>
      <c r="F407" s="74" t="s">
        <v>171</v>
      </c>
    </row>
    <row r="408" spans="1:6" x14ac:dyDescent="0.25">
      <c r="A408" s="10"/>
      <c r="B408" s="22">
        <v>5120</v>
      </c>
      <c r="C408" s="16" t="str">
        <f>VLOOKUP(B408,TablePCG,2,FALSE)</f>
        <v>banque</v>
      </c>
      <c r="D408" s="51"/>
      <c r="E408" s="51">
        <v>69</v>
      </c>
      <c r="F408" s="74"/>
    </row>
    <row r="409" spans="1:6" ht="15.75" thickBot="1" x14ac:dyDescent="0.3">
      <c r="A409" s="12"/>
      <c r="B409" s="14"/>
      <c r="C409" s="44" t="s">
        <v>108</v>
      </c>
      <c r="D409" s="52"/>
      <c r="E409" s="52"/>
      <c r="F409" s="74"/>
    </row>
    <row r="410" spans="1:6" x14ac:dyDescent="0.25">
      <c r="A410" s="9">
        <v>41407</v>
      </c>
      <c r="B410" s="31">
        <v>5120</v>
      </c>
      <c r="C410" s="15" t="str">
        <f>VLOOKUP(B410,TablePCG,2,FALSE)</f>
        <v>banque</v>
      </c>
      <c r="D410" s="49">
        <v>3500</v>
      </c>
      <c r="E410" s="49"/>
      <c r="F410" s="74"/>
    </row>
    <row r="411" spans="1:6" x14ac:dyDescent="0.25">
      <c r="A411" s="10"/>
      <c r="B411" s="22">
        <f>PCG!A49</f>
        <v>7470</v>
      </c>
      <c r="C411" s="16" t="str">
        <f>VLOOKUP(B411,TablePCG,2,FALSE)</f>
        <v>47-subvention aide à la création</v>
      </c>
      <c r="D411" s="51"/>
      <c r="E411" s="51">
        <v>3500</v>
      </c>
      <c r="F411" s="74" t="s">
        <v>181</v>
      </c>
    </row>
    <row r="412" spans="1:6" ht="15.75" thickBot="1" x14ac:dyDescent="0.3">
      <c r="A412" s="12"/>
      <c r="B412" s="14"/>
      <c r="C412" s="44"/>
      <c r="D412" s="52"/>
      <c r="E412" s="52"/>
      <c r="F412" s="74"/>
    </row>
    <row r="413" spans="1:6" x14ac:dyDescent="0.25">
      <c r="A413" s="9">
        <v>41409</v>
      </c>
      <c r="B413" s="31">
        <f>PCG!A30</f>
        <v>6280</v>
      </c>
      <c r="C413" s="15" t="str">
        <f>VLOOKUP(B413,TablePCG,2,FALSE)</f>
        <v>28-frais sur salaires</v>
      </c>
      <c r="D413" s="49">
        <v>114</v>
      </c>
      <c r="E413" s="49"/>
      <c r="F413" s="74" t="s">
        <v>181</v>
      </c>
    </row>
    <row r="414" spans="1:6" x14ac:dyDescent="0.25">
      <c r="A414" s="10"/>
      <c r="B414" s="22">
        <v>5120</v>
      </c>
      <c r="C414" s="16" t="str">
        <f>VLOOKUP(B414,TablePCG,2,FALSE)</f>
        <v>banque</v>
      </c>
      <c r="D414" s="51"/>
      <c r="E414" s="51">
        <v>114</v>
      </c>
      <c r="F414" s="74"/>
    </row>
    <row r="415" spans="1:6" ht="15.75" thickBot="1" x14ac:dyDescent="0.3">
      <c r="A415" s="12"/>
      <c r="B415" s="14"/>
      <c r="C415" s="44" t="s">
        <v>109</v>
      </c>
      <c r="D415" s="52"/>
      <c r="E415" s="52"/>
      <c r="F415" s="74"/>
    </row>
    <row r="416" spans="1:6" x14ac:dyDescent="0.25">
      <c r="A416" s="9">
        <v>41409</v>
      </c>
      <c r="B416" s="31">
        <f>PCG!A28</f>
        <v>6260</v>
      </c>
      <c r="C416" s="15" t="str">
        <f>VLOOKUP(B416,TablePCG,2,FALSE)</f>
        <v>26-frais postaux et de téléphone</v>
      </c>
      <c r="D416" s="49">
        <v>8.6199999999999992</v>
      </c>
      <c r="E416" s="49"/>
      <c r="F416" s="74" t="s">
        <v>171</v>
      </c>
    </row>
    <row r="417" spans="1:6" x14ac:dyDescent="0.25">
      <c r="A417" s="10"/>
      <c r="B417" s="22">
        <v>5120</v>
      </c>
      <c r="C417" s="16" t="str">
        <f>VLOOKUP(B417,TablePCG,2,FALSE)</f>
        <v>banque</v>
      </c>
      <c r="D417" s="51"/>
      <c r="E417" s="51">
        <v>8.6199999999999992</v>
      </c>
      <c r="F417" s="74"/>
    </row>
    <row r="418" spans="1:6" ht="15.75" thickBot="1" x14ac:dyDescent="0.3">
      <c r="A418" s="12"/>
      <c r="B418" s="14"/>
      <c r="C418" s="44" t="s">
        <v>110</v>
      </c>
      <c r="D418" s="52"/>
      <c r="E418" s="52"/>
      <c r="F418" s="74"/>
    </row>
    <row r="419" spans="1:6" x14ac:dyDescent="0.25">
      <c r="A419" s="9">
        <v>41409</v>
      </c>
      <c r="B419" s="31">
        <v>6060</v>
      </c>
      <c r="C419" s="15" t="str">
        <f>VLOOKUP(B419,TablePCG,2,FALSE)</f>
        <v>20-fournitures, petit équipement</v>
      </c>
      <c r="D419" s="49">
        <v>26.56</v>
      </c>
      <c r="E419" s="49"/>
      <c r="F419" s="74" t="s">
        <v>171</v>
      </c>
    </row>
    <row r="420" spans="1:6" x14ac:dyDescent="0.25">
      <c r="A420" s="10"/>
      <c r="B420" s="22">
        <v>5120</v>
      </c>
      <c r="C420" s="16" t="str">
        <f>VLOOKUP(B420,TablePCG,2,FALSE)</f>
        <v>banque</v>
      </c>
      <c r="D420" s="51"/>
      <c r="E420" s="51">
        <v>26.56</v>
      </c>
      <c r="F420" s="74"/>
    </row>
    <row r="421" spans="1:6" ht="15.75" thickBot="1" x14ac:dyDescent="0.3">
      <c r="A421" s="12"/>
      <c r="B421" s="14"/>
      <c r="C421" s="44" t="s">
        <v>125</v>
      </c>
      <c r="D421" s="52"/>
      <c r="E421" s="52"/>
      <c r="F421" s="74"/>
    </row>
    <row r="422" spans="1:6" x14ac:dyDescent="0.25">
      <c r="A422" s="9">
        <v>41409</v>
      </c>
      <c r="B422" s="58">
        <v>6580</v>
      </c>
      <c r="C422" s="15" t="str">
        <f>VLOOKUP(B422,TablePCG,2,FALSE)</f>
        <v xml:space="preserve">33-charges diverses </v>
      </c>
      <c r="D422" s="59">
        <v>3.4</v>
      </c>
      <c r="E422" s="49"/>
      <c r="F422" s="74" t="s">
        <v>171</v>
      </c>
    </row>
    <row r="423" spans="1:6" x14ac:dyDescent="0.25">
      <c r="A423" s="10"/>
      <c r="B423" s="22">
        <v>5120</v>
      </c>
      <c r="C423" s="16" t="str">
        <f>VLOOKUP(B423,TablePCG,2,FALSE)</f>
        <v>banque</v>
      </c>
      <c r="D423" s="51"/>
      <c r="E423" s="51">
        <v>3.4</v>
      </c>
      <c r="F423" s="74"/>
    </row>
    <row r="424" spans="1:6" ht="15.75" thickBot="1" x14ac:dyDescent="0.3">
      <c r="A424" s="12"/>
      <c r="B424" s="14"/>
      <c r="C424" s="44" t="s">
        <v>175</v>
      </c>
      <c r="D424" s="52"/>
      <c r="E424" s="52"/>
      <c r="F424" s="74"/>
    </row>
    <row r="425" spans="1:6" x14ac:dyDescent="0.25">
      <c r="A425" s="9">
        <v>41415</v>
      </c>
      <c r="B425" s="31">
        <v>6410</v>
      </c>
      <c r="C425" s="15" t="str">
        <f>VLOOKUP(B425,TablePCG,2,FALSE)</f>
        <v xml:space="preserve">31-salaires </v>
      </c>
      <c r="D425" s="49">
        <v>106.31</v>
      </c>
      <c r="E425" s="49"/>
      <c r="F425" s="74" t="s">
        <v>171</v>
      </c>
    </row>
    <row r="426" spans="1:6" x14ac:dyDescent="0.25">
      <c r="A426" s="10"/>
      <c r="B426" s="22">
        <v>5120</v>
      </c>
      <c r="C426" s="16" t="str">
        <f>VLOOKUP(B426,TablePCG,2,FALSE)</f>
        <v>banque</v>
      </c>
      <c r="D426" s="51"/>
      <c r="E426" s="51">
        <v>106.31</v>
      </c>
      <c r="F426" s="74"/>
    </row>
    <row r="427" spans="1:6" ht="15.75" thickBot="1" x14ac:dyDescent="0.3">
      <c r="A427" s="12"/>
      <c r="B427" s="14"/>
      <c r="C427" s="44" t="s">
        <v>225</v>
      </c>
      <c r="D427" s="52"/>
      <c r="E427" s="52"/>
      <c r="F427" s="74"/>
    </row>
    <row r="428" spans="1:6" x14ac:dyDescent="0.25">
      <c r="A428" s="9">
        <v>41417</v>
      </c>
      <c r="B428" s="58">
        <v>6580</v>
      </c>
      <c r="C428" s="15" t="str">
        <f>VLOOKUP(B428,TablePCG,2,FALSE)</f>
        <v xml:space="preserve">33-charges diverses </v>
      </c>
      <c r="D428" s="59">
        <v>7.18</v>
      </c>
      <c r="E428" s="49"/>
      <c r="F428" s="74" t="s">
        <v>171</v>
      </c>
    </row>
    <row r="429" spans="1:6" x14ac:dyDescent="0.25">
      <c r="A429" s="10"/>
      <c r="B429" s="22">
        <v>5120</v>
      </c>
      <c r="C429" s="16" t="str">
        <f>VLOOKUP(B429,TablePCG,2,FALSE)</f>
        <v>banque</v>
      </c>
      <c r="D429" s="51"/>
      <c r="E429" s="51">
        <v>7.18</v>
      </c>
      <c r="F429" s="74"/>
    </row>
    <row r="430" spans="1:6" ht="15.75" thickBot="1" x14ac:dyDescent="0.3">
      <c r="A430" s="12"/>
      <c r="B430" s="14"/>
      <c r="C430" s="44" t="s">
        <v>176</v>
      </c>
      <c r="D430" s="52"/>
      <c r="E430" s="52"/>
      <c r="F430" s="74"/>
    </row>
    <row r="431" spans="1:6" x14ac:dyDescent="0.25">
      <c r="A431" s="9">
        <v>41417</v>
      </c>
      <c r="B431" s="58">
        <v>6580</v>
      </c>
      <c r="C431" s="15" t="str">
        <f>VLOOKUP(B431,TablePCG,2,FALSE)</f>
        <v xml:space="preserve">33-charges diverses </v>
      </c>
      <c r="D431" s="59">
        <v>24.4</v>
      </c>
      <c r="E431" s="49"/>
      <c r="F431" s="74" t="s">
        <v>171</v>
      </c>
    </row>
    <row r="432" spans="1:6" x14ac:dyDescent="0.25">
      <c r="A432" s="10"/>
      <c r="B432" s="22">
        <v>5120</v>
      </c>
      <c r="C432" s="16" t="str">
        <f>VLOOKUP(B432,TablePCG,2,FALSE)</f>
        <v>banque</v>
      </c>
      <c r="D432" s="51"/>
      <c r="E432" s="51">
        <v>24.4</v>
      </c>
      <c r="F432" s="74"/>
    </row>
    <row r="433" spans="1:6" ht="15.75" thickBot="1" x14ac:dyDescent="0.3">
      <c r="A433" s="12"/>
      <c r="B433" s="14"/>
      <c r="C433" s="44" t="s">
        <v>173</v>
      </c>
      <c r="D433" s="52"/>
      <c r="E433" s="52"/>
      <c r="F433" s="74"/>
    </row>
    <row r="434" spans="1:6" x14ac:dyDescent="0.25">
      <c r="A434" s="9">
        <v>41417</v>
      </c>
      <c r="B434" s="58">
        <v>6580</v>
      </c>
      <c r="C434" s="15" t="str">
        <f>VLOOKUP(B434,TablePCG,2,FALSE)</f>
        <v xml:space="preserve">33-charges diverses </v>
      </c>
      <c r="D434" s="59">
        <v>2.6</v>
      </c>
      <c r="E434" s="49"/>
      <c r="F434" s="74" t="s">
        <v>171</v>
      </c>
    </row>
    <row r="435" spans="1:6" x14ac:dyDescent="0.25">
      <c r="A435" s="10"/>
      <c r="B435" s="50">
        <v>5120</v>
      </c>
      <c r="C435" s="16" t="str">
        <f>VLOOKUP(B435,TablePCG,2,FALSE)</f>
        <v>banque</v>
      </c>
      <c r="D435" s="60"/>
      <c r="E435" s="51">
        <v>2.6</v>
      </c>
      <c r="F435" s="74"/>
    </row>
    <row r="436" spans="1:6" ht="15.75" thickBot="1" x14ac:dyDescent="0.3">
      <c r="A436" s="12"/>
      <c r="B436" s="44"/>
      <c r="C436" s="44" t="s">
        <v>173</v>
      </c>
      <c r="D436" s="61"/>
      <c r="E436" s="52"/>
      <c r="F436" s="74"/>
    </row>
    <row r="437" spans="1:6" x14ac:dyDescent="0.25">
      <c r="A437" s="9">
        <v>41417</v>
      </c>
      <c r="B437" s="58">
        <v>6580</v>
      </c>
      <c r="C437" s="15" t="str">
        <f>VLOOKUP(B437,TablePCG,2,FALSE)</f>
        <v xml:space="preserve">33-charges diverses </v>
      </c>
      <c r="D437" s="59">
        <v>26.76</v>
      </c>
      <c r="E437" s="49"/>
      <c r="F437" s="74" t="s">
        <v>171</v>
      </c>
    </row>
    <row r="438" spans="1:6" x14ac:dyDescent="0.25">
      <c r="A438" s="10"/>
      <c r="B438" s="22">
        <v>5120</v>
      </c>
      <c r="C438" s="16" t="str">
        <f>VLOOKUP(B438,TablePCG,2,FALSE)</f>
        <v>banque</v>
      </c>
      <c r="D438" s="51"/>
      <c r="E438" s="51">
        <v>26.76</v>
      </c>
      <c r="F438" s="74"/>
    </row>
    <row r="439" spans="1:6" ht="15.75" thickBot="1" x14ac:dyDescent="0.3">
      <c r="A439" s="12"/>
      <c r="B439" s="14"/>
      <c r="C439" s="44" t="s">
        <v>163</v>
      </c>
      <c r="D439" s="52"/>
      <c r="E439" s="52"/>
      <c r="F439" s="74"/>
    </row>
    <row r="440" spans="1:6" x14ac:dyDescent="0.25">
      <c r="A440" s="9">
        <v>41425</v>
      </c>
      <c r="B440" s="31">
        <f>PCG!A23</f>
        <v>6130</v>
      </c>
      <c r="C440" s="15" t="str">
        <f>VLOOKUP(B440,TablePCG,2,FALSE)</f>
        <v>21-loyers</v>
      </c>
      <c r="D440" s="49">
        <v>100</v>
      </c>
      <c r="E440" s="49"/>
      <c r="F440" s="74" t="s">
        <v>171</v>
      </c>
    </row>
    <row r="441" spans="1:6" x14ac:dyDescent="0.25">
      <c r="A441" s="10"/>
      <c r="B441" s="22">
        <v>5120</v>
      </c>
      <c r="C441" s="16" t="str">
        <f>VLOOKUP(B441,TablePCG,2,FALSE)</f>
        <v>banque</v>
      </c>
      <c r="D441" s="51"/>
      <c r="E441" s="51">
        <v>100</v>
      </c>
      <c r="F441" s="74"/>
    </row>
    <row r="442" spans="1:6" ht="15.75" thickBot="1" x14ac:dyDescent="0.3">
      <c r="A442" s="12"/>
      <c r="B442" s="14"/>
      <c r="C442" s="44" t="s">
        <v>124</v>
      </c>
      <c r="D442" s="52"/>
      <c r="E442" s="52"/>
      <c r="F442" s="74"/>
    </row>
    <row r="443" spans="1:6" x14ac:dyDescent="0.25">
      <c r="A443" s="9">
        <v>41425</v>
      </c>
      <c r="B443" s="31">
        <v>6410</v>
      </c>
      <c r="C443" s="15" t="str">
        <f>VLOOKUP(B443,TablePCG,2,FALSE)</f>
        <v xml:space="preserve">31-salaires </v>
      </c>
      <c r="D443" s="49">
        <v>92.43</v>
      </c>
      <c r="E443" s="49"/>
      <c r="F443" s="74" t="s">
        <v>171</v>
      </c>
    </row>
    <row r="444" spans="1:6" x14ac:dyDescent="0.25">
      <c r="A444" s="10"/>
      <c r="B444" s="22">
        <v>5120</v>
      </c>
      <c r="C444" s="16" t="str">
        <f>VLOOKUP(B444,TablePCG,2,FALSE)</f>
        <v>banque</v>
      </c>
      <c r="D444" s="51"/>
      <c r="E444" s="51">
        <v>92.43</v>
      </c>
      <c r="F444" s="74"/>
    </row>
    <row r="445" spans="1:6" ht="15.75" thickBot="1" x14ac:dyDescent="0.3">
      <c r="A445" s="12"/>
      <c r="B445" s="14"/>
      <c r="C445" s="44" t="s">
        <v>136</v>
      </c>
      <c r="D445" s="52"/>
      <c r="E445" s="52"/>
      <c r="F445" s="74"/>
    </row>
    <row r="446" spans="1:6" x14ac:dyDescent="0.25">
      <c r="A446" s="9">
        <v>41425</v>
      </c>
      <c r="B446" s="31">
        <f>PCG!A34</f>
        <v>6415</v>
      </c>
      <c r="C446" s="15" t="str">
        <f>VLOOKUP(B446,TablePCG,2,FALSE)</f>
        <v>32-charges sur salaires</v>
      </c>
      <c r="D446" s="49">
        <v>105</v>
      </c>
      <c r="E446" s="49"/>
      <c r="F446" s="74" t="s">
        <v>181</v>
      </c>
    </row>
    <row r="447" spans="1:6" x14ac:dyDescent="0.25">
      <c r="A447" s="10"/>
      <c r="B447" s="22">
        <v>5120</v>
      </c>
      <c r="C447" s="16" t="str">
        <f>VLOOKUP(B447,TablePCG,2,FALSE)</f>
        <v>banque</v>
      </c>
      <c r="D447" s="51"/>
      <c r="E447" s="51">
        <v>105</v>
      </c>
      <c r="F447" s="74"/>
    </row>
    <row r="448" spans="1:6" ht="15.75" thickBot="1" x14ac:dyDescent="0.3">
      <c r="A448" s="12"/>
      <c r="B448" s="14"/>
      <c r="C448" s="44" t="s">
        <v>139</v>
      </c>
      <c r="D448" s="52"/>
      <c r="E448" s="52"/>
      <c r="F448" s="74"/>
    </row>
    <row r="449" spans="1:6" x14ac:dyDescent="0.25">
      <c r="A449" s="9">
        <v>41425</v>
      </c>
      <c r="B449" s="31">
        <v>6410</v>
      </c>
      <c r="C449" s="15" t="str">
        <f>VLOOKUP(B449,TablePCG,2,FALSE)</f>
        <v xml:space="preserve">31-salaires </v>
      </c>
      <c r="D449" s="49">
        <v>93.36</v>
      </c>
      <c r="E449" s="49"/>
      <c r="F449" s="74" t="s">
        <v>180</v>
      </c>
    </row>
    <row r="450" spans="1:6" x14ac:dyDescent="0.25">
      <c r="A450" s="10"/>
      <c r="B450" s="22">
        <v>5120</v>
      </c>
      <c r="C450" s="16" t="str">
        <f>VLOOKUP(B450,TablePCG,2,FALSE)</f>
        <v>banque</v>
      </c>
      <c r="D450" s="51"/>
      <c r="E450" s="51">
        <v>93.36</v>
      </c>
      <c r="F450" s="74"/>
    </row>
    <row r="451" spans="1:6" ht="15.75" thickBot="1" x14ac:dyDescent="0.3">
      <c r="A451" s="12"/>
      <c r="B451" s="14"/>
      <c r="C451" s="44" t="s">
        <v>137</v>
      </c>
      <c r="D451" s="52"/>
      <c r="E451" s="52"/>
      <c r="F451" s="74"/>
    </row>
    <row r="452" spans="1:6" x14ac:dyDescent="0.25">
      <c r="A452" s="9">
        <v>41425</v>
      </c>
      <c r="B452" s="31">
        <f>PCG!A30</f>
        <v>6280</v>
      </c>
      <c r="C452" s="15" t="str">
        <f>VLOOKUP(B452,TablePCG,2,FALSE)</f>
        <v>28-frais sur salaires</v>
      </c>
      <c r="D452" s="49">
        <v>34</v>
      </c>
      <c r="E452" s="49"/>
      <c r="F452" s="74" t="s">
        <v>180</v>
      </c>
    </row>
    <row r="453" spans="1:6" x14ac:dyDescent="0.25">
      <c r="A453" s="10"/>
      <c r="B453" s="22">
        <v>5120</v>
      </c>
      <c r="C453" s="16" t="str">
        <f>VLOOKUP(B453,TablePCG,2,FALSE)</f>
        <v>banque</v>
      </c>
      <c r="D453" s="51"/>
      <c r="E453" s="51">
        <v>34</v>
      </c>
      <c r="F453" s="74"/>
    </row>
    <row r="454" spans="1:6" ht="15.75" thickBot="1" x14ac:dyDescent="0.3">
      <c r="A454" s="12"/>
      <c r="B454" s="14"/>
      <c r="C454" s="44" t="s">
        <v>135</v>
      </c>
      <c r="D454" s="52"/>
      <c r="E454" s="52"/>
      <c r="F454" s="74"/>
    </row>
    <row r="455" spans="1:6" x14ac:dyDescent="0.25">
      <c r="A455" s="9">
        <v>41326</v>
      </c>
      <c r="B455" s="31">
        <v>6270</v>
      </c>
      <c r="C455" s="15" t="str">
        <f>VLOOKUP(B455,TablePCG,2,FALSE)</f>
        <v xml:space="preserve">27-services bancaires </v>
      </c>
      <c r="D455" s="49">
        <v>7</v>
      </c>
      <c r="E455" s="49"/>
      <c r="F455" s="74" t="s">
        <v>171</v>
      </c>
    </row>
    <row r="456" spans="1:6" x14ac:dyDescent="0.25">
      <c r="A456" s="10"/>
      <c r="B456" s="22">
        <v>5120</v>
      </c>
      <c r="C456" s="16" t="str">
        <f>VLOOKUP(B456,TablePCG,2,FALSE)</f>
        <v>banque</v>
      </c>
      <c r="D456" s="51"/>
      <c r="E456" s="51">
        <v>7</v>
      </c>
      <c r="F456" s="74"/>
    </row>
    <row r="457" spans="1:6" ht="15.75" thickBot="1" x14ac:dyDescent="0.3">
      <c r="A457" s="12"/>
      <c r="B457" s="14"/>
      <c r="C457" s="44" t="s">
        <v>112</v>
      </c>
      <c r="D457" s="52"/>
      <c r="E457" s="52"/>
      <c r="F457" s="74"/>
    </row>
    <row r="458" spans="1:6" x14ac:dyDescent="0.25">
      <c r="A458" s="9">
        <v>41326</v>
      </c>
      <c r="B458" s="31">
        <v>6270</v>
      </c>
      <c r="C458" s="15" t="str">
        <f>VLOOKUP(B458,TablePCG,2,FALSE)</f>
        <v xml:space="preserve">27-services bancaires </v>
      </c>
      <c r="D458" s="49">
        <v>15</v>
      </c>
      <c r="E458" s="49"/>
      <c r="F458" s="74" t="s">
        <v>171</v>
      </c>
    </row>
    <row r="459" spans="1:6" x14ac:dyDescent="0.25">
      <c r="A459" s="10"/>
      <c r="B459" s="22">
        <v>5120</v>
      </c>
      <c r="C459" s="16" t="str">
        <f>VLOOKUP(B459,TablePCG,2,FALSE)</f>
        <v>banque</v>
      </c>
      <c r="D459" s="51"/>
      <c r="E459" s="51">
        <v>15</v>
      </c>
      <c r="F459" s="74"/>
    </row>
    <row r="460" spans="1:6" ht="15.75" thickBot="1" x14ac:dyDescent="0.3">
      <c r="A460" s="12"/>
      <c r="B460" s="14"/>
      <c r="C460" s="44" t="s">
        <v>112</v>
      </c>
      <c r="D460" s="52"/>
      <c r="E460" s="52"/>
      <c r="F460" s="74"/>
    </row>
    <row r="461" spans="1:6" x14ac:dyDescent="0.25">
      <c r="A461" s="9">
        <v>41345</v>
      </c>
      <c r="B461" s="31">
        <v>6250</v>
      </c>
      <c r="C461" s="15" t="str">
        <f>VLOOKUP(B461,TablePCG,2,FALSE)</f>
        <v>25-frais de résidence et de déplacement</v>
      </c>
      <c r="D461" s="49">
        <v>9.6</v>
      </c>
      <c r="E461" s="49"/>
      <c r="F461" s="74" t="s">
        <v>180</v>
      </c>
    </row>
    <row r="462" spans="1:6" x14ac:dyDescent="0.25">
      <c r="A462" s="10"/>
      <c r="B462" s="22">
        <v>5300</v>
      </c>
      <c r="C462" s="16" t="str">
        <f>VLOOKUP(B462,TablePCG,2,FALSE)</f>
        <v>caisse</v>
      </c>
      <c r="D462" s="51"/>
      <c r="E462" s="51">
        <v>9.6</v>
      </c>
      <c r="F462" s="74"/>
    </row>
    <row r="463" spans="1:6" ht="15.75" thickBot="1" x14ac:dyDescent="0.3">
      <c r="A463" s="12"/>
      <c r="B463" s="14"/>
      <c r="C463" s="44" t="s">
        <v>169</v>
      </c>
      <c r="D463" s="52"/>
      <c r="E463" s="52"/>
      <c r="F463" s="74"/>
    </row>
    <row r="464" spans="1:6" x14ac:dyDescent="0.25">
      <c r="A464" s="9">
        <v>41345</v>
      </c>
      <c r="B464" s="31">
        <v>6250</v>
      </c>
      <c r="C464" s="15" t="str">
        <f>VLOOKUP(B464,TablePCG,2,FALSE)</f>
        <v>25-frais de résidence et de déplacement</v>
      </c>
      <c r="D464" s="49">
        <v>2</v>
      </c>
      <c r="E464" s="49"/>
      <c r="F464" s="74" t="s">
        <v>180</v>
      </c>
    </row>
    <row r="465" spans="1:6" x14ac:dyDescent="0.25">
      <c r="A465" s="10"/>
      <c r="B465" s="22">
        <v>5300</v>
      </c>
      <c r="C465" s="16" t="str">
        <f>VLOOKUP(B465,TablePCG,2,FALSE)</f>
        <v>caisse</v>
      </c>
      <c r="D465" s="51"/>
      <c r="E465" s="51">
        <v>2</v>
      </c>
      <c r="F465" s="74"/>
    </row>
    <row r="466" spans="1:6" ht="15.75" thickBot="1" x14ac:dyDescent="0.3">
      <c r="A466" s="12"/>
      <c r="B466" s="14"/>
      <c r="C466" s="44" t="s">
        <v>170</v>
      </c>
      <c r="D466" s="52"/>
      <c r="E466" s="52"/>
      <c r="F466" s="74"/>
    </row>
    <row r="467" spans="1:6" x14ac:dyDescent="0.25">
      <c r="A467" s="9">
        <v>41354</v>
      </c>
      <c r="B467" s="31">
        <v>6270</v>
      </c>
      <c r="C467" s="15" t="str">
        <f>VLOOKUP(B467,TablePCG,2,FALSE)</f>
        <v xml:space="preserve">27-services bancaires </v>
      </c>
      <c r="D467" s="49">
        <v>7</v>
      </c>
      <c r="E467" s="49"/>
      <c r="F467" s="74" t="s">
        <v>171</v>
      </c>
    </row>
    <row r="468" spans="1:6" x14ac:dyDescent="0.25">
      <c r="A468" s="10"/>
      <c r="B468" s="22">
        <v>5120</v>
      </c>
      <c r="C468" s="16" t="str">
        <f>VLOOKUP(B468,TablePCG,2,FALSE)</f>
        <v>banque</v>
      </c>
      <c r="D468" s="51"/>
      <c r="E468" s="51">
        <v>7</v>
      </c>
      <c r="F468" s="74"/>
    </row>
    <row r="469" spans="1:6" ht="15.75" thickBot="1" x14ac:dyDescent="0.3">
      <c r="A469" s="12"/>
      <c r="B469" s="14"/>
      <c r="C469" s="44" t="s">
        <v>113</v>
      </c>
      <c r="D469" s="52"/>
      <c r="E469" s="52"/>
      <c r="F469" s="74"/>
    </row>
    <row r="470" spans="1:6" x14ac:dyDescent="0.25">
      <c r="A470" s="9">
        <v>41385</v>
      </c>
      <c r="B470" s="31">
        <v>6270</v>
      </c>
      <c r="C470" s="15" t="str">
        <f>VLOOKUP(B470,TablePCG,2,FALSE)</f>
        <v xml:space="preserve">27-services bancaires </v>
      </c>
      <c r="D470" s="49">
        <v>7</v>
      </c>
      <c r="E470" s="49"/>
      <c r="F470" s="74" t="s">
        <v>171</v>
      </c>
    </row>
    <row r="471" spans="1:6" x14ac:dyDescent="0.25">
      <c r="A471" s="10"/>
      <c r="B471" s="22">
        <v>5120</v>
      </c>
      <c r="C471" s="16" t="str">
        <f>VLOOKUP(B471,TablePCG,2,FALSE)</f>
        <v>banque</v>
      </c>
      <c r="D471" s="51"/>
      <c r="E471" s="51">
        <v>7</v>
      </c>
      <c r="F471" s="74"/>
    </row>
    <row r="472" spans="1:6" ht="15.75" thickBot="1" x14ac:dyDescent="0.3">
      <c r="A472" s="12"/>
      <c r="B472" s="14"/>
      <c r="C472" s="44" t="s">
        <v>114</v>
      </c>
      <c r="D472" s="52"/>
      <c r="E472" s="52"/>
      <c r="F472" s="74"/>
    </row>
    <row r="473" spans="1:6" x14ac:dyDescent="0.25">
      <c r="A473" s="9">
        <v>41415</v>
      </c>
      <c r="B473" s="31">
        <v>6270</v>
      </c>
      <c r="C473" s="15" t="str">
        <f>VLOOKUP(B473,TablePCG,2,FALSE)</f>
        <v xml:space="preserve">27-services bancaires </v>
      </c>
      <c r="D473" s="49">
        <v>7</v>
      </c>
      <c r="E473" s="49"/>
      <c r="F473" s="74" t="s">
        <v>171</v>
      </c>
    </row>
    <row r="474" spans="1:6" x14ac:dyDescent="0.25">
      <c r="A474" s="10"/>
      <c r="B474" s="22">
        <v>5120</v>
      </c>
      <c r="C474" s="16" t="str">
        <f>VLOOKUP(B474,TablePCG,2,FALSE)</f>
        <v>banque</v>
      </c>
      <c r="D474" s="51"/>
      <c r="E474" s="51">
        <v>7</v>
      </c>
      <c r="F474" s="74"/>
    </row>
    <row r="475" spans="1:6" ht="15.75" thickBot="1" x14ac:dyDescent="0.3">
      <c r="A475" s="12"/>
      <c r="B475" s="14"/>
      <c r="C475" s="44" t="s">
        <v>132</v>
      </c>
      <c r="D475" s="52"/>
      <c r="E475" s="52"/>
      <c r="F475" s="74"/>
    </row>
    <row r="476" spans="1:6" x14ac:dyDescent="0.25">
      <c r="A476" s="9">
        <v>41415</v>
      </c>
      <c r="B476" s="31">
        <v>5120</v>
      </c>
      <c r="C476" s="15" t="str">
        <f>VLOOKUP(B476,TablePCG,2,FALSE)</f>
        <v>banque</v>
      </c>
      <c r="D476" s="49">
        <v>200</v>
      </c>
      <c r="E476" s="49"/>
      <c r="F476" s="74"/>
    </row>
    <row r="477" spans="1:6" x14ac:dyDescent="0.25">
      <c r="A477" s="10"/>
      <c r="B477" s="22">
        <v>7470</v>
      </c>
      <c r="C477" s="16" t="str">
        <f>VLOOKUP(B477,TablePCG,2,FALSE)</f>
        <v>47-subvention aide à la création</v>
      </c>
      <c r="D477" s="51"/>
      <c r="E477" s="51">
        <v>200</v>
      </c>
      <c r="F477" s="74" t="s">
        <v>181</v>
      </c>
    </row>
    <row r="478" spans="1:6" ht="15.75" thickBot="1" x14ac:dyDescent="0.3">
      <c r="A478" s="12"/>
      <c r="B478" s="14"/>
      <c r="C478" s="44" t="s">
        <v>134</v>
      </c>
      <c r="D478" s="52"/>
      <c r="E478" s="52"/>
      <c r="F478" s="74"/>
    </row>
    <row r="479" spans="1:6" x14ac:dyDescent="0.25">
      <c r="A479" s="9">
        <v>41425</v>
      </c>
      <c r="B479" s="31">
        <v>6410</v>
      </c>
      <c r="C479" s="15" t="str">
        <f>VLOOKUP(B479,TablePCG,2,FALSE)</f>
        <v xml:space="preserve">31-salaires </v>
      </c>
      <c r="D479" s="49">
        <v>86.18</v>
      </c>
      <c r="E479" s="49"/>
      <c r="F479" s="74" t="s">
        <v>181</v>
      </c>
    </row>
    <row r="480" spans="1:6" x14ac:dyDescent="0.25">
      <c r="A480" s="10"/>
      <c r="B480" s="22">
        <v>5120</v>
      </c>
      <c r="C480" s="16" t="str">
        <f>VLOOKUP(B480,TablePCG,2,FALSE)</f>
        <v>banque</v>
      </c>
      <c r="D480" s="51"/>
      <c r="E480" s="51">
        <v>86.18</v>
      </c>
      <c r="F480" s="74"/>
    </row>
    <row r="481" spans="1:6" ht="15.75" thickBot="1" x14ac:dyDescent="0.3">
      <c r="A481" s="12"/>
      <c r="B481" s="14"/>
      <c r="C481" s="44" t="s">
        <v>138</v>
      </c>
      <c r="D481" s="52"/>
      <c r="E481" s="52"/>
      <c r="F481" s="74"/>
    </row>
    <row r="482" spans="1:6" x14ac:dyDescent="0.25">
      <c r="A482" s="9">
        <v>41455</v>
      </c>
      <c r="B482" s="31">
        <v>6410</v>
      </c>
      <c r="C482" s="15" t="str">
        <f>VLOOKUP(B482,TablePCG,2,FALSE)</f>
        <v xml:space="preserve">31-salaires </v>
      </c>
      <c r="D482" s="49">
        <v>146.47999999999999</v>
      </c>
      <c r="E482" s="49"/>
      <c r="F482" s="74" t="s">
        <v>181</v>
      </c>
    </row>
    <row r="483" spans="1:6" x14ac:dyDescent="0.25">
      <c r="A483" s="10"/>
      <c r="B483" s="22">
        <v>5120</v>
      </c>
      <c r="C483" s="16" t="str">
        <f>VLOOKUP(B483,TablePCG,2,FALSE)</f>
        <v>banque</v>
      </c>
      <c r="D483" s="51"/>
      <c r="E483" s="51">
        <v>146.47999999999999</v>
      </c>
      <c r="F483" s="74"/>
    </row>
    <row r="484" spans="1:6" ht="15.75" thickBot="1" x14ac:dyDescent="0.3">
      <c r="A484" s="12"/>
      <c r="B484" s="14"/>
      <c r="C484" s="44" t="s">
        <v>144</v>
      </c>
      <c r="D484" s="52"/>
      <c r="E484" s="52"/>
      <c r="F484" s="74"/>
    </row>
    <row r="485" spans="1:6" x14ac:dyDescent="0.25">
      <c r="A485" s="9">
        <v>41455</v>
      </c>
      <c r="B485" s="31">
        <f>+PCG!A34</f>
        <v>6415</v>
      </c>
      <c r="C485" s="15" t="str">
        <f>VLOOKUP(B485,TablePCG,2,FALSE)</f>
        <v>32-charges sur salaires</v>
      </c>
      <c r="D485" s="49">
        <v>119</v>
      </c>
      <c r="E485" s="49"/>
      <c r="F485" s="74" t="s">
        <v>181</v>
      </c>
    </row>
    <row r="486" spans="1:6" x14ac:dyDescent="0.25">
      <c r="A486" s="10"/>
      <c r="B486" s="22">
        <v>5120</v>
      </c>
      <c r="C486" s="16" t="str">
        <f>VLOOKUP(B486,TablePCG,2,FALSE)</f>
        <v>banque</v>
      </c>
      <c r="D486" s="51"/>
      <c r="E486" s="51">
        <v>119</v>
      </c>
      <c r="F486" s="74"/>
    </row>
    <row r="487" spans="1:6" ht="15.75" thickBot="1" x14ac:dyDescent="0.3">
      <c r="A487" s="12"/>
      <c r="B487" s="14"/>
      <c r="C487" s="44" t="s">
        <v>145</v>
      </c>
      <c r="D487" s="52"/>
      <c r="E487" s="52"/>
      <c r="F487" s="74"/>
    </row>
    <row r="488" spans="1:6" x14ac:dyDescent="0.25">
      <c r="A488" s="9">
        <v>41455</v>
      </c>
      <c r="B488" s="31">
        <v>6415</v>
      </c>
      <c r="C488" s="15" t="str">
        <f>VLOOKUP(B488,TablePCG,2,FALSE)</f>
        <v>32-charges sur salaires</v>
      </c>
      <c r="D488" s="49">
        <v>184</v>
      </c>
      <c r="E488" s="49"/>
      <c r="F488" s="74" t="s">
        <v>180</v>
      </c>
    </row>
    <row r="489" spans="1:6" x14ac:dyDescent="0.25">
      <c r="A489" s="10"/>
      <c r="B489" s="22">
        <v>5120</v>
      </c>
      <c r="C489" s="16" t="str">
        <f>VLOOKUP(B489,TablePCG,2,FALSE)</f>
        <v>banque</v>
      </c>
      <c r="D489" s="51"/>
      <c r="E489" s="51">
        <v>184</v>
      </c>
      <c r="F489" s="74"/>
    </row>
    <row r="490" spans="1:6" ht="15.75" thickBot="1" x14ac:dyDescent="0.3">
      <c r="A490" s="12"/>
      <c r="B490" s="14"/>
      <c r="C490" s="44" t="s">
        <v>146</v>
      </c>
      <c r="D490" s="52"/>
      <c r="E490" s="52"/>
      <c r="F490" s="74"/>
    </row>
    <row r="491" spans="1:6" x14ac:dyDescent="0.25">
      <c r="A491" s="9">
        <v>41455</v>
      </c>
      <c r="B491" s="31">
        <v>6415</v>
      </c>
      <c r="C491" s="15" t="str">
        <f>VLOOKUP(B491,TablePCG,2,FALSE)</f>
        <v>32-charges sur salaires</v>
      </c>
      <c r="D491" s="49">
        <v>15</v>
      </c>
      <c r="E491" s="49"/>
      <c r="F491" s="74" t="s">
        <v>180</v>
      </c>
    </row>
    <row r="492" spans="1:6" x14ac:dyDescent="0.25">
      <c r="A492" s="10"/>
      <c r="B492" s="22">
        <v>5120</v>
      </c>
      <c r="C492" s="16" t="str">
        <f>VLOOKUP(B492,TablePCG,2,FALSE)</f>
        <v>banque</v>
      </c>
      <c r="D492" s="51"/>
      <c r="E492" s="51">
        <v>15</v>
      </c>
      <c r="F492" s="74"/>
    </row>
    <row r="493" spans="1:6" ht="15.75" thickBot="1" x14ac:dyDescent="0.3">
      <c r="A493" s="12"/>
      <c r="B493" s="14"/>
      <c r="C493" s="44" t="s">
        <v>147</v>
      </c>
      <c r="D493" s="52"/>
      <c r="E493" s="52"/>
      <c r="F493" s="74"/>
    </row>
    <row r="494" spans="1:6" x14ac:dyDescent="0.25">
      <c r="A494" s="9">
        <v>41455</v>
      </c>
      <c r="B494" s="31">
        <v>6415</v>
      </c>
      <c r="C494" s="15" t="str">
        <f>VLOOKUP(B494,TablePCG,2,FALSE)</f>
        <v>32-charges sur salaires</v>
      </c>
      <c r="D494" s="49">
        <v>15</v>
      </c>
      <c r="E494" s="49"/>
      <c r="F494" s="74" t="s">
        <v>180</v>
      </c>
    </row>
    <row r="495" spans="1:6" x14ac:dyDescent="0.25">
      <c r="A495" s="10"/>
      <c r="B495" s="22">
        <v>5120</v>
      </c>
      <c r="C495" s="16" t="str">
        <f>VLOOKUP(B495,TablePCG,2,FALSE)</f>
        <v>banque</v>
      </c>
      <c r="D495" s="51"/>
      <c r="E495" s="51">
        <v>15</v>
      </c>
      <c r="F495" s="74"/>
    </row>
    <row r="496" spans="1:6" ht="15.75" thickBot="1" x14ac:dyDescent="0.3">
      <c r="A496" s="12"/>
      <c r="B496" s="14"/>
      <c r="C496" s="44" t="s">
        <v>148</v>
      </c>
      <c r="D496" s="52"/>
      <c r="E496" s="52"/>
      <c r="F496" s="74"/>
    </row>
    <row r="497" spans="1:6" x14ac:dyDescent="0.25">
      <c r="A497" s="9">
        <v>41446</v>
      </c>
      <c r="B497" s="31">
        <v>6270</v>
      </c>
      <c r="C497" s="15" t="str">
        <f>VLOOKUP(B497,TablePCG,2,FALSE)</f>
        <v xml:space="preserve">27-services bancaires </v>
      </c>
      <c r="D497" s="49">
        <v>7</v>
      </c>
      <c r="E497" s="49"/>
      <c r="F497" s="74" t="s">
        <v>171</v>
      </c>
    </row>
    <row r="498" spans="1:6" x14ac:dyDescent="0.25">
      <c r="A498" s="10"/>
      <c r="B498" s="22">
        <v>5120</v>
      </c>
      <c r="C498" s="16" t="str">
        <f>VLOOKUP(B498,TablePCG,2,FALSE)</f>
        <v>banque</v>
      </c>
      <c r="D498" s="51"/>
      <c r="E498" s="51">
        <v>7</v>
      </c>
      <c r="F498" s="74"/>
    </row>
    <row r="499" spans="1:6" ht="15.75" thickBot="1" x14ac:dyDescent="0.3">
      <c r="A499" s="12"/>
      <c r="B499" s="14"/>
      <c r="C499" s="44" t="s">
        <v>133</v>
      </c>
      <c r="D499" s="52"/>
      <c r="E499" s="52"/>
      <c r="F499" s="74"/>
    </row>
    <row r="500" spans="1:6" x14ac:dyDescent="0.25">
      <c r="A500" s="9">
        <v>41455</v>
      </c>
      <c r="B500" s="31">
        <v>6415</v>
      </c>
      <c r="C500" s="15" t="str">
        <f>VLOOKUP(B500,TablePCG,2,FALSE)</f>
        <v>32-charges sur salaires</v>
      </c>
      <c r="D500" s="49">
        <v>414</v>
      </c>
      <c r="E500" s="49"/>
      <c r="F500" s="74" t="s">
        <v>180</v>
      </c>
    </row>
    <row r="501" spans="1:6" x14ac:dyDescent="0.25">
      <c r="A501" s="10"/>
      <c r="B501" s="22">
        <v>5120</v>
      </c>
      <c r="C501" s="16" t="str">
        <f>VLOOKUP(B501,TablePCG,2,FALSE)</f>
        <v>banque</v>
      </c>
      <c r="D501" s="51"/>
      <c r="E501" s="51">
        <v>414</v>
      </c>
      <c r="F501" s="74"/>
    </row>
    <row r="502" spans="1:6" ht="15.75" thickBot="1" x14ac:dyDescent="0.3">
      <c r="A502" s="12"/>
      <c r="B502" s="14"/>
      <c r="C502" s="44" t="s">
        <v>149</v>
      </c>
      <c r="D502" s="52"/>
      <c r="E502" s="52"/>
      <c r="F502" s="74"/>
    </row>
    <row r="503" spans="1:6" x14ac:dyDescent="0.25">
      <c r="A503" s="9">
        <v>41455</v>
      </c>
      <c r="B503" s="31">
        <v>6280</v>
      </c>
      <c r="C503" s="15" t="str">
        <f>VLOOKUP(B503,TablePCG,2,FALSE)</f>
        <v>28-frais sur salaires</v>
      </c>
      <c r="D503" s="49">
        <v>15</v>
      </c>
      <c r="E503" s="49"/>
      <c r="F503" s="74" t="s">
        <v>180</v>
      </c>
    </row>
    <row r="504" spans="1:6" x14ac:dyDescent="0.25">
      <c r="A504" s="10"/>
      <c r="B504" s="22">
        <v>5120</v>
      </c>
      <c r="C504" s="16" t="str">
        <f>VLOOKUP(B504,TablePCG,2,FALSE)</f>
        <v>banque</v>
      </c>
      <c r="D504" s="51"/>
      <c r="E504" s="51">
        <v>15</v>
      </c>
      <c r="F504" s="74"/>
    </row>
    <row r="505" spans="1:6" ht="15.75" thickBot="1" x14ac:dyDescent="0.3">
      <c r="A505" s="12"/>
      <c r="B505" s="14"/>
      <c r="C505" s="44" t="s">
        <v>150</v>
      </c>
      <c r="D505" s="52"/>
      <c r="E505" s="52"/>
      <c r="F505" s="74"/>
    </row>
    <row r="506" spans="1:6" x14ac:dyDescent="0.25">
      <c r="A506" s="9">
        <v>41455</v>
      </c>
      <c r="B506" s="31">
        <v>6410</v>
      </c>
      <c r="C506" s="15" t="str">
        <f>VLOOKUP(B506,TablePCG,2,FALSE)</f>
        <v xml:space="preserve">31-salaires </v>
      </c>
      <c r="D506" s="49">
        <v>106.31</v>
      </c>
      <c r="E506" s="49"/>
      <c r="F506" s="74" t="s">
        <v>181</v>
      </c>
    </row>
    <row r="507" spans="1:6" x14ac:dyDescent="0.25">
      <c r="A507" s="10"/>
      <c r="B507" s="22">
        <v>5120</v>
      </c>
      <c r="C507" s="16" t="str">
        <f>VLOOKUP(B507,TablePCG,2,FALSE)</f>
        <v>banque</v>
      </c>
      <c r="D507" s="51"/>
      <c r="E507" s="51">
        <v>106.31</v>
      </c>
      <c r="F507" s="74"/>
    </row>
    <row r="508" spans="1:6" ht="15.75" thickBot="1" x14ac:dyDescent="0.3">
      <c r="A508" s="12"/>
      <c r="B508" s="14"/>
      <c r="C508" s="44" t="s">
        <v>226</v>
      </c>
      <c r="D508" s="52"/>
      <c r="E508" s="52"/>
      <c r="F508" s="74"/>
    </row>
    <row r="509" spans="1:6" x14ac:dyDescent="0.25">
      <c r="A509" s="9">
        <v>41455</v>
      </c>
      <c r="B509" s="31">
        <v>6410</v>
      </c>
      <c r="C509" s="15" t="str">
        <f>VLOOKUP(B509,TablePCG,2,FALSE)</f>
        <v xml:space="preserve">31-salaires </v>
      </c>
      <c r="D509" s="49">
        <v>212.62</v>
      </c>
      <c r="E509" s="49"/>
      <c r="F509" s="74" t="s">
        <v>181</v>
      </c>
    </row>
    <row r="510" spans="1:6" x14ac:dyDescent="0.25">
      <c r="A510" s="10"/>
      <c r="B510" s="22">
        <v>5120</v>
      </c>
      <c r="C510" s="16" t="str">
        <f>VLOOKUP(B510,TablePCG,2,FALSE)</f>
        <v>banque</v>
      </c>
      <c r="D510" s="51"/>
      <c r="E510" s="51">
        <v>212.62</v>
      </c>
      <c r="F510" s="74"/>
    </row>
    <row r="511" spans="1:6" ht="15.75" thickBot="1" x14ac:dyDescent="0.3">
      <c r="A511" s="12"/>
      <c r="B511" s="14"/>
      <c r="C511" s="44" t="s">
        <v>226</v>
      </c>
      <c r="D511" s="52"/>
      <c r="E511" s="52"/>
      <c r="F511" s="74"/>
    </row>
    <row r="512" spans="1:6" x14ac:dyDescent="0.25">
      <c r="A512" s="9">
        <v>41455</v>
      </c>
      <c r="B512" s="31">
        <v>5120</v>
      </c>
      <c r="C512" s="15" t="str">
        <f>VLOOKUP(B512,TablePCG,2,FALSE)</f>
        <v>banque</v>
      </c>
      <c r="D512" s="49">
        <v>0.19</v>
      </c>
      <c r="E512" s="49"/>
      <c r="F512" s="74"/>
    </row>
    <row r="513" spans="1:6" x14ac:dyDescent="0.25">
      <c r="A513" s="10"/>
      <c r="B513" s="22">
        <f>+PCG!A51</f>
        <v>7610</v>
      </c>
      <c r="C513" s="16" t="str">
        <f>VLOOKUP(B513,TablePCG,2,FALSE)</f>
        <v>49-produits financiers</v>
      </c>
      <c r="D513" s="51"/>
      <c r="E513" s="51">
        <v>0.19</v>
      </c>
      <c r="F513" s="74" t="s">
        <v>171</v>
      </c>
    </row>
    <row r="514" spans="1:6" ht="15.75" thickBot="1" x14ac:dyDescent="0.3">
      <c r="A514" s="12"/>
      <c r="B514" s="14"/>
      <c r="C514" s="44" t="s">
        <v>151</v>
      </c>
      <c r="D514" s="52"/>
      <c r="E514" s="52"/>
      <c r="F514" s="74"/>
    </row>
    <row r="515" spans="1:6" x14ac:dyDescent="0.25">
      <c r="A515" s="9">
        <v>41457</v>
      </c>
      <c r="B515" s="31">
        <f>+PCG!A23</f>
        <v>6130</v>
      </c>
      <c r="C515" s="15" t="str">
        <f>VLOOKUP(B515,TablePCG,2,FALSE)</f>
        <v>21-loyers</v>
      </c>
      <c r="D515" s="49">
        <v>200</v>
      </c>
      <c r="E515" s="49"/>
      <c r="F515" s="74" t="s">
        <v>171</v>
      </c>
    </row>
    <row r="516" spans="1:6" x14ac:dyDescent="0.25">
      <c r="A516" s="10"/>
      <c r="B516" s="22">
        <v>5120</v>
      </c>
      <c r="C516" s="16" t="str">
        <f>VLOOKUP(B516,TablePCG,2,FALSE)</f>
        <v>banque</v>
      </c>
      <c r="D516" s="51"/>
      <c r="E516" s="51">
        <v>200</v>
      </c>
      <c r="F516" s="74"/>
    </row>
    <row r="517" spans="1:6" ht="15.75" thickBot="1" x14ac:dyDescent="0.3">
      <c r="A517" s="12"/>
      <c r="B517" s="14"/>
      <c r="C517" s="44" t="s">
        <v>153</v>
      </c>
      <c r="D517" s="52"/>
      <c r="E517" s="52"/>
      <c r="F517" s="74"/>
    </row>
    <row r="518" spans="1:6" x14ac:dyDescent="0.25">
      <c r="A518" s="9">
        <v>41459</v>
      </c>
      <c r="B518" s="31">
        <f>+PCG!A28</f>
        <v>6260</v>
      </c>
      <c r="C518" s="26" t="str">
        <f>VLOOKUP(B518,TablePCG,2,FALSE)</f>
        <v>26-frais postaux et de téléphone</v>
      </c>
      <c r="D518" s="49">
        <v>32.29</v>
      </c>
      <c r="E518" s="49"/>
      <c r="F518" s="74" t="s">
        <v>171</v>
      </c>
    </row>
    <row r="519" spans="1:6" x14ac:dyDescent="0.25">
      <c r="A519" s="24"/>
      <c r="B519" s="46">
        <f>+PCG!A22</f>
        <v>6060</v>
      </c>
      <c r="C519" s="27" t="str">
        <f>VLOOKUP(B519,TablePCG,2,FALSE)</f>
        <v>20-fournitures, petit équipement</v>
      </c>
      <c r="D519" s="48">
        <v>20.5</v>
      </c>
      <c r="E519" s="48"/>
      <c r="F519" s="74" t="s">
        <v>171</v>
      </c>
    </row>
    <row r="520" spans="1:6" x14ac:dyDescent="0.25">
      <c r="A520" s="10"/>
      <c r="B520" s="22">
        <v>5120</v>
      </c>
      <c r="C520" s="16" t="str">
        <f>VLOOKUP(B520,TablePCG,2,FALSE)</f>
        <v>banque</v>
      </c>
      <c r="D520" s="51"/>
      <c r="E520" s="51">
        <v>52.79</v>
      </c>
      <c r="F520" s="74"/>
    </row>
    <row r="521" spans="1:6" ht="15.75" thickBot="1" x14ac:dyDescent="0.3">
      <c r="A521" s="12"/>
      <c r="B521" s="14"/>
      <c r="C521" s="44" t="s">
        <v>152</v>
      </c>
      <c r="D521" s="52"/>
      <c r="E521" s="52"/>
      <c r="F521" s="74"/>
    </row>
    <row r="522" spans="1:6" x14ac:dyDescent="0.25">
      <c r="A522" s="9">
        <v>41456</v>
      </c>
      <c r="B522" s="31">
        <f>PCG!A27</f>
        <v>6250</v>
      </c>
      <c r="C522" s="15" t="str">
        <f>VLOOKUP(B522,TablePCG,2,FALSE)</f>
        <v>25-frais de résidence et de déplacement</v>
      </c>
      <c r="D522" s="49">
        <v>18</v>
      </c>
      <c r="E522" s="49"/>
      <c r="F522" s="74" t="s">
        <v>181</v>
      </c>
    </row>
    <row r="523" spans="1:6" x14ac:dyDescent="0.25">
      <c r="A523" s="10"/>
      <c r="B523" s="22">
        <v>5120</v>
      </c>
      <c r="C523" s="16" t="str">
        <f>VLOOKUP(B523,TablePCG,2,FALSE)</f>
        <v>banque</v>
      </c>
      <c r="D523" s="51"/>
      <c r="E523" s="51">
        <v>18</v>
      </c>
      <c r="F523" s="74"/>
    </row>
    <row r="524" spans="1:6" ht="15.75" thickBot="1" x14ac:dyDescent="0.3">
      <c r="A524" s="12"/>
      <c r="B524" s="14"/>
      <c r="C524" s="44" t="s">
        <v>154</v>
      </c>
      <c r="D524" s="52"/>
      <c r="E524" s="52"/>
      <c r="F524" s="74"/>
    </row>
    <row r="525" spans="1:6" x14ac:dyDescent="0.25">
      <c r="A525" s="9">
        <v>41456</v>
      </c>
      <c r="B525" s="31">
        <v>6250</v>
      </c>
      <c r="C525" s="15" t="str">
        <f>VLOOKUP(B525,TablePCG,2,FALSE)</f>
        <v>25-frais de résidence et de déplacement</v>
      </c>
      <c r="D525" s="49">
        <v>18</v>
      </c>
      <c r="E525" s="49"/>
      <c r="F525" s="74" t="s">
        <v>181</v>
      </c>
    </row>
    <row r="526" spans="1:6" x14ac:dyDescent="0.25">
      <c r="A526" s="10"/>
      <c r="B526" s="22">
        <v>5120</v>
      </c>
      <c r="C526" s="16" t="str">
        <f>VLOOKUP(B526,TablePCG,2,FALSE)</f>
        <v>banque</v>
      </c>
      <c r="D526" s="51"/>
      <c r="E526" s="51">
        <v>18</v>
      </c>
      <c r="F526" s="74"/>
    </row>
    <row r="527" spans="1:6" ht="15.75" thickBot="1" x14ac:dyDescent="0.3">
      <c r="A527" s="12"/>
      <c r="B527" s="14"/>
      <c r="C527" s="44" t="s">
        <v>155</v>
      </c>
      <c r="D527" s="52"/>
      <c r="E527" s="52"/>
      <c r="F527" s="74"/>
    </row>
    <row r="528" spans="1:6" x14ac:dyDescent="0.25">
      <c r="A528" s="9">
        <v>41457</v>
      </c>
      <c r="B528" s="31">
        <v>6250</v>
      </c>
      <c r="C528" s="15" t="str">
        <f>VLOOKUP(B528,TablePCG,2,FALSE)</f>
        <v>25-frais de résidence et de déplacement</v>
      </c>
      <c r="D528" s="49">
        <v>120.11</v>
      </c>
      <c r="E528" s="49"/>
      <c r="F528" s="74" t="s">
        <v>181</v>
      </c>
    </row>
    <row r="529" spans="1:6" x14ac:dyDescent="0.25">
      <c r="A529" s="10"/>
      <c r="B529" s="22">
        <v>5120</v>
      </c>
      <c r="C529" s="16" t="str">
        <f>VLOOKUP(B529,TablePCG,2,FALSE)</f>
        <v>banque</v>
      </c>
      <c r="D529" s="51"/>
      <c r="E529" s="51">
        <v>120.11</v>
      </c>
      <c r="F529" s="74"/>
    </row>
    <row r="530" spans="1:6" ht="15.75" thickBot="1" x14ac:dyDescent="0.3">
      <c r="A530" s="12"/>
      <c r="B530" s="14"/>
      <c r="C530" s="44" t="s">
        <v>156</v>
      </c>
      <c r="D530" s="52"/>
      <c r="E530" s="52"/>
      <c r="F530" s="74"/>
    </row>
    <row r="531" spans="1:6" x14ac:dyDescent="0.25">
      <c r="A531" s="9">
        <v>41457</v>
      </c>
      <c r="B531" s="31">
        <v>6250</v>
      </c>
      <c r="C531" s="15" t="str">
        <f>VLOOKUP(B531,TablePCG,2,FALSE)</f>
        <v>25-frais de résidence et de déplacement</v>
      </c>
      <c r="D531" s="49">
        <v>38</v>
      </c>
      <c r="E531" s="49"/>
      <c r="F531" s="74" t="s">
        <v>181</v>
      </c>
    </row>
    <row r="532" spans="1:6" x14ac:dyDescent="0.25">
      <c r="A532" s="10"/>
      <c r="B532" s="22">
        <v>5120</v>
      </c>
      <c r="C532" s="16" t="str">
        <f>VLOOKUP(B532,TablePCG,2,FALSE)</f>
        <v>banque</v>
      </c>
      <c r="D532" s="51"/>
      <c r="E532" s="51">
        <v>38</v>
      </c>
      <c r="F532" s="74"/>
    </row>
    <row r="533" spans="1:6" ht="15.75" thickBot="1" x14ac:dyDescent="0.3">
      <c r="A533" s="12"/>
      <c r="B533" s="14"/>
      <c r="C533" s="44" t="s">
        <v>157</v>
      </c>
      <c r="D533" s="52"/>
      <c r="E533" s="52"/>
      <c r="F533" s="74"/>
    </row>
    <row r="534" spans="1:6" x14ac:dyDescent="0.25">
      <c r="A534" s="9">
        <v>41457</v>
      </c>
      <c r="B534" s="31">
        <v>6250</v>
      </c>
      <c r="C534" s="15" t="str">
        <f>VLOOKUP(B534,TablePCG,2,FALSE)</f>
        <v>25-frais de résidence et de déplacement</v>
      </c>
      <c r="D534" s="49">
        <v>83</v>
      </c>
      <c r="E534" s="49"/>
      <c r="F534" s="74" t="s">
        <v>181</v>
      </c>
    </row>
    <row r="535" spans="1:6" x14ac:dyDescent="0.25">
      <c r="A535" s="10"/>
      <c r="B535" s="22">
        <v>5120</v>
      </c>
      <c r="C535" s="16" t="str">
        <f>VLOOKUP(B535,TablePCG,2,FALSE)</f>
        <v>banque</v>
      </c>
      <c r="D535" s="51"/>
      <c r="E535" s="51">
        <v>83</v>
      </c>
      <c r="F535" s="74"/>
    </row>
    <row r="536" spans="1:6" ht="15.75" thickBot="1" x14ac:dyDescent="0.3">
      <c r="A536" s="12"/>
      <c r="B536" s="14"/>
      <c r="C536" s="44" t="s">
        <v>158</v>
      </c>
      <c r="D536" s="52"/>
      <c r="E536" s="52"/>
      <c r="F536" s="74"/>
    </row>
    <row r="537" spans="1:6" x14ac:dyDescent="0.25">
      <c r="A537" s="9">
        <v>41457</v>
      </c>
      <c r="B537" s="31">
        <v>6250</v>
      </c>
      <c r="C537" s="15" t="str">
        <f>VLOOKUP(B537,TablePCG,2,FALSE)</f>
        <v>25-frais de résidence et de déplacement</v>
      </c>
      <c r="D537" s="49">
        <v>86</v>
      </c>
      <c r="E537" s="49"/>
      <c r="F537" s="74" t="s">
        <v>181</v>
      </c>
    </row>
    <row r="538" spans="1:6" x14ac:dyDescent="0.25">
      <c r="A538" s="10"/>
      <c r="B538" s="22">
        <v>5120</v>
      </c>
      <c r="C538" s="16" t="str">
        <f>VLOOKUP(B538,TablePCG,2,FALSE)</f>
        <v>banque</v>
      </c>
      <c r="D538" s="51"/>
      <c r="E538" s="51">
        <v>86</v>
      </c>
      <c r="F538" s="74"/>
    </row>
    <row r="539" spans="1:6" ht="15.75" thickBot="1" x14ac:dyDescent="0.3">
      <c r="A539" s="12"/>
      <c r="B539" s="14"/>
      <c r="C539" s="44" t="s">
        <v>161</v>
      </c>
      <c r="D539" s="52"/>
      <c r="E539" s="52"/>
      <c r="F539" s="74"/>
    </row>
    <row r="540" spans="1:6" x14ac:dyDescent="0.25">
      <c r="A540" s="9">
        <v>41457</v>
      </c>
      <c r="B540" s="58">
        <f>PCG!A9</f>
        <v>4010</v>
      </c>
      <c r="C540" s="15" t="str">
        <f>VLOOKUP(B540,TablePCG,2,FALSE)</f>
        <v>fournisseurs</v>
      </c>
      <c r="D540" s="49">
        <v>81</v>
      </c>
      <c r="E540" s="49"/>
      <c r="F540" s="74"/>
    </row>
    <row r="541" spans="1:6" x14ac:dyDescent="0.25">
      <c r="A541" s="10"/>
      <c r="B541" s="22">
        <v>5120</v>
      </c>
      <c r="C541" s="16" t="str">
        <f>VLOOKUP(B541,TablePCG,2,FALSE)</f>
        <v>banque</v>
      </c>
      <c r="D541" s="51"/>
      <c r="E541" s="51">
        <v>81</v>
      </c>
      <c r="F541" s="74"/>
    </row>
    <row r="542" spans="1:6" ht="15.75" thickBot="1" x14ac:dyDescent="0.3">
      <c r="A542" s="12"/>
      <c r="B542" s="14"/>
      <c r="C542" s="44" t="s">
        <v>164</v>
      </c>
      <c r="D542" s="52"/>
      <c r="E542" s="52"/>
      <c r="F542" s="74"/>
    </row>
    <row r="543" spans="1:6" x14ac:dyDescent="0.25">
      <c r="A543" s="9">
        <v>41457</v>
      </c>
      <c r="B543" s="58">
        <v>5800</v>
      </c>
      <c r="C543" s="15" t="str">
        <f>VLOOKUP(B543,TablePCG,2,FALSE)</f>
        <v>virements internes</v>
      </c>
      <c r="D543" s="49">
        <v>130</v>
      </c>
      <c r="E543" s="49"/>
      <c r="F543" s="74"/>
    </row>
    <row r="544" spans="1:6" x14ac:dyDescent="0.25">
      <c r="A544" s="10"/>
      <c r="B544" s="22">
        <v>5120</v>
      </c>
      <c r="C544" s="16" t="str">
        <f>VLOOKUP(B544,TablePCG,2,FALSE)</f>
        <v>banque</v>
      </c>
      <c r="D544" s="51"/>
      <c r="E544" s="51">
        <v>130</v>
      </c>
      <c r="F544" s="74"/>
    </row>
    <row r="545" spans="1:6" ht="15.75" thickBot="1" x14ac:dyDescent="0.3">
      <c r="A545" s="12"/>
      <c r="B545" s="14"/>
      <c r="C545" s="44" t="s">
        <v>165</v>
      </c>
      <c r="D545" s="52"/>
      <c r="E545" s="52"/>
      <c r="F545" s="74"/>
    </row>
    <row r="546" spans="1:6" x14ac:dyDescent="0.25">
      <c r="A546" s="9">
        <v>41457</v>
      </c>
      <c r="B546" s="58">
        <v>6580</v>
      </c>
      <c r="C546" s="15" t="str">
        <f>VLOOKUP(B546,TablePCG,2,FALSE)</f>
        <v xml:space="preserve">33-charges diverses </v>
      </c>
      <c r="D546" s="49">
        <v>73.3</v>
      </c>
      <c r="E546" s="49"/>
      <c r="F546" s="74" t="s">
        <v>171</v>
      </c>
    </row>
    <row r="547" spans="1:6" x14ac:dyDescent="0.25">
      <c r="A547" s="10"/>
      <c r="B547" s="22">
        <v>5120</v>
      </c>
      <c r="C547" s="16" t="str">
        <f>VLOOKUP(B547,TablePCG,2,FALSE)</f>
        <v>banque</v>
      </c>
      <c r="D547" s="51"/>
      <c r="E547" s="51">
        <v>73.3</v>
      </c>
      <c r="F547" s="74"/>
    </row>
    <row r="548" spans="1:6" ht="15.75" thickBot="1" x14ac:dyDescent="0.3">
      <c r="A548" s="12"/>
      <c r="B548" s="14"/>
      <c r="C548" s="44" t="s">
        <v>172</v>
      </c>
      <c r="D548" s="52"/>
      <c r="E548" s="52"/>
      <c r="F548" s="74"/>
    </row>
    <row r="549" spans="1:6" x14ac:dyDescent="0.25">
      <c r="A549" s="9">
        <v>41457</v>
      </c>
      <c r="B549" s="31">
        <v>5120</v>
      </c>
      <c r="C549" s="15" t="str">
        <f>VLOOKUP(B549,TablePCG,2,FALSE)</f>
        <v>banque</v>
      </c>
      <c r="D549" s="49">
        <v>500</v>
      </c>
      <c r="E549" s="49"/>
      <c r="F549" s="74"/>
    </row>
    <row r="550" spans="1:6" x14ac:dyDescent="0.25">
      <c r="A550" s="10"/>
      <c r="B550" s="22">
        <v>7460</v>
      </c>
      <c r="C550" s="16" t="str">
        <f>VLOOKUP(B550,TablePCG,2,FALSE)</f>
        <v xml:space="preserve">46-subvention région </v>
      </c>
      <c r="D550" s="51"/>
      <c r="E550" s="51">
        <v>500</v>
      </c>
      <c r="F550" s="74" t="s">
        <v>171</v>
      </c>
    </row>
    <row r="551" spans="1:6" ht="15.75" thickBot="1" x14ac:dyDescent="0.3">
      <c r="A551" s="12"/>
      <c r="B551" s="14"/>
      <c r="C551" s="44" t="s">
        <v>167</v>
      </c>
      <c r="D551" s="52"/>
      <c r="E551" s="52"/>
      <c r="F551" s="74"/>
    </row>
    <row r="552" spans="1:6" x14ac:dyDescent="0.25">
      <c r="A552" s="9">
        <v>41457</v>
      </c>
      <c r="B552" s="31">
        <v>5120</v>
      </c>
      <c r="C552" s="15" t="str">
        <f>VLOOKUP(B552,TablePCG,2,FALSE)</f>
        <v>banque</v>
      </c>
      <c r="D552" s="49">
        <v>80</v>
      </c>
      <c r="E552" s="49"/>
      <c r="F552" s="74"/>
    </row>
    <row r="553" spans="1:6" x14ac:dyDescent="0.25">
      <c r="A553" s="10"/>
      <c r="B553" s="22">
        <v>5800</v>
      </c>
      <c r="C553" s="16" t="str">
        <f>VLOOKUP(B553,TablePCG,2,FALSE)</f>
        <v>virements internes</v>
      </c>
      <c r="D553" s="51"/>
      <c r="E553" s="51">
        <v>80</v>
      </c>
      <c r="F553" s="74"/>
    </row>
    <row r="554" spans="1:6" ht="15.75" thickBot="1" x14ac:dyDescent="0.3">
      <c r="A554" s="12"/>
      <c r="B554" s="14"/>
      <c r="C554" s="44" t="s">
        <v>166</v>
      </c>
      <c r="D554" s="52"/>
      <c r="E554" s="52"/>
      <c r="F554" s="74"/>
    </row>
    <row r="555" spans="1:6" x14ac:dyDescent="0.25">
      <c r="A555" s="9">
        <v>41457</v>
      </c>
      <c r="B555" s="31">
        <v>5120</v>
      </c>
      <c r="C555" s="15" t="str">
        <f>VLOOKUP(B555,TablePCG,2,FALSE)</f>
        <v>banque</v>
      </c>
      <c r="D555" s="49">
        <v>50</v>
      </c>
      <c r="E555" s="49"/>
      <c r="F555" s="74"/>
    </row>
    <row r="556" spans="1:6" x14ac:dyDescent="0.25">
      <c r="A556" s="10"/>
      <c r="B556" s="22">
        <v>5800</v>
      </c>
      <c r="C556" s="16" t="str">
        <f>VLOOKUP(B556,TablePCG,2,FALSE)</f>
        <v>virements internes</v>
      </c>
      <c r="D556" s="51"/>
      <c r="E556" s="51">
        <v>50</v>
      </c>
      <c r="F556" s="74"/>
    </row>
    <row r="557" spans="1:6" ht="15.75" thickBot="1" x14ac:dyDescent="0.3">
      <c r="A557" s="12"/>
      <c r="B557" s="14"/>
      <c r="C557" s="44" t="s">
        <v>166</v>
      </c>
      <c r="D557" s="52"/>
      <c r="E557" s="52"/>
      <c r="F557" s="74"/>
    </row>
    <row r="558" spans="1:6" x14ac:dyDescent="0.25">
      <c r="A558" s="9">
        <v>41467</v>
      </c>
      <c r="B558" s="31">
        <v>5120</v>
      </c>
      <c r="C558" s="15" t="str">
        <f>VLOOKUP(B558,TablePCG,2,FALSE)</f>
        <v>banque</v>
      </c>
      <c r="D558" s="49">
        <v>90</v>
      </c>
      <c r="E558" s="49"/>
      <c r="F558" s="74"/>
    </row>
    <row r="559" spans="1:6" x14ac:dyDescent="0.25">
      <c r="A559" s="10"/>
      <c r="B559" s="22">
        <v>7460</v>
      </c>
      <c r="C559" s="16" t="str">
        <f>VLOOKUP(B559,TablePCG,2,FALSE)</f>
        <v xml:space="preserve">46-subvention région </v>
      </c>
      <c r="D559" s="51"/>
      <c r="E559" s="51">
        <v>90</v>
      </c>
      <c r="F559" s="74" t="s">
        <v>171</v>
      </c>
    </row>
    <row r="560" spans="1:6" ht="15.75" thickBot="1" x14ac:dyDescent="0.3">
      <c r="A560" s="12"/>
      <c r="B560" s="14"/>
      <c r="C560" s="44" t="s">
        <v>227</v>
      </c>
      <c r="D560" s="52"/>
      <c r="E560" s="52"/>
      <c r="F560" s="74"/>
    </row>
    <row r="561" spans="1:6" x14ac:dyDescent="0.25">
      <c r="A561" s="9">
        <v>41467</v>
      </c>
      <c r="B561" s="31">
        <v>5120</v>
      </c>
      <c r="C561" s="15" t="str">
        <f>VLOOKUP(B561,TablePCG,2,FALSE)</f>
        <v>banque</v>
      </c>
      <c r="D561" s="49">
        <v>155</v>
      </c>
      <c r="E561" s="49"/>
      <c r="F561" s="74"/>
    </row>
    <row r="562" spans="1:6" x14ac:dyDescent="0.25">
      <c r="A562" s="10"/>
      <c r="B562" s="22">
        <v>7580</v>
      </c>
      <c r="C562" s="16" t="str">
        <f>VLOOKUP(B562,TablePCG,2,FALSE)</f>
        <v xml:space="preserve">48-produits divers </v>
      </c>
      <c r="D562" s="51"/>
      <c r="E562" s="51">
        <v>155</v>
      </c>
      <c r="F562" s="74" t="s">
        <v>171</v>
      </c>
    </row>
    <row r="563" spans="1:6" ht="15.75" thickBot="1" x14ac:dyDescent="0.3">
      <c r="A563" s="12"/>
      <c r="B563" s="14"/>
      <c r="C563" s="44" t="s">
        <v>168</v>
      </c>
      <c r="D563" s="52"/>
      <c r="E563" s="52"/>
      <c r="F563" s="74"/>
    </row>
    <row r="564" spans="1:6" x14ac:dyDescent="0.25">
      <c r="A564" s="9">
        <v>41476</v>
      </c>
      <c r="B564" s="31">
        <v>6270</v>
      </c>
      <c r="C564" s="15" t="str">
        <f>VLOOKUP(B564,TablePCG,2,FALSE)</f>
        <v xml:space="preserve">27-services bancaires </v>
      </c>
      <c r="D564" s="49">
        <v>7.1</v>
      </c>
      <c r="E564" s="49"/>
      <c r="F564" s="74" t="s">
        <v>171</v>
      </c>
    </row>
    <row r="565" spans="1:6" x14ac:dyDescent="0.25">
      <c r="A565" s="10"/>
      <c r="B565" s="22">
        <v>5120</v>
      </c>
      <c r="C565" s="16" t="str">
        <f>VLOOKUP(B565,TablePCG,2,FALSE)</f>
        <v>banque</v>
      </c>
      <c r="D565" s="51"/>
      <c r="E565" s="51">
        <v>7.1</v>
      </c>
      <c r="F565" s="74"/>
    </row>
    <row r="566" spans="1:6" ht="15.75" thickBot="1" x14ac:dyDescent="0.3">
      <c r="A566" s="12"/>
      <c r="B566" s="14"/>
      <c r="C566" s="44" t="s">
        <v>133</v>
      </c>
      <c r="D566" s="52"/>
      <c r="E566" s="52"/>
      <c r="F566" s="74"/>
    </row>
    <row r="567" spans="1:6" x14ac:dyDescent="0.25">
      <c r="A567" s="9">
        <v>41477</v>
      </c>
      <c r="B567" s="31">
        <v>6410</v>
      </c>
      <c r="C567" s="15" t="str">
        <f>VLOOKUP(B567,TablePCG,2,FALSE)</f>
        <v xml:space="preserve">31-salaires </v>
      </c>
      <c r="D567" s="49">
        <v>106.31</v>
      </c>
      <c r="E567" s="49"/>
      <c r="F567" s="74" t="s">
        <v>171</v>
      </c>
    </row>
    <row r="568" spans="1:6" x14ac:dyDescent="0.25">
      <c r="A568" s="10"/>
      <c r="B568" s="22">
        <v>5120</v>
      </c>
      <c r="C568" s="16" t="str">
        <f>VLOOKUP(B568,TablePCG,2,FALSE)</f>
        <v>banque</v>
      </c>
      <c r="D568" s="51"/>
      <c r="E568" s="51">
        <v>106.31</v>
      </c>
      <c r="F568" s="74"/>
    </row>
    <row r="569" spans="1:6" ht="15.75" thickBot="1" x14ac:dyDescent="0.3">
      <c r="A569" s="12"/>
      <c r="B569" s="14"/>
      <c r="C569" s="44" t="s">
        <v>228</v>
      </c>
      <c r="D569" s="52"/>
      <c r="E569" s="52"/>
      <c r="F569" s="74"/>
    </row>
    <row r="570" spans="1:6" x14ac:dyDescent="0.25">
      <c r="A570" s="9">
        <v>41477</v>
      </c>
      <c r="B570" s="58">
        <v>6580</v>
      </c>
      <c r="C570" s="15" t="str">
        <f>VLOOKUP(B570,TablePCG,2,FALSE)</f>
        <v xml:space="preserve">33-charges diverses </v>
      </c>
      <c r="D570" s="49">
        <v>32.86</v>
      </c>
      <c r="E570" s="49"/>
      <c r="F570" s="74" t="s">
        <v>171</v>
      </c>
    </row>
    <row r="571" spans="1:6" x14ac:dyDescent="0.25">
      <c r="A571" s="10"/>
      <c r="B571" s="50">
        <v>5120</v>
      </c>
      <c r="C571" s="16" t="str">
        <f>VLOOKUP(B571,TablePCG,2,FALSE)</f>
        <v>banque</v>
      </c>
      <c r="D571" s="51"/>
      <c r="E571" s="51">
        <v>32.86</v>
      </c>
      <c r="F571" s="74"/>
    </row>
    <row r="572" spans="1:6" ht="15.75" thickBot="1" x14ac:dyDescent="0.3">
      <c r="A572" s="12"/>
      <c r="B572" s="44"/>
      <c r="C572" s="44" t="s">
        <v>177</v>
      </c>
      <c r="D572" s="52"/>
      <c r="E572" s="52"/>
      <c r="F572" s="74"/>
    </row>
    <row r="573" spans="1:6" x14ac:dyDescent="0.25">
      <c r="A573" s="9">
        <v>41478</v>
      </c>
      <c r="B573" s="58">
        <v>6580</v>
      </c>
      <c r="C573" s="15" t="str">
        <f>VLOOKUP(B573,TablePCG,2,FALSE)</f>
        <v xml:space="preserve">33-charges diverses </v>
      </c>
      <c r="D573" s="49">
        <v>9.6</v>
      </c>
      <c r="E573" s="49"/>
      <c r="F573" s="74" t="s">
        <v>171</v>
      </c>
    </row>
    <row r="574" spans="1:6" x14ac:dyDescent="0.25">
      <c r="A574" s="10"/>
      <c r="B574" s="50">
        <v>5120</v>
      </c>
      <c r="C574" s="16" t="str">
        <f>VLOOKUP(B574,TablePCG,2,FALSE)</f>
        <v>banque</v>
      </c>
      <c r="D574" s="51"/>
      <c r="E574" s="51">
        <v>9.6</v>
      </c>
      <c r="F574" s="74"/>
    </row>
    <row r="575" spans="1:6" ht="15.75" thickBot="1" x14ac:dyDescent="0.3">
      <c r="A575" s="12"/>
      <c r="B575" s="44"/>
      <c r="C575" s="44" t="s">
        <v>178</v>
      </c>
      <c r="D575" s="52"/>
      <c r="E575" s="52"/>
      <c r="F575" s="74"/>
    </row>
    <row r="576" spans="1:6" x14ac:dyDescent="0.25">
      <c r="A576" s="9">
        <v>41488</v>
      </c>
      <c r="B576" s="58">
        <v>6580</v>
      </c>
      <c r="C576" s="15" t="str">
        <f>VLOOKUP(B576,TablePCG,2,FALSE)</f>
        <v xml:space="preserve">33-charges diverses </v>
      </c>
      <c r="D576" s="49">
        <v>60</v>
      </c>
      <c r="E576" s="49"/>
      <c r="F576" s="74" t="s">
        <v>171</v>
      </c>
    </row>
    <row r="577" spans="1:6" x14ac:dyDescent="0.25">
      <c r="A577" s="10"/>
      <c r="B577" s="22">
        <v>5120</v>
      </c>
      <c r="C577" s="16" t="str">
        <f>VLOOKUP(B577,TablePCG,2,FALSE)</f>
        <v>banque</v>
      </c>
      <c r="D577" s="51"/>
      <c r="E577" s="51">
        <v>60</v>
      </c>
      <c r="F577" s="74"/>
    </row>
    <row r="578" spans="1:6" ht="15.75" thickBot="1" x14ac:dyDescent="0.3">
      <c r="A578" s="12"/>
      <c r="B578" s="14"/>
      <c r="C578" s="44" t="s">
        <v>179</v>
      </c>
      <c r="D578" s="52"/>
      <c r="E578" s="52"/>
      <c r="F578" s="74"/>
    </row>
    <row r="579" spans="1:6" x14ac:dyDescent="0.25">
      <c r="A579" s="9">
        <v>41488</v>
      </c>
      <c r="B579" s="62">
        <v>6060</v>
      </c>
      <c r="C579" s="15" t="str">
        <f t="shared" ref="C579:C610" si="2">VLOOKUP(B579,TablePCG,2,FALSE)</f>
        <v>20-fournitures, petit équipement</v>
      </c>
      <c r="D579" s="49">
        <v>0</v>
      </c>
      <c r="E579" s="49"/>
      <c r="F579" s="74" t="s">
        <v>180</v>
      </c>
    </row>
    <row r="580" spans="1:6" x14ac:dyDescent="0.25">
      <c r="A580" s="68"/>
      <c r="B580" s="62">
        <v>6130</v>
      </c>
      <c r="C580" s="27" t="str">
        <f t="shared" si="2"/>
        <v>21-loyers</v>
      </c>
      <c r="D580" s="51">
        <v>0</v>
      </c>
      <c r="E580" s="51"/>
      <c r="F580" s="74" t="s">
        <v>180</v>
      </c>
    </row>
    <row r="581" spans="1:6" x14ac:dyDescent="0.25">
      <c r="A581" s="68"/>
      <c r="B581" s="62">
        <v>6160</v>
      </c>
      <c r="C581" s="27" t="str">
        <f t="shared" si="2"/>
        <v>22-assurance</v>
      </c>
      <c r="D581" s="51">
        <v>0</v>
      </c>
      <c r="E581" s="51"/>
      <c r="F581" s="74" t="s">
        <v>180</v>
      </c>
    </row>
    <row r="582" spans="1:6" x14ac:dyDescent="0.25">
      <c r="A582" s="68"/>
      <c r="B582" s="62">
        <v>6170</v>
      </c>
      <c r="C582" s="27" t="str">
        <f t="shared" si="2"/>
        <v>23-droits d'auteurs, traductions</v>
      </c>
      <c r="D582" s="51">
        <v>0</v>
      </c>
      <c r="E582" s="51"/>
      <c r="F582" s="74" t="s">
        <v>180</v>
      </c>
    </row>
    <row r="583" spans="1:6" x14ac:dyDescent="0.25">
      <c r="A583" s="68"/>
      <c r="B583" s="62">
        <f>+PCG!A26</f>
        <v>6230</v>
      </c>
      <c r="C583" s="27" t="str">
        <f t="shared" si="2"/>
        <v>24-publicité</v>
      </c>
      <c r="D583" s="51">
        <v>0</v>
      </c>
      <c r="E583" s="51"/>
      <c r="F583" s="74" t="s">
        <v>180</v>
      </c>
    </row>
    <row r="584" spans="1:6" x14ac:dyDescent="0.25">
      <c r="A584" s="68"/>
      <c r="B584" s="62">
        <v>6250</v>
      </c>
      <c r="C584" s="27" t="str">
        <f t="shared" si="2"/>
        <v>25-frais de résidence et de déplacement</v>
      </c>
      <c r="D584" s="51">
        <v>0</v>
      </c>
      <c r="E584" s="51"/>
      <c r="F584" s="74" t="s">
        <v>180</v>
      </c>
    </row>
    <row r="585" spans="1:6" x14ac:dyDescent="0.25">
      <c r="A585" s="68"/>
      <c r="B585" s="62">
        <v>6260</v>
      </c>
      <c r="C585" s="27" t="str">
        <f t="shared" si="2"/>
        <v>26-frais postaux et de téléphone</v>
      </c>
      <c r="D585" s="51">
        <v>0</v>
      </c>
      <c r="E585" s="51"/>
      <c r="F585" s="74" t="s">
        <v>180</v>
      </c>
    </row>
    <row r="586" spans="1:6" x14ac:dyDescent="0.25">
      <c r="A586" s="68"/>
      <c r="B586" s="62">
        <v>6270</v>
      </c>
      <c r="C586" s="27" t="str">
        <f t="shared" si="2"/>
        <v xml:space="preserve">27-services bancaires </v>
      </c>
      <c r="D586" s="51">
        <v>0</v>
      </c>
      <c r="E586" s="51"/>
      <c r="F586" s="74" t="s">
        <v>180</v>
      </c>
    </row>
    <row r="587" spans="1:6" x14ac:dyDescent="0.25">
      <c r="A587" s="68"/>
      <c r="B587" s="62">
        <v>6280</v>
      </c>
      <c r="C587" s="27" t="str">
        <f t="shared" si="2"/>
        <v>28-frais sur salaires</v>
      </c>
      <c r="D587" s="51">
        <v>0</v>
      </c>
      <c r="E587" s="51"/>
      <c r="F587" s="74" t="s">
        <v>180</v>
      </c>
    </row>
    <row r="588" spans="1:6" x14ac:dyDescent="0.25">
      <c r="A588" s="68"/>
      <c r="B588" s="62">
        <v>6281</v>
      </c>
      <c r="C588" s="27" t="str">
        <f t="shared" si="2"/>
        <v xml:space="preserve">29-cotisations </v>
      </c>
      <c r="D588" s="51">
        <v>0</v>
      </c>
      <c r="E588" s="51"/>
      <c r="F588" s="74" t="s">
        <v>180</v>
      </c>
    </row>
    <row r="589" spans="1:6" x14ac:dyDescent="0.25">
      <c r="A589" s="68"/>
      <c r="B589" s="62">
        <v>6285</v>
      </c>
      <c r="C589" s="27" t="str">
        <f t="shared" si="2"/>
        <v xml:space="preserve">30-autres charges </v>
      </c>
      <c r="D589" s="51">
        <v>0</v>
      </c>
      <c r="E589" s="51"/>
      <c r="F589" s="74" t="s">
        <v>180</v>
      </c>
    </row>
    <row r="590" spans="1:6" x14ac:dyDescent="0.25">
      <c r="A590" s="68"/>
      <c r="B590" s="62">
        <v>6410</v>
      </c>
      <c r="C590" s="27" t="str">
        <f t="shared" si="2"/>
        <v xml:space="preserve">31-salaires </v>
      </c>
      <c r="D590" s="51">
        <v>0</v>
      </c>
      <c r="E590" s="11"/>
      <c r="F590" s="74" t="s">
        <v>180</v>
      </c>
    </row>
    <row r="591" spans="1:6" x14ac:dyDescent="0.25">
      <c r="A591" s="68"/>
      <c r="B591" s="62">
        <v>6415</v>
      </c>
      <c r="C591" s="27" t="str">
        <f t="shared" si="2"/>
        <v>32-charges sur salaires</v>
      </c>
      <c r="D591" s="51">
        <v>0</v>
      </c>
      <c r="E591" s="11"/>
      <c r="F591" s="74" t="s">
        <v>180</v>
      </c>
    </row>
    <row r="592" spans="1:6" x14ac:dyDescent="0.25">
      <c r="A592" s="68"/>
      <c r="B592" s="65">
        <v>6580</v>
      </c>
      <c r="C592" s="27" t="str">
        <f t="shared" si="2"/>
        <v xml:space="preserve">33-charges diverses </v>
      </c>
      <c r="D592" s="51">
        <v>0</v>
      </c>
      <c r="E592" s="11"/>
      <c r="F592" s="74" t="s">
        <v>180</v>
      </c>
    </row>
    <row r="593" spans="1:6" x14ac:dyDescent="0.25">
      <c r="A593" s="68"/>
      <c r="B593" s="65">
        <v>6610</v>
      </c>
      <c r="C593" s="27" t="str">
        <f t="shared" si="2"/>
        <v>34-charges financières</v>
      </c>
      <c r="D593" s="51">
        <v>0</v>
      </c>
      <c r="E593" s="11"/>
      <c r="F593" s="74" t="s">
        <v>180</v>
      </c>
    </row>
    <row r="594" spans="1:6" x14ac:dyDescent="0.25">
      <c r="A594" s="68"/>
      <c r="B594" s="65">
        <v>6700</v>
      </c>
      <c r="C594" s="27" t="str">
        <f t="shared" si="2"/>
        <v>35-charges exceptionnelles</v>
      </c>
      <c r="D594" s="51">
        <v>0</v>
      </c>
      <c r="E594" s="11"/>
      <c r="F594" s="74" t="s">
        <v>180</v>
      </c>
    </row>
    <row r="595" spans="1:6" x14ac:dyDescent="0.25">
      <c r="A595" s="68"/>
      <c r="B595" s="62">
        <v>7110</v>
      </c>
      <c r="C595" s="16" t="str">
        <f t="shared" si="2"/>
        <v xml:space="preserve">36-recettes </v>
      </c>
      <c r="D595" s="11"/>
      <c r="E595" s="11">
        <v>0</v>
      </c>
      <c r="F595" s="74" t="s">
        <v>180</v>
      </c>
    </row>
    <row r="596" spans="1:6" x14ac:dyDescent="0.25">
      <c r="A596" s="68"/>
      <c r="B596" s="62">
        <v>7112</v>
      </c>
      <c r="C596" s="16" t="str">
        <f t="shared" si="2"/>
        <v>37-recettes V</v>
      </c>
      <c r="D596" s="11"/>
      <c r="E596" s="11">
        <v>0</v>
      </c>
      <c r="F596" s="74" t="s">
        <v>180</v>
      </c>
    </row>
    <row r="597" spans="1:6" x14ac:dyDescent="0.25">
      <c r="A597" s="68"/>
      <c r="B597" s="62">
        <v>7120</v>
      </c>
      <c r="C597" s="16" t="str">
        <f t="shared" si="2"/>
        <v>38-prestations théâtre, lectures publiques</v>
      </c>
      <c r="D597" s="11"/>
      <c r="E597" s="11">
        <v>0</v>
      </c>
      <c r="F597" s="74" t="s">
        <v>180</v>
      </c>
    </row>
    <row r="598" spans="1:6" x14ac:dyDescent="0.25">
      <c r="A598" s="68"/>
      <c r="B598" s="62">
        <v>7130</v>
      </c>
      <c r="C598" s="16" t="str">
        <f t="shared" si="2"/>
        <v xml:space="preserve">39-adhésions </v>
      </c>
      <c r="D598" s="11"/>
      <c r="E598" s="11">
        <v>0</v>
      </c>
      <c r="F598" s="74" t="s">
        <v>180</v>
      </c>
    </row>
    <row r="599" spans="1:6" x14ac:dyDescent="0.25">
      <c r="A599" s="68"/>
      <c r="B599" s="62">
        <v>7410</v>
      </c>
      <c r="C599" s="16" t="str">
        <f t="shared" si="2"/>
        <v xml:space="preserve">40-subvention municipalité </v>
      </c>
      <c r="D599" s="11"/>
      <c r="E599" s="11">
        <v>0</v>
      </c>
      <c r="F599" s="74" t="s">
        <v>180</v>
      </c>
    </row>
    <row r="600" spans="1:6" x14ac:dyDescent="0.25">
      <c r="A600" s="68"/>
      <c r="B600" s="62">
        <v>7420</v>
      </c>
      <c r="C600" s="16" t="str">
        <f t="shared" si="2"/>
        <v>41-subventions collectivités territoriales</v>
      </c>
      <c r="D600" s="11"/>
      <c r="E600" s="11">
        <v>0</v>
      </c>
      <c r="F600" s="74" t="s">
        <v>180</v>
      </c>
    </row>
    <row r="601" spans="1:6" x14ac:dyDescent="0.25">
      <c r="A601" s="68"/>
      <c r="B601" s="62">
        <v>7430</v>
      </c>
      <c r="C601" s="16" t="str">
        <f t="shared" si="2"/>
        <v>42-subvention Sped.</v>
      </c>
      <c r="D601" s="11"/>
      <c r="E601" s="11">
        <v>0</v>
      </c>
      <c r="F601" s="74" t="s">
        <v>180</v>
      </c>
    </row>
    <row r="602" spans="1:6" x14ac:dyDescent="0.25">
      <c r="A602" s="68"/>
      <c r="B602" s="65">
        <v>7440</v>
      </c>
      <c r="C602" s="16" t="str">
        <f t="shared" si="2"/>
        <v>43-bourse défi jeune</v>
      </c>
      <c r="D602" s="11"/>
      <c r="E602" s="11">
        <v>0</v>
      </c>
      <c r="F602" s="74" t="s">
        <v>180</v>
      </c>
    </row>
    <row r="603" spans="1:6" x14ac:dyDescent="0.25">
      <c r="A603" s="68"/>
      <c r="B603" s="65">
        <v>7450</v>
      </c>
      <c r="C603" s="16" t="str">
        <f t="shared" si="2"/>
        <v>44-subvention collectif jeune</v>
      </c>
      <c r="D603" s="11"/>
      <c r="E603" s="11">
        <v>0</v>
      </c>
      <c r="F603" s="74" t="s">
        <v>180</v>
      </c>
    </row>
    <row r="604" spans="1:6" x14ac:dyDescent="0.25">
      <c r="A604" s="68"/>
      <c r="B604" s="65">
        <v>7455</v>
      </c>
      <c r="C604" s="16" t="str">
        <f t="shared" si="2"/>
        <v>45-subvention DRAC</v>
      </c>
      <c r="D604" s="11"/>
      <c r="E604" s="11">
        <v>0</v>
      </c>
      <c r="F604" s="74" t="s">
        <v>180</v>
      </c>
    </row>
    <row r="605" spans="1:6" x14ac:dyDescent="0.25">
      <c r="A605" s="68"/>
      <c r="B605" s="65">
        <v>7460</v>
      </c>
      <c r="C605" s="16" t="str">
        <f t="shared" si="2"/>
        <v xml:space="preserve">46-subvention région </v>
      </c>
      <c r="D605" s="11"/>
      <c r="E605" s="11">
        <v>0</v>
      </c>
      <c r="F605" s="74" t="s">
        <v>180</v>
      </c>
    </row>
    <row r="606" spans="1:6" x14ac:dyDescent="0.25">
      <c r="A606" s="68"/>
      <c r="B606" s="65">
        <v>7470</v>
      </c>
      <c r="C606" s="16" t="str">
        <f t="shared" si="2"/>
        <v>47-subvention aide à la création</v>
      </c>
      <c r="D606" s="11"/>
      <c r="E606" s="11">
        <v>0</v>
      </c>
      <c r="F606" s="74" t="s">
        <v>180</v>
      </c>
    </row>
    <row r="607" spans="1:6" x14ac:dyDescent="0.25">
      <c r="A607" s="68"/>
      <c r="B607" s="65">
        <v>7580</v>
      </c>
      <c r="C607" s="16" t="str">
        <f t="shared" si="2"/>
        <v xml:space="preserve">48-produits divers </v>
      </c>
      <c r="D607" s="11"/>
      <c r="E607" s="11">
        <v>0</v>
      </c>
      <c r="F607" s="74" t="s">
        <v>180</v>
      </c>
    </row>
    <row r="608" spans="1:6" x14ac:dyDescent="0.25">
      <c r="A608" s="68"/>
      <c r="B608" s="65">
        <v>7610</v>
      </c>
      <c r="C608" s="16" t="str">
        <f t="shared" si="2"/>
        <v>49-produits financiers</v>
      </c>
      <c r="D608" s="11"/>
      <c r="E608" s="11">
        <v>0</v>
      </c>
      <c r="F608" s="74" t="s">
        <v>180</v>
      </c>
    </row>
    <row r="609" spans="1:6" x14ac:dyDescent="0.25">
      <c r="A609" s="68"/>
      <c r="B609" s="62">
        <v>7680</v>
      </c>
      <c r="C609" s="16" t="str">
        <f t="shared" si="2"/>
        <v xml:space="preserve">50-cession parts sociales </v>
      </c>
      <c r="D609" s="11"/>
      <c r="E609" s="11">
        <v>0</v>
      </c>
      <c r="F609" s="74" t="s">
        <v>180</v>
      </c>
    </row>
    <row r="610" spans="1:6" ht="15.75" thickBot="1" x14ac:dyDescent="0.3">
      <c r="A610" s="69"/>
      <c r="B610" s="66">
        <v>7700</v>
      </c>
      <c r="C610" s="67" t="str">
        <f t="shared" si="2"/>
        <v>51-produits exceptionnels</v>
      </c>
      <c r="D610" s="13"/>
      <c r="E610" s="13">
        <v>0</v>
      </c>
      <c r="F610" s="74" t="s">
        <v>180</v>
      </c>
    </row>
    <row r="611" spans="1:6" x14ac:dyDescent="0.25">
      <c r="A611" s="9">
        <v>41488</v>
      </c>
      <c r="B611" s="62">
        <v>6060</v>
      </c>
      <c r="C611" s="15" t="str">
        <f t="shared" ref="C611:C642" si="3">VLOOKUP(B611,TablePCG,2,FALSE)</f>
        <v>20-fournitures, petit équipement</v>
      </c>
      <c r="D611" s="49">
        <v>0</v>
      </c>
      <c r="E611" s="49"/>
      <c r="F611" s="74" t="s">
        <v>171</v>
      </c>
    </row>
    <row r="612" spans="1:6" x14ac:dyDescent="0.25">
      <c r="A612" s="68"/>
      <c r="B612" s="62">
        <v>6130</v>
      </c>
      <c r="C612" s="27" t="str">
        <f t="shared" si="3"/>
        <v>21-loyers</v>
      </c>
      <c r="D612" s="51">
        <v>0</v>
      </c>
      <c r="E612" s="51"/>
      <c r="F612" s="74" t="s">
        <v>171</v>
      </c>
    </row>
    <row r="613" spans="1:6" x14ac:dyDescent="0.25">
      <c r="A613" s="68"/>
      <c r="B613" s="62">
        <v>6160</v>
      </c>
      <c r="C613" s="27" t="str">
        <f t="shared" si="3"/>
        <v>22-assurance</v>
      </c>
      <c r="D613" s="51">
        <v>0</v>
      </c>
      <c r="E613" s="51"/>
      <c r="F613" s="74" t="s">
        <v>171</v>
      </c>
    </row>
    <row r="614" spans="1:6" x14ac:dyDescent="0.25">
      <c r="A614" s="68"/>
      <c r="B614" s="62">
        <v>6170</v>
      </c>
      <c r="C614" s="27" t="str">
        <f t="shared" si="3"/>
        <v>23-droits d'auteurs, traductions</v>
      </c>
      <c r="D614" s="51">
        <v>0</v>
      </c>
      <c r="E614" s="51"/>
      <c r="F614" s="74" t="s">
        <v>171</v>
      </c>
    </row>
    <row r="615" spans="1:6" x14ac:dyDescent="0.25">
      <c r="A615" s="68"/>
      <c r="B615" s="62">
        <f>+PCG!A26</f>
        <v>6230</v>
      </c>
      <c r="C615" s="27" t="str">
        <f t="shared" si="3"/>
        <v>24-publicité</v>
      </c>
      <c r="D615" s="51">
        <v>0</v>
      </c>
      <c r="E615" s="51"/>
      <c r="F615" s="74" t="s">
        <v>171</v>
      </c>
    </row>
    <row r="616" spans="1:6" x14ac:dyDescent="0.25">
      <c r="A616" s="68"/>
      <c r="B616" s="62">
        <v>6250</v>
      </c>
      <c r="C616" s="27" t="str">
        <f t="shared" si="3"/>
        <v>25-frais de résidence et de déplacement</v>
      </c>
      <c r="D616" s="51">
        <v>0</v>
      </c>
      <c r="E616" s="51"/>
      <c r="F616" s="74" t="s">
        <v>171</v>
      </c>
    </row>
    <row r="617" spans="1:6" x14ac:dyDescent="0.25">
      <c r="A617" s="68"/>
      <c r="B617" s="62">
        <v>6260</v>
      </c>
      <c r="C617" s="27" t="str">
        <f t="shared" si="3"/>
        <v>26-frais postaux et de téléphone</v>
      </c>
      <c r="D617" s="51">
        <v>0</v>
      </c>
      <c r="E617" s="51"/>
      <c r="F617" s="74" t="s">
        <v>171</v>
      </c>
    </row>
    <row r="618" spans="1:6" x14ac:dyDescent="0.25">
      <c r="A618" s="68"/>
      <c r="B618" s="62">
        <v>6270</v>
      </c>
      <c r="C618" s="27" t="str">
        <f t="shared" si="3"/>
        <v xml:space="preserve">27-services bancaires </v>
      </c>
      <c r="D618" s="51">
        <v>0</v>
      </c>
      <c r="E618" s="51"/>
      <c r="F618" s="74" t="s">
        <v>171</v>
      </c>
    </row>
    <row r="619" spans="1:6" x14ac:dyDescent="0.25">
      <c r="A619" s="68"/>
      <c r="B619" s="62">
        <v>6280</v>
      </c>
      <c r="C619" s="27" t="str">
        <f t="shared" si="3"/>
        <v>28-frais sur salaires</v>
      </c>
      <c r="D619" s="51">
        <v>0</v>
      </c>
      <c r="E619" s="51"/>
      <c r="F619" s="74" t="s">
        <v>171</v>
      </c>
    </row>
    <row r="620" spans="1:6" x14ac:dyDescent="0.25">
      <c r="A620" s="68"/>
      <c r="B620" s="62">
        <v>6281</v>
      </c>
      <c r="C620" s="27" t="str">
        <f t="shared" si="3"/>
        <v xml:space="preserve">29-cotisations </v>
      </c>
      <c r="D620" s="51">
        <v>0</v>
      </c>
      <c r="E620" s="51"/>
      <c r="F620" s="74" t="s">
        <v>171</v>
      </c>
    </row>
    <row r="621" spans="1:6" x14ac:dyDescent="0.25">
      <c r="A621" s="68"/>
      <c r="B621" s="62">
        <v>6285</v>
      </c>
      <c r="C621" s="27" t="str">
        <f t="shared" si="3"/>
        <v xml:space="preserve">30-autres charges </v>
      </c>
      <c r="D621" s="51">
        <v>0</v>
      </c>
      <c r="E621" s="51"/>
      <c r="F621" s="74" t="s">
        <v>171</v>
      </c>
    </row>
    <row r="622" spans="1:6" x14ac:dyDescent="0.25">
      <c r="A622" s="68"/>
      <c r="B622" s="62">
        <v>6410</v>
      </c>
      <c r="C622" s="27" t="str">
        <f t="shared" si="3"/>
        <v xml:space="preserve">31-salaires </v>
      </c>
      <c r="D622" s="51">
        <v>0</v>
      </c>
      <c r="E622" s="11"/>
      <c r="F622" s="74" t="s">
        <v>171</v>
      </c>
    </row>
    <row r="623" spans="1:6" x14ac:dyDescent="0.25">
      <c r="A623" s="68"/>
      <c r="B623" s="62">
        <v>6415</v>
      </c>
      <c r="C623" s="27" t="str">
        <f t="shared" si="3"/>
        <v>32-charges sur salaires</v>
      </c>
      <c r="D623" s="51">
        <v>0</v>
      </c>
      <c r="E623" s="11"/>
      <c r="F623" s="74" t="s">
        <v>171</v>
      </c>
    </row>
    <row r="624" spans="1:6" x14ac:dyDescent="0.25">
      <c r="A624" s="68"/>
      <c r="B624" s="65">
        <v>6580</v>
      </c>
      <c r="C624" s="27" t="str">
        <f t="shared" si="3"/>
        <v xml:space="preserve">33-charges diverses </v>
      </c>
      <c r="D624" s="51">
        <v>0</v>
      </c>
      <c r="E624" s="11"/>
      <c r="F624" s="74" t="s">
        <v>171</v>
      </c>
    </row>
    <row r="625" spans="1:6" x14ac:dyDescent="0.25">
      <c r="A625" s="68"/>
      <c r="B625" s="65">
        <v>6610</v>
      </c>
      <c r="C625" s="27" t="str">
        <f t="shared" si="3"/>
        <v>34-charges financières</v>
      </c>
      <c r="D625" s="51">
        <v>0</v>
      </c>
      <c r="E625" s="11"/>
      <c r="F625" s="74" t="s">
        <v>171</v>
      </c>
    </row>
    <row r="626" spans="1:6" x14ac:dyDescent="0.25">
      <c r="A626" s="68"/>
      <c r="B626" s="65">
        <v>6700</v>
      </c>
      <c r="C626" s="27" t="str">
        <f t="shared" si="3"/>
        <v>35-charges exceptionnelles</v>
      </c>
      <c r="D626" s="51">
        <v>0</v>
      </c>
      <c r="E626" s="11"/>
      <c r="F626" s="74" t="s">
        <v>171</v>
      </c>
    </row>
    <row r="627" spans="1:6" x14ac:dyDescent="0.25">
      <c r="A627" s="68"/>
      <c r="B627" s="62">
        <v>7110</v>
      </c>
      <c r="C627" s="16" t="str">
        <f t="shared" si="3"/>
        <v xml:space="preserve">36-recettes </v>
      </c>
      <c r="D627" s="11"/>
      <c r="E627" s="11">
        <v>0</v>
      </c>
      <c r="F627" s="74" t="s">
        <v>171</v>
      </c>
    </row>
    <row r="628" spans="1:6" x14ac:dyDescent="0.25">
      <c r="A628" s="68"/>
      <c r="B628" s="62">
        <v>7112</v>
      </c>
      <c r="C628" s="16" t="str">
        <f t="shared" si="3"/>
        <v>37-recettes V</v>
      </c>
      <c r="D628" s="11"/>
      <c r="E628" s="11">
        <v>0</v>
      </c>
      <c r="F628" s="74" t="s">
        <v>171</v>
      </c>
    </row>
    <row r="629" spans="1:6" x14ac:dyDescent="0.25">
      <c r="A629" s="68"/>
      <c r="B629" s="62">
        <v>7120</v>
      </c>
      <c r="C629" s="16" t="str">
        <f t="shared" si="3"/>
        <v>38-prestations théâtre, lectures publiques</v>
      </c>
      <c r="D629" s="11"/>
      <c r="E629" s="11">
        <v>0</v>
      </c>
      <c r="F629" s="74" t="s">
        <v>171</v>
      </c>
    </row>
    <row r="630" spans="1:6" x14ac:dyDescent="0.25">
      <c r="A630" s="68"/>
      <c r="B630" s="62">
        <v>7130</v>
      </c>
      <c r="C630" s="16" t="str">
        <f t="shared" si="3"/>
        <v xml:space="preserve">39-adhésions </v>
      </c>
      <c r="D630" s="11"/>
      <c r="E630" s="11">
        <v>0</v>
      </c>
      <c r="F630" s="74" t="s">
        <v>171</v>
      </c>
    </row>
    <row r="631" spans="1:6" x14ac:dyDescent="0.25">
      <c r="A631" s="68"/>
      <c r="B631" s="62">
        <v>7410</v>
      </c>
      <c r="C631" s="16" t="str">
        <f t="shared" si="3"/>
        <v xml:space="preserve">40-subvention municipalité </v>
      </c>
      <c r="D631" s="11"/>
      <c r="E631" s="11">
        <v>0</v>
      </c>
      <c r="F631" s="74" t="s">
        <v>171</v>
      </c>
    </row>
    <row r="632" spans="1:6" x14ac:dyDescent="0.25">
      <c r="A632" s="68"/>
      <c r="B632" s="62">
        <v>7420</v>
      </c>
      <c r="C632" s="16" t="str">
        <f t="shared" si="3"/>
        <v>41-subventions collectivités territoriales</v>
      </c>
      <c r="D632" s="11"/>
      <c r="E632" s="11">
        <v>0</v>
      </c>
      <c r="F632" s="74" t="s">
        <v>171</v>
      </c>
    </row>
    <row r="633" spans="1:6" x14ac:dyDescent="0.25">
      <c r="A633" s="68"/>
      <c r="B633" s="62">
        <v>7430</v>
      </c>
      <c r="C633" s="16" t="str">
        <f t="shared" si="3"/>
        <v>42-subvention Sped.</v>
      </c>
      <c r="D633" s="11"/>
      <c r="E633" s="11">
        <v>0</v>
      </c>
      <c r="F633" s="74" t="s">
        <v>171</v>
      </c>
    </row>
    <row r="634" spans="1:6" x14ac:dyDescent="0.25">
      <c r="A634" s="68"/>
      <c r="B634" s="65">
        <v>7440</v>
      </c>
      <c r="C634" s="16" t="str">
        <f t="shared" si="3"/>
        <v>43-bourse défi jeune</v>
      </c>
      <c r="D634" s="11"/>
      <c r="E634" s="11">
        <v>0</v>
      </c>
      <c r="F634" s="74" t="s">
        <v>171</v>
      </c>
    </row>
    <row r="635" spans="1:6" x14ac:dyDescent="0.25">
      <c r="A635" s="68"/>
      <c r="B635" s="65">
        <v>7450</v>
      </c>
      <c r="C635" s="16" t="str">
        <f t="shared" si="3"/>
        <v>44-subvention collectif jeune</v>
      </c>
      <c r="D635" s="11"/>
      <c r="E635" s="11">
        <v>0</v>
      </c>
      <c r="F635" s="74" t="s">
        <v>171</v>
      </c>
    </row>
    <row r="636" spans="1:6" x14ac:dyDescent="0.25">
      <c r="A636" s="68"/>
      <c r="B636" s="65">
        <v>7455</v>
      </c>
      <c r="C636" s="16" t="str">
        <f t="shared" si="3"/>
        <v>45-subvention DRAC</v>
      </c>
      <c r="D636" s="11"/>
      <c r="E636" s="11">
        <v>0</v>
      </c>
      <c r="F636" s="74" t="s">
        <v>171</v>
      </c>
    </row>
    <row r="637" spans="1:6" x14ac:dyDescent="0.25">
      <c r="A637" s="68"/>
      <c r="B637" s="65">
        <v>7460</v>
      </c>
      <c r="C637" s="16" t="str">
        <f t="shared" si="3"/>
        <v xml:space="preserve">46-subvention région </v>
      </c>
      <c r="D637" s="11"/>
      <c r="E637" s="11">
        <v>0</v>
      </c>
      <c r="F637" s="74" t="s">
        <v>171</v>
      </c>
    </row>
    <row r="638" spans="1:6" x14ac:dyDescent="0.25">
      <c r="A638" s="68"/>
      <c r="B638" s="65">
        <v>7470</v>
      </c>
      <c r="C638" s="16" t="str">
        <f t="shared" si="3"/>
        <v>47-subvention aide à la création</v>
      </c>
      <c r="D638" s="11"/>
      <c r="E638" s="11">
        <v>0</v>
      </c>
      <c r="F638" s="74" t="s">
        <v>171</v>
      </c>
    </row>
    <row r="639" spans="1:6" x14ac:dyDescent="0.25">
      <c r="A639" s="68"/>
      <c r="B639" s="65">
        <v>7580</v>
      </c>
      <c r="C639" s="16" t="str">
        <f t="shared" si="3"/>
        <v xml:space="preserve">48-produits divers </v>
      </c>
      <c r="D639" s="11"/>
      <c r="E639" s="11">
        <v>0</v>
      </c>
      <c r="F639" s="74" t="s">
        <v>171</v>
      </c>
    </row>
    <row r="640" spans="1:6" x14ac:dyDescent="0.25">
      <c r="A640" s="68"/>
      <c r="B640" s="65">
        <v>7610</v>
      </c>
      <c r="C640" s="16" t="str">
        <f t="shared" si="3"/>
        <v>49-produits financiers</v>
      </c>
      <c r="D640" s="11"/>
      <c r="E640" s="11">
        <v>0</v>
      </c>
      <c r="F640" s="74" t="s">
        <v>171</v>
      </c>
    </row>
    <row r="641" spans="1:6" x14ac:dyDescent="0.25">
      <c r="A641" s="68"/>
      <c r="B641" s="62">
        <v>7680</v>
      </c>
      <c r="C641" s="16" t="str">
        <f t="shared" si="3"/>
        <v xml:space="preserve">50-cession parts sociales </v>
      </c>
      <c r="D641" s="11"/>
      <c r="E641" s="11">
        <v>0</v>
      </c>
      <c r="F641" s="74" t="s">
        <v>171</v>
      </c>
    </row>
    <row r="642" spans="1:6" ht="15.75" thickBot="1" x14ac:dyDescent="0.3">
      <c r="A642" s="69"/>
      <c r="B642" s="66">
        <v>7700</v>
      </c>
      <c r="C642" s="67" t="str">
        <f t="shared" si="3"/>
        <v>51-produits exceptionnels</v>
      </c>
      <c r="D642" s="13"/>
      <c r="E642" s="13">
        <v>0</v>
      </c>
      <c r="F642" s="74" t="s">
        <v>171</v>
      </c>
    </row>
    <row r="643" spans="1:6" x14ac:dyDescent="0.25">
      <c r="A643" s="9">
        <v>41488</v>
      </c>
      <c r="B643" s="62">
        <v>6060</v>
      </c>
      <c r="C643" s="15" t="str">
        <f t="shared" ref="C643:C674" si="4">VLOOKUP(B643,TablePCG,2,FALSE)</f>
        <v>20-fournitures, petit équipement</v>
      </c>
      <c r="D643" s="49">
        <v>0</v>
      </c>
      <c r="E643" s="49"/>
      <c r="F643" s="74" t="s">
        <v>181</v>
      </c>
    </row>
    <row r="644" spans="1:6" x14ac:dyDescent="0.25">
      <c r="A644" s="68"/>
      <c r="B644" s="62">
        <v>6130</v>
      </c>
      <c r="C644" s="27" t="str">
        <f t="shared" si="4"/>
        <v>21-loyers</v>
      </c>
      <c r="D644" s="51">
        <v>0</v>
      </c>
      <c r="E644" s="51"/>
      <c r="F644" s="74" t="s">
        <v>181</v>
      </c>
    </row>
    <row r="645" spans="1:6" x14ac:dyDescent="0.25">
      <c r="A645" s="68"/>
      <c r="B645" s="62">
        <v>6160</v>
      </c>
      <c r="C645" s="27" t="str">
        <f t="shared" si="4"/>
        <v>22-assurance</v>
      </c>
      <c r="D645" s="51">
        <v>0</v>
      </c>
      <c r="E645" s="51"/>
      <c r="F645" s="74" t="s">
        <v>181</v>
      </c>
    </row>
    <row r="646" spans="1:6" x14ac:dyDescent="0.25">
      <c r="A646" s="68"/>
      <c r="B646" s="62">
        <v>6170</v>
      </c>
      <c r="C646" s="27" t="str">
        <f t="shared" si="4"/>
        <v>23-droits d'auteurs, traductions</v>
      </c>
      <c r="D646" s="51">
        <v>0</v>
      </c>
      <c r="E646" s="51"/>
      <c r="F646" s="74" t="s">
        <v>181</v>
      </c>
    </row>
    <row r="647" spans="1:6" x14ac:dyDescent="0.25">
      <c r="A647" s="68"/>
      <c r="B647" s="62">
        <v>6230</v>
      </c>
      <c r="C647" s="27" t="str">
        <f t="shared" si="4"/>
        <v>24-publicité</v>
      </c>
      <c r="D647" s="51">
        <v>0</v>
      </c>
      <c r="E647" s="51"/>
      <c r="F647" s="74" t="s">
        <v>181</v>
      </c>
    </row>
    <row r="648" spans="1:6" x14ac:dyDescent="0.25">
      <c r="A648" s="68"/>
      <c r="B648" s="62">
        <v>6250</v>
      </c>
      <c r="C648" s="27" t="str">
        <f t="shared" si="4"/>
        <v>25-frais de résidence et de déplacement</v>
      </c>
      <c r="D648" s="51">
        <v>0</v>
      </c>
      <c r="E648" s="51"/>
      <c r="F648" s="74" t="s">
        <v>181</v>
      </c>
    </row>
    <row r="649" spans="1:6" x14ac:dyDescent="0.25">
      <c r="A649" s="68"/>
      <c r="B649" s="62">
        <v>6260</v>
      </c>
      <c r="C649" s="27" t="str">
        <f t="shared" si="4"/>
        <v>26-frais postaux et de téléphone</v>
      </c>
      <c r="D649" s="51">
        <v>0</v>
      </c>
      <c r="E649" s="51"/>
      <c r="F649" s="74" t="s">
        <v>181</v>
      </c>
    </row>
    <row r="650" spans="1:6" x14ac:dyDescent="0.25">
      <c r="A650" s="68"/>
      <c r="B650" s="62">
        <v>6270</v>
      </c>
      <c r="C650" s="27" t="str">
        <f t="shared" si="4"/>
        <v xml:space="preserve">27-services bancaires </v>
      </c>
      <c r="D650" s="51">
        <v>0</v>
      </c>
      <c r="E650" s="51"/>
      <c r="F650" s="74" t="s">
        <v>181</v>
      </c>
    </row>
    <row r="651" spans="1:6" x14ac:dyDescent="0.25">
      <c r="A651" s="68"/>
      <c r="B651" s="62">
        <v>6280</v>
      </c>
      <c r="C651" s="27" t="str">
        <f t="shared" si="4"/>
        <v>28-frais sur salaires</v>
      </c>
      <c r="D651" s="51">
        <v>0</v>
      </c>
      <c r="E651" s="51"/>
      <c r="F651" s="74" t="s">
        <v>181</v>
      </c>
    </row>
    <row r="652" spans="1:6" x14ac:dyDescent="0.25">
      <c r="A652" s="68"/>
      <c r="B652" s="62">
        <v>6281</v>
      </c>
      <c r="C652" s="27" t="str">
        <f t="shared" si="4"/>
        <v xml:space="preserve">29-cotisations </v>
      </c>
      <c r="D652" s="51">
        <v>0</v>
      </c>
      <c r="E652" s="51"/>
      <c r="F652" s="74" t="s">
        <v>181</v>
      </c>
    </row>
    <row r="653" spans="1:6" x14ac:dyDescent="0.25">
      <c r="A653" s="68"/>
      <c r="B653" s="62">
        <v>6285</v>
      </c>
      <c r="C653" s="27" t="str">
        <f t="shared" si="4"/>
        <v xml:space="preserve">30-autres charges </v>
      </c>
      <c r="D653" s="51">
        <v>0</v>
      </c>
      <c r="E653" s="51"/>
      <c r="F653" s="74" t="s">
        <v>181</v>
      </c>
    </row>
    <row r="654" spans="1:6" x14ac:dyDescent="0.25">
      <c r="A654" s="68"/>
      <c r="B654" s="62">
        <v>6410</v>
      </c>
      <c r="C654" s="27" t="str">
        <f t="shared" si="4"/>
        <v xml:space="preserve">31-salaires </v>
      </c>
      <c r="D654" s="51">
        <v>0</v>
      </c>
      <c r="E654" s="11"/>
      <c r="F654" s="74" t="s">
        <v>181</v>
      </c>
    </row>
    <row r="655" spans="1:6" x14ac:dyDescent="0.25">
      <c r="A655" s="68"/>
      <c r="B655" s="62">
        <v>6415</v>
      </c>
      <c r="C655" s="27" t="str">
        <f t="shared" si="4"/>
        <v>32-charges sur salaires</v>
      </c>
      <c r="D655" s="51">
        <v>0</v>
      </c>
      <c r="E655" s="11"/>
      <c r="F655" s="74" t="s">
        <v>181</v>
      </c>
    </row>
    <row r="656" spans="1:6" x14ac:dyDescent="0.25">
      <c r="A656" s="68"/>
      <c r="B656" s="65">
        <v>6580</v>
      </c>
      <c r="C656" s="27" t="str">
        <f t="shared" si="4"/>
        <v xml:space="preserve">33-charges diverses </v>
      </c>
      <c r="D656" s="51">
        <v>0</v>
      </c>
      <c r="E656" s="11"/>
      <c r="F656" s="74" t="s">
        <v>181</v>
      </c>
    </row>
    <row r="657" spans="1:6" x14ac:dyDescent="0.25">
      <c r="A657" s="68"/>
      <c r="B657" s="65">
        <v>6610</v>
      </c>
      <c r="C657" s="27" t="str">
        <f t="shared" si="4"/>
        <v>34-charges financières</v>
      </c>
      <c r="D657" s="51">
        <v>0</v>
      </c>
      <c r="E657" s="11"/>
      <c r="F657" s="74" t="s">
        <v>181</v>
      </c>
    </row>
    <row r="658" spans="1:6" x14ac:dyDescent="0.25">
      <c r="A658" s="68"/>
      <c r="B658" s="65">
        <v>6700</v>
      </c>
      <c r="C658" s="27" t="str">
        <f t="shared" si="4"/>
        <v>35-charges exceptionnelles</v>
      </c>
      <c r="D658" s="51">
        <v>0</v>
      </c>
      <c r="E658" s="11"/>
      <c r="F658" s="74" t="s">
        <v>181</v>
      </c>
    </row>
    <row r="659" spans="1:6" x14ac:dyDescent="0.25">
      <c r="A659" s="68"/>
      <c r="B659" s="62">
        <v>7110</v>
      </c>
      <c r="C659" s="16" t="str">
        <f t="shared" si="4"/>
        <v xml:space="preserve">36-recettes </v>
      </c>
      <c r="D659" s="11"/>
      <c r="E659" s="11">
        <v>0</v>
      </c>
      <c r="F659" s="74" t="s">
        <v>181</v>
      </c>
    </row>
    <row r="660" spans="1:6" x14ac:dyDescent="0.25">
      <c r="A660" s="68"/>
      <c r="B660" s="62">
        <v>7112</v>
      </c>
      <c r="C660" s="16" t="str">
        <f t="shared" si="4"/>
        <v>37-recettes V</v>
      </c>
      <c r="D660" s="11"/>
      <c r="E660" s="11">
        <v>0</v>
      </c>
      <c r="F660" s="74" t="s">
        <v>181</v>
      </c>
    </row>
    <row r="661" spans="1:6" x14ac:dyDescent="0.25">
      <c r="A661" s="68"/>
      <c r="B661" s="62">
        <v>7120</v>
      </c>
      <c r="C661" s="16" t="str">
        <f t="shared" si="4"/>
        <v>38-prestations théâtre, lectures publiques</v>
      </c>
      <c r="D661" s="11"/>
      <c r="E661" s="11">
        <v>0</v>
      </c>
      <c r="F661" s="74" t="s">
        <v>181</v>
      </c>
    </row>
    <row r="662" spans="1:6" x14ac:dyDescent="0.25">
      <c r="A662" s="68"/>
      <c r="B662" s="62">
        <v>7130</v>
      </c>
      <c r="C662" s="16" t="str">
        <f t="shared" si="4"/>
        <v xml:space="preserve">39-adhésions </v>
      </c>
      <c r="D662" s="11"/>
      <c r="E662" s="11">
        <v>0</v>
      </c>
      <c r="F662" s="74" t="s">
        <v>181</v>
      </c>
    </row>
    <row r="663" spans="1:6" x14ac:dyDescent="0.25">
      <c r="A663" s="68"/>
      <c r="B663" s="62">
        <v>7410</v>
      </c>
      <c r="C663" s="16" t="str">
        <f t="shared" si="4"/>
        <v xml:space="preserve">40-subvention municipalité </v>
      </c>
      <c r="D663" s="11"/>
      <c r="E663" s="11">
        <v>0</v>
      </c>
      <c r="F663" s="74" t="s">
        <v>181</v>
      </c>
    </row>
    <row r="664" spans="1:6" x14ac:dyDescent="0.25">
      <c r="A664" s="68"/>
      <c r="B664" s="62">
        <v>7420</v>
      </c>
      <c r="C664" s="16" t="str">
        <f t="shared" si="4"/>
        <v>41-subventions collectivités territoriales</v>
      </c>
      <c r="D664" s="11"/>
      <c r="E664" s="11">
        <v>0</v>
      </c>
      <c r="F664" s="74" t="s">
        <v>181</v>
      </c>
    </row>
    <row r="665" spans="1:6" x14ac:dyDescent="0.25">
      <c r="A665" s="68"/>
      <c r="B665" s="62">
        <v>7430</v>
      </c>
      <c r="C665" s="16" t="str">
        <f t="shared" si="4"/>
        <v>42-subvention Sped.</v>
      </c>
      <c r="D665" s="11"/>
      <c r="E665" s="11">
        <v>0</v>
      </c>
      <c r="F665" s="74" t="s">
        <v>181</v>
      </c>
    </row>
    <row r="666" spans="1:6" x14ac:dyDescent="0.25">
      <c r="A666" s="68"/>
      <c r="B666" s="65">
        <v>7440</v>
      </c>
      <c r="C666" s="16" t="str">
        <f t="shared" si="4"/>
        <v>43-bourse défi jeune</v>
      </c>
      <c r="D666" s="11"/>
      <c r="E666" s="11">
        <v>0</v>
      </c>
      <c r="F666" s="74" t="s">
        <v>181</v>
      </c>
    </row>
    <row r="667" spans="1:6" x14ac:dyDescent="0.25">
      <c r="A667" s="68"/>
      <c r="B667" s="65">
        <v>7450</v>
      </c>
      <c r="C667" s="16" t="str">
        <f t="shared" si="4"/>
        <v>44-subvention collectif jeune</v>
      </c>
      <c r="D667" s="11"/>
      <c r="E667" s="11">
        <v>0</v>
      </c>
      <c r="F667" s="74" t="s">
        <v>181</v>
      </c>
    </row>
    <row r="668" spans="1:6" x14ac:dyDescent="0.25">
      <c r="A668" s="68"/>
      <c r="B668" s="65">
        <v>7455</v>
      </c>
      <c r="C668" s="16" t="str">
        <f t="shared" si="4"/>
        <v>45-subvention DRAC</v>
      </c>
      <c r="D668" s="11"/>
      <c r="E668" s="11">
        <v>0</v>
      </c>
      <c r="F668" s="74" t="s">
        <v>181</v>
      </c>
    </row>
    <row r="669" spans="1:6" x14ac:dyDescent="0.25">
      <c r="A669" s="68"/>
      <c r="B669" s="65">
        <v>7460</v>
      </c>
      <c r="C669" s="16" t="str">
        <f t="shared" si="4"/>
        <v xml:space="preserve">46-subvention région </v>
      </c>
      <c r="D669" s="11"/>
      <c r="E669" s="11">
        <v>0</v>
      </c>
      <c r="F669" s="74" t="s">
        <v>181</v>
      </c>
    </row>
    <row r="670" spans="1:6" x14ac:dyDescent="0.25">
      <c r="A670" s="68"/>
      <c r="B670" s="65">
        <v>7470</v>
      </c>
      <c r="C670" s="16" t="str">
        <f t="shared" si="4"/>
        <v>47-subvention aide à la création</v>
      </c>
      <c r="D670" s="11"/>
      <c r="E670" s="11">
        <v>0</v>
      </c>
      <c r="F670" s="74" t="s">
        <v>181</v>
      </c>
    </row>
    <row r="671" spans="1:6" x14ac:dyDescent="0.25">
      <c r="A671" s="68"/>
      <c r="B671" s="65">
        <v>7580</v>
      </c>
      <c r="C671" s="16" t="str">
        <f t="shared" si="4"/>
        <v xml:space="preserve">48-produits divers </v>
      </c>
      <c r="D671" s="11"/>
      <c r="E671" s="11">
        <v>0</v>
      </c>
      <c r="F671" s="74" t="s">
        <v>181</v>
      </c>
    </row>
    <row r="672" spans="1:6" x14ac:dyDescent="0.25">
      <c r="A672" s="68"/>
      <c r="B672" s="65">
        <v>7610</v>
      </c>
      <c r="C672" s="16" t="str">
        <f t="shared" si="4"/>
        <v>49-produits financiers</v>
      </c>
      <c r="D672" s="11"/>
      <c r="E672" s="11">
        <v>0</v>
      </c>
      <c r="F672" s="74" t="s">
        <v>181</v>
      </c>
    </row>
    <row r="673" spans="1:6" ht="15.75" thickBot="1" x14ac:dyDescent="0.3">
      <c r="A673" s="69"/>
      <c r="B673" s="62">
        <v>7680</v>
      </c>
      <c r="C673" s="16" t="str">
        <f t="shared" si="4"/>
        <v xml:space="preserve">50-cession parts sociales </v>
      </c>
      <c r="D673" s="11"/>
      <c r="E673" s="11">
        <v>0</v>
      </c>
      <c r="F673" s="74" t="s">
        <v>181</v>
      </c>
    </row>
    <row r="674" spans="1:6" ht="15.75" thickBot="1" x14ac:dyDescent="0.3">
      <c r="A674" s="70"/>
      <c r="B674" s="66">
        <v>7700</v>
      </c>
      <c r="C674" s="67" t="str">
        <f t="shared" si="4"/>
        <v>51-produits exceptionnels</v>
      </c>
      <c r="D674" s="13"/>
      <c r="E674" s="13">
        <v>0</v>
      </c>
      <c r="F674" s="76" t="s">
        <v>181</v>
      </c>
    </row>
    <row r="675" spans="1:6" x14ac:dyDescent="0.25">
      <c r="D675" s="45">
        <f>SUM(D2:D674)</f>
        <v>49383.249999999985</v>
      </c>
      <c r="E675" s="45">
        <f>SUM(E2:E674)</f>
        <v>49383.249999999985</v>
      </c>
    </row>
  </sheetData>
  <conditionalFormatting sqref="A1:F674">
    <cfRule type="cellIs" dxfId="7" priority="4" operator="equal">
      <formula>1060</formula>
    </cfRule>
    <cfRule type="cellIs" dxfId="6" priority="2" operator="equal">
      <formula>2152</formula>
    </cfRule>
  </conditionalFormatting>
  <conditionalFormatting sqref="A1:XFD1048576">
    <cfRule type="cellIs" dxfId="5" priority="3" operator="equal">
      <formula>2151</formula>
    </cfRule>
  </conditionalFormatting>
  <conditionalFormatting sqref="B1:B674">
    <cfRule type="cellIs" dxfId="4" priority="1" operator="equal">
      <formula>2153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45"/>
  <sheetViews>
    <sheetView tabSelected="1" topLeftCell="B13" workbookViewId="0">
      <selection activeCell="E24" sqref="E24"/>
    </sheetView>
  </sheetViews>
  <sheetFormatPr baseColWidth="10" defaultRowHeight="15" x14ac:dyDescent="0.25"/>
  <cols>
    <col min="2" max="2" width="15.140625" customWidth="1"/>
    <col min="3" max="3" width="32.28515625" customWidth="1"/>
    <col min="4" max="4" width="12.7109375" customWidth="1"/>
    <col min="6" max="6" width="33.42578125" customWidth="1"/>
    <col min="7" max="7" width="14.140625" customWidth="1"/>
  </cols>
  <sheetData>
    <row r="1" spans="2:7" ht="15.75" thickBot="1" x14ac:dyDescent="0.3"/>
    <row r="2" spans="2:7" x14ac:dyDescent="0.25">
      <c r="B2" s="78"/>
      <c r="C2" s="79"/>
      <c r="D2" s="79"/>
      <c r="E2" s="79"/>
      <c r="F2" s="79"/>
      <c r="G2" s="80"/>
    </row>
    <row r="3" spans="2:7" ht="15.75" thickBot="1" x14ac:dyDescent="0.3">
      <c r="B3" s="81"/>
      <c r="C3" s="82"/>
      <c r="D3" s="82"/>
      <c r="E3" s="82"/>
      <c r="F3" s="82"/>
      <c r="G3" s="83"/>
    </row>
    <row r="4" spans="2:7" ht="15.75" thickBot="1" x14ac:dyDescent="0.3">
      <c r="B4" s="84" t="s">
        <v>0</v>
      </c>
      <c r="C4" s="85" t="s">
        <v>230</v>
      </c>
      <c r="D4" s="86" t="s">
        <v>231</v>
      </c>
      <c r="E4" s="87" t="s">
        <v>16</v>
      </c>
      <c r="F4" s="85" t="s">
        <v>232</v>
      </c>
      <c r="G4" s="88" t="s">
        <v>231</v>
      </c>
    </row>
    <row r="5" spans="2:7" x14ac:dyDescent="0.25">
      <c r="B5" s="89">
        <v>2151</v>
      </c>
      <c r="C5" s="90" t="str">
        <f>IF(B5="","",VLOOKUP(B5,TablePCG,2))</f>
        <v>costumes</v>
      </c>
      <c r="D5" s="91">
        <f ca="1">SUMIF(ncompte,Bilan!B5,debit)-SUMIF(ncompte,Bilan!B5,credit)</f>
        <v>194.54000000000002</v>
      </c>
      <c r="E5" s="92"/>
      <c r="F5" s="90" t="str">
        <f>IF(E5="","",VLOOKUP(E5,TablePCG,2))</f>
        <v/>
      </c>
      <c r="G5" s="91" t="str">
        <f>IF(F5="","",VLOOKUP(F5,journal,4))</f>
        <v/>
      </c>
    </row>
    <row r="6" spans="2:7" x14ac:dyDescent="0.25">
      <c r="B6" s="93">
        <v>2152</v>
      </c>
      <c r="C6" s="90" t="str">
        <f>IF(B6="","",VLOOKUP(B6,TablePCG,2))</f>
        <v>décors</v>
      </c>
      <c r="D6" s="91">
        <f ca="1">SUMIF(montant,$B$6,debit)</f>
        <v>264.08999999999997</v>
      </c>
      <c r="E6" s="94">
        <v>1060</v>
      </c>
      <c r="F6" s="90" t="str">
        <f>IF(E6="","",VLOOKUP(E6,TablePCG,2))</f>
        <v>réserves</v>
      </c>
      <c r="G6" s="91">
        <f ca="1">SUMIF(montant,Bilan!E6,credit)-(SUMIF(montant,Bilan!E6,debit))</f>
        <v>900</v>
      </c>
    </row>
    <row r="7" spans="2:7" x14ac:dyDescent="0.25">
      <c r="B7" s="93">
        <v>2153</v>
      </c>
      <c r="C7" s="90" t="str">
        <f>IF(B7="","",VLOOKUP(B7,TablePCG,2))</f>
        <v>matériels</v>
      </c>
      <c r="D7" s="91">
        <f ca="1">SUMIF(montant,Bilan!B7,credit)-(SUMIF(montant,Bilan!B7,debit))</f>
        <v>-24.740000000000002</v>
      </c>
      <c r="E7" s="94">
        <v>1200</v>
      </c>
      <c r="F7" s="90" t="s">
        <v>233</v>
      </c>
      <c r="G7" s="95">
        <f ca="1">IF((D42=""),G42,D42)</f>
        <v>18680.41</v>
      </c>
    </row>
    <row r="8" spans="2:7" x14ac:dyDescent="0.25">
      <c r="B8" s="93">
        <v>2710</v>
      </c>
      <c r="C8" s="90" t="str">
        <f>IF(B8="","",VLOOKUP(B8,TablePCG,2))</f>
        <v>parts sociales</v>
      </c>
      <c r="D8" s="91">
        <f ca="1">SUMIF(montant,Bilan!B8,credit)-(SUMIF(montant,Bilan!B8,debit))</f>
        <v>-600</v>
      </c>
      <c r="E8" s="94"/>
      <c r="F8" s="90" t="str">
        <f>IF(E8="","",VLOOKUP(E8,TablePCG,2))</f>
        <v/>
      </c>
      <c r="G8" s="95" t="str">
        <f>IF(F8="","",VLOOKUP(F8,journal,4))</f>
        <v/>
      </c>
    </row>
    <row r="9" spans="2:7" x14ac:dyDescent="0.25">
      <c r="B9" s="93"/>
      <c r="C9" s="96" t="s">
        <v>234</v>
      </c>
      <c r="D9" s="97">
        <f ca="1">SUM(D5:D8)</f>
        <v>-166.11</v>
      </c>
      <c r="E9" s="94"/>
      <c r="F9" s="96" t="s">
        <v>235</v>
      </c>
      <c r="G9" s="98">
        <f ca="1">SUM(G5:G8)</f>
        <v>19580.41</v>
      </c>
    </row>
    <row r="10" spans="2:7" x14ac:dyDescent="0.25">
      <c r="B10" s="93"/>
      <c r="C10" s="99"/>
      <c r="D10" s="95" t="str">
        <f>IF(C10="","",VLOOKUP(C10,journal,4))</f>
        <v/>
      </c>
      <c r="E10" s="94">
        <v>1640</v>
      </c>
      <c r="F10" s="90" t="str">
        <f>IF(E10="","",VLOOKUP(E10,TablePCG,2))</f>
        <v>concours bancaires courants</v>
      </c>
      <c r="G10" s="91">
        <f ca="1">SUMIF(montant,Bilan!E10,credit)-(SUMIF(montant,Bilan!E10,debit))</f>
        <v>0</v>
      </c>
    </row>
    <row r="11" spans="2:7" x14ac:dyDescent="0.25">
      <c r="B11" s="93">
        <v>4680</v>
      </c>
      <c r="C11" s="90" t="str">
        <f>IF(B11="","",VLOOKUP(B11,TablePCG,2))</f>
        <v>subvention à recevoir</v>
      </c>
      <c r="D11" s="91">
        <f ca="1">SUMIF(montant,Bilan!B11,credit)-(SUMIF(montant,Bilan!B11,debit))</f>
        <v>-58.2</v>
      </c>
      <c r="E11" s="94"/>
      <c r="F11" s="96" t="s">
        <v>236</v>
      </c>
      <c r="G11" s="98">
        <f ca="1">SUM(G10)</f>
        <v>0</v>
      </c>
    </row>
    <row r="12" spans="2:7" x14ac:dyDescent="0.25">
      <c r="B12" s="93">
        <v>4685</v>
      </c>
      <c r="C12" s="90" t="str">
        <f>IF(B12="","",VLOOKUP(B12,TablePCG,2))</f>
        <v>cotisations à recevoir</v>
      </c>
      <c r="D12" s="91">
        <f ca="1">SUMIF(montant,Bilan!B12,credit)-(SUMIF(montant,Bilan!B12,debit))</f>
        <v>-17.079999999999998</v>
      </c>
      <c r="E12" s="94">
        <v>4550</v>
      </c>
      <c r="F12" s="90" t="str">
        <f>IF(E12="","",VLOOKUP(E12,TablePCG,2))</f>
        <v>adhérents</v>
      </c>
      <c r="G12" s="91">
        <f ca="1">SUMIF(montant,Bilan!E12,credit)-(SUMIF(montant,Bilan!E12,debit))</f>
        <v>802.43000000000006</v>
      </c>
    </row>
    <row r="13" spans="2:7" x14ac:dyDescent="0.25">
      <c r="B13" s="93">
        <v>4860</v>
      </c>
      <c r="C13" s="90" t="str">
        <f>IF(B13="","",VLOOKUP(B13,TablePCG,2))</f>
        <v>charges constatées d'avance</v>
      </c>
      <c r="D13" s="91">
        <f ca="1">SUMIF(montant,Bilan!B13,credit)-(SUMIF(montant,Bilan!B13,debit))</f>
        <v>60.13</v>
      </c>
      <c r="E13" s="94">
        <v>4010</v>
      </c>
      <c r="F13" s="90" t="str">
        <f>IF(E13="","",VLOOKUP(E13,TablePCG,2))</f>
        <v>fournisseurs</v>
      </c>
      <c r="G13" s="91">
        <f ca="1">SUMIF(montant,Bilan!E13,credit)-(SUMIF(montant,Bilan!E13,debit))</f>
        <v>848.27</v>
      </c>
    </row>
    <row r="14" spans="2:7" x14ac:dyDescent="0.25">
      <c r="B14" s="93">
        <v>5120</v>
      </c>
      <c r="C14" s="90" t="str">
        <f>IF(B14="","",VLOOKUP(B14,TablePCG,2))</f>
        <v>banque</v>
      </c>
      <c r="D14" s="91">
        <f ca="1">SUMIF(montant,Bilan!B14,credit)-(SUMIF(montant,Bilan!B14,debit))</f>
        <v>13872.26</v>
      </c>
      <c r="E14" s="94">
        <v>4210</v>
      </c>
      <c r="F14" s="90" t="str">
        <f>IF(E14="","",VLOOKUP(E14,TablePCG,2))</f>
        <v>salaires à payer</v>
      </c>
      <c r="G14" s="91">
        <f ca="1">SUMIF(montant,Bilan!E14,credit)-(SUMIF(montant,Bilan!E14,debit))</f>
        <v>620.08999999999992</v>
      </c>
    </row>
    <row r="15" spans="2:7" x14ac:dyDescent="0.25">
      <c r="B15" s="93">
        <v>5300</v>
      </c>
      <c r="C15" s="90" t="str">
        <f>IF(B15="","",VLOOKUP(B15,TablePCG,2))</f>
        <v>caisse</v>
      </c>
      <c r="D15" s="91">
        <f ca="1">SUMIF(montant,Bilan!B15,credit)-(SUMIF(montant,Bilan!B15,debit))</f>
        <v>10497.56</v>
      </c>
      <c r="E15" s="94">
        <v>4050</v>
      </c>
      <c r="F15" s="90" t="str">
        <f>IF(E15="","",VLOOKUP(E15,TablePCG,2))</f>
        <v>loyers à payer</v>
      </c>
      <c r="G15" s="91">
        <f ca="1">SUMIF(montant,Bilan!E15,credit)-(SUMIF(montant,Bilan!E15,debit))</f>
        <v>200</v>
      </c>
    </row>
    <row r="16" spans="2:7" x14ac:dyDescent="0.25">
      <c r="B16" s="99"/>
      <c r="C16" s="96" t="s">
        <v>237</v>
      </c>
      <c r="D16" s="97">
        <f ca="1">SUM(D11:D15)</f>
        <v>24354.67</v>
      </c>
      <c r="E16" s="100"/>
      <c r="F16" s="96" t="s">
        <v>238</v>
      </c>
      <c r="G16" s="98">
        <f ca="1">SUM(G12:G15)</f>
        <v>2470.79</v>
      </c>
    </row>
    <row r="17" spans="2:7" ht="18.75" x14ac:dyDescent="0.3">
      <c r="B17" s="99"/>
      <c r="C17" s="101" t="s">
        <v>239</v>
      </c>
      <c r="D17" s="102">
        <f ca="1">SUM(D9,D16)</f>
        <v>24188.559999999998</v>
      </c>
      <c r="E17" s="100"/>
      <c r="F17" s="101" t="s">
        <v>239</v>
      </c>
      <c r="G17" s="103">
        <f ca="1">SUM(G9,G11,G16)</f>
        <v>22051.200000000001</v>
      </c>
    </row>
    <row r="18" spans="2:7" ht="15.75" thickBot="1" x14ac:dyDescent="0.3"/>
    <row r="19" spans="2:7" x14ac:dyDescent="0.25">
      <c r="B19" s="104" t="s">
        <v>240</v>
      </c>
      <c r="C19" s="105"/>
      <c r="D19" s="105"/>
      <c r="E19" s="105"/>
      <c r="F19" s="105"/>
      <c r="G19" s="106"/>
    </row>
    <row r="20" spans="2:7" ht="15.75" thickBot="1" x14ac:dyDescent="0.3">
      <c r="B20" s="107"/>
      <c r="C20" s="108"/>
      <c r="D20" s="108"/>
      <c r="E20" s="108"/>
      <c r="F20" s="108"/>
      <c r="G20" s="109"/>
    </row>
    <row r="21" spans="2:7" ht="15.75" thickBot="1" x14ac:dyDescent="0.3">
      <c r="B21" s="6" t="s">
        <v>16</v>
      </c>
      <c r="C21" s="6" t="s">
        <v>241</v>
      </c>
      <c r="D21" s="6" t="s">
        <v>231</v>
      </c>
      <c r="E21" s="6" t="s">
        <v>16</v>
      </c>
      <c r="F21" s="6" t="s">
        <v>242</v>
      </c>
      <c r="G21" s="6" t="s">
        <v>243</v>
      </c>
    </row>
    <row r="22" spans="2:7" x14ac:dyDescent="0.25">
      <c r="B22" s="110">
        <v>6060</v>
      </c>
      <c r="C22" s="90" t="str">
        <f>IF(B22="","",VLOOKUP(B22,TablePCG,2))</f>
        <v>20-fournitures, petit équipement</v>
      </c>
      <c r="D22" s="91">
        <f ca="1">SUMIF(montant,Bilan!B22,credit)-(SUMIF(montant,Bilan!B22,debit))</f>
        <v>688.03999999999985</v>
      </c>
      <c r="E22" s="111">
        <v>7110</v>
      </c>
      <c r="F22" s="90" t="str">
        <f>IF(E22="","",VLOOKUP(E22,TablePCG,2))</f>
        <v xml:space="preserve">36-recettes </v>
      </c>
      <c r="G22" s="91">
        <f ca="1">SUMIF(montant,Bilan!E22,credit)-(SUMIF(montant,Bilan!E22,debit))</f>
        <v>0</v>
      </c>
    </row>
    <row r="23" spans="2:7" x14ac:dyDescent="0.25">
      <c r="B23" s="110">
        <v>6130</v>
      </c>
      <c r="C23" s="90" t="str">
        <f>IF(B23="","",VLOOKUP(B23,TablePCG,2))</f>
        <v>21-loyers</v>
      </c>
      <c r="D23" s="91">
        <f ca="1">SUMIF(montant,Bilan!B23,credit)-(SUMIF(montant,Bilan!B23,debit))</f>
        <v>700</v>
      </c>
      <c r="E23" s="112">
        <v>7112</v>
      </c>
      <c r="F23" s="90" t="str">
        <f>IF(E23="","",VLOOKUP(E23,TablePCG,2))</f>
        <v>37-recettes V</v>
      </c>
      <c r="G23" s="91">
        <f ca="1">SUMIF(montant,Bilan!E23,credit)-(SUMIF(montant,Bilan!E23,debit))</f>
        <v>0</v>
      </c>
    </row>
    <row r="24" spans="2:7" ht="30" x14ac:dyDescent="0.25">
      <c r="B24" s="110">
        <v>6160</v>
      </c>
      <c r="C24" s="90" t="str">
        <f>IF(B24="","",VLOOKUP(B24,TablePCG,2))</f>
        <v>22-assurance</v>
      </c>
      <c r="D24" s="91">
        <f ca="1">SUMIF(montant,Bilan!B24,credit)-(SUMIF(montant,Bilan!B24,debit))</f>
        <v>104.97</v>
      </c>
      <c r="E24" s="112">
        <v>7120</v>
      </c>
      <c r="F24" s="90" t="str">
        <f>IF(E24="","",VLOOKUP(E24,TablePCG,2))</f>
        <v>38-prestations théâtre, lectures publiques</v>
      </c>
      <c r="G24" s="91">
        <f ca="1">SUMIF(montant,Bilan!E24,credit)-(SUMIF(montant,Bilan!E24,debit))</f>
        <v>0</v>
      </c>
    </row>
    <row r="25" spans="2:7" x14ac:dyDescent="0.25">
      <c r="B25" s="110">
        <v>6170</v>
      </c>
      <c r="C25" s="90" t="str">
        <f>IF(B25="","",VLOOKUP(B25,TablePCG,2))</f>
        <v>23-droits d'auteurs, traductions</v>
      </c>
      <c r="D25" s="91">
        <f ca="1">SUMIF(montant,Bilan!B25,credit)-(SUMIF(montant,Bilan!B25,debit))</f>
        <v>0</v>
      </c>
      <c r="E25" s="112">
        <v>7130</v>
      </c>
      <c r="F25" s="90" t="str">
        <f>IF(E25="","",VLOOKUP(E25,TablePCG,2))</f>
        <v xml:space="preserve">39-adhésions </v>
      </c>
      <c r="G25" s="91">
        <f ca="1">SUMIF(montant,Bilan!E25,credit)-(SUMIF(montant,Bilan!E25,debit))</f>
        <v>58.2</v>
      </c>
    </row>
    <row r="26" spans="2:7" x14ac:dyDescent="0.25">
      <c r="B26" s="110">
        <v>6230</v>
      </c>
      <c r="C26" s="90" t="str">
        <f>IF(B26="","",VLOOKUP(B26,TablePCG,2))</f>
        <v>24-publicité</v>
      </c>
      <c r="D26" s="91">
        <f ca="1">SUMIF(montant,Bilan!B26,credit)-(SUMIF(montant,Bilan!B26,debit))</f>
        <v>0</v>
      </c>
      <c r="E26" s="112">
        <v>7410</v>
      </c>
      <c r="F26" s="90" t="str">
        <f>IF(E26="","",VLOOKUP(E26,TablePCG,2))</f>
        <v xml:space="preserve">40-subvention municipalité </v>
      </c>
      <c r="G26" s="91">
        <f ca="1">SUMIF(montant,Bilan!E26,credit)-(SUMIF(montant,Bilan!E26,debit))</f>
        <v>600</v>
      </c>
    </row>
    <row r="27" spans="2:7" ht="30" x14ac:dyDescent="0.25">
      <c r="B27" s="110">
        <v>6250</v>
      </c>
      <c r="C27" s="90" t="str">
        <f>IF(B27="","",VLOOKUP(B27,TablePCG,2))</f>
        <v>25-frais de résidence et de déplacement</v>
      </c>
      <c r="D27" s="91">
        <f ca="1">SUMIF(montant,Bilan!B27,credit)-(SUMIF(montant,Bilan!B27,debit))</f>
        <v>5003.54</v>
      </c>
      <c r="E27" s="112">
        <v>7420</v>
      </c>
      <c r="F27" s="90" t="str">
        <f>IF(E27="","",VLOOKUP(E27,TablePCG,2))</f>
        <v>41-subventions collectivités territoriales</v>
      </c>
      <c r="G27" s="91">
        <f ca="1">SUMIF(montant,Bilan!E27,credit)-(SUMIF(montant,Bilan!E27,debit))</f>
        <v>0</v>
      </c>
    </row>
    <row r="28" spans="2:7" x14ac:dyDescent="0.25">
      <c r="B28" s="110">
        <v>6260</v>
      </c>
      <c r="C28" s="90" t="str">
        <f>IF(B28="","",VLOOKUP(B28,TablePCG,2))</f>
        <v>26-frais postaux et de téléphone</v>
      </c>
      <c r="D28" s="91">
        <f ca="1">SUMIF(montant,Bilan!B28,credit)-(SUMIF(montant,Bilan!B28,debit))</f>
        <v>-4.6500000000000004</v>
      </c>
      <c r="E28" s="112">
        <v>7430</v>
      </c>
      <c r="F28" s="90" t="str">
        <f>IF(E28="","",VLOOKUP(E28,TablePCG,2))</f>
        <v>42-subvention Sped.</v>
      </c>
      <c r="G28" s="91">
        <f ca="1">SUMIF(montant,Bilan!E28,credit)-(SUMIF(montant,Bilan!E28,debit))</f>
        <v>0</v>
      </c>
    </row>
    <row r="29" spans="2:7" x14ac:dyDescent="0.25">
      <c r="B29" s="110">
        <v>6270</v>
      </c>
      <c r="C29" s="90" t="str">
        <f>IF(B29="","",VLOOKUP(B29,TablePCG,2))</f>
        <v xml:space="preserve">27-services bancaires </v>
      </c>
      <c r="D29" s="91">
        <f ca="1">SUMIF(montant,Bilan!B29,credit)-(SUMIF(montant,Bilan!B29,debit))</f>
        <v>98.919999999999987</v>
      </c>
      <c r="E29" s="112">
        <v>7440</v>
      </c>
      <c r="F29" s="90" t="str">
        <f>IF(E29="","",VLOOKUP(E29,TablePCG,2))</f>
        <v>43-bourse défi jeune</v>
      </c>
      <c r="G29" s="91">
        <f ca="1">SUMIF(montant,Bilan!E29,credit)-(SUMIF(montant,Bilan!E29,debit))</f>
        <v>0</v>
      </c>
    </row>
    <row r="30" spans="2:7" x14ac:dyDescent="0.25">
      <c r="B30" s="110">
        <v>6280</v>
      </c>
      <c r="C30" s="90" t="str">
        <f>IF(B30="","",VLOOKUP(B30,TablePCG,2))</f>
        <v>28-frais sur salaires</v>
      </c>
      <c r="D30" s="91">
        <f ca="1">SUMIF(montant,Bilan!B30,credit)-(SUMIF(montant,Bilan!B30,debit))</f>
        <v>113</v>
      </c>
      <c r="E30" s="112">
        <v>7450</v>
      </c>
      <c r="F30" s="90" t="str">
        <f>IF(E30="","",VLOOKUP(E30,TablePCG,2))</f>
        <v>44-subvention collectif jeune</v>
      </c>
      <c r="G30" s="91">
        <f ca="1">SUMIF(montant,Bilan!E30,credit)-(SUMIF(montant,Bilan!E30,debit))</f>
        <v>0</v>
      </c>
    </row>
    <row r="31" spans="2:7" x14ac:dyDescent="0.25">
      <c r="B31" s="110">
        <v>6281</v>
      </c>
      <c r="C31" s="90" t="str">
        <f>IF(B31="","",VLOOKUP(B31,TablePCG,2))</f>
        <v xml:space="preserve">29-cotisations </v>
      </c>
      <c r="D31" s="91">
        <f ca="1">SUMIF(montant,Bilan!B31,credit)-(SUMIF(montant,Bilan!B31,debit))</f>
        <v>368.48</v>
      </c>
      <c r="E31" s="112">
        <v>7455</v>
      </c>
      <c r="F31" s="90" t="str">
        <f>IF(E31="","",VLOOKUP(E31,TablePCG,2))</f>
        <v>45-subvention DRAC</v>
      </c>
      <c r="G31" s="91">
        <f ca="1">SUMIF(montant,Bilan!E31,credit)-(SUMIF(montant,Bilan!E31,debit))</f>
        <v>0</v>
      </c>
    </row>
    <row r="32" spans="2:7" x14ac:dyDescent="0.25">
      <c r="B32" s="110">
        <v>6285</v>
      </c>
      <c r="C32" s="90" t="str">
        <f>IF(B32="","",VLOOKUP(B32,TablePCG,2))</f>
        <v xml:space="preserve">30-autres charges </v>
      </c>
      <c r="D32" s="91">
        <f ca="1">SUMIF(montant,Bilan!B32,credit)-(SUMIF(montant,Bilan!B32,debit))</f>
        <v>15.41</v>
      </c>
      <c r="E32" s="112">
        <v>7460</v>
      </c>
      <c r="F32" s="90" t="str">
        <f>IF(E32="","",VLOOKUP(E32,TablePCG,2))</f>
        <v xml:space="preserve">46-subvention région </v>
      </c>
      <c r="G32" s="91">
        <f ca="1">SUMIF(montant,Bilan!E32,credit)-(SUMIF(montant,Bilan!E32,debit))</f>
        <v>0</v>
      </c>
    </row>
    <row r="33" spans="2:7" x14ac:dyDescent="0.25">
      <c r="B33" s="110">
        <v>6410</v>
      </c>
      <c r="C33" s="90" t="str">
        <f>IF(B33="","",VLOOKUP(B33,TablePCG,2))</f>
        <v xml:space="preserve">31-salaires </v>
      </c>
      <c r="D33" s="91">
        <f ca="1">SUMIF(montant,Bilan!B33,credit)-(SUMIF(montant,Bilan!B33,debit))</f>
        <v>11109.010000000002</v>
      </c>
      <c r="E33" s="112">
        <v>7470</v>
      </c>
      <c r="F33" s="90" t="str">
        <f>IF(E33="","",VLOOKUP(E33,TablePCG,2))</f>
        <v>47-subvention aide à la création</v>
      </c>
      <c r="G33" s="91">
        <f ca="1">SUMIF(montant,Bilan!E33,credit)-(SUMIF(montant,Bilan!E33,debit))</f>
        <v>0</v>
      </c>
    </row>
    <row r="34" spans="2:7" x14ac:dyDescent="0.25">
      <c r="B34" s="110">
        <v>6415</v>
      </c>
      <c r="C34" s="90" t="str">
        <f>IF(B34="","",VLOOKUP(B34,TablePCG,2))</f>
        <v>32-charges sur salaires</v>
      </c>
      <c r="D34" s="91">
        <f ca="1">SUMIF(montant,Bilan!B34,credit)-(SUMIF(montant,Bilan!B34,debit))</f>
        <v>1133.8400000000001</v>
      </c>
      <c r="E34" s="112">
        <v>7580</v>
      </c>
      <c r="F34" s="90" t="str">
        <f>IF(E34="","",VLOOKUP(E34,TablePCG,2))</f>
        <v xml:space="preserve">48-produits divers </v>
      </c>
      <c r="G34" s="91">
        <f ca="1">SUMIF(montant,Bilan!E34,credit)-(SUMIF(montant,Bilan!E34,debit))</f>
        <v>0</v>
      </c>
    </row>
    <row r="35" spans="2:7" x14ac:dyDescent="0.25">
      <c r="B35" s="110">
        <v>6580</v>
      </c>
      <c r="C35" s="90" t="str">
        <f>IF(B35="","",VLOOKUP(B35,TablePCG,2))</f>
        <v xml:space="preserve">33-charges diverses </v>
      </c>
      <c r="D35" s="91">
        <f ca="1">SUMIF(montant,Bilan!B35,credit)-(SUMIF(montant,Bilan!B35,debit))</f>
        <v>587.4</v>
      </c>
      <c r="E35" s="94"/>
      <c r="F35" s="113"/>
      <c r="G35" s="99"/>
    </row>
    <row r="36" spans="2:7" x14ac:dyDescent="0.25">
      <c r="B36" s="114"/>
      <c r="C36" s="96" t="s">
        <v>244</v>
      </c>
      <c r="D36" s="97">
        <f ca="1">SUM(D22:D34)</f>
        <v>19330.560000000001</v>
      </c>
      <c r="E36" s="94"/>
      <c r="F36" s="115" t="s">
        <v>245</v>
      </c>
      <c r="G36" s="98">
        <f ca="1">SUM(G22:G33)</f>
        <v>658.2</v>
      </c>
    </row>
    <row r="37" spans="2:7" x14ac:dyDescent="0.25">
      <c r="B37" s="110">
        <v>6610</v>
      </c>
      <c r="C37" s="90" t="str">
        <f>IF(B37="","",VLOOKUP(B37,TablePCG,2))</f>
        <v>34-charges financières</v>
      </c>
      <c r="D37" s="91">
        <f ca="1">SUMIF(montant,Bilan!B37,credit)-(SUMIF(montant,Bilan!B37,debit))</f>
        <v>8.0500000000000007</v>
      </c>
      <c r="E37" s="112">
        <v>7610</v>
      </c>
      <c r="F37" s="90" t="str">
        <f>IF(E37="","",VLOOKUP(E37,TablePCG,2))</f>
        <v>49-produits financiers</v>
      </c>
      <c r="G37" s="91">
        <f ca="1">SUMIF(montant,Bilan!E37,credit)-(SUMIF(montant,Bilan!E37,debit))</f>
        <v>0</v>
      </c>
    </row>
    <row r="38" spans="2:7" x14ac:dyDescent="0.25">
      <c r="B38" s="114"/>
      <c r="C38" s="96" t="s">
        <v>246</v>
      </c>
      <c r="D38" s="97">
        <f ca="1">D37</f>
        <v>8.0500000000000007</v>
      </c>
      <c r="E38" s="94"/>
      <c r="F38" s="115" t="s">
        <v>247</v>
      </c>
      <c r="G38" s="98">
        <f ca="1">G37</f>
        <v>0</v>
      </c>
    </row>
    <row r="39" spans="2:7" x14ac:dyDescent="0.25">
      <c r="B39" s="110">
        <v>6700</v>
      </c>
      <c r="C39" s="90" t="str">
        <f>IF(B39="","",VLOOKUP(B39,TablePCG,2))</f>
        <v>35-charges exceptionnelles</v>
      </c>
      <c r="D39" s="91">
        <f ca="1">SUMIF(montant,Bilan!B39,credit)-(SUMIF(montant,Bilan!B39,debit))</f>
        <v>0</v>
      </c>
      <c r="E39" s="112">
        <v>7700</v>
      </c>
      <c r="F39" s="90" t="str">
        <f>IF(E39="","",VLOOKUP(E39,TablePCG,2))</f>
        <v>51-produits exceptionnels</v>
      </c>
      <c r="G39" s="91">
        <f ca="1">SUMIF(montant,Bilan!E39,credit)-(SUMIF(montant,Bilan!E39,debit))</f>
        <v>0</v>
      </c>
    </row>
    <row r="40" spans="2:7" x14ac:dyDescent="0.25">
      <c r="B40" s="114"/>
      <c r="C40" s="96" t="s">
        <v>248</v>
      </c>
      <c r="D40" s="97">
        <f ca="1">D39</f>
        <v>0</v>
      </c>
      <c r="E40" s="94"/>
      <c r="F40" s="115" t="s">
        <v>249</v>
      </c>
      <c r="G40" s="98">
        <f ca="1">G39</f>
        <v>0</v>
      </c>
    </row>
    <row r="41" spans="2:7" x14ac:dyDescent="0.25">
      <c r="B41" s="114"/>
      <c r="C41" s="98" t="s">
        <v>250</v>
      </c>
      <c r="D41" s="97">
        <f ca="1">SUM(D36,D38,D40)</f>
        <v>19338.61</v>
      </c>
      <c r="E41" s="94"/>
      <c r="F41" s="116" t="s">
        <v>251</v>
      </c>
      <c r="G41" s="98">
        <f ca="1">SUM(G36,G38,G40)</f>
        <v>658.2</v>
      </c>
    </row>
    <row r="42" spans="2:7" x14ac:dyDescent="0.25">
      <c r="B42" s="114"/>
      <c r="C42" s="98" t="s">
        <v>252</v>
      </c>
      <c r="D42" s="97" t="str">
        <f ca="1">IF((D41&gt;G41),"",D41-G41)</f>
        <v/>
      </c>
      <c r="E42" s="94"/>
      <c r="F42" s="116" t="s">
        <v>253</v>
      </c>
      <c r="G42" s="97">
        <f ca="1">IF((G41&gt;D41),"",D41-G41)</f>
        <v>18680.41</v>
      </c>
    </row>
    <row r="43" spans="2:7" x14ac:dyDescent="0.25">
      <c r="B43" s="117"/>
      <c r="C43" s="118" t="s">
        <v>254</v>
      </c>
      <c r="D43" s="119">
        <f ca="1">SUM(D41:D42)</f>
        <v>19338.61</v>
      </c>
      <c r="E43" s="120"/>
      <c r="F43" s="121" t="s">
        <v>254</v>
      </c>
      <c r="G43" s="122">
        <f ca="1">SUM(G41:G42)</f>
        <v>19338.61</v>
      </c>
    </row>
    <row r="44" spans="2:7" x14ac:dyDescent="0.25">
      <c r="B44" s="123"/>
      <c r="C44" s="124"/>
      <c r="D44" s="125"/>
      <c r="E44" s="126"/>
      <c r="F44" s="127"/>
      <c r="G44" s="128"/>
    </row>
    <row r="45" spans="2:7" ht="18.75" x14ac:dyDescent="0.25">
      <c r="D45" s="129"/>
    </row>
  </sheetData>
  <mergeCells count="8">
    <mergeCell ref="B2:G3"/>
    <mergeCell ref="B19:G20"/>
    <mergeCell ref="B43:B44"/>
    <mergeCell ref="C43:C44"/>
    <mergeCell ref="D43:D44"/>
    <mergeCell ref="E43:E44"/>
    <mergeCell ref="F43:F44"/>
    <mergeCell ref="G43:G44"/>
  </mergeCells>
  <dataValidations count="2">
    <dataValidation type="list" allowBlank="1" showInputMessage="1" showErrorMessage="1" sqref="F11">
      <formula1>costumes</formula1>
    </dataValidation>
    <dataValidation operator="equal" allowBlank="1" showInputMessage="1" showErrorMessage="1" sqref="E7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operator="equal" allowBlank="1" showInputMessage="1" showErrorMessage="1">
          <x14:formula1>
            <xm:f>PCG!#REF!</xm:f>
          </x14:formula1>
          <xm:sqref>B5:B15 E5:E6 E8:E15 B22:B44 E22:E44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PCG</vt:lpstr>
      <vt:lpstr>journal</vt:lpstr>
      <vt:lpstr>Bilan</vt:lpstr>
      <vt:lpstr>costumes</vt:lpstr>
      <vt:lpstr>credit</vt:lpstr>
      <vt:lpstr>debit</vt:lpstr>
      <vt:lpstr>journal</vt:lpstr>
      <vt:lpstr>PCG!ListePCG</vt:lpstr>
      <vt:lpstr>montant</vt:lpstr>
      <vt:lpstr>ncompte</vt:lpstr>
      <vt:lpstr>numcompte</vt:lpstr>
      <vt:lpstr>TablePCG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Agnes</dc:creator>
  <cp:lastModifiedBy>Romain</cp:lastModifiedBy>
  <cp:lastPrinted>2013-11-11T09:02:29Z</cp:lastPrinted>
  <dcterms:created xsi:type="dcterms:W3CDTF">2013-06-08T08:53:35Z</dcterms:created>
  <dcterms:modified xsi:type="dcterms:W3CDTF">2013-11-14T18:13:08Z</dcterms:modified>
</cp:coreProperties>
</file>